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acted.sharepoint.com/sites/IMPACTUKR/Documents partages/ISU/UKR2308_MSNA_23/02_Data/04_Data_Analysis/01_Frequency_tables/MSNA_F2F_CATI_output/Frequency tables to publish/Corrected/"/>
    </mc:Choice>
  </mc:AlternateContent>
  <xr:revisionPtr revIDLastSave="143" documentId="13_ncr:1_{350EA637-E8A7-45E8-A958-C7D8EE400571}" xr6:coauthVersionLast="47" xr6:coauthVersionMax="47" xr10:uidLastSave="{F62E1980-EA78-4150-B7C8-C23C560A7BAE}"/>
  <bookViews>
    <workbookView xWindow="-108" yWindow="-108" windowWidth="23256" windowHeight="12576" activeTab="2" xr2:uid="{00000000-000D-0000-FFFF-FFFF00000000}"/>
  </bookViews>
  <sheets>
    <sheet name="READ_ME CCCM" sheetId="3" r:id="rId1"/>
    <sheet name="Table_of_Contents" sheetId="1" r:id="rId2"/>
    <sheet name="Data" sheetId="2" r:id="rId3"/>
  </sheets>
  <definedNames>
    <definedName name="_xlnm._FilterDatabase" localSheetId="2" hidden="1">Data!$A$1:$F$14592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4" i="1" l="1"/>
  <c r="L295" i="1"/>
  <c r="A295" i="1"/>
  <c r="L294" i="1"/>
  <c r="A294" i="1"/>
  <c r="L293" i="1"/>
  <c r="L292" i="1"/>
  <c r="A292" i="1"/>
  <c r="L291" i="1"/>
  <c r="L290" i="1"/>
  <c r="L289" i="1"/>
  <c r="L288" i="1"/>
  <c r="L287" i="1"/>
  <c r="L286" i="1"/>
  <c r="L285"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3" i="1"/>
  <c r="A291" i="1"/>
  <c r="A290" i="1"/>
  <c r="A289" i="1"/>
  <c r="A288" i="1"/>
  <c r="A287" i="1"/>
  <c r="A286" i="1"/>
  <c r="A285"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<sst xmlns="http://schemas.openxmlformats.org/spreadsheetml/2006/main" count="130062" uniqueCount="2999">
  <si>
    <t>REACH Ukraine | CCCM Multi-Sector Needs Assessment (MSNA) 2023 | CCCM Macroregion Frequency Tables</t>
  </si>
  <si>
    <t>Items</t>
  </si>
  <si>
    <t>Description</t>
  </si>
  <si>
    <t xml:space="preserve">Background &amp; Rationale </t>
  </si>
  <si>
    <t>Since the escalation of the war in Ukraine in February 2022, 5.1 million people have been displaced internally across the country, more than 4.8 million displaced persons have returned to their homes, and more than 6.2 million refugees from Ukraine have been recorded globally. Over the course of 2022 and 2023 the conflict has caused the destruction of and damage to houses and infrastructure, disrupting service provision and exacerbating humanitarian needs. As the situation stabilises in parts of the country and impacts appear more localised in areas close to the front line, the continued generation of multi-sectoral data is crucial to understanding the evolving humanitarian context and needs of affected populations for the 17.6 million people are estimated to be in need of humanitarian assistance in Ukraine in 2023. 
Thus, at the request of the Humanitarian Country Team (HCT) REACH, in partnership with the World Food Programme (WFP), implemented a country-wide Multi-Sector Needs Assessment (MSNA) across all government-controlled areas (GCA) of Ukraine. The MSNA aims to build an evidence-base for improved humanitarian programming by collecting representative, household-level data to increase understanding of vulnerable demographics, the scope and severity humanitarian needs across the country, as well as barriers to assistance and displacement patterns. CCCM-specific questions (AAP, Protection, Site Management) were also added to the MSNA questionnaire. The data and subsequent analytical outputs are intended to inform the People-in-Need (PIN) calculations and 2024 Humanitarian Needs Overview (HNO), and inform strategic planning for the 2024 Humanitarian Response Plan (HRP) and other strategic documents.
Furthermore, over 100,000 internally displaced people are currently residing in around 2,500 collective sites, and are at risk of prolonged displacement. Given their particular vulnerability profile in demographics and socio-economic terms, and in close coordination with the general MSNA and in consultation with the CCCM Cluster, REACH implemented the MSNA in collective sites in all accessible oblasts of Ukraine. An additional 2,038 household-level interviews were thus conducted in collective sites to increase the understanding of the needs of this particular subset of the population. A CCCM-specific module with Accountability to Affected Populations and Site Management questions was added to the multi-sectoral MSNA questionnaire.</t>
  </si>
  <si>
    <t>Methodology</t>
  </si>
  <si>
    <r>
      <rPr>
        <sz val="10"/>
        <color rgb="FF000000"/>
        <rFont val="Arial Narrow"/>
      </rPr>
      <t xml:space="preserve">In total, 2,038 household interviews were conducted between 04 July and 02 August across 105 raions in 24 oblasts, through a combination of face-to-face and telephone interviews. The methodology and sampling approaches can be further read in the MSNA 2023 Terms of Reference, however, for the purposes of this product it is important to understand that the MSNA was designed using the CCCM Cluster Master List of collective sites currently hosting IDPs and the sampling approach is representative with a precision of 95% confidence level and 7% margin of error at the macro-region level. Therefore, when related to subsets of the total sample, findings should be considered as indicative and not representative. 
</t>
    </r>
    <r>
      <rPr>
        <b/>
        <sz val="10"/>
        <color rgb="FF000000"/>
        <rFont val="Arial Narrow"/>
      </rPr>
      <t xml:space="preserve">
Some subsets are too small even to draw indicative conclusions: rows with sample size of 30 or less are highlighted in red due to a general rule of thumb that samples of 30 or less cannot be used as their distribution may be uneven and therefore misleading.</t>
    </r>
  </si>
  <si>
    <t>Product Navigation</t>
  </si>
  <si>
    <t>This REACH product presents frequency tables of MSNA indicators stratified at the macro-region. These frequency tables have been grouped by sector and can be navigated using the hyperlinks in the 'Table of Contents' sheet. These links will automatically take the reader to the relevant frequency table with its disaggregation. Frequency table disaggregation may include any of the below (HH = household, HoHH = head of household);
- By rural/urban - Rural HHs, Urban HHs
- By disability - HHs with a member with a disability (Washington Group Severity Score 3 or 4), HHs without a member with a disability
- By displacement status - Displaced HHs, Non-Displaced HHs, Returnee HHs
- By employment status - HHs with an employed member, HHs without an employed member
- By HH proximity to the frontline or Russian border - HHs living in raions along the Russian border or frontline, HHs in raions away the Russian border or frontline
- By HH size - Regular (&lt;3 children) HHs, Large (3 or more children) HHs
- By HHs with/without children - HHs with Child (&lt;18 y.o.), HHs without Child (&lt;18 y.o.)
- By HH child and sex composition - HHs with girls; HHs with boys; HHs with girls and boys; HHs without children
- By HHs with/without young children - HHs with a young child (2-5 y.o.), HHs without a young child (2-5 y.o.)
- By HHs with/without infant children - HHs with an infant (0-2 y.o.), HHs without an infant (0-2 y.o.)
- By HH sex composition - HHs with Male members only, HHs with Female members only, HHs with Male and Female members
- By HHs with only elderly members - HHs with elderly members only, HHs not composed by elderly members only
- By HHs with elderly members - HHs with at least one elderly member, HHs with no elderly member
- By HoHH sex - Female-Headed HHs, Male-Headed HHs
- By HoHH sex and age - Female 18-59 year-old-headed HHs, Female 60+ year-old-headed HHs, Male 18-59 year-old-headed HHs, Male 60+ year-old-headed HHs
- By individuals' sex and age - Boys &lt;6 y.o., Boys 6-11 y.o., Boys 12-17 y.o., Girls &lt;6 y.o., Girls 6-11 y.o., Girls 12-17 y.o.; 18-25 Male; 18-25 Female; 26-50 Male; 26-50 Female; 51-65 Male; 51-65 Female; 66+ Male; 66+ Female
- By individuals' disability status - Individual with disability (Washington Group Severity Score 3 or 4), Individual without disability
- By child sex and age - Boys &lt; 5 y.o, Boys 5-11 y.o., Boys 12-18 y.o., Girls &lt; 5 y.o., Girls 5-11 y.o., Girls 12-18 y.o.
- By child disability - HHs with a child with a disability, HHs without a child with a disability
- By drinking water source - HHs accessing drinking water Only by Unimproved sources, HHs accessing drinking water Only by Improved sources, HHs accessing drinking water by Unimproved and Improved sources 
- By sanitation facility - HHs with access Only to Unimproved sanitation facilities, HHs with access Only to Improved sanitation facilities, HHs with access of Improved and Unimproved sanitation facilities 
- By assistance received - HHs that received Assistance in the past 3 months, HHs that did Not received Assistance in the past 3 months
- By food assistance received - HHs that received food assistance, HHs that did not receive food assistance, HHs that did not receive any assistance 
- By protection assistance received - HHs that received protection assistance, HHs that did not receive protection assistance, HHs that did not receive any assistance 
- By shelter assistance received - HHs that received shelter assistance, HHs that did not receive shelter assistance, HHs that did not receive any assistance 
- By WASH assistance received - HHs that received WASH assistance, HHs that did not receive WASH assistance, HHs that did not receive any assistance 
- By exclusively relying on assistance - HHs relying Exclusively on Assistance, HHs Not relying Exclusively on Assistance
- By conflict-related shelter damage - HHs with conflict-related shelter damages, HHs without conflict-related shelter damages
- By facing challenges to obtain money - HHs with challenges to obtain money, HHs without challenges to obtain money
- By adopting livelihood coping strategies - HHs using no coping strategies; HHs using at least one 'stress' strategy; HHs using at least one 'crisis' strategy; HHs using at least one 'emergency' strategy</t>
  </si>
  <si>
    <t>Contacts (Name &amp; email address)</t>
  </si>
  <si>
    <t>Miguel Iglesias Lopez miguel.iglesias-lopez@impact-initiatives.org</t>
  </si>
  <si>
    <t>Sarah Studds sarah.studds@impact-initiatives.org</t>
  </si>
  <si>
    <t>Anastasiia Fitisova anastasiia.fitisova@reach-initiative.org</t>
  </si>
  <si>
    <t>Donors</t>
  </si>
  <si>
    <t>USAID's Bureau for Humanitarian Assistance (BHA), European Civil Protection and Humanitarian Aid Operations (ECHO), the UK Foreign, Commonwealth and Development Office (FCDO), and the United Nations High Commissioner for Refugees (UNHCR)</t>
  </si>
  <si>
    <t>Sheets</t>
  </si>
  <si>
    <t>Sheet 1 - READ_ME</t>
  </si>
  <si>
    <t>Project description</t>
  </si>
  <si>
    <t>Sheet 2 - Table of Contents</t>
  </si>
  <si>
    <t>Hyperlinked list of frequency tables</t>
  </si>
  <si>
    <t>Sheet 3 - Frequency tables</t>
  </si>
  <si>
    <t>Frequency tables disaggregated by macroregion</t>
  </si>
  <si>
    <t>Table of Content</t>
  </si>
  <si>
    <t>Macroregion</t>
  </si>
  <si>
    <t>num_samples</t>
  </si>
  <si>
    <t>Center</t>
  </si>
  <si>
    <t>East</t>
  </si>
  <si>
    <t>North</t>
  </si>
  <si>
    <t>South</t>
  </si>
  <si>
    <t>West</t>
  </si>
  <si>
    <t>19.6%</t>
  </si>
  <si>
    <t>24.2%</t>
  </si>
  <si>
    <t>4.8%</t>
  </si>
  <si>
    <t>4.9%</t>
  </si>
  <si>
    <t>46.5%</t>
  </si>
  <si>
    <t>A_1  Respondent Age overall</t>
  </si>
  <si>
    <t>strata</t>
  </si>
  <si>
    <t>mean</t>
  </si>
  <si>
    <t>median</t>
  </si>
  <si>
    <t>min</t>
  </si>
  <si>
    <t>max</t>
  </si>
  <si>
    <t>overall</t>
  </si>
  <si>
    <t>A_2 Respondent Sex overall</t>
  </si>
  <si>
    <t>Female</t>
  </si>
  <si>
    <t>Male</t>
  </si>
  <si>
    <t>82.7%</t>
  </si>
  <si>
    <t>17.3%</t>
  </si>
  <si>
    <t>81.3%</t>
  </si>
  <si>
    <t>18.7%</t>
  </si>
  <si>
    <t>81.0%</t>
  </si>
  <si>
    <t>19.0%</t>
  </si>
  <si>
    <t>73.6%</t>
  </si>
  <si>
    <t>26.4%</t>
  </si>
  <si>
    <t>84.9%</t>
  </si>
  <si>
    <t>15.1%</t>
  </si>
  <si>
    <t>81.2%</t>
  </si>
  <si>
    <t>18.8%</t>
  </si>
  <si>
    <t>A_3 Respondents Reportedly Head of the Household overall</t>
  </si>
  <si>
    <t>No</t>
  </si>
  <si>
    <t>Yes</t>
  </si>
  <si>
    <t>7.1%</t>
  </si>
  <si>
    <t>92.9%</t>
  </si>
  <si>
    <t>10.2%</t>
  </si>
  <si>
    <t>89.8%</t>
  </si>
  <si>
    <t>2.8%</t>
  </si>
  <si>
    <t>97.2%</t>
  </si>
  <si>
    <t>0.2%</t>
  </si>
  <si>
    <t>99.8%</t>
  </si>
  <si>
    <t>3.1%</t>
  </si>
  <si>
    <t>96.9%</t>
  </si>
  <si>
    <t>5.3%</t>
  </si>
  <si>
    <t>94.7%</t>
  </si>
  <si>
    <t>A_8 Number of Household Members overall</t>
  </si>
  <si>
    <t>A_17 Employment Situation of Household Members overall</t>
  </si>
  <si>
    <t>Doing housework, looking after children or other persons (unpaid)</t>
  </si>
  <si>
    <t>In paid work: Daily labour</t>
  </si>
  <si>
    <t>In paid work: Permanent job with annual/monthly/weekly wage</t>
  </si>
  <si>
    <t>In paid work: Temporary job with weekly/daily/monthly wage</t>
  </si>
  <si>
    <t>Permanently sick or disabled (can't work)</t>
  </si>
  <si>
    <t>Retired (but still working to receive additional income, or just prefer working)</t>
  </si>
  <si>
    <t>Retired (not working)</t>
  </si>
  <si>
    <t>Self-employed/owns business</t>
  </si>
  <si>
    <t>Student and in paid work</t>
  </si>
  <si>
    <t>Student, not working</t>
  </si>
  <si>
    <t>Unemployed and actively looking for a job in the last 30 days</t>
  </si>
  <si>
    <t>Unemployed, wanting a job but not actively looking for it</t>
  </si>
  <si>
    <t>Unofficially employed / informal work</t>
  </si>
  <si>
    <t>Don't know</t>
  </si>
  <si>
    <t>In military service</t>
  </si>
  <si>
    <t>Other (specify)</t>
  </si>
  <si>
    <t>8.2%</t>
  </si>
  <si>
    <t>0.1%</t>
  </si>
  <si>
    <t>13.9%</t>
  </si>
  <si>
    <t>2.2%</t>
  </si>
  <si>
    <t>6.4%</t>
  </si>
  <si>
    <t>0.7%</t>
  </si>
  <si>
    <t>39.6%</t>
  </si>
  <si>
    <t>0.5%</t>
  </si>
  <si>
    <t>0.9%</t>
  </si>
  <si>
    <t>9.5%</t>
  </si>
  <si>
    <t>7.5%</t>
  </si>
  <si>
    <t>7.0%</t>
  </si>
  <si>
    <t>3.5%</t>
  </si>
  <si>
    <t>0.0%</t>
  </si>
  <si>
    <t>11.2%</t>
  </si>
  <si>
    <t>1.8%</t>
  </si>
  <si>
    <t>15.2%</t>
  </si>
  <si>
    <t>4.2%</t>
  </si>
  <si>
    <t>7.9%</t>
  </si>
  <si>
    <t>31.9%</t>
  </si>
  <si>
    <t>1.4%</t>
  </si>
  <si>
    <t>11.4%</t>
  </si>
  <si>
    <t>5.5%</t>
  </si>
  <si>
    <t>4.3%</t>
  </si>
  <si>
    <t>3.9%</t>
  </si>
  <si>
    <t>12.7%</t>
  </si>
  <si>
    <t>0.3%</t>
  </si>
  <si>
    <t>10.7%</t>
  </si>
  <si>
    <t>2.4%</t>
  </si>
  <si>
    <t>11.1%</t>
  </si>
  <si>
    <t>0.6%</t>
  </si>
  <si>
    <t>31.2%</t>
  </si>
  <si>
    <t>0.4%</t>
  </si>
  <si>
    <t>10.8%</t>
  </si>
  <si>
    <t>7.3%</t>
  </si>
  <si>
    <t>3.6%</t>
  </si>
  <si>
    <t>7.8%</t>
  </si>
  <si>
    <t>7.6%</t>
  </si>
  <si>
    <t>2.3%</t>
  </si>
  <si>
    <t>30.6%</t>
  </si>
  <si>
    <t>12.6%</t>
  </si>
  <si>
    <t>14.1%</t>
  </si>
  <si>
    <t>18.6%</t>
  </si>
  <si>
    <t>5.4%</t>
  </si>
  <si>
    <t>40.8%</t>
  </si>
  <si>
    <t>9.8%</t>
  </si>
  <si>
    <t>10.9%</t>
  </si>
  <si>
    <t>9.0%</t>
  </si>
  <si>
    <t>33.4%</t>
  </si>
  <si>
    <t>0.8%</t>
  </si>
  <si>
    <t>6.6%</t>
  </si>
  <si>
    <t>A_9_1 Household Members with Money Spending Decision-Making Authority overall</t>
  </si>
  <si>
    <t>18.0%</t>
  </si>
  <si>
    <t>82.0%</t>
  </si>
  <si>
    <t>12.2%</t>
  </si>
  <si>
    <t>87.8%</t>
  </si>
  <si>
    <t>10.1%</t>
  </si>
  <si>
    <t>89.9%</t>
  </si>
  <si>
    <t>12.8%</t>
  </si>
  <si>
    <t>87.2%</t>
  </si>
  <si>
    <t>13.3%</t>
  </si>
  <si>
    <t>86.7%</t>
  </si>
  <si>
    <t>12.5%</t>
  </si>
  <si>
    <t>87.5%</t>
  </si>
  <si>
    <t>A_9_2 Household Members with Healthcare and Education of Children Decision-Making Authority overall</t>
  </si>
  <si>
    <t>19.4%</t>
  </si>
  <si>
    <t>80.6%</t>
  </si>
  <si>
    <t>11.5%</t>
  </si>
  <si>
    <t>88.5%</t>
  </si>
  <si>
    <t>89.3%</t>
  </si>
  <si>
    <t>15.6%</t>
  </si>
  <si>
    <t>84.4%</t>
  </si>
  <si>
    <t>14.0%</t>
  </si>
  <si>
    <t>86.0%</t>
  </si>
  <si>
    <t>13.0%</t>
  </si>
  <si>
    <t>87.0%</t>
  </si>
  <si>
    <t>A_9_3 Household Members with Migration Decision-Making Authority overall</t>
  </si>
  <si>
    <t>13.1%</t>
  </si>
  <si>
    <t>86.9%</t>
  </si>
  <si>
    <t>10.6%</t>
  </si>
  <si>
    <t>89.4%</t>
  </si>
  <si>
    <t>13.5%</t>
  </si>
  <si>
    <t>86.5%</t>
  </si>
  <si>
    <t>14.6%</t>
  </si>
  <si>
    <t>85.4%</t>
  </si>
  <si>
    <t>13.2%</t>
  </si>
  <si>
    <t>86.8%</t>
  </si>
  <si>
    <t>J_22 Women with infant child by type of child birth giving overall</t>
  </si>
  <si>
    <t>Doctor/nurse/midwife in government hospital/health center or post</t>
  </si>
  <si>
    <t>Traditional birth attendant</t>
  </si>
  <si>
    <t>Doctor/nurse/midwife in private hospital or clinic</t>
  </si>
  <si>
    <t>Prefer not to answer</t>
  </si>
  <si>
    <t>Doctor/nurse/midwife in NGO hospital or clinic</t>
  </si>
  <si>
    <t>Other (please specify)</t>
  </si>
  <si>
    <t>91.0%</t>
  </si>
  <si>
    <t>95.9%</t>
  </si>
  <si>
    <t>4.1%</t>
  </si>
  <si>
    <t>87.4%</t>
  </si>
  <si>
    <t>3.8%</t>
  </si>
  <si>
    <t>83.7%</t>
  </si>
  <si>
    <t>6.7%</t>
  </si>
  <si>
    <t>9.6%</t>
  </si>
  <si>
    <t>100.0%</t>
  </si>
  <si>
    <t>90.2%</t>
  </si>
  <si>
    <t>1.3%</t>
  </si>
  <si>
    <t>3.0%</t>
  </si>
  <si>
    <t>J_24 Women with infant child by type of child birth giving by rural or urban</t>
  </si>
  <si>
    <t>rural_urban</t>
  </si>
  <si>
    <t>Rural</t>
  </si>
  <si>
    <t>Urban</t>
  </si>
  <si>
    <t>95.6%</t>
  </si>
  <si>
    <t>4.4%</t>
  </si>
  <si>
    <t>83.1%</t>
  </si>
  <si>
    <t>92.4%</t>
  </si>
  <si>
    <t>78.3%</t>
  </si>
  <si>
    <t>8.1%</t>
  </si>
  <si>
    <t>5.9%</t>
  </si>
  <si>
    <t>92.7%</t>
  </si>
  <si>
    <t>2.0%</t>
  </si>
  <si>
    <t>J_25 Women with infant child by type of child birth giving by HH proximity to frontline or Russian border</t>
  </si>
  <si>
    <t>hh_raion_location_russian_border_frontline</t>
  </si>
  <si>
    <t>HHs in raions away the Russian border or frontline</t>
  </si>
  <si>
    <t>HHs living in raions along the Russian border or frontline</t>
  </si>
  <si>
    <t>95.3%</t>
  </si>
  <si>
    <t>4.7%</t>
  </si>
  <si>
    <t>88.8%</t>
  </si>
  <si>
    <t>1.6%</t>
  </si>
  <si>
    <t>2.6%</t>
  </si>
  <si>
    <t>A_19 Household Members with Difficulty Seeing, Even When Wearing Glasses overall</t>
  </si>
  <si>
    <t>A lot of difficulty</t>
  </si>
  <si>
    <t>Cannot do at all</t>
  </si>
  <si>
    <t>No difficulty</t>
  </si>
  <si>
    <t>Some difficulty</t>
  </si>
  <si>
    <t>Prefers not to answer</t>
  </si>
  <si>
    <t>8.5%</t>
  </si>
  <si>
    <t>49.6%</t>
  </si>
  <si>
    <t>41.9%</t>
  </si>
  <si>
    <t>78.8%</t>
  </si>
  <si>
    <t>17.5%</t>
  </si>
  <si>
    <t>64.1%</t>
  </si>
  <si>
    <t>28.3%</t>
  </si>
  <si>
    <t>56.2%</t>
  </si>
  <si>
    <t>5.8%</t>
  </si>
  <si>
    <t>66.2%</t>
  </si>
  <si>
    <t>27.9%</t>
  </si>
  <si>
    <t>64.7%</t>
  </si>
  <si>
    <t>28.4%</t>
  </si>
  <si>
    <t>A_20 Household Members with Difficulty Heating, Even When Using Hearing Aids overall</t>
  </si>
  <si>
    <t>83.8%</t>
  </si>
  <si>
    <t>1.5%</t>
  </si>
  <si>
    <t>90.6%</t>
  </si>
  <si>
    <t>88.7%</t>
  </si>
  <si>
    <t>8.0%</t>
  </si>
  <si>
    <t>83.2%</t>
  </si>
  <si>
    <t>11.8%</t>
  </si>
  <si>
    <t>1.7%</t>
  </si>
  <si>
    <t>88.0%</t>
  </si>
  <si>
    <t>9.2%</t>
  </si>
  <si>
    <t>A_21 Household Members with Difficulty Walking or Climbing Steps overall</t>
  </si>
  <si>
    <t>60.9%</t>
  </si>
  <si>
    <t>26.8%</t>
  </si>
  <si>
    <t>6.5%</t>
  </si>
  <si>
    <t>75.4%</t>
  </si>
  <si>
    <t>16.9%</t>
  </si>
  <si>
    <t>8.8%</t>
  </si>
  <si>
    <t>70.0%</t>
  </si>
  <si>
    <t>19.7%</t>
  </si>
  <si>
    <t>2.5%</t>
  </si>
  <si>
    <t>60.2%</t>
  </si>
  <si>
    <t>25.7%</t>
  </si>
  <si>
    <t>63.9%</t>
  </si>
  <si>
    <t>27.4%</t>
  </si>
  <si>
    <t>8.7%</t>
  </si>
  <si>
    <t>68.9%</t>
  </si>
  <si>
    <t>20.9%</t>
  </si>
  <si>
    <t>A_22 Household Members with Difficulty Remembering or Concentrating overall</t>
  </si>
  <si>
    <t>2.7%</t>
  </si>
  <si>
    <t>80.0%</t>
  </si>
  <si>
    <t>17.0%</t>
  </si>
  <si>
    <t>10.5%</t>
  </si>
  <si>
    <t>2.9%</t>
  </si>
  <si>
    <t>12.4%</t>
  </si>
  <si>
    <t>3.2%</t>
  </si>
  <si>
    <t>15.3%</t>
  </si>
  <si>
    <t>82.4%</t>
  </si>
  <si>
    <t>15.4%</t>
  </si>
  <si>
    <t>84.0%</t>
  </si>
  <si>
    <t>A_23 Household Members with Difficulty with Self-Care overall</t>
  </si>
  <si>
    <t>5.1%</t>
  </si>
  <si>
    <t>95.2%</t>
  </si>
  <si>
    <t>91.1%</t>
  </si>
  <si>
    <t>5.2%</t>
  </si>
  <si>
    <t>1.0%</t>
  </si>
  <si>
    <t>92.1%</t>
  </si>
  <si>
    <t>5.0%</t>
  </si>
  <si>
    <t>A_24 Household Members with Difficulty Communicating when using Usual Language overall</t>
  </si>
  <si>
    <t>96.3%</t>
  </si>
  <si>
    <t>96.0%</t>
  </si>
  <si>
    <t>94.0%</t>
  </si>
  <si>
    <t>94.8%</t>
  </si>
  <si>
    <t>WG-SS Household Members with Washington Group Severity Score 3 or 4 overall</t>
  </si>
  <si>
    <t>HH with a member with a disability</t>
  </si>
  <si>
    <t>HH without a member with a disability</t>
  </si>
  <si>
    <t>38.4%</t>
  </si>
  <si>
    <t>61.6%</t>
  </si>
  <si>
    <t>25.4%</t>
  </si>
  <si>
    <t>74.6%</t>
  </si>
  <si>
    <t>38.6%</t>
  </si>
  <si>
    <t>61.4%</t>
  </si>
  <si>
    <t>39.9%</t>
  </si>
  <si>
    <t>60.1%</t>
  </si>
  <si>
    <t>28.8%</t>
  </si>
  <si>
    <t>71.2%</t>
  </si>
  <si>
    <t>35.0%</t>
  </si>
  <si>
    <t>65.0%</t>
  </si>
  <si>
    <t>B_1 Households Reporting this is their Habitual Place of Residence overall</t>
  </si>
  <si>
    <t>B_1 Households Reporting this is their Habitual Place of Residence by HHs with a member with a disability</t>
  </si>
  <si>
    <t>disability_level_3_4</t>
  </si>
  <si>
    <t>unknown</t>
  </si>
  <si>
    <t>B_1 Households Reporting this is their Habitual Place of Residence by HoHH sex</t>
  </si>
  <si>
    <t>hohh_sex</t>
  </si>
  <si>
    <t>Female HoHH</t>
  </si>
  <si>
    <t>Male HoHH</t>
  </si>
  <si>
    <t>B_1 Households Reporting this is their Habitual Place of Residence by rural or urban</t>
  </si>
  <si>
    <t>B_1 Households Reporting this is their Habitual Place of Residence by HH proximity to frontline or Russian border</t>
  </si>
  <si>
    <t>B_4 Households Left their Place of Habitual Residence for 14+ days as a Result of the Escalation of the War since 24th Feb 2022 overall</t>
  </si>
  <si>
    <t>B_4 Households Left their Place of Habitual Residence for 14+ days as a Result of the Escalation of the War since 24th Feb 2022 by HHs with a member with a disability</t>
  </si>
  <si>
    <t>B_4 Households Left their Place of Habitual Residence for 14+ days as a Result of the Escalation of the War since 24th Feb 2022 by HoHH sex</t>
  </si>
  <si>
    <t>B_4 Households Left their Place of Habitual Residence for 14+ days as a Result of the Escalation of the War since 24th Feb 2022 by rural or urban</t>
  </si>
  <si>
    <t>B_4 Households Left their Place of Habitual Residence for 14+ days as a Result of the Escalation of the War since 24th Feb 2022 by HH proximity to frontline or Russian border</t>
  </si>
  <si>
    <t>B_5 Households Reporting they had to Leave their Habitual Place of Residence as a Result of theEscalation of the War on 24 Feb 2022 overall</t>
  </si>
  <si>
    <t>99.5%</t>
  </si>
  <si>
    <t>98.2%</t>
  </si>
  <si>
    <t>99.7%</t>
  </si>
  <si>
    <t>B_5 Households Reporting they had to Leave their Habitual Place of Residence as a Result of theEscalation of the War on 24 Feb 2022 by HHs with a member with a disability</t>
  </si>
  <si>
    <t>99.2%</t>
  </si>
  <si>
    <t>98.7%</t>
  </si>
  <si>
    <t>99.6%</t>
  </si>
  <si>
    <t>97.9%</t>
  </si>
  <si>
    <t>2.1%</t>
  </si>
  <si>
    <t>82.8%</t>
  </si>
  <si>
    <t>17.2%</t>
  </si>
  <si>
    <t>97.1%</t>
  </si>
  <si>
    <t>B_5 Households Reporting they had to Leave their Habitual Place of Residence as a Result of theEscalation of the War on 24 Feb 2022 by HoHH sex</t>
  </si>
  <si>
    <t>99.3%</t>
  </si>
  <si>
    <t>98.5%</t>
  </si>
  <si>
    <t>96.8%</t>
  </si>
  <si>
    <t>99.9%</t>
  </si>
  <si>
    <t>B_5 Households Reporting they had to Leave their Habitual Place of Residence as a Result of theEscalation of the War on 24 Feb 2022 by rural or urban</t>
  </si>
  <si>
    <t>97.6%</t>
  </si>
  <si>
    <t>98.4%</t>
  </si>
  <si>
    <t>1.9%</t>
  </si>
  <si>
    <t>98.1%</t>
  </si>
  <si>
    <t>99.4%</t>
  </si>
  <si>
    <t>B_5 Households Reporting they had to Leave their Habitual Place of Residence as a Result of theEscalation of the War on 24 Feb 2022 by HH proximity to frontline or Russian border</t>
  </si>
  <si>
    <t>1.1%</t>
  </si>
  <si>
    <t>98.9%</t>
  </si>
  <si>
    <t>B_3 Households Reporting to have been Separated from a Member of their Regular Household as a Result of the Escalation of the War overall</t>
  </si>
  <si>
    <t>Dont know</t>
  </si>
  <si>
    <t>53.2%</t>
  </si>
  <si>
    <t>46.8%</t>
  </si>
  <si>
    <t>61.9%</t>
  </si>
  <si>
    <t>37.8%</t>
  </si>
  <si>
    <t>45.8%</t>
  </si>
  <si>
    <t>54.2%</t>
  </si>
  <si>
    <t>43.4%</t>
  </si>
  <si>
    <t>65.2%</t>
  </si>
  <si>
    <t>34.7%</t>
  </si>
  <si>
    <t>52.5%</t>
  </si>
  <si>
    <t>47.4%</t>
  </si>
  <si>
    <t>B_3 Households Reporting to have been Separated from a Member of their Regular Household as a Result of the Escalation of the War by HHs with a member with a disability</t>
  </si>
  <si>
    <t>39.1%</t>
  </si>
  <si>
    <t>47.7%</t>
  </si>
  <si>
    <t>52.3%</t>
  </si>
  <si>
    <t>64.0%</t>
  </si>
  <si>
    <t>34.9%</t>
  </si>
  <si>
    <t>61.7%</t>
  </si>
  <si>
    <t>38.2%</t>
  </si>
  <si>
    <t>53.7%</t>
  </si>
  <si>
    <t>46.3%</t>
  </si>
  <si>
    <t>40.9%</t>
  </si>
  <si>
    <t>59.1%</t>
  </si>
  <si>
    <t>60.3%</t>
  </si>
  <si>
    <t>38.7%</t>
  </si>
  <si>
    <t>55.0%</t>
  </si>
  <si>
    <t>45.0%</t>
  </si>
  <si>
    <t>34.1%</t>
  </si>
  <si>
    <t>65.9%</t>
  </si>
  <si>
    <t>65.6%</t>
  </si>
  <si>
    <t>64.9%</t>
  </si>
  <si>
    <t>35.1%</t>
  </si>
  <si>
    <t>67.8%</t>
  </si>
  <si>
    <t>32.2%</t>
  </si>
  <si>
    <t>57.8%</t>
  </si>
  <si>
    <t>49.7%</t>
  </si>
  <si>
    <t>50.3%</t>
  </si>
  <si>
    <t>49.5%</t>
  </si>
  <si>
    <t>50.5%</t>
  </si>
  <si>
    <t>B_3 Households Reporting to have been Separated from a Member of their Regular Household as a Result of the Escalation of the War by HoHH sex</t>
  </si>
  <si>
    <t>55.7%</t>
  </si>
  <si>
    <t>44.3%</t>
  </si>
  <si>
    <t>44.7%</t>
  </si>
  <si>
    <t>55.3%</t>
  </si>
  <si>
    <t>37.7%</t>
  </si>
  <si>
    <t>62.3%</t>
  </si>
  <si>
    <t>59.4%</t>
  </si>
  <si>
    <t>40.3%</t>
  </si>
  <si>
    <t>75.0%</t>
  </si>
  <si>
    <t>25.0%</t>
  </si>
  <si>
    <t>45.3%</t>
  </si>
  <si>
    <t>54.7%</t>
  </si>
  <si>
    <t>50.4%</t>
  </si>
  <si>
    <t>32.0%</t>
  </si>
  <si>
    <t>68.0%</t>
  </si>
  <si>
    <t>41.7%</t>
  </si>
  <si>
    <t>47.5%</t>
  </si>
  <si>
    <t>62.8%</t>
  </si>
  <si>
    <t>37.2%</t>
  </si>
  <si>
    <t>75.6%</t>
  </si>
  <si>
    <t>23.8%</t>
  </si>
  <si>
    <t>57.4%</t>
  </si>
  <si>
    <t>42.6%</t>
  </si>
  <si>
    <t>B_3 Households Reporting to have been Separated from a Member of their Regular Household as a Result of the Escalation of the War by rural or urban</t>
  </si>
  <si>
    <t>44.6%</t>
  </si>
  <si>
    <t>55.4%</t>
  </si>
  <si>
    <t>55.5%</t>
  </si>
  <si>
    <t>44.5%</t>
  </si>
  <si>
    <t>62.6%</t>
  </si>
  <si>
    <t>36.7%</t>
  </si>
  <si>
    <t>61.8%</t>
  </si>
  <si>
    <t>37.9%</t>
  </si>
  <si>
    <t>38.1%</t>
  </si>
  <si>
    <t>49.3%</t>
  </si>
  <si>
    <t>50.7%</t>
  </si>
  <si>
    <t>49.9%</t>
  </si>
  <si>
    <t>50.1%</t>
  </si>
  <si>
    <t>58.4%</t>
  </si>
  <si>
    <t>41.2%</t>
  </si>
  <si>
    <t>71.1%</t>
  </si>
  <si>
    <t>28.9%</t>
  </si>
  <si>
    <t>59.9%</t>
  </si>
  <si>
    <t>55.1%</t>
  </si>
  <si>
    <t>44.8%</t>
  </si>
  <si>
    <t>B_3 Households Reporting to have been Separated from a Member of their Regular Household as a Result of the Escalation of the War by HH proximity to frontline or Russian border</t>
  </si>
  <si>
    <t>70.2%</t>
  </si>
  <si>
    <t>29.8%</t>
  </si>
  <si>
    <t>45.1%</t>
  </si>
  <si>
    <t>78.0%</t>
  </si>
  <si>
    <t>3.4%</t>
  </si>
  <si>
    <t>66.1%</t>
  </si>
  <si>
    <t>33.8%</t>
  </si>
  <si>
    <t>52.1%</t>
  </si>
  <si>
    <t>47.9%</t>
  </si>
  <si>
    <t>44.2%</t>
  </si>
  <si>
    <t>B_9 Length of time Households Report to have been Displaced (Currently or in the Past) Since the Escalation of the War on 24 Feb 2022 by HHs with a member with a disability</t>
  </si>
  <si>
    <t>Less than one month</t>
  </si>
  <si>
    <t>Up to a year</t>
  </si>
  <si>
    <t>Up to a year and a half</t>
  </si>
  <si>
    <t>Up to a year and three months</t>
  </si>
  <si>
    <t>Up to nine months</t>
  </si>
  <si>
    <t>Up to six months</t>
  </si>
  <si>
    <t>Up to three months</t>
  </si>
  <si>
    <t>6.0%</t>
  </si>
  <si>
    <t>39.5%</t>
  </si>
  <si>
    <t>40.2%</t>
  </si>
  <si>
    <t>32.7%</t>
  </si>
  <si>
    <t>29.2%</t>
  </si>
  <si>
    <t>27.1%</t>
  </si>
  <si>
    <t>34.8%</t>
  </si>
  <si>
    <t>9.9%</t>
  </si>
  <si>
    <t>7.2%</t>
  </si>
  <si>
    <t>25.8%</t>
  </si>
  <si>
    <t>43.5%</t>
  </si>
  <si>
    <t>11.3%</t>
  </si>
  <si>
    <t>36.2%</t>
  </si>
  <si>
    <t>36.8%</t>
  </si>
  <si>
    <t>6.2%</t>
  </si>
  <si>
    <t>3.3%</t>
  </si>
  <si>
    <t>1.2%</t>
  </si>
  <si>
    <t>15.5%</t>
  </si>
  <si>
    <t>16.1%</t>
  </si>
  <si>
    <t>18.9%</t>
  </si>
  <si>
    <t>18.1%</t>
  </si>
  <si>
    <t>17.4%</t>
  </si>
  <si>
    <t>17.6%</t>
  </si>
  <si>
    <t>15.0%</t>
  </si>
  <si>
    <t>20.8%</t>
  </si>
  <si>
    <t>27.5%</t>
  </si>
  <si>
    <t>21.8%</t>
  </si>
  <si>
    <t>19.9%</t>
  </si>
  <si>
    <t>30.5%</t>
  </si>
  <si>
    <t>11.6%</t>
  </si>
  <si>
    <t>9.1%</t>
  </si>
  <si>
    <t>17.9%</t>
  </si>
  <si>
    <t>25.3%</t>
  </si>
  <si>
    <t>17.7%</t>
  </si>
  <si>
    <t>18.2%</t>
  </si>
  <si>
    <t>50.2%</t>
  </si>
  <si>
    <t>13.7%</t>
  </si>
  <si>
    <t>33.6%</t>
  </si>
  <si>
    <t>38.5%</t>
  </si>
  <si>
    <t>32.3%</t>
  </si>
  <si>
    <t>38.0%</t>
  </si>
  <si>
    <t>3.7%</t>
  </si>
  <si>
    <t>7.4%</t>
  </si>
  <si>
    <t>14.5%</t>
  </si>
  <si>
    <t>43.1%</t>
  </si>
  <si>
    <t>B_9 Length of time Households Report to have been Displaced (Currently or in the Past) Since the Escalation of the War on 24 Feb 2022 by HoHH sex</t>
  </si>
  <si>
    <t>39.4%</t>
  </si>
  <si>
    <t>37.4%</t>
  </si>
  <si>
    <t>45.6%</t>
  </si>
  <si>
    <t>37.1%</t>
  </si>
  <si>
    <t>64.8%</t>
  </si>
  <si>
    <t>27.3%</t>
  </si>
  <si>
    <t>27.0%</t>
  </si>
  <si>
    <t>23.7%</t>
  </si>
  <si>
    <t>20.7%</t>
  </si>
  <si>
    <t>28.5%</t>
  </si>
  <si>
    <t>61.2%</t>
  </si>
  <si>
    <t>41.0%</t>
  </si>
  <si>
    <t>35.6%</t>
  </si>
  <si>
    <t>6.9%</t>
  </si>
  <si>
    <t>42.7%</t>
  </si>
  <si>
    <t>41.3%</t>
  </si>
  <si>
    <t>18.4%</t>
  </si>
  <si>
    <t>15.8%</t>
  </si>
  <si>
    <t>14.3%</t>
  </si>
  <si>
    <t>11.0%</t>
  </si>
  <si>
    <t>14.8%</t>
  </si>
  <si>
    <t>14.7%</t>
  </si>
  <si>
    <t>24.4%</t>
  </si>
  <si>
    <t>16.7%</t>
  </si>
  <si>
    <t>22.5%</t>
  </si>
  <si>
    <t>28.1%</t>
  </si>
  <si>
    <t>14.4%</t>
  </si>
  <si>
    <t>22.6%</t>
  </si>
  <si>
    <t>20.1%</t>
  </si>
  <si>
    <t>51.7%</t>
  </si>
  <si>
    <t>14.9%</t>
  </si>
  <si>
    <t>33.1%</t>
  </si>
  <si>
    <t>35.8%</t>
  </si>
  <si>
    <t>6.1%</t>
  </si>
  <si>
    <t>4.5%</t>
  </si>
  <si>
    <t>B_9 Length of time Households Report to have been Displaced (Currently or in the Past) Since the Escalation of the War on 24 Feb 2022 by rural or urban</t>
  </si>
  <si>
    <t>28.7%</t>
  </si>
  <si>
    <t>42.9%</t>
  </si>
  <si>
    <t>11.7%</t>
  </si>
  <si>
    <t>35.5%</t>
  </si>
  <si>
    <t>46.1%</t>
  </si>
  <si>
    <t>24.8%</t>
  </si>
  <si>
    <t>42.5%</t>
  </si>
  <si>
    <t>32.8%</t>
  </si>
  <si>
    <t>31.3%</t>
  </si>
  <si>
    <t>10.3%</t>
  </si>
  <si>
    <t>12.0%</t>
  </si>
  <si>
    <t>36.6%</t>
  </si>
  <si>
    <t>44.0%</t>
  </si>
  <si>
    <t>22.8%</t>
  </si>
  <si>
    <t>19.3%</t>
  </si>
  <si>
    <t>8.6%</t>
  </si>
  <si>
    <t>16.2%</t>
  </si>
  <si>
    <t>17.1%</t>
  </si>
  <si>
    <t>20.3%</t>
  </si>
  <si>
    <t>27.8%</t>
  </si>
  <si>
    <t>21.9%</t>
  </si>
  <si>
    <t>19.1%</t>
  </si>
  <si>
    <t>26.7%</t>
  </si>
  <si>
    <t>22.9%</t>
  </si>
  <si>
    <t>5.7%</t>
  </si>
  <si>
    <t>31.6%</t>
  </si>
  <si>
    <t>32.5%</t>
  </si>
  <si>
    <t>32.9%</t>
  </si>
  <si>
    <t>40.0%</t>
  </si>
  <si>
    <t>B_9 Length of time Households Report to have been Displaced (Currently or in the Past) Since the Escalation of the War on 24 Feb 2022 by HH proximity to frontline or Russian border</t>
  </si>
  <si>
    <t>37.0%</t>
  </si>
  <si>
    <t>25.2%</t>
  </si>
  <si>
    <t>13.8%</t>
  </si>
  <si>
    <t>35.4%</t>
  </si>
  <si>
    <t>20.5%</t>
  </si>
  <si>
    <t>24.3%</t>
  </si>
  <si>
    <t>16.4%</t>
  </si>
  <si>
    <t>8.4%</t>
  </si>
  <si>
    <t>51.5%</t>
  </si>
  <si>
    <t>39.7%</t>
  </si>
  <si>
    <t>28.2%</t>
  </si>
  <si>
    <t>7.7%</t>
  </si>
  <si>
    <t>B_9 Length of time Households Report to have been Displaced (Currently or in the Past) Since the Escalation of the War on 24 Feb 2022 overall</t>
  </si>
  <si>
    <t>26.0%</t>
  </si>
  <si>
    <t>16.8%</t>
  </si>
  <si>
    <t>18.3%</t>
  </si>
  <si>
    <t>19.8%</t>
  </si>
  <si>
    <t>23.2%</t>
  </si>
  <si>
    <t>27.2%</t>
  </si>
  <si>
    <t>32.6%</t>
  </si>
  <si>
    <t>B_11 Households Reported Accommodation Intentions Regarding Accomodation for the Medium to Long Term (from 3 to 6 Months) overall</t>
  </si>
  <si>
    <t>Move abroad</t>
  </si>
  <si>
    <t>Move to a different collective site</t>
  </si>
  <si>
    <t>Move to be hosted by family/friends</t>
  </si>
  <si>
    <t>Move to different rented or owned housing</t>
  </si>
  <si>
    <t>Remain in current accomodation or collective site</t>
  </si>
  <si>
    <t>92.2%</t>
  </si>
  <si>
    <t>4.0%</t>
  </si>
  <si>
    <t>81.4%</t>
  </si>
  <si>
    <t>63.0%</t>
  </si>
  <si>
    <t>6.3%</t>
  </si>
  <si>
    <t>B_11 Households Reported Accommodation Intentions Regarding Accomodation for the Medium to Long Term (from 3 to 6 Months) by HHs with a member with a disability</t>
  </si>
  <si>
    <t>86.2%</t>
  </si>
  <si>
    <t>94.9%</t>
  </si>
  <si>
    <t>91.2%</t>
  </si>
  <si>
    <t>87.6%</t>
  </si>
  <si>
    <t>85.6%</t>
  </si>
  <si>
    <t>8.9%</t>
  </si>
  <si>
    <t>78.6%</t>
  </si>
  <si>
    <t>79.5%</t>
  </si>
  <si>
    <t>33.7%</t>
  </si>
  <si>
    <t>86.3%</t>
  </si>
  <si>
    <t>90.0%</t>
  </si>
  <si>
    <t>6.8%</t>
  </si>
  <si>
    <t>77.7%</t>
  </si>
  <si>
    <t>B_11 Households Reported Accommodation Intentions Regarding Accomodation for the Medium to Long Term (from 3 to 6 Months) by HoHH sex</t>
  </si>
  <si>
    <t>77.8%</t>
  </si>
  <si>
    <t>94.4%</t>
  </si>
  <si>
    <t>85.5%</t>
  </si>
  <si>
    <t>87.9%</t>
  </si>
  <si>
    <t>89.5%</t>
  </si>
  <si>
    <t>4.6%</t>
  </si>
  <si>
    <t>89.2%</t>
  </si>
  <si>
    <t>86.1%</t>
  </si>
  <si>
    <t>76.2%</t>
  </si>
  <si>
    <t>35.2%</t>
  </si>
  <si>
    <t>63.7%</t>
  </si>
  <si>
    <t>59.6%</t>
  </si>
  <si>
    <t>84.1%</t>
  </si>
  <si>
    <t>B_11 Households Reported Accommodation Intentions Regarding Accomodation for the Medium to Long Term (from 3 to 6 Months) by rural or urban</t>
  </si>
  <si>
    <t>92.5%</t>
  </si>
  <si>
    <t>92.3%</t>
  </si>
  <si>
    <t>31.8%</t>
  </si>
  <si>
    <t>39.3%</t>
  </si>
  <si>
    <t>60.0%</t>
  </si>
  <si>
    <t>9.3%</t>
  </si>
  <si>
    <t>84.8%</t>
  </si>
  <si>
    <t>B_11 Households Reported Accommodation Intentions Regarding Accomodation for the Medium to Long Term (from 3 to 6 Months) by HH proximity to frontline or Russian border</t>
  </si>
  <si>
    <t>90.5%</t>
  </si>
  <si>
    <t>93.7%</t>
  </si>
  <si>
    <t>80.1%</t>
  </si>
  <si>
    <t>37.6%</t>
  </si>
  <si>
    <t>93.8%</t>
  </si>
  <si>
    <t>B_12 Households Reported Accommodation Intentions Regarding Location for the Medium to Long Term (from 3 to 6 Months) overall</t>
  </si>
  <si>
    <t>Abroad</t>
  </si>
  <si>
    <t>Area of Origin</t>
  </si>
  <si>
    <t>Current location</t>
  </si>
  <si>
    <t>Elsewhere in current oblast</t>
  </si>
  <si>
    <t>In another oblast,</t>
  </si>
  <si>
    <t>36.4%</t>
  </si>
  <si>
    <t>23.0%</t>
  </si>
  <si>
    <t>30.1%</t>
  </si>
  <si>
    <t>22.7%</t>
  </si>
  <si>
    <t>29.5%</t>
  </si>
  <si>
    <t>26.6%</t>
  </si>
  <si>
    <t>9.7%</t>
  </si>
  <si>
    <t>25.6%</t>
  </si>
  <si>
    <t>25.1%</t>
  </si>
  <si>
    <t>10.0%</t>
  </si>
  <si>
    <t>B_12 Households Reported Accommodation Intentions Regarding Location for the Medium to Long Term (from 3 to 6 Months) by HHs with a member with a disability</t>
  </si>
  <si>
    <t>22.0%</t>
  </si>
  <si>
    <t>37.3%</t>
  </si>
  <si>
    <t>31.5%</t>
  </si>
  <si>
    <t>52.9%</t>
  </si>
  <si>
    <t>21.7%</t>
  </si>
  <si>
    <t>39.0%</t>
  </si>
  <si>
    <t>24.9%</t>
  </si>
  <si>
    <t>42.8%</t>
  </si>
  <si>
    <t>5.6%</t>
  </si>
  <si>
    <t>39.2%</t>
  </si>
  <si>
    <t>48.4%</t>
  </si>
  <si>
    <t>51.6%</t>
  </si>
  <si>
    <t>36.9%</t>
  </si>
  <si>
    <t>22.3%</t>
  </si>
  <si>
    <t>B_12 Households Reported Accommodation Intentions Regarding Location for the Medium to Long Term (from 3 to 6 Months) by HoHH sex</t>
  </si>
  <si>
    <t>41.5%</t>
  </si>
  <si>
    <t>30.4%</t>
  </si>
  <si>
    <t>24.5%</t>
  </si>
  <si>
    <t>20.0%</t>
  </si>
  <si>
    <t>52.0%</t>
  </si>
  <si>
    <t>30.7%</t>
  </si>
  <si>
    <t>55.9%</t>
  </si>
  <si>
    <t>44.1%</t>
  </si>
  <si>
    <t>41.1%</t>
  </si>
  <si>
    <t>58.9%</t>
  </si>
  <si>
    <t>33.5%</t>
  </si>
  <si>
    <t>18.5%</t>
  </si>
  <si>
    <t>19.2%</t>
  </si>
  <si>
    <t>16.0%</t>
  </si>
  <si>
    <t>29.9%</t>
  </si>
  <si>
    <t>25.9%</t>
  </si>
  <si>
    <t>28.6%</t>
  </si>
  <si>
    <t>26.5%</t>
  </si>
  <si>
    <t>15.9%</t>
  </si>
  <si>
    <t>26.1%</t>
  </si>
  <si>
    <t>B_12 Households Reported Accommodation Intentions Regarding Location for the Medium to Long Term (from 3 to 6 Months) by rural or urban</t>
  </si>
  <si>
    <t>62.1%</t>
  </si>
  <si>
    <t>24.1%</t>
  </si>
  <si>
    <t>48.9%</t>
  </si>
  <si>
    <t>9.4%</t>
  </si>
  <si>
    <t>42.3%</t>
  </si>
  <si>
    <t>20.6%</t>
  </si>
  <si>
    <t>54.5%</t>
  </si>
  <si>
    <t>21.2%</t>
  </si>
  <si>
    <t>31.1%</t>
  </si>
  <si>
    <t>33.2%</t>
  </si>
  <si>
    <t>12.3%</t>
  </si>
  <si>
    <t>B_12 Households Reported Accommodation Intentions Regarding Location for the Medium to Long Term (from 3 to 6 Months) by HH proximity to frontline or Russian border</t>
  </si>
  <si>
    <t>23.1%</t>
  </si>
  <si>
    <t>69.9%</t>
  </si>
  <si>
    <t>67.9%</t>
  </si>
  <si>
    <t>31.0%</t>
  </si>
  <si>
    <t>22.1%</t>
  </si>
  <si>
    <t>21.6%</t>
  </si>
  <si>
    <t>C_1 School Aged Children Reportedly Enrolled in Formal School during the 2022-2023 school year overall</t>
  </si>
  <si>
    <t>82.6%</t>
  </si>
  <si>
    <t>92.0%</t>
  </si>
  <si>
    <t>83.6%</t>
  </si>
  <si>
    <t>88.2%</t>
  </si>
  <si>
    <t>C_1 School Aged Children Reportedly Enrolled in Formal School during the 2022-2023 school year by child with a disability</t>
  </si>
  <si>
    <t>disability_children_age_sex</t>
  </si>
  <si>
    <t>Disabled Boys 12 to 17yo</t>
  </si>
  <si>
    <t>Disabled Boys 6 to 11yo</t>
  </si>
  <si>
    <t>68.1%</t>
  </si>
  <si>
    <t>Disabled Girls 12 to 17yo</t>
  </si>
  <si>
    <t>Disabled Girls 6 to 11yo</t>
  </si>
  <si>
    <t>83.0%</t>
  </si>
  <si>
    <t>85.1%</t>
  </si>
  <si>
    <t>60.4%</t>
  </si>
  <si>
    <t>Disabled Girls 5yo</t>
  </si>
  <si>
    <t>77.2%</t>
  </si>
  <si>
    <t>84.5%</t>
  </si>
  <si>
    <t>65.3%</t>
  </si>
  <si>
    <t>19.5%</t>
  </si>
  <si>
    <t>80.5%</t>
  </si>
  <si>
    <t>36.5%</t>
  </si>
  <si>
    <t>63.5%</t>
  </si>
  <si>
    <t>C_1 School Aged Children Reportedly Enrolled in Formal School during the 2022-2023 school year by rural or urban</t>
  </si>
  <si>
    <t>20.4%</t>
  </si>
  <si>
    <t>79.6%</t>
  </si>
  <si>
    <t>16.5%</t>
  </si>
  <si>
    <t>83.5%</t>
  </si>
  <si>
    <t>68.4%</t>
  </si>
  <si>
    <t>8.3%</t>
  </si>
  <si>
    <t>91.7%</t>
  </si>
  <si>
    <t>82.3%</t>
  </si>
  <si>
    <t>87.3%</t>
  </si>
  <si>
    <t>72.8%</t>
  </si>
  <si>
    <t>88.6%</t>
  </si>
  <si>
    <t>11.9%</t>
  </si>
  <si>
    <t>88.1%</t>
  </si>
  <si>
    <t>C_1 School Aged Children Reportedly Enrolled in Formal School during the 2022-2023 school year by HoHH sex</t>
  </si>
  <si>
    <t>24.7%</t>
  </si>
  <si>
    <t>75.3%</t>
  </si>
  <si>
    <t>57.1%</t>
  </si>
  <si>
    <t>88.3%</t>
  </si>
  <si>
    <t>14.2%</t>
  </si>
  <si>
    <t>85.8%</t>
  </si>
  <si>
    <t>94.3%</t>
  </si>
  <si>
    <t>79.1%</t>
  </si>
  <si>
    <t>23.5%</t>
  </si>
  <si>
    <t>76.5%</t>
  </si>
  <si>
    <t>20.2%</t>
  </si>
  <si>
    <t>79.8%</t>
  </si>
  <si>
    <t>82.5%</t>
  </si>
  <si>
    <t>89.7%</t>
  </si>
  <si>
    <t>81.8%</t>
  </si>
  <si>
    <t>79.4%</t>
  </si>
  <si>
    <t>C_1 School Aged Children Reportedly Enrolled in Formal School during the 2022-2023 school year by HH with a member employed</t>
  </si>
  <si>
    <t>employed_or_not</t>
  </si>
  <si>
    <t>All employed</t>
  </si>
  <si>
    <t>All unemployed</t>
  </si>
  <si>
    <t>85.7%</t>
  </si>
  <si>
    <t>At least 1 HH member employed</t>
  </si>
  <si>
    <t>97.4%</t>
  </si>
  <si>
    <t>78.2%</t>
  </si>
  <si>
    <t>45.5%</t>
  </si>
  <si>
    <t>89.1%</t>
  </si>
  <si>
    <t>87.7%</t>
  </si>
  <si>
    <t>C_1 School Aged Children Reportedly Enrolled in Formal School during the 2022-2023 school year by HH proximity to frontline or Russian border</t>
  </si>
  <si>
    <t>84.7%</t>
  </si>
  <si>
    <t>83.3%</t>
  </si>
  <si>
    <t>89.0%</t>
  </si>
  <si>
    <t>C_2 School Aged Children Reportedly Enrolled in Learning Modalities during the 2022-2023 school year overall</t>
  </si>
  <si>
    <t>Blended (Remote and In-person)</t>
  </si>
  <si>
    <t>In person</t>
  </si>
  <si>
    <t>Remotely</t>
  </si>
  <si>
    <t>95.0%</t>
  </si>
  <si>
    <t>57.2%</t>
  </si>
  <si>
    <t>88.4%</t>
  </si>
  <si>
    <t>66.8%</t>
  </si>
  <si>
    <t>68.2%</t>
  </si>
  <si>
    <t>C_2 School Aged Children Reportedly Enrolled in Learning Modalities during the 2022-2023 school year by child with a disability</t>
  </si>
  <si>
    <t>70.3%</t>
  </si>
  <si>
    <t>29.7%</t>
  </si>
  <si>
    <t>21.5%</t>
  </si>
  <si>
    <t>68.5%</t>
  </si>
  <si>
    <t>52.8%</t>
  </si>
  <si>
    <t>40.1%</t>
  </si>
  <si>
    <t>58.2%</t>
  </si>
  <si>
    <t>66.4%</t>
  </si>
  <si>
    <t>58.3%</t>
  </si>
  <si>
    <t>67.3%</t>
  </si>
  <si>
    <t>41.6%</t>
  </si>
  <si>
    <t>52.6%</t>
  </si>
  <si>
    <t>68.6%</t>
  </si>
  <si>
    <t>C_2 School Aged Children Reportedly Enrolled in Learning Modalities during the 2022-2023 school year by rural or urban</t>
  </si>
  <si>
    <t>66.0%</t>
  </si>
  <si>
    <t>58.5%</t>
  </si>
  <si>
    <t>96.1%</t>
  </si>
  <si>
    <t>51.9%</t>
  </si>
  <si>
    <t>22.2%</t>
  </si>
  <si>
    <t>80.7%</t>
  </si>
  <si>
    <t>16.3%</t>
  </si>
  <si>
    <t>72.3%</t>
  </si>
  <si>
    <t>13.4%</t>
  </si>
  <si>
    <t>53.9%</t>
  </si>
  <si>
    <t>73.0%</t>
  </si>
  <si>
    <t>C_2 School Aged Children Reportedly Enrolled in Learning Modalities during the 2022-2023 school year by HoHH sex</t>
  </si>
  <si>
    <t>12.9%</t>
  </si>
  <si>
    <t>66.5%</t>
  </si>
  <si>
    <t>30.0%</t>
  </si>
  <si>
    <t>34.4%</t>
  </si>
  <si>
    <t>63.6%</t>
  </si>
  <si>
    <t>90.1%</t>
  </si>
  <si>
    <t>17.8%</t>
  </si>
  <si>
    <t>23.9%</t>
  </si>
  <si>
    <t>72.5%</t>
  </si>
  <si>
    <t>68.8%</t>
  </si>
  <si>
    <t>70.4%</t>
  </si>
  <si>
    <t>C_2 School Aged Children Reportedly Enrolled in Learning Modalities during the 2022-2023 school year by HH with member employed</t>
  </si>
  <si>
    <t>24.0%</t>
  </si>
  <si>
    <t>64.6%</t>
  </si>
  <si>
    <t>91.3%</t>
  </si>
  <si>
    <t>90.3%</t>
  </si>
  <si>
    <t>16.6%</t>
  </si>
  <si>
    <t>69.4%</t>
  </si>
  <si>
    <t>66.7%</t>
  </si>
  <si>
    <t>C_2 School Aged Children Reportedly Enrolled in Learning Modalities during the 2022-2023 school year by HH proximity to frontline or Russian border</t>
  </si>
  <si>
    <t>96.2%</t>
  </si>
  <si>
    <t>73.5%</t>
  </si>
  <si>
    <t>62.7%</t>
  </si>
  <si>
    <t>C_3 School Aged Children Reportedly Attending Schools In-Person during the 2022-2023 school year overall</t>
  </si>
  <si>
    <t>97.0%</t>
  </si>
  <si>
    <t>49.2%</t>
  </si>
  <si>
    <t>50.8%</t>
  </si>
  <si>
    <t>96.6%</t>
  </si>
  <si>
    <t>95.4%</t>
  </si>
  <si>
    <t>C_3 School Aged Children Reportedly Enrolled in Learning Modalities during the 2022-2023 school year by child sex and age</t>
  </si>
  <si>
    <t>child_age_sex</t>
  </si>
  <si>
    <t>Boys 12-17 y.o.</t>
  </si>
  <si>
    <t>Boys 5-11 y.o.</t>
  </si>
  <si>
    <t>Girls 12-17 y.o.</t>
  </si>
  <si>
    <t>Girls 5-11 y.o.</t>
  </si>
  <si>
    <t>Other</t>
  </si>
  <si>
    <t>94.1%</t>
  </si>
  <si>
    <t>95.1%</t>
  </si>
  <si>
    <t>91.6%</t>
  </si>
  <si>
    <t>97.7%</t>
  </si>
  <si>
    <t>C_3 School Aged Children Reportedly Attending Schools In-Person during the 2022-2023 school year by child with a disability</t>
  </si>
  <si>
    <t>C_3 School Aged Children Reportedly Attending Schools In-Person during the 2022-2023 school year by rural or urban</t>
  </si>
  <si>
    <t>93.6%</t>
  </si>
  <si>
    <t>C_3 School Aged Children Reportedly Attending Schools In-Person during the 2022-2023 school year by HoHH sex</t>
  </si>
  <si>
    <t>67.6%</t>
  </si>
  <si>
    <t>32.4%</t>
  </si>
  <si>
    <t>94.5%</t>
  </si>
  <si>
    <t>C_3 School Aged Children Reportedly Attending Schools In-Person during the 2022-2023 school year by HH with member employed</t>
  </si>
  <si>
    <t>95.7%</t>
  </si>
  <si>
    <t>93.9%</t>
  </si>
  <si>
    <t>90.4%</t>
  </si>
  <si>
    <t>94.2%</t>
  </si>
  <si>
    <t>C_3 School Aged Children Reportedly Attending Schools In-Person during the 2022-2023 school year by HH proximity to frontline or Russian border</t>
  </si>
  <si>
    <t>64.4%</t>
  </si>
  <si>
    <t>96.5%</t>
  </si>
  <si>
    <t>C_4 School Aged Children Reportedly Attending Schools Remotely during the 2022-2023 school year overall</t>
  </si>
  <si>
    <t>92.6%</t>
  </si>
  <si>
    <t>85.2%</t>
  </si>
  <si>
    <t>91.5%</t>
  </si>
  <si>
    <t>C_4 School Aged Children Reportedly Attending Schools Remotely during the 2022-2023 school year by child with a disability</t>
  </si>
  <si>
    <t>47.2%</t>
  </si>
  <si>
    <t>C_4 School Aged Children Reportedly Attending Schools Remotely during the 2022-2023 school year by rural or urban</t>
  </si>
  <si>
    <t>24.6%</t>
  </si>
  <si>
    <t>99.0%</t>
  </si>
  <si>
    <t>C_4 School Aged Children Reportedly Attending Schools Remotely during the 2022-2023 school year by HoHH sex</t>
  </si>
  <si>
    <t>81.5%</t>
  </si>
  <si>
    <t>97.3%</t>
  </si>
  <si>
    <t>97.5%</t>
  </si>
  <si>
    <t>C_4 School Aged Children Reportedly Attending Schools Remotely during the 2022-2023 school year by HH with member employed</t>
  </si>
  <si>
    <t>93.0%</t>
  </si>
  <si>
    <t>C_4 School Aged Children Reportedly Attending Schools Remotely during the 2022-2023 school year by HH proximity to frontline or Russian border</t>
  </si>
  <si>
    <t>79.0%</t>
  </si>
  <si>
    <t>90.7%</t>
  </si>
  <si>
    <t>79.3%</t>
  </si>
  <si>
    <t>C_4 School Aged Children Reportedly Attending Schools In-Person and Remotely (Blended Learning) during the 2022-2023 school year overall</t>
  </si>
  <si>
    <t>C_4 School Aged Children Reportedly Attending Schools In-Person and Remotely (Blended Learning) during the 2022-2023 school year by child with a disability</t>
  </si>
  <si>
    <t>89.6%</t>
  </si>
  <si>
    <t>10.4%</t>
  </si>
  <si>
    <t>C_4 School Aged Children Reportedly Attending Schools In-Person and Remotely (Blended Learning) during the 2022-2023 school year by child sex and age</t>
  </si>
  <si>
    <t>64.3%</t>
  </si>
  <si>
    <t>35.7%</t>
  </si>
  <si>
    <t>C_4 School Aged Children Reportedly Attending Schools In-Person and Remotely (Blended Learning) during the 2022-2023 school year by rural or urban</t>
  </si>
  <si>
    <t>76.8%</t>
  </si>
  <si>
    <t>94.6%</t>
  </si>
  <si>
    <t>85.3%</t>
  </si>
  <si>
    <t>C_4 School Aged Children Reportedly Attending Schools In-Person and Remotely (Blended Learning) during the 2022-2023 school year by HoHH sex</t>
  </si>
  <si>
    <t>77.6%</t>
  </si>
  <si>
    <t>22.4%</t>
  </si>
  <si>
    <t>C_4 School Aged Children Reportedly Attending Schools In-Person and Remotely (Blended Learning) during the 2022-2023 school year by HH with member employed</t>
  </si>
  <si>
    <t>85.0%</t>
  </si>
  <si>
    <t>83.9%</t>
  </si>
  <si>
    <t>C_4 School Aged Children Reportedly Attending Schools In-Person and Remotely (Blended Learning) during the 2022-2023 school year by HH proximity to frontline or Russian border</t>
  </si>
  <si>
    <t>69.2%</t>
  </si>
  <si>
    <t>30.8%</t>
  </si>
  <si>
    <t>C_6 Main Reason School Aged Children Reportedly Did Not Access Formal School during the 2022-2023 school year overall</t>
  </si>
  <si>
    <t>Connectivity to internet is a barrier</t>
  </si>
  <si>
    <t>Disability</t>
  </si>
  <si>
    <t>Regular electricity/power cuts prevent access</t>
  </si>
  <si>
    <t>Education is not a priority</t>
  </si>
  <si>
    <t>Protection risks while at school</t>
  </si>
  <si>
    <t>Remote learning is the only modality available and the HH would not have the necessary equipment (devices).</t>
  </si>
  <si>
    <t>Schools in the community were damaged/destroyed</t>
  </si>
  <si>
    <t>Cannot afford education-related costs (e.g. tuition, supplies, transportation)</t>
  </si>
  <si>
    <t>Language issues</t>
  </si>
  <si>
    <t>Protection risks while commuting to school</t>
  </si>
  <si>
    <t>12.1%</t>
  </si>
  <si>
    <t>36.1%</t>
  </si>
  <si>
    <t>28.0%</t>
  </si>
  <si>
    <t>26.2%</t>
  </si>
  <si>
    <t>C_6 Main Reason School Aged Children Reportedly Did Not Access Formal School during the 2022-2023 school year by child with a disability</t>
  </si>
  <si>
    <t>C_6 Main Reason School Aged Children Reportedly Did Not Access Formal School during the 2022-2023 school year by child sex and age</t>
  </si>
  <si>
    <t>64.5%</t>
  </si>
  <si>
    <t>13.6%</t>
  </si>
  <si>
    <t>67.5%</t>
  </si>
  <si>
    <t>21.4%</t>
  </si>
  <si>
    <t>48.1%</t>
  </si>
  <si>
    <t>46.0%</t>
  </si>
  <si>
    <t>48.0%</t>
  </si>
  <si>
    <t>54.3%</t>
  </si>
  <si>
    <t>45.7%</t>
  </si>
  <si>
    <t>53.3%</t>
  </si>
  <si>
    <t>46.7%</t>
  </si>
  <si>
    <t>29.4%</t>
  </si>
  <si>
    <t>C_6 Main Reason School Aged Children Reportedly Did Not Access Formal School during the 2022-2023 school year by rural or urban</t>
  </si>
  <si>
    <t>67.7%</t>
  </si>
  <si>
    <t>33.9%</t>
  </si>
  <si>
    <t>54.4%</t>
  </si>
  <si>
    <t>C_6 Main Reason School Aged Children Reportedly Did Not Access Formal School during the 2022-2023 school year by HoHH sex</t>
  </si>
  <si>
    <t>C_6 Main Reason School Aged Children Reportedly Did Not Access Formal School during the 2022-2023 school year by HH with member employed</t>
  </si>
  <si>
    <t>56.9%</t>
  </si>
  <si>
    <t>48.3%</t>
  </si>
  <si>
    <t>72.0%</t>
  </si>
  <si>
    <t>C_6 Main Reason School Aged Children Reportedly Did Not Access Formal School during the 2022-2023 school year by HH proximity to frontline or Russian border</t>
  </si>
  <si>
    <t>C_7 School Aged Children Reportedly Able to Travel Safely and Learn in Safe Conditions at School During the 2022-2023 school year overall</t>
  </si>
  <si>
    <t>C_7 School Aged Children Reportedly Able to Travel Safely and Learn in Safe Conditions at School During the 2022-2023 school year by child with a disability</t>
  </si>
  <si>
    <t>59.2%</t>
  </si>
  <si>
    <t>C_7 School Aged Children Reportedly Able to Travel Safely and Learn in Safe Conditions at School During the 2022-2023 school year by rural or urban</t>
  </si>
  <si>
    <t>99.1%</t>
  </si>
  <si>
    <t>C_7 School Aged Children Reportedly Able to Travel Safely and Learn in Safe Conditions at School During the 2022-2023 school year by child sex and age</t>
  </si>
  <si>
    <t>C_7 School Aged Children Reportedly Able to Travel Safely and Learn in Safe Conditions at School During the 2022-2023 school year by HoHH sex</t>
  </si>
  <si>
    <t>C_7 School Aged Children Reportedly Able to Travel Safely and Learn in Safe Conditions at School During the 2022-2023 school year by HH with member employed</t>
  </si>
  <si>
    <t>98.8%</t>
  </si>
  <si>
    <t>C_7 School Aged Children Reportedly Able to Travel Safely and Learn in Safe Conditions at School During the 2022-2023 school year by HH proximity to frontline or Russian border</t>
  </si>
  <si>
    <t>C_8 Main Barriers School Aged Children Reportedly Faced to Travel and Learn Safely at School During the 2022-2023 school year overall</t>
  </si>
  <si>
    <t>Security concerns of child travelling to school (fear of physical threat, abduction etc.)</t>
  </si>
  <si>
    <t>Schools' attack</t>
  </si>
  <si>
    <t>Gender-based or sexual violence/abuse</t>
  </si>
  <si>
    <t>Verbal bullying or discrimination</t>
  </si>
  <si>
    <t>Physical bullying between students</t>
  </si>
  <si>
    <t>Unsafe infrastructure/lack of bomb shelter</t>
  </si>
  <si>
    <t>Lack of teaching staff qualified in providing psychosocial support</t>
  </si>
  <si>
    <t>Lack of referal mechanism at the school</t>
  </si>
  <si>
    <t>Discrimination of the child based sex, age, disability, HIV status, nationality, race, ethnicity, tribe, clan, caste, religion, language, culture, political affiliation, sexual orientation socio-economic background, geographic location or specific education needs</t>
  </si>
  <si>
    <t>Not sure / Prefer not to answer</t>
  </si>
  <si>
    <t>C_8 Main Barriers School Aged Children Reportedly Faced to Travel and Learn Safely at School During the 2022-2023 school year by child with a disability</t>
  </si>
  <si>
    <t>C_8 Main Barriers School Aged Children Reportedly Faced to Travel and Learn Safely at School During the 2022-2023 school year by child sex and age</t>
  </si>
  <si>
    <t>C_8 Main Barriers School Aged Children Reportedly Faced to Travel and Learn Safely at School During the 2022-2023 school year by rural or urban</t>
  </si>
  <si>
    <t>C_8 Main Barriers School Aged Children Reportedly Faced to Travel and Learn Safely at School During the 2022-2023 school year by HoHH sex</t>
  </si>
  <si>
    <t>C_8 Main Barriers School Aged Children Reportedly Faced to Travel and Learn Safely at School During the 2022-2023 school year by HH with member employed</t>
  </si>
  <si>
    <t>C_8 Main Barriers School Aged Children Reportedly Faced to Travel and Learn Safely at School During the 2022-2023 school year by HH proximity to frontline or Russian border</t>
  </si>
  <si>
    <t>C_9 School Aged Children Reportedly Able to Learn in Acceptable Conditions at School During the 2022-2023 school year overall</t>
  </si>
  <si>
    <t>88.9%</t>
  </si>
  <si>
    <t>23.6%</t>
  </si>
  <si>
    <t>76.4%</t>
  </si>
  <si>
    <t>C_9 School Aged Children Reportedly Able to Learn in Acceptable Conditions at School During the 2022-2023 school year by child with a disability</t>
  </si>
  <si>
    <t>79.2%</t>
  </si>
  <si>
    <t>67.1%</t>
  </si>
  <si>
    <t>C_9 School Aged Children Reportedly Able to Learn in Acceptable Conditions at School During the 2022-2023 school year by rural or urban</t>
  </si>
  <si>
    <t>95.5%</t>
  </si>
  <si>
    <t>63.2%</t>
  </si>
  <si>
    <t>C_9 School Aged Children Reportedly Able to Learn in Acceptable Conditions at School During the 2022-2023 school year by HoHH sex</t>
  </si>
  <si>
    <t>85.9%</t>
  </si>
  <si>
    <t>76.9%</t>
  </si>
  <si>
    <t>71.6%</t>
  </si>
  <si>
    <t>C_9 School Aged Children Reportedly Able to Learn in Acceptable Conditions at School During the 2022-2023 school year by HH with member employed</t>
  </si>
  <si>
    <t>96.7%</t>
  </si>
  <si>
    <t>75.2%</t>
  </si>
  <si>
    <t>C_9 School Aged Children Reportedly Able to Learn in Acceptable Conditions at School During the 2022-2023 school year by HH proximity to frontline or Russian border</t>
  </si>
  <si>
    <t>93.5%</t>
  </si>
  <si>
    <t>80.2%</t>
  </si>
  <si>
    <t>50.0%</t>
  </si>
  <si>
    <t>86.4%</t>
  </si>
  <si>
    <t>C_10 Main Barriers School Aged Children Reportedly Faced to Learn in Acceptable Conditions at School During the 2022-2023 school year overall</t>
  </si>
  <si>
    <t>Curriculum is not adapted for distance learning</t>
  </si>
  <si>
    <t>Internet/technology is not reliable</t>
  </si>
  <si>
    <t>Equipment (tablets/computers/radio etc.) need to be shared between several children in the household</t>
  </si>
  <si>
    <t>No secure transportation to school available</t>
  </si>
  <si>
    <t>51.8%</t>
  </si>
  <si>
    <t>78.9%</t>
  </si>
  <si>
    <t>57.0%</t>
  </si>
  <si>
    <t>C_10 Main Barriers School Aged Children Reportedly Faced to Learn in Acceptable Conditions at School During the 2022-2023 school year by child with a disability</t>
  </si>
  <si>
    <t>78.1%</t>
  </si>
  <si>
    <t>C_10 Main Barriers School Aged Children Reportedly Faced to Learn in Acceptable Conditions at School During the 2022-2023 school year by rural or urban</t>
  </si>
  <si>
    <t>47.0%</t>
  </si>
  <si>
    <t>40.5%</t>
  </si>
  <si>
    <t>27.6%</t>
  </si>
  <si>
    <t>59.3%</t>
  </si>
  <si>
    <t>C_10 Main Barriers School Aged Children Reportedly Faced to Learn in Acceptable Conditions at School During the 2022-2023 school year by child sex and age</t>
  </si>
  <si>
    <t>35.9%</t>
  </si>
  <si>
    <t>76.0%</t>
  </si>
  <si>
    <t>74.4%</t>
  </si>
  <si>
    <t>34.0%</t>
  </si>
  <si>
    <t>42.0%</t>
  </si>
  <si>
    <t>75.9%</t>
  </si>
  <si>
    <t>74.2%</t>
  </si>
  <si>
    <t>57.9%</t>
  </si>
  <si>
    <t>87.1%</t>
  </si>
  <si>
    <t>C_10 Main Barriers School Aged Children Reportedly Faced to Learn in Acceptable Conditions at School During the 2022-2023 school year by HoHH sex</t>
  </si>
  <si>
    <t>48.8%</t>
  </si>
  <si>
    <t>82.9%</t>
  </si>
  <si>
    <t>23.3%</t>
  </si>
  <si>
    <t>46.9%</t>
  </si>
  <si>
    <t>54.6%</t>
  </si>
  <si>
    <t>C_10 Main Barriers School Aged Children Reportedly Faced to Learn in Acceptable Conditions at School During the 2022-2023 school year by HH with member employed</t>
  </si>
  <si>
    <t>93.4%</t>
  </si>
  <si>
    <t>40.4%</t>
  </si>
  <si>
    <t>56.5%</t>
  </si>
  <si>
    <t>52.4%</t>
  </si>
  <si>
    <t>72.4%</t>
  </si>
  <si>
    <t>54.1%</t>
  </si>
  <si>
    <t>C_10 Main Barriers School Aged Children Reportedly Faced to Learn in Acceptable Conditions at School During the 2022-2023 school year by HH proximity to frontline or Russian border</t>
  </si>
  <si>
    <t>58.6%</t>
  </si>
  <si>
    <t>72.7%</t>
  </si>
  <si>
    <t>C_11 Young Children (2 to 5 years old) Reportedly Attending Early Childhood Education Programmes overall</t>
  </si>
  <si>
    <t>69.1%</t>
  </si>
  <si>
    <t>30.9%</t>
  </si>
  <si>
    <t>57.3%</t>
  </si>
  <si>
    <t>78.4%</t>
  </si>
  <si>
    <t>39.8%</t>
  </si>
  <si>
    <t>C_11 Young Children (2 to 5 years old) Reportedly Attending Early Childhood Education Programmes by child with a disability</t>
  </si>
  <si>
    <t>41.8%</t>
  </si>
  <si>
    <t>63.8%</t>
  </si>
  <si>
    <t>C_11 Young Children (2 to 5 years old) Reportedly Attending Early Childhood Education Programmes by rural or urban</t>
  </si>
  <si>
    <t>74.9%</t>
  </si>
  <si>
    <t>67.2%</t>
  </si>
  <si>
    <t>60.6%</t>
  </si>
  <si>
    <t>44.9%</t>
  </si>
  <si>
    <t>33.3%</t>
  </si>
  <si>
    <t>C_11 Young Children (2 to 5 years old) Reportedly Attending Early Childhood Education Programmes by HoHH sex</t>
  </si>
  <si>
    <t>76.7%</t>
  </si>
  <si>
    <t>56.8%</t>
  </si>
  <si>
    <t>43.2%</t>
  </si>
  <si>
    <t>43.8%</t>
  </si>
  <si>
    <t>80.3%</t>
  </si>
  <si>
    <t>36.3%</t>
  </si>
  <si>
    <t>62.2%</t>
  </si>
  <si>
    <t>56.7%</t>
  </si>
  <si>
    <t>43.3%</t>
  </si>
  <si>
    <t>C_11 Young Children (2 to 5 years old) Reportedly Attending Early Childhood Education Programmes by HH with member employed</t>
  </si>
  <si>
    <t>69.5%</t>
  </si>
  <si>
    <t>74.8%</t>
  </si>
  <si>
    <t>60.7%</t>
  </si>
  <si>
    <t>47.1%</t>
  </si>
  <si>
    <t>47.8%</t>
  </si>
  <si>
    <t>52.2%</t>
  </si>
  <si>
    <t>58.1%</t>
  </si>
  <si>
    <t>C_11 Young Children (2 to 5 years old) Reportedly Attending Early Childhood Education Programmes by HH proximity to frontline or Russian border</t>
  </si>
  <si>
    <t>36.0%</t>
  </si>
  <si>
    <t>60.5%</t>
  </si>
  <si>
    <t>C_12 Main Barriers Reported for Young Children (2 to 5 years old) Faced to child Attending Early Childhood Education Programmes overall</t>
  </si>
  <si>
    <t>Lack of pre-school institutions in the community</t>
  </si>
  <si>
    <t>Lack of secure pre-school infrustructure (bomb shelters)</t>
  </si>
  <si>
    <t>Kindergardens are occupied by IDPS</t>
  </si>
  <si>
    <t>Kindergartens are overcrowded</t>
  </si>
  <si>
    <t>Cannot afford pre-school education costs</t>
  </si>
  <si>
    <t>Pre-school education is not a priority</t>
  </si>
  <si>
    <t>Not able to register or enroll child in the kindergarten</t>
  </si>
  <si>
    <t>Prefer not to say</t>
  </si>
  <si>
    <t>42.2%</t>
  </si>
  <si>
    <t>26.9%</t>
  </si>
  <si>
    <t>21.3%</t>
  </si>
  <si>
    <t>23.4%</t>
  </si>
  <si>
    <t>C_12 Main Barriers Reported for Young Children (2 to 5 years old) Faced to child Attending Early Childhood Education Programmes by child with a disability</t>
  </si>
  <si>
    <t>C_12 Main Barriers Reported for Young Children (2 to 5 years old) Faced to child Attending Early Childhood Education Programmes by rural or urban</t>
  </si>
  <si>
    <t>51.1%</t>
  </si>
  <si>
    <t>32.1%</t>
  </si>
  <si>
    <t>53.0%</t>
  </si>
  <si>
    <t>29.3%</t>
  </si>
  <si>
    <t>42.4%</t>
  </si>
  <si>
    <t>C_12 Main Barriers Reported for Young Children (2 to 5 years old) Faced to child Attending Early Childhood Education Programmes by HoHH sex</t>
  </si>
  <si>
    <t>29.6%</t>
  </si>
  <si>
    <t>68.7%</t>
  </si>
  <si>
    <t>C_12 Main Barriers Reported for Young Children (2 to 5 years old) Faced to child Attending Early Childhood Education Programmes by HH with member employed</t>
  </si>
  <si>
    <t>53.5%</t>
  </si>
  <si>
    <t>34.3%</t>
  </si>
  <si>
    <t>43.6%</t>
  </si>
  <si>
    <t>C_12 Main Barriers Reported for Young Children (2 to 5 years old) Faced to child Attending Early Childhood Education Programmes by HH proximity to frontline or Russian border</t>
  </si>
  <si>
    <t>D_1 Households by Type of Shelter Reported overall</t>
  </si>
  <si>
    <t>Collective site / public building</t>
  </si>
  <si>
    <t>D_1 Households by Type of Shelter Reported by HHs with a member with a disability</t>
  </si>
  <si>
    <t>D_1 Households by Type of Shelter Reported by HoHH sex</t>
  </si>
  <si>
    <t>D_1 Households by Type of Shelter Reported by rural or urban</t>
  </si>
  <si>
    <t>D_1 Households by Type of Shelter Reported by HH with unimproved drinking water source</t>
  </si>
  <si>
    <t>drinking_water_unimproved</t>
  </si>
  <si>
    <t>HHs accessing drinking water Only by Improved sources</t>
  </si>
  <si>
    <t>HHs accessing drinking water by Unimproved and Improved sources</t>
  </si>
  <si>
    <t>HHs accessing drinking water Only by Unimproved sourcess</t>
  </si>
  <si>
    <t>D_1 Households by Type of Shelter Reported by HH with unimproved sanitation facility</t>
  </si>
  <si>
    <t>sanitation_facility_unimproved</t>
  </si>
  <si>
    <t>HHs with access Only to Improved sanitation facilities</t>
  </si>
  <si>
    <t>HHs with access Only to Unimproved sanitation facilities</t>
  </si>
  <si>
    <t>HHs with access of Improved and Unimproved sanitation facilities</t>
  </si>
  <si>
    <t>D_1 Households by Type of Shelter Reported by HH with member employed</t>
  </si>
  <si>
    <t>D_2 Households by Type of Conflict-Related Damages or Defects Reported overall</t>
  </si>
  <si>
    <t>No damage or noticeable issue</t>
  </si>
  <si>
    <t>Minor damage to roof (cracks, openings)</t>
  </si>
  <si>
    <t>Major damage to roof with risk of collapse</t>
  </si>
  <si>
    <t>Damage to windows and/or doors (missing, broken, unable to shut properly)</t>
  </si>
  <si>
    <t>Damage to floors</t>
  </si>
  <si>
    <t>Damage to walls</t>
  </si>
  <si>
    <t>Lack of privacy inside the shelter (no partitions, doors)</t>
  </si>
  <si>
    <t>Lack of space inside shelter (min 14m2 per household member)</t>
  </si>
  <si>
    <t>Lack of insulation from cold / heat</t>
  </si>
  <si>
    <t>Limited ventilation (no air circulation unless main entrance is open)</t>
  </si>
  <si>
    <t>Leaks during rain</t>
  </si>
  <si>
    <t>Unable to lock the shelter</t>
  </si>
  <si>
    <t>Lack of lighting inside or outside the shelter</t>
  </si>
  <si>
    <t>Total collapse or shelter too damaged and unsafe for living (but household still living there)</t>
  </si>
  <si>
    <t>84.6%</t>
  </si>
  <si>
    <t>D_2 Households by Type of Conflict-Related Damages or Defects Reported by HHs with a member with a disability</t>
  </si>
  <si>
    <t>66.3%</t>
  </si>
  <si>
    <t>90.9%</t>
  </si>
  <si>
    <t>81.7%</t>
  </si>
  <si>
    <t>74.1%</t>
  </si>
  <si>
    <t>71.7%</t>
  </si>
  <si>
    <t>81.6%</t>
  </si>
  <si>
    <t>D_2 Households by Type of Conflict-Related Damages or Defects Reported by HoHH sex</t>
  </si>
  <si>
    <t>75.5%</t>
  </si>
  <si>
    <t>81.9%</t>
  </si>
  <si>
    <t>72.6%</t>
  </si>
  <si>
    <t>25.5%</t>
  </si>
  <si>
    <t>82.2%</t>
  </si>
  <si>
    <t>D_2 Households by Type of Conflict-Related Damages or Defects Reported by rural or urban</t>
  </si>
  <si>
    <t>71.8%</t>
  </si>
  <si>
    <t>D_2 Households by Type of Conflict-Related Damages or Defects Reported by HH proximity to frontline or Russian border</t>
  </si>
  <si>
    <t>D_2 Households by Type of Conflict-Related Damages or Defects Reported by Shelter assistance received</t>
  </si>
  <si>
    <t>assistance_received_shelter</t>
  </si>
  <si>
    <t>HHs that did not receive any assistance</t>
  </si>
  <si>
    <t>HHs that did not receive shelter assistance</t>
  </si>
  <si>
    <t>HHs that received shelter assistance</t>
  </si>
  <si>
    <t>79.7%</t>
  </si>
  <si>
    <t>79.9%</t>
  </si>
  <si>
    <t>D_3 Households by Shelter Living Condition Issues Reported overall</t>
  </si>
  <si>
    <t>At least one member of the household has to sleep outside or on the floor (insufficient space, insufficient sleeping mats/mattress)</t>
  </si>
  <si>
    <t>Lack of cooking facilities</t>
  </si>
  <si>
    <t>Unable to store water properly (lack of water-storage facilities)</t>
  </si>
  <si>
    <t>Unable to adequately wash (lack of bathing facilities, bathing facilities unsafe),</t>
  </si>
  <si>
    <t>Unable to adequately perform general personal hygiene (insufficient hygiene kits items, i.e. toothpaste, soap, menstural pads)</t>
  </si>
  <si>
    <t>Does not feel protected in the Shelter (Unable to lock home securely, insufficient light inside or outside, overall sentiment)</t>
  </si>
  <si>
    <t>Insufficient privacy (no partitions, doors)</t>
  </si>
  <si>
    <t>Unable to keep warm or cool (no or dysfunctional temperature regulating devices, insufficient winter clothes)</t>
  </si>
  <si>
    <t>Unable to wash/dry clothes</t>
  </si>
  <si>
    <t>None of the above</t>
  </si>
  <si>
    <t>Don´t know / prefer not to say</t>
  </si>
  <si>
    <t>93.3%</t>
  </si>
  <si>
    <t>D_3 Households by Shelter Living Condition Issues Reported by HoHH sex</t>
  </si>
  <si>
    <t>76.6%</t>
  </si>
  <si>
    <t>65.5%</t>
  </si>
  <si>
    <t>77.4%</t>
  </si>
  <si>
    <t>61.5%</t>
  </si>
  <si>
    <t>95.8%</t>
  </si>
  <si>
    <t>D_3 Households by Shelter Living Condition Issues Reported by rural or urban</t>
  </si>
  <si>
    <t>65.8%</t>
  </si>
  <si>
    <t>97.8%</t>
  </si>
  <si>
    <t>91.8%</t>
  </si>
  <si>
    <t>73.8%</t>
  </si>
  <si>
    <t>D_3 Households by Shelter Living Condition Issues Reported by Shelter assistance received</t>
  </si>
  <si>
    <t>66.9%</t>
  </si>
  <si>
    <t>74.0%</t>
  </si>
  <si>
    <t>D_9 NFI Households Reported as Missing overall</t>
  </si>
  <si>
    <t>Winter jacket</t>
  </si>
  <si>
    <t>Winter boots</t>
  </si>
  <si>
    <t>Winter clothes</t>
  </si>
  <si>
    <t>Winter underwear</t>
  </si>
  <si>
    <t>Mattress</t>
  </si>
  <si>
    <t>Bedsheets</t>
  </si>
  <si>
    <t>Towel set</t>
  </si>
  <si>
    <t>Blanket</t>
  </si>
  <si>
    <t>Heating appliances (fuel, coal, gas)</t>
  </si>
  <si>
    <t>Fuel for heating (coal, firewood, liquid gas)</t>
  </si>
  <si>
    <t>Kitchen utensils</t>
  </si>
  <si>
    <t>Power-bank lamps</t>
  </si>
  <si>
    <t>None</t>
  </si>
  <si>
    <t>33.0%</t>
  </si>
  <si>
    <t>38.3%</t>
  </si>
  <si>
    <t>21.1%</t>
  </si>
  <si>
    <t>50.9%</t>
  </si>
  <si>
    <t>35.3%</t>
  </si>
  <si>
    <t>D_9 NFI Households Reported as Missing by HHs with a member with a disability</t>
  </si>
  <si>
    <t>40.7%</t>
  </si>
  <si>
    <t>27.7%</t>
  </si>
  <si>
    <t>30.2%</t>
  </si>
  <si>
    <t>42.1%</t>
  </si>
  <si>
    <t>31.7%</t>
  </si>
  <si>
    <t>31.4%</t>
  </si>
  <si>
    <t>45.9%</t>
  </si>
  <si>
    <t>59.7%</t>
  </si>
  <si>
    <t>43.9%</t>
  </si>
  <si>
    <t>34.5%</t>
  </si>
  <si>
    <t>41.4%</t>
  </si>
  <si>
    <t>29.1%</t>
  </si>
  <si>
    <t>45.4%</t>
  </si>
  <si>
    <t>48.6%</t>
  </si>
  <si>
    <t>43.0%</t>
  </si>
  <si>
    <t>D_9 NFI Households Reported as Missing by HoHH sex</t>
  </si>
  <si>
    <t>34.2%</t>
  </si>
  <si>
    <t>21.0%</t>
  </si>
  <si>
    <t>50.6%</t>
  </si>
  <si>
    <t>61.1%</t>
  </si>
  <si>
    <t>69.3%</t>
  </si>
  <si>
    <t>30.3%</t>
  </si>
  <si>
    <t>34.6%</t>
  </si>
  <si>
    <t>D_9 NFI Households Reported as Missing by rural or urban</t>
  </si>
  <si>
    <t>26.3%</t>
  </si>
  <si>
    <t>29.0%</t>
  </si>
  <si>
    <t>47.6%</t>
  </si>
  <si>
    <t>37.5%</t>
  </si>
  <si>
    <t>60.8%</t>
  </si>
  <si>
    <t>49.0%</t>
  </si>
  <si>
    <t>D_9 NFI Households Reported as Missing by HH size</t>
  </si>
  <si>
    <t>hh_size_group</t>
  </si>
  <si>
    <t>HHs with 2-4 members</t>
  </si>
  <si>
    <t>HHs with 5 or more members</t>
  </si>
  <si>
    <t>49.8%</t>
  </si>
  <si>
    <t>Single member HHs</t>
  </si>
  <si>
    <t>53.6%</t>
  </si>
  <si>
    <t>76.1%</t>
  </si>
  <si>
    <t>58.7%</t>
  </si>
  <si>
    <t>59.5%</t>
  </si>
  <si>
    <t>51.0%</t>
  </si>
  <si>
    <t>64.2%</t>
  </si>
  <si>
    <t>71.9%</t>
  </si>
  <si>
    <t>62.9%</t>
  </si>
  <si>
    <t>D_9 NFI Households Reported as Missing by HH with or without young children</t>
  </si>
  <si>
    <t>hh_young_children</t>
  </si>
  <si>
    <t>HHs with a young child (2-5 y.o.)</t>
  </si>
  <si>
    <t>HHs without a young child (2-5 y.o.)</t>
  </si>
  <si>
    <t>48.5%</t>
  </si>
  <si>
    <t>57.6%</t>
  </si>
  <si>
    <t>62.0%</t>
  </si>
  <si>
    <t>D_9 NFI Households Reported as Missing by HH with or without infant children</t>
  </si>
  <si>
    <t>hh_infant_children</t>
  </si>
  <si>
    <t>HHs with an infant (0-2 y.o.)</t>
  </si>
  <si>
    <t>HHs without an infant (0-2 y.o.)</t>
  </si>
  <si>
    <t>53.4%</t>
  </si>
  <si>
    <t>69.0%</t>
  </si>
  <si>
    <t>73.9%</t>
  </si>
  <si>
    <t>51.4%</t>
  </si>
  <si>
    <t>D_10 Shelter Occupancy Arranagement Reported by Households overall</t>
  </si>
  <si>
    <t>Collective site resident</t>
  </si>
  <si>
    <t>D_10 Shelter Occupancy Arranagement Reported by Households by HHs with a member with a disability</t>
  </si>
  <si>
    <t>D_10 Shelter Occupancy Arranagement Reported by Households by HoHH sex</t>
  </si>
  <si>
    <t>D_10 Shelter Occupancy Arranagement Reported by Households by rural or urban</t>
  </si>
  <si>
    <t>D_14 Main Heating Source Reportedly Used by Households in their Accommodation during the last Winter Season overall</t>
  </si>
  <si>
    <t>Briquettes (Not coal)</t>
  </si>
  <si>
    <t>Central heating</t>
  </si>
  <si>
    <t>Centralized Gas</t>
  </si>
  <si>
    <t>Coal</t>
  </si>
  <si>
    <t>Don’t know</t>
  </si>
  <si>
    <t>Electricity</t>
  </si>
  <si>
    <t>Individual gas heating</t>
  </si>
  <si>
    <t>No heating</t>
  </si>
  <si>
    <t>Wood</t>
  </si>
  <si>
    <t>Briquettes (coal)</t>
  </si>
  <si>
    <t>D_14 Main Heating Source Reportedly Used by Households in their Accommodation during the last Winter Season by HHs with a member with a disability</t>
  </si>
  <si>
    <t>59.0%</t>
  </si>
  <si>
    <t>55.8%</t>
  </si>
  <si>
    <t>D_14 Main Heating Source Reportedly Used by Households in their Accommodation during the last Winter Season by HoHH sex</t>
  </si>
  <si>
    <t>74.5%</t>
  </si>
  <si>
    <t>73.3%</t>
  </si>
  <si>
    <t>67.0%</t>
  </si>
  <si>
    <t>49.1%</t>
  </si>
  <si>
    <t>D_14 Main Heating Source Reportedly Used by Households in their Accommodation during the last Winter Season by rural or urban</t>
  </si>
  <si>
    <t>D_14 Main Heating Source Reportedly Used by Households in their Accommodation during the last Winter Season by HH proximity to frontline or Russian border</t>
  </si>
  <si>
    <t>D_14 Main Heating Source Reportedly Used by Households in their Accommodation during the last Winter Seasonby HHs reporting house damaged by conflict-related reasons</t>
  </si>
  <si>
    <t>shelter_damaged_conflict</t>
  </si>
  <si>
    <t>HHs with conflict-related shelter damages</t>
  </si>
  <si>
    <t>HHs without conflict-related shelter damages</t>
  </si>
  <si>
    <t>70.7%</t>
  </si>
  <si>
    <t>56.6%</t>
  </si>
  <si>
    <t>43.7%</t>
  </si>
  <si>
    <t>56.4%</t>
  </si>
  <si>
    <t>51.2%</t>
  </si>
  <si>
    <t>D_15 Households Reporting Interruption to Main Utility Services in their Current Accommodation over the Last 30 days Prior to Data Collection overall</t>
  </si>
  <si>
    <t>No interruptions experienced</t>
  </si>
  <si>
    <t>Sewage</t>
  </si>
  <si>
    <t>Centralized hot water supply</t>
  </si>
  <si>
    <t>Centralized cold water supply</t>
  </si>
  <si>
    <t>Mains electricity</t>
  </si>
  <si>
    <t>Centralized gas</t>
  </si>
  <si>
    <t>Wired internet</t>
  </si>
  <si>
    <t>D_15 Households Reporting Interruption to Main Utility Services in their Current Accommodation over the Last 30 days Prior to Data Collection by HHs with a member with a disability</t>
  </si>
  <si>
    <t>78.5%</t>
  </si>
  <si>
    <t>D_15 Households Reporting Interruption to Main Utility Services in their Current Accommodation over the Last 30 days Prior to Data Collection by HoHH sex</t>
  </si>
  <si>
    <t>91.4%</t>
  </si>
  <si>
    <t>84.3%</t>
  </si>
  <si>
    <t>D_15 Households Reporting Interruption to Main Utility Services in their Current Accommodation over the Last 30 days Prior to Data Collection by rural or urban</t>
  </si>
  <si>
    <t>90.8%</t>
  </si>
  <si>
    <t>D_15 Households Reporting Interruption to Main Utility Services in their Current Accommodation over the Last 30 days Prior to Data Collection by HH proximity to frontline or Russian border</t>
  </si>
  <si>
    <t>D_16 Distance of the Nearest Bomb Shelter to the Residence Reported by Households overall</t>
  </si>
  <si>
    <t>I am not aware of the location of the nearest bomb shelter</t>
  </si>
  <si>
    <t>Public bomb shelter is more than a 10-minute walk away from the shelter</t>
  </si>
  <si>
    <t>Public bomb shelter located less than a 10-min walk from the shelter</t>
  </si>
  <si>
    <t>77.1%</t>
  </si>
  <si>
    <t>71.4%</t>
  </si>
  <si>
    <t>D_16 Distance of the Nearest Bomb Shelter to the Residence Reported by Households by HHs with a member with a disability</t>
  </si>
  <si>
    <t>15.7%</t>
  </si>
  <si>
    <t>80.8%</t>
  </si>
  <si>
    <t>65.1%</t>
  </si>
  <si>
    <t>72.2%</t>
  </si>
  <si>
    <t>D_16 Distance of the Nearest Bomb Shelter to the Residence Reported by Households by HoHH sex</t>
  </si>
  <si>
    <t>77.5%</t>
  </si>
  <si>
    <t>73.7%</t>
  </si>
  <si>
    <t>D_16 Distance of the Nearest Bomb Shelter to the Residence Reported by Households by rural or urban</t>
  </si>
  <si>
    <t>58.8%</t>
  </si>
  <si>
    <t>62.5%</t>
  </si>
  <si>
    <t>54.9%</t>
  </si>
  <si>
    <t>Overcrowding Shelter Overcrowding overall</t>
  </si>
  <si>
    <t>Overcrowding Shelter Overcrowding by HHs with a member with a disability</t>
  </si>
  <si>
    <t>Overcrowding Shelter Overcrowding by HoHH sex</t>
  </si>
  <si>
    <t>Overcrowding Shelter Overcrowding by rural or urban</t>
  </si>
  <si>
    <t>Overcrowding Shelter Overcrowding by HH with member employed</t>
  </si>
  <si>
    <t>Households Reporting Functional Domestic Space by overall</t>
  </si>
  <si>
    <t>Can do / functional, with issues_D_5_1_domestic_space_issues_cooking</t>
  </si>
  <si>
    <t>Can do / functional, without any issues_D_5_1_domestic_space_issues_cooking</t>
  </si>
  <si>
    <t>No, can't do / not functional_D_5_1_domestic_space_issues_cooking</t>
  </si>
  <si>
    <t>Can do / functional, with issues_D_6_1_domestic_space_issues_sleeping</t>
  </si>
  <si>
    <t>Can do / functional, without any issues_D_6_1_domestic_space_issues_sleeping</t>
  </si>
  <si>
    <t>No, can't do / not functional_D_6_1_domestic_space_issues_sleeping</t>
  </si>
  <si>
    <t>Can do / functional, with issues_D_7_1_domestic_space_issues_food_water_storage</t>
  </si>
  <si>
    <t>Can do / functional, without any issues_D_7_1_domestic_space_issues_food_water_storage</t>
  </si>
  <si>
    <t>No, can't do / not functional_D_7_1_domestic_space_issues_food_water_storage</t>
  </si>
  <si>
    <t>Can do / functional, with issues_D_8_1_domestic_space_issues</t>
  </si>
  <si>
    <t>Can do / functional, without any issues_D_8_1_domestic_space_issues</t>
  </si>
  <si>
    <t>No, can't do / not functional_D_8_1_domestic_space_issues</t>
  </si>
  <si>
    <t>77.3%</t>
  </si>
  <si>
    <t>Households Reporting Functional Domestic Space by disability</t>
  </si>
  <si>
    <t>num_samples_D_5_1_domestic_space_issues_cooking</t>
  </si>
  <si>
    <t>num_samples_D_6_1_domestic_space_issues_sleeping</t>
  </si>
  <si>
    <t>num_samples_D_7_1_domestic_space_issues_food_water_storage</t>
  </si>
  <si>
    <t>num_samples_D_8_1_domestic_space_issues</t>
  </si>
  <si>
    <t>71.0%</t>
  </si>
  <si>
    <t>93.2%</t>
  </si>
  <si>
    <t>47.3%</t>
  </si>
  <si>
    <t>86.6%</t>
  </si>
  <si>
    <t>53.8%</t>
  </si>
  <si>
    <t>77.0%</t>
  </si>
  <si>
    <t>Households Reporting Functional Domestic Space by rural or urban</t>
  </si>
  <si>
    <t>78.7%</t>
  </si>
  <si>
    <t>70.8%</t>
  </si>
  <si>
    <t>E_4 Household Reported Daily Hours of Access to Internet Network overall</t>
  </si>
  <si>
    <t>Always:24hrs</t>
  </si>
  <si>
    <t>Never: 0hrs</t>
  </si>
  <si>
    <t>Often: 12-23hrs</t>
  </si>
  <si>
    <t>Sometimes: 1-11hrs</t>
  </si>
  <si>
    <t>76.3%</t>
  </si>
  <si>
    <t>68.3%</t>
  </si>
  <si>
    <t>E_4 Household Reported Daily Hours of Access to Internet Network by rural or urban</t>
  </si>
  <si>
    <t>84.2%</t>
  </si>
  <si>
    <t>E_4 Household Reported Daily Hours of Access to Internet Network by HHs with a member with a disability</t>
  </si>
  <si>
    <t>71.5%</t>
  </si>
  <si>
    <t>65.7%</t>
  </si>
  <si>
    <t>65.4%</t>
  </si>
  <si>
    <t>E_4 Household Reported Daily Hours of Access to Internet Network by HH with member employed</t>
  </si>
  <si>
    <t>73.4%</t>
  </si>
  <si>
    <t>81.1%</t>
  </si>
  <si>
    <t>63.1%</t>
  </si>
  <si>
    <t>E_4 Household Reported Daily Hours of Access to Internet Network by HoHH sex</t>
  </si>
  <si>
    <t>80.4%</t>
  </si>
  <si>
    <t>E_5 Household Reported Main Sources of Access to Internet overall</t>
  </si>
  <si>
    <t>From mobile internet network</t>
  </si>
  <si>
    <t>From home wifi/computer</t>
  </si>
  <si>
    <t>From work wifi/computer</t>
  </si>
  <si>
    <t>At community center wifi/computer</t>
  </si>
  <si>
    <t>At library wifi/computer</t>
  </si>
  <si>
    <t>Public space wifi/computer</t>
  </si>
  <si>
    <t>I don't use internet</t>
  </si>
  <si>
    <t>61.0%</t>
  </si>
  <si>
    <t>E_5 Household Reported Main Sources of Access to Internet by rural or urban</t>
  </si>
  <si>
    <t>70.9%</t>
  </si>
  <si>
    <t>75.7%</t>
  </si>
  <si>
    <t>56.1%</t>
  </si>
  <si>
    <t>E_5 Household Reported Main Sources of Access to Internet by HHs with a member with a disability</t>
  </si>
  <si>
    <t>44.4%</t>
  </si>
  <si>
    <t>63.4%</t>
  </si>
  <si>
    <t>72.9%</t>
  </si>
  <si>
    <t>E_5 Household Reported Main Sources of Access to Internet by HH with member employed</t>
  </si>
  <si>
    <t>73.2%</t>
  </si>
  <si>
    <t>57.7%</t>
  </si>
  <si>
    <t>48.2%</t>
  </si>
  <si>
    <t>E_5 Household Reported Main Sources of Access to Internet by HoHH sex</t>
  </si>
  <si>
    <t>54.8%</t>
  </si>
  <si>
    <t>F_1 Main Sources of Water used for Drinking Reported by Households overall</t>
  </si>
  <si>
    <t>Piped water in household</t>
  </si>
  <si>
    <t>Public tap/standpipe</t>
  </si>
  <si>
    <t>Personal protected borehole or well (private access)</t>
  </si>
  <si>
    <t>Public potected well or boreholes (shared access)</t>
  </si>
  <si>
    <t>Open / uncovered well</t>
  </si>
  <si>
    <t>Trucked in water by municipality (truck with a tank)</t>
  </si>
  <si>
    <t>Trucked in water private/paid service (truck with a tank)</t>
  </si>
  <si>
    <t>Water kiosk</t>
  </si>
  <si>
    <t>Bottled water</t>
  </si>
  <si>
    <t>Rainwater collection</t>
  </si>
  <si>
    <t>River, pond or lake water</t>
  </si>
  <si>
    <t>F_1 Main Sources of Water used for Drinking Reported by Households by rural or urban</t>
  </si>
  <si>
    <t>57.5%</t>
  </si>
  <si>
    <t>F_1 Main Sources of Water used for Drinking Reported by Households by HHs with a member with a disability</t>
  </si>
  <si>
    <t>67.4%</t>
  </si>
  <si>
    <t>F_1 Main Sources of Water used for Drinking Reported by Households by HH with member employed</t>
  </si>
  <si>
    <t>38.9%</t>
  </si>
  <si>
    <t>74.3%</t>
  </si>
  <si>
    <t>F_1 Main Sources of Water used for Drinking Reported by Households by HoHH sex</t>
  </si>
  <si>
    <t>46.4%</t>
  </si>
  <si>
    <t>56.0%</t>
  </si>
  <si>
    <t>F_5 Time reported by Households to Fetch Water from Main Source of Water used for Drinking overall</t>
  </si>
  <si>
    <t>F_5 Time reported by Households to Fetch Water from Main Source of Water used for Drinking by rural or urban</t>
  </si>
  <si>
    <t>F_5 Time reported by Households to Fetch Water from Main Source of Water used for Drinking by HHs with a member with a disability</t>
  </si>
  <si>
    <t>F_5 Time reported by Households to Fetch Water from Main Source of Water used for Drinking by HH with member employed</t>
  </si>
  <si>
    <t>F_5 Time reported by Households to Fetch Water from Main Source of Water used for Drinking by HoHH sex</t>
  </si>
  <si>
    <t>F_2 Household Considering Water from their Main sources Safe to Drink Without Treatment overall</t>
  </si>
  <si>
    <t>Yes, but not always (bad quality after storms, or at specific times of year)</t>
  </si>
  <si>
    <t>Yes, but not for long periods of time</t>
  </si>
  <si>
    <t>F_2 Household Considering Water from their Main sources Safe to Drink Without Treatment by rural or urban</t>
  </si>
  <si>
    <t>72.1%</t>
  </si>
  <si>
    <t>F_2 Household Considering Water from their Main sources Safe to Drink Without Treatment by HHs with a member with a disability</t>
  </si>
  <si>
    <t>71.3%</t>
  </si>
  <si>
    <t>70.5%</t>
  </si>
  <si>
    <t>F_2 Household Considering Water from their Main sources Safe to Drink Without Treatment by HH with member employed</t>
  </si>
  <si>
    <t>75.1%</t>
  </si>
  <si>
    <t>F_2 Household Considering Water from their Main sources Safe to Drink Without Treatment by HoHH sex</t>
  </si>
  <si>
    <t>69.7%</t>
  </si>
  <si>
    <t>F_3 Households Treating Water from their Main sources Before Drinking overall</t>
  </si>
  <si>
    <t>Yes, with a filter at the tap (connected to piped water)</t>
  </si>
  <si>
    <t>Yes, with a filter we fill (ceramic candle, etc.)</t>
  </si>
  <si>
    <t>Yes, by letting it settle</t>
  </si>
  <si>
    <t>Yes, by boiling</t>
  </si>
  <si>
    <t>Yes, by adding bleach or a pill</t>
  </si>
  <si>
    <t>No, no need to treat the water</t>
  </si>
  <si>
    <t>No, can't find in market</t>
  </si>
  <si>
    <t>No, can't afford to</t>
  </si>
  <si>
    <t>No, other reason</t>
  </si>
  <si>
    <t>Do not know</t>
  </si>
  <si>
    <t>F_3 Households Treating Water from their Main sources Before Drinking by rural or urban</t>
  </si>
  <si>
    <t>80.9%</t>
  </si>
  <si>
    <t>F_3 Households Treating Water from their Main sources Before Drinking by HHs with a member with a disability</t>
  </si>
  <si>
    <t>F_3 Households Treating Water from their Main sources Before Drinking by HH with member employed</t>
  </si>
  <si>
    <t>82.1%</t>
  </si>
  <si>
    <t>F_3 Households Treating Water from their Main sources Before Drinking by HoHH sex</t>
  </si>
  <si>
    <t>49.4%</t>
  </si>
  <si>
    <t>61.3%</t>
  </si>
  <si>
    <t>F_4 Households Reporting Insufficient Drinking Water overall</t>
  </si>
  <si>
    <t>Never (0 times)</t>
  </si>
  <si>
    <t>Rarely (1–2 times)</t>
  </si>
  <si>
    <t>Sometimes (3–10 times)</t>
  </si>
  <si>
    <t>Often (11-20 times)</t>
  </si>
  <si>
    <t>F_4 Households Reporting Insufficient Drinking Water by rural or urban</t>
  </si>
  <si>
    <t>F_4 Households Reporting Insufficient Drinking Water by HHs with a member with a disability</t>
  </si>
  <si>
    <t>F_4 Households Reporting Insufficient Drinking Water by HH with member employed</t>
  </si>
  <si>
    <t>98.3%</t>
  </si>
  <si>
    <t>F_7 Households Reporting Access to Water Quantity Adequate to Meet Needs overall</t>
  </si>
  <si>
    <t>Drinking</t>
  </si>
  <si>
    <t>Cooking</t>
  </si>
  <si>
    <t>Personal hygiene (washing or bathing)</t>
  </si>
  <si>
    <t>Other domestic purposes (cleaning house, floor, etc.)</t>
  </si>
  <si>
    <t>Don’t know (can´t select with other options)</t>
  </si>
  <si>
    <t>98.6%</t>
  </si>
  <si>
    <t>F_7 Households Reporting Access to Water Quantity Adequate to Meet Needs by HoHH sex</t>
  </si>
  <si>
    <t>F_7 Households Reporting Access to Water Quantity Adequate to Meet Needs by rural or urban</t>
  </si>
  <si>
    <t>98.0%</t>
  </si>
  <si>
    <t>F_7 Households Reporting Access to Water Quantity Adequate to Meet Needs by HHs with a member with a disability</t>
  </si>
  <si>
    <t>F_7 Households Reporting Access to Water Quantity Adequate to Meet Needs by HH with member employed</t>
  </si>
  <si>
    <t>93.1%</t>
  </si>
  <si>
    <t>F_8 Type of Sanitation Facility Reportedly Used by Household Members overall</t>
  </si>
  <si>
    <t>Flush to piped sewer system</t>
  </si>
  <si>
    <t>Flush to septic tank</t>
  </si>
  <si>
    <t>Flush to pit latrine</t>
  </si>
  <si>
    <t>Flush to open drain</t>
  </si>
  <si>
    <t>Flush to elsewhere</t>
  </si>
  <si>
    <t>Flush to don’t know where</t>
  </si>
  <si>
    <t>Pit latrine with slab</t>
  </si>
  <si>
    <t>Pit latrine without slab / open pit</t>
  </si>
  <si>
    <t>Composting toilet</t>
  </si>
  <si>
    <t>Plastic Bag</t>
  </si>
  <si>
    <t>Bucket</t>
  </si>
  <si>
    <t>Hanging toilet/hanging latrine</t>
  </si>
  <si>
    <t>No facility/bush/field</t>
  </si>
  <si>
    <t>F_8 Type of Sanitation Facility Reportedly Used by Household Members by rural or urban</t>
  </si>
  <si>
    <t>F_8 Type of Sanitation Facility Reportedly Used by Household Members by HHs with a member with a disability</t>
  </si>
  <si>
    <t>92.8%</t>
  </si>
  <si>
    <t>F_8 Type of Sanitation Facility Reportedly Used by Household Members by HH with member employed</t>
  </si>
  <si>
    <t>F_8 Type of Sanitation Facility Reportedly Used by Household Members by HoHH sex</t>
  </si>
  <si>
    <t>F_9 Household Reporting to Share a Sanitation Facility with Another Household overall</t>
  </si>
  <si>
    <t>F_9 Household Reporting to Share a Sanitation Facility with Another Household by rural or urban</t>
  </si>
  <si>
    <t>F_9 Household Reporting to Share a Sanitation Facility with Another Household by HHs with a member with a disability</t>
  </si>
  <si>
    <t>F_9 Household Reporting to Share a Sanitation Facility with Another Household by HH with member employed</t>
  </si>
  <si>
    <t>F_9 Household Reporting to Share a Sanitation Facility with Another Household by HoHH sex</t>
  </si>
  <si>
    <t>91.9%</t>
  </si>
  <si>
    <t>F_10 Number of Households Sharing Sanitation Facility Reported overall</t>
  </si>
  <si>
    <t>F_10 Number of Households Sharing Sanitation Facility Reported by rural or urban</t>
  </si>
  <si>
    <t>F_10 Number of Households Sharing Sanitation Facility Reported by WASH assistance received</t>
  </si>
  <si>
    <t>assistance_received_wash</t>
  </si>
  <si>
    <t>HHs that did not receive wash assistance</t>
  </si>
  <si>
    <t>HHs that received wash assistance</t>
  </si>
  <si>
    <t>F_10 Number of Households Sharing Sanitation Facility Reported by HHs with challenge to obtain money</t>
  </si>
  <si>
    <t>challenges_obtain_money</t>
  </si>
  <si>
    <t>HHs with challenges to obtain money</t>
  </si>
  <si>
    <t>HHs without challenges to obtain money</t>
  </si>
  <si>
    <t>F_10 Number of Households Sharing Sanitation Facility Reported by HH with member employed</t>
  </si>
  <si>
    <t>F_10 Number of Households Sharing Sanitation Facility Reported by HHs with a member with a disability</t>
  </si>
  <si>
    <t>F_17 Household Reporting Access to Handwashing Facility with Water and Soap by overall</t>
  </si>
  <si>
    <t>No handwashing facility available</t>
  </si>
  <si>
    <t>Yes handwashing facility available with only water</t>
  </si>
  <si>
    <t>Yes handwashing facility available with water and soap</t>
  </si>
  <si>
    <t>Yes handwashing facility available, but without water and soap</t>
  </si>
  <si>
    <t>Yes handwashing facility available with only soap</t>
  </si>
  <si>
    <t>F_17 Household Reporting Access to Handwashing Facility with Water and Soap by HH with member employed</t>
  </si>
  <si>
    <t>F_17 Household Reporting Access to Handwashing Facility with Water and Soap by HoHH sex</t>
  </si>
  <si>
    <t>F_17 Household Reporting Access to Handwashing Facility with Water and Soap by HHs with a member with a disability</t>
  </si>
  <si>
    <t>F_18 Items Households Reported as Needing and Unable to Afford over the last 30 days prior to Data Collection overall</t>
  </si>
  <si>
    <t>Soap</t>
  </si>
  <si>
    <t>Feminine hygiene products (i.e. menstrual hygiene products)</t>
  </si>
  <si>
    <t>Baby diapers</t>
  </si>
  <si>
    <t>Toothpaste</t>
  </si>
  <si>
    <t>Toothbrush</t>
  </si>
  <si>
    <t>Adult diapers</t>
  </si>
  <si>
    <t>Cloth washing soap</t>
  </si>
  <si>
    <t>Shampoo</t>
  </si>
  <si>
    <t>Water containers (jurcans, bottle, tank etc)</t>
  </si>
  <si>
    <t>Water treatment chemicals</t>
  </si>
  <si>
    <t>Water treatments equipment</t>
  </si>
  <si>
    <t>Everything was affordable</t>
  </si>
  <si>
    <t>F_18 Items Households Reported as Needing and Unable to Afford over the last 30 days prior to Data Collection by HoHH sex</t>
  </si>
  <si>
    <t>46.2%</t>
  </si>
  <si>
    <t>52.7%</t>
  </si>
  <si>
    <t>F_18 Items Households Reported as Needing and Unable to Afford over the last 30 days prior to Data Collection by rural or urban</t>
  </si>
  <si>
    <t>F_18 Items Households Reported as Needing and Unable to Afford over the last 30 days prior to Data Collection by HH size</t>
  </si>
  <si>
    <t>55.6%</t>
  </si>
  <si>
    <t>F_18 Items Households Reported as Needing and Unable to Afford over the last 30 days prior to Data Collection by HH proximity to frontline or Russian border</t>
  </si>
  <si>
    <t>F_18 Items Households Reported as Needing and Unable to Afford over the last 30 days prior to Data Collection by HHs with only elderly members</t>
  </si>
  <si>
    <t>hh_only_elderly</t>
  </si>
  <si>
    <t>HHs not composed by elderly members only</t>
  </si>
  <si>
    <t>HHs with elderly members only</t>
  </si>
  <si>
    <t>51.3%</t>
  </si>
  <si>
    <t>53.1%</t>
  </si>
  <si>
    <t>F_18 Items Households Reported as Needing and Unable to Afford over the last 30 days prior to Data Collection by HHs with a member with a disability</t>
  </si>
  <si>
    <t>54.0%</t>
  </si>
  <si>
    <t>45.2%</t>
  </si>
  <si>
    <t>F_19 Most Common Garbage Disposal Methods Reported by Households overall</t>
  </si>
  <si>
    <t>It’s disposed by burning in or near the household</t>
  </si>
  <si>
    <t>It's disposed by burying in a pit in or near the household</t>
  </si>
  <si>
    <t>It’s disposed of at a specific collection point and collected regularly by municipality, local organization, institute or compary collected</t>
  </si>
  <si>
    <t>It's disposed of on the street or public places with no collection</t>
  </si>
  <si>
    <t>It's sorted and given for recycling</t>
  </si>
  <si>
    <t>Refuse to answer</t>
  </si>
  <si>
    <t>F_19 Most Common Garbage Disposal Methods Reported by Households by rural or urban</t>
  </si>
  <si>
    <t>F_19 Most Common Garbage Disposal Methods Reported by Households by HH size</t>
  </si>
  <si>
    <t>F_19 Most Common Garbage Disposal Methods Reported by Households by HH with member employed</t>
  </si>
  <si>
    <t>F_19 Most Common Garbage Disposal Methods Reported by Households by HH proximity to frontline or Russian border</t>
  </si>
  <si>
    <t>RCSI Reduced Coping Strategies Score overall</t>
  </si>
  <si>
    <t>High</t>
  </si>
  <si>
    <t>Low</t>
  </si>
  <si>
    <t>Medium</t>
  </si>
  <si>
    <t>RCSI Reduced Coping Strategies Score by HHs with a member with a disability</t>
  </si>
  <si>
    <t>38.8%</t>
  </si>
  <si>
    <t>56.3%</t>
  </si>
  <si>
    <t>59.8%</t>
  </si>
  <si>
    <t>46.6%</t>
  </si>
  <si>
    <t>RCSI Reduced Coping Strategies Score by HoHH sex</t>
  </si>
  <si>
    <t>69.8%</t>
  </si>
  <si>
    <t>RCSI Reduced Coping Strategies Score by rural or urban</t>
  </si>
  <si>
    <t>Households Reportedly Adopting Reduced Coping Strategies by overall</t>
  </si>
  <si>
    <t>num_samples_G_3_1_rcsi_cheaper_food</t>
  </si>
  <si>
    <t>0_G_3_1_rcsi_cheaper_food</t>
  </si>
  <si>
    <t>1_G_3_1_rcsi_cheaper_food</t>
  </si>
  <si>
    <t>2_G_3_1_rcsi_cheaper_food</t>
  </si>
  <si>
    <t>3_G_3_1_rcsi_cheaper_food</t>
  </si>
  <si>
    <t>4_G_3_1_rcsi_cheaper_food</t>
  </si>
  <si>
    <t>5_G_3_1_rcsi_cheaper_food</t>
  </si>
  <si>
    <t>6_G_3_1_rcsi_cheaper_food</t>
  </si>
  <si>
    <t>7_G_3_1_rcsi_cheaper_food</t>
  </si>
  <si>
    <t>Prefer not to answer_G_3_1_rcsi_cheaper_food</t>
  </si>
  <si>
    <t>num_samples_G_3_2_rcsi_borrow_food</t>
  </si>
  <si>
    <t>0_G_3_2_rcsi_borrow_food</t>
  </si>
  <si>
    <t>1_G_3_2_rcsi_borrow_food</t>
  </si>
  <si>
    <t>2_G_3_2_rcsi_borrow_food</t>
  </si>
  <si>
    <t>3_G_3_2_rcsi_borrow_food</t>
  </si>
  <si>
    <t>4_G_3_2_rcsi_borrow_food</t>
  </si>
  <si>
    <t>5_G_3_2_rcsi_borrow_food</t>
  </si>
  <si>
    <t>7_G_3_2_rcsi_borrow_food</t>
  </si>
  <si>
    <t>6_G_3_2_rcsi_borrow_food</t>
  </si>
  <si>
    <t>Prefer not to answer_G_3_2_rcsi_borrow_food</t>
  </si>
  <si>
    <t>num_samples_G_3_3_rcsi_limit_portion</t>
  </si>
  <si>
    <t>0_G_3_3_rcsi_limit_portion</t>
  </si>
  <si>
    <t>1_G_3_3_rcsi_limit_portion</t>
  </si>
  <si>
    <t>2_G_3_3_rcsi_limit_portion</t>
  </si>
  <si>
    <t>3_G_3_3_rcsi_limit_portion</t>
  </si>
  <si>
    <t>4_G_3_3_rcsi_limit_portion</t>
  </si>
  <si>
    <t>5_G_3_3_rcsi_limit_portion</t>
  </si>
  <si>
    <t>6_G_3_3_rcsi_limit_portion</t>
  </si>
  <si>
    <t>7_G_3_3_rcsi_limit_portion</t>
  </si>
  <si>
    <t>Prefer not to answer_G_3_3_rcsi_limit_portion</t>
  </si>
  <si>
    <t>num_samples_G_3_4_rcsi_restrict_consumption_adults</t>
  </si>
  <si>
    <t>0_G_3_4_rcsi_restrict_consumption_adults</t>
  </si>
  <si>
    <t>1_G_3_4_rcsi_restrict_consumption_adults</t>
  </si>
  <si>
    <t>2_G_3_4_rcsi_restrict_consumption_adults</t>
  </si>
  <si>
    <t>3_G_3_4_rcsi_restrict_consumption_adults</t>
  </si>
  <si>
    <t>4_G_3_4_rcsi_restrict_consumption_adults</t>
  </si>
  <si>
    <t>6_G_3_4_rcsi_restrict_consumption_adults</t>
  </si>
  <si>
    <t>7_G_3_4_rcsi_restrict_consumption_adults</t>
  </si>
  <si>
    <t>5_G_3_4_rcsi_restrict_consumption_adults</t>
  </si>
  <si>
    <t>num_samples_G_3_5_rcsi_reduce_meals_number</t>
  </si>
  <si>
    <t>0_G_3_5_rcsi_reduce_meals_number</t>
  </si>
  <si>
    <t>1_G_3_5_rcsi_reduce_meals_number</t>
  </si>
  <si>
    <t>2_G_3_5_rcsi_reduce_meals_number</t>
  </si>
  <si>
    <t>3_G_3_5_rcsi_reduce_meals_number</t>
  </si>
  <si>
    <t>4_G_3_5_rcsi_reduce_meals_number</t>
  </si>
  <si>
    <t>5_G_3_5_rcsi_reduce_meals_number</t>
  </si>
  <si>
    <t>6_G_3_5_rcsi_reduce_meals_number</t>
  </si>
  <si>
    <t>7_G_3_5_rcsi_reduce_meals_number</t>
  </si>
  <si>
    <t>Prefer not to answer_G_3_5_rcsi_reduce_meals_number</t>
  </si>
  <si>
    <t>96.4%</t>
  </si>
  <si>
    <t>Households Reportedly Adopting Reduced Coping Strategies by HHs with a member with a disability</t>
  </si>
  <si>
    <t>Households Reportedly Adopting Reduced Coping Strategies by head of household sex</t>
  </si>
  <si>
    <t>Households Reportedly Adopting Reduced Coping Strategies by rural or urban</t>
  </si>
  <si>
    <t>40.6%</t>
  </si>
  <si>
    <t>Households Reportedly Adopting Reduced Coping Strategies by employment status</t>
  </si>
  <si>
    <t>FCS Food Consumption Score overall</t>
  </si>
  <si>
    <t>Acceptable</t>
  </si>
  <si>
    <t>Borderline</t>
  </si>
  <si>
    <t>Poor</t>
  </si>
  <si>
    <t>FCS Food Consumption Score by HHs with a member with a disability</t>
  </si>
  <si>
    <t>FCS Food Consumption Score by HoHH sex</t>
  </si>
  <si>
    <t>FCS Food Consumption Score by rural or urban</t>
  </si>
  <si>
    <t>FCS Food Consumption Score by HHs with children</t>
  </si>
  <si>
    <t>hh_with_child</t>
  </si>
  <si>
    <t>HHs with Child (&lt;18 y.o.)</t>
  </si>
  <si>
    <t>HHs without Child (&lt;18 y.o.)</t>
  </si>
  <si>
    <t>HHS Household Hunger Scale Score overall</t>
  </si>
  <si>
    <t>Moderate</t>
  </si>
  <si>
    <t>No or little</t>
  </si>
  <si>
    <t>HHS Household Hunger Scale Score by HHs with a member with a disability</t>
  </si>
  <si>
    <t>HHS Household Hunger Scale Score by HoHH sex</t>
  </si>
  <si>
    <t>HHS Household Hunger Scale Score by rural or urban</t>
  </si>
  <si>
    <t>HHS Household Hunger Scale Score by HHs with children</t>
  </si>
  <si>
    <t>H_1 Everbreastfed overall</t>
  </si>
  <si>
    <t>H_2 Breastfed the day before Data Collection overall</t>
  </si>
  <si>
    <t>I_1 Primary Income Sources Reported by Households Over the Last 30 Days Prior to Data Collection by overall</t>
  </si>
  <si>
    <t>Regular employment - salaried work</t>
  </si>
  <si>
    <t>Irregular employment (temporary or daily wage earning) - casual or daily labour</t>
  </si>
  <si>
    <t>Informal employment (i.e. no formal contract or permit or perhaps taxes paid)</t>
  </si>
  <si>
    <t>Income from own business or commerce</t>
  </si>
  <si>
    <t>Income from renting out house, land or property</t>
  </si>
  <si>
    <t>Remittances</t>
  </si>
  <si>
    <t>Pension for all reasons (age, military, except of disability allowance)</t>
  </si>
  <si>
    <t>Selling household assets</t>
  </si>
  <si>
    <t>Loans, debts, support from community, friends, family (not including remittances)</t>
  </si>
  <si>
    <t>NGO or charity assistance</t>
  </si>
  <si>
    <t>Government social benefits or assistance</t>
  </si>
  <si>
    <t>Illegal or socially degrading activities</t>
  </si>
  <si>
    <t>I_1 Primary Income Sources Reported by Households Over the Last 30 Days Prior to Data Collection by HHs with a member with a disability</t>
  </si>
  <si>
    <t>I_1 Primary Income Sources Reported by Households Over the Last 30 Days Prior to Data Collection by HoHH sex</t>
  </si>
  <si>
    <t>I_1 Primary Income Sources Reported by Households Over the Last 30 Days Prior to Data Collection by rural or urban</t>
  </si>
  <si>
    <t>77.9%</t>
  </si>
  <si>
    <t>58.0%</t>
  </si>
  <si>
    <t>I_1 Primary Income Sources Reported by Households Over the Last 30 Days Prior to Data Collection by HH size</t>
  </si>
  <si>
    <t>I_1 Primary Income Sources Reported by Households Over the Last 30 Days Prior to Data Collection by HH with member employed</t>
  </si>
  <si>
    <t>69.6%</t>
  </si>
  <si>
    <t>75.8%</t>
  </si>
  <si>
    <t>I_1 Primary Income Sources Reported by Households Over the Last 30 Days Prior to Data Collection by HH proximity to frontline or Russian border</t>
  </si>
  <si>
    <t>I_1 Primary Income Sources Reported by Households Over the Last 30 Days Prior to Data Collection by assistance received</t>
  </si>
  <si>
    <t>assistance_received</t>
  </si>
  <si>
    <t>HHs that did Not received Assistance in the past 3 months</t>
  </si>
  <si>
    <t>HHs that received Assistance in the past 3 months</t>
  </si>
  <si>
    <t>Total Income Total Household Income from all Reported Primary Income Sources over the Last 30 days Prior to Data Collection overall</t>
  </si>
  <si>
    <t>Total Household Income Per Capita from all Reported Primary Income Sources over the Last 30 days Prior to Data Collection overall</t>
  </si>
  <si>
    <t>Total Income Total Household Income from all Reported Primary Income Sources over the Last 30 days Prior to Data Collection by HHs with a member with a disability</t>
  </si>
  <si>
    <t>Total Household Income Per Capita from all Reported Primary Income Sources over the Last 30 days Prior to Data Collection by HHs with a member with a disability</t>
  </si>
  <si>
    <t>Total Income Total Household Income from all Reported Primary Income Sources over the Last 30 days Prior to Data Collection by HoHH sex</t>
  </si>
  <si>
    <t>Total Household Income Per Capita from all Reported Primary Income Sources over the Last 30 days Prior to Data Collection by HoHH sex</t>
  </si>
  <si>
    <t>Total Income Total Household Income from all Reported Primary Income Sources over the Last 30 days Prior to Data Collection by rural or urban</t>
  </si>
  <si>
    <t>Total Household Income Per Capita from all Reported Primary Income Sources over the Last 30 days Prior to Data Collection by rural or urban</t>
  </si>
  <si>
    <t>Total Income Total Household Income from all Reported Primary Income Sources over the Last 30 days Prior to Data Collection by HH size</t>
  </si>
  <si>
    <t>Total Household Income Per Capita from all Reported Primary Income Sources over the Last 30 days Prior to Data Collection by HH size</t>
  </si>
  <si>
    <t>Total Income Total Household Income from all Reported Primary Income Sources over the Last 30 days Prior to Data Collection by HHs relying exclusively on humanitarian assistance</t>
  </si>
  <si>
    <t>Total Household Income Per Capita from all Reported Primary Income Sources over the Last 30 days Prior to Data Collection by HHs relying exclusively on humanitarian assistance</t>
  </si>
  <si>
    <t>Total Income Total Household Income from all Reported Primary Income Sources over the Last 30 days Prior to Data Collection by HH with member employed</t>
  </si>
  <si>
    <t>Total Household Income Per Capita from all Reported Primary Income Sources over the Last 30 days Prior to Data Collection by HH with member employed</t>
  </si>
  <si>
    <t>Estimated Household's Income Over the Last 30 days by Types of Income Source overall</t>
  </si>
  <si>
    <t>Estimated Household's Income Over the Last 30 days by Types of Income Source per capita overall</t>
  </si>
  <si>
    <t>num_samples_I_2_regular_employment_private_or_public_sector_salaried_work_</t>
  </si>
  <si>
    <t>mean_I_2_regular_employment_private_or_public_sector_salaried_work_</t>
  </si>
  <si>
    <t>median_I_2_regular_employment_private_or_public_sector_salaried_work_</t>
  </si>
  <si>
    <t>min_I_2_regular_employment_private_or_public_sector_salaried_work_</t>
  </si>
  <si>
    <t>max_I_2_regular_employment_private_or_public_sector_salaried_work_</t>
  </si>
  <si>
    <t>num_samples_I_2_1_irregular_employment_temporary_or_daily_wage_earning_casual_or_daily_labour_</t>
  </si>
  <si>
    <t>mean_I_2_1_irregular_employment_temporary_or_daily_wage_earning_casual_or_daily_labour_</t>
  </si>
  <si>
    <t>median_I_2_1_irregular_employment_temporary_or_daily_wage_earning_casual_or_daily_labour_</t>
  </si>
  <si>
    <t>min_I_2_1_irregular_employment_temporary_or_daily_wage_earning_casual_or_daily_labour_</t>
  </si>
  <si>
    <t>max_I_2_1_irregular_employment_temporary_or_daily_wage_earning_casual_or_daily_labour_</t>
  </si>
  <si>
    <t>num_samples_I_2_2_informal_employment_</t>
  </si>
  <si>
    <t>mean_I_2_2_informal_employment_</t>
  </si>
  <si>
    <t>median_I_2_2_informal_employment_</t>
  </si>
  <si>
    <t>min_I_2_2_informal_employment_</t>
  </si>
  <si>
    <t>max_I_2_2_informal_employment_</t>
  </si>
  <si>
    <t>num_samples_I_2_3_income_from_own_business_or_commerce_</t>
  </si>
  <si>
    <t>mean_I_2_3_income_from_own_business_or_commerce_</t>
  </si>
  <si>
    <t>median_I_2_3_income_from_own_business_or_commerce_</t>
  </si>
  <si>
    <t>min_I_2_3_income_from_own_business_or_commerce_</t>
  </si>
  <si>
    <t>max_I_2_3_income_from_own_business_or_commerce_</t>
  </si>
  <si>
    <t>num_samples_I_2_4_income_from_renting_out_house_land_or_property_</t>
  </si>
  <si>
    <t>mean_I_2_4_income_from_renting_out_house_land_or_property_</t>
  </si>
  <si>
    <t>median_I_2_4_income_from_renting_out_house_land_or_property_</t>
  </si>
  <si>
    <t>min_I_2_4_income_from_renting_out_house_land_or_property_</t>
  </si>
  <si>
    <t>max_I_2_4_income_from_renting_out_house_land_or_property_</t>
  </si>
  <si>
    <t>num_samples_I_2_5_remittances_</t>
  </si>
  <si>
    <t>mean_I_2_5_remittances_</t>
  </si>
  <si>
    <t>median_I_2_5_remittances_</t>
  </si>
  <si>
    <t>min_I_2_5_remittances_</t>
  </si>
  <si>
    <t>max_I_2_5_remittances_</t>
  </si>
  <si>
    <t>num_samples_I_2_6_pension_</t>
  </si>
  <si>
    <t>mean_I_2_6_pension_</t>
  </si>
  <si>
    <t>median_I_2_6_pension_</t>
  </si>
  <si>
    <t>min_I_2_6_pension_</t>
  </si>
  <si>
    <t>max_I_2_6_pension_</t>
  </si>
  <si>
    <t>num_samples_I_2_8_loans_debts_support_from_community_friends_family_not_including_remittances</t>
  </si>
  <si>
    <t>mean_I_2_8_loans_debts_support_from_community_friends_family_not_including_remittances</t>
  </si>
  <si>
    <t>median_I_2_8_loans_debts_support_from_community_friends_family_not_including_remittances</t>
  </si>
  <si>
    <t>min_I_2_8_loans_debts_support_from_community_friends_family_not_including_remittances</t>
  </si>
  <si>
    <t>max_I_2_8_loans_debts_support_from_community_friends_family_not_including_remittances</t>
  </si>
  <si>
    <t>num_samples_I_2_10_ngo_or_charity_assistance_</t>
  </si>
  <si>
    <t>mean_I_2_10_ngo_or_charity_assistance_</t>
  </si>
  <si>
    <t>median_I_2_10_ngo_or_charity_assistance_</t>
  </si>
  <si>
    <t>min_I_2_10_ngo_or_charity_assistance_</t>
  </si>
  <si>
    <t>max_I_2_10_ngo_or_charity_assistance_</t>
  </si>
  <si>
    <t>num_samples_I_2_11_government_social_benefits_or_assistance_eg_disability_allowance</t>
  </si>
  <si>
    <t>mean_I_2_11_government_social_benefits_or_assistance_eg_disability_allowance</t>
  </si>
  <si>
    <t>median_I_2_11_government_social_benefits_or_assistance_eg_disability_allowance</t>
  </si>
  <si>
    <t>min_I_2_11_government_social_benefits_or_assistance_eg_disability_allowance</t>
  </si>
  <si>
    <t>max_I_2_11_government_social_benefits_or_assistance_eg_disability_allowance</t>
  </si>
  <si>
    <t>num_samples_I_2_12_illegal_or_socially_degrading_activities_eg_unlawful_sales_begging_</t>
  </si>
  <si>
    <t>mean_I_2_12_illegal_or_socially_degrading_activities_eg_unlawful_sales_begging_</t>
  </si>
  <si>
    <t>median_I_2_12_illegal_or_socially_degrading_activities_eg_unlawful_sales_begging_</t>
  </si>
  <si>
    <t>min_I_2_12_illegal_or_socially_degrading_activities_eg_unlawful_sales_begging_</t>
  </si>
  <si>
    <t>max_I_2_12_illegal_or_socially_degrading_activities_eg_unlawful_sales_begging_</t>
  </si>
  <si>
    <t>num_samples_I_2_13_other_please_specify</t>
  </si>
  <si>
    <t>mean_I_2_13_other_please_specify</t>
  </si>
  <si>
    <t>median_I_2_13_other_please_specify</t>
  </si>
  <si>
    <t>min_I_2_13_other_please_specify</t>
  </si>
  <si>
    <t>max_I_2_13_other_please_specify</t>
  </si>
  <si>
    <t>num_samples_I_2_regular_employment_private_or_public_sector_salaried_work_per_capita</t>
  </si>
  <si>
    <t>mean_I_2_regular_employment_private_or_public_sector_salaried_work_per_capita</t>
  </si>
  <si>
    <t>median_I_2_regular_employment_private_or_public_sector_salaried_work_per_capita</t>
  </si>
  <si>
    <t>min_I_2_regular_employment_private_or_public_sector_salaried_work_per_capita</t>
  </si>
  <si>
    <t>max_I_2_regular_employment_private_or_public_sector_salaried_work_per_capita</t>
  </si>
  <si>
    <t>num_samples_I_2_1_irregular_employment_temporary_or_daily_wage_earning_casual_or_daily_labour_per_capita</t>
  </si>
  <si>
    <t>mean_I_2_1_irregular_employment_temporary_or_daily_wage_earning_casual_or_daily_labour_per_capita</t>
  </si>
  <si>
    <t>median_I_2_1_irregular_employment_temporary_or_daily_wage_earning_casual_or_daily_labour_per_capita</t>
  </si>
  <si>
    <t>min_I_2_1_irregular_employment_temporary_or_daily_wage_earning_casual_or_daily_labour_per_capita</t>
  </si>
  <si>
    <t>max_I_2_1_irregular_employment_temporary_or_daily_wage_earning_casual_or_daily_labour_per_capita</t>
  </si>
  <si>
    <t>num_samples_I_2_2_informal_employment_per_capita</t>
  </si>
  <si>
    <t>mean_I_2_2_informal_employment_per_capita</t>
  </si>
  <si>
    <t>median_I_2_2_informal_employment_per_capita</t>
  </si>
  <si>
    <t>min_I_2_2_informal_employment_per_capita</t>
  </si>
  <si>
    <t>max_I_2_2_informal_employment_per_capita</t>
  </si>
  <si>
    <t>num_samples_I_2_3_income_from_own_business_or_commerce_per_capita</t>
  </si>
  <si>
    <t>mean_I_2_3_income_from_own_business_or_commerce_per_capita</t>
  </si>
  <si>
    <t>median_I_2_3_income_from_own_business_or_commerce_per_capita</t>
  </si>
  <si>
    <t>min_I_2_3_income_from_own_business_or_commerce_per_capita</t>
  </si>
  <si>
    <t>max_I_2_3_income_from_own_business_or_commerce_per_capita</t>
  </si>
  <si>
    <t>num_samples_I_2_4_income_from_renting_out_house_land_or_property_per_capita</t>
  </si>
  <si>
    <t>mean_I_2_4_income_from_renting_out_house_land_or_property_per_capita</t>
  </si>
  <si>
    <t>median_I_2_4_income_from_renting_out_house_land_or_property_per_capita</t>
  </si>
  <si>
    <t>min_I_2_4_income_from_renting_out_house_land_or_property_per_capita</t>
  </si>
  <si>
    <t>max_I_2_4_income_from_renting_out_house_land_or_property_per_capita</t>
  </si>
  <si>
    <t>num_samples_I_2_5_remittances_per_capita</t>
  </si>
  <si>
    <t>mean_I_2_5_remittances_per_capita</t>
  </si>
  <si>
    <t>median_I_2_5_remittances_per_capita</t>
  </si>
  <si>
    <t>min_I_2_5_remittances_per_capita</t>
  </si>
  <si>
    <t>max_I_2_5_remittances_per_capita</t>
  </si>
  <si>
    <t>num_samples_I_2_6_pension_per_capita</t>
  </si>
  <si>
    <t>mean_I_2_6_pension_per_capita</t>
  </si>
  <si>
    <t>median_I_2_6_pension_per_capita</t>
  </si>
  <si>
    <t>min_I_2_6_pension_per_capita</t>
  </si>
  <si>
    <t>max_I_2_6_pension_per_capita</t>
  </si>
  <si>
    <t>num_samples_I_2_8_loans_debts_support_from_community_friends_family_not_including_remittances_per_capita</t>
  </si>
  <si>
    <t>mean_I_2_8_loans_debts_support_from_community_friends_family_not_including_remittances_per_capita</t>
  </si>
  <si>
    <t>median_I_2_8_loans_debts_support_from_community_friends_family_not_including_remittances_per_capita</t>
  </si>
  <si>
    <t>min_I_2_8_loans_debts_support_from_community_friends_family_not_including_remittances_per_capita</t>
  </si>
  <si>
    <t>max_I_2_8_loans_debts_support_from_community_friends_family_not_including_remittances_per_capita</t>
  </si>
  <si>
    <t>num_samples_I_2_10_ngo_or_charity_assistance_per_capita</t>
  </si>
  <si>
    <t>mean_I_2_10_ngo_or_charity_assistance_per_capita</t>
  </si>
  <si>
    <t>median_I_2_10_ngo_or_charity_assistance_per_capita</t>
  </si>
  <si>
    <t>min_I_2_10_ngo_or_charity_assistance_per_capita</t>
  </si>
  <si>
    <t>max_I_2_10_ngo_or_charity_assistance_per_capita</t>
  </si>
  <si>
    <t>num_samples_I_2_11_government_social_benefits_or_assistance_eg_disability_allowance_per_capita</t>
  </si>
  <si>
    <t>mean_I_2_11_government_social_benefits_or_assistance_eg_disability_allowance_per_capita</t>
  </si>
  <si>
    <t>median_I_2_11_government_social_benefits_or_assistance_eg_disability_allowance_per_capita</t>
  </si>
  <si>
    <t>min_I_2_11_government_social_benefits_or_assistance_eg_disability_allowance_per_capita</t>
  </si>
  <si>
    <t>max_I_2_11_government_social_benefits_or_assistance_eg_disability_allowance_per_capita</t>
  </si>
  <si>
    <t>num_samples_I_2_12_illegal_or_socially_degrading_activities_eg_unlawful_sales_begging_per_capita</t>
  </si>
  <si>
    <t>mean_I_2_12_illegal_or_socially_degrading_activities_eg_unlawful_sales_begging_per_capita</t>
  </si>
  <si>
    <t>median_I_2_12_illegal_or_socially_degrading_activities_eg_unlawful_sales_begging_per_capita</t>
  </si>
  <si>
    <t>min_I_2_12_illegal_or_socially_degrading_activities_eg_unlawful_sales_begging_per_capita</t>
  </si>
  <si>
    <t>max_I_2_12_illegal_or_socially_degrading_activities_eg_unlawful_sales_begging_per_capita</t>
  </si>
  <si>
    <t>num_samples_I_2_13_other_please_specify_per_capita</t>
  </si>
  <si>
    <t>mean_I_2_13_other_please_specify_per_capita</t>
  </si>
  <si>
    <t>median_I_2_13_other_please_specify_per_capita</t>
  </si>
  <si>
    <t>min_I_2_13_other_please_specify_per_capita</t>
  </si>
  <si>
    <t>max_I_2_13_other_please_specify_per_capita</t>
  </si>
  <si>
    <t>Estimated Household's Income Over the Last 30 days by Types of Income Source by rural or urban</t>
  </si>
  <si>
    <t>Estimated Household's Income Over the Last 30 days by Types of Income Source per capita by rural or urban</t>
  </si>
  <si>
    <t>Estimated Household's Income Over the Last 30 days by Types of Income Source by HoHH sex</t>
  </si>
  <si>
    <t>Estimated Household's Income Over the Last 30 days by Types of Income Source per capita by HoHH sex</t>
  </si>
  <si>
    <t>Estimated Household's Income Over the Last 30 days by Types of Income Source by by HHs with a member with a disability</t>
  </si>
  <si>
    <t>Estimated Household's Income Over the Last 30 days by Types of Income Source per capita by HHs with a member with a disability</t>
  </si>
  <si>
    <t>Total Food Expenditure Total Household Food Expenditure Reported over the Last 30 days Prior to Data Collection overall</t>
  </si>
  <si>
    <t>Total Food Expenditure Total Household Food Expenditure Reported over the Last 30 days Prior to Data Collection by HHs with a member with a disability</t>
  </si>
  <si>
    <t>Total Food Expenditure Total Household Food Expenditure Reported over the Last 30 days Prior to Data Collection by HoHH sex</t>
  </si>
  <si>
    <t>Total Food Expenditure Total Household Food Expenditure Reported over the Last 30 days Prior to Data Collection by rural or urban</t>
  </si>
  <si>
    <t>Total Food Expenditure Total Household Food Expenditure Reported over the Last 30 days Prior to Data Collection by HH size</t>
  </si>
  <si>
    <t>Total Food Expenditure Total Household Food Expenditure Reported over the Last 30 days Prior to Data Collection by HHs relying exclusively on humanitarian assistance</t>
  </si>
  <si>
    <t>assistance_received_food</t>
  </si>
  <si>
    <t>HHs that did not receive food assistance</t>
  </si>
  <si>
    <t>HHs that received food assistance</t>
  </si>
  <si>
    <t>Total Food Expenditure Total Household Food Expenditure Reported over the Last 30 days Prior to Data Collection by HH proximity to frontline or Russian border</t>
  </si>
  <si>
    <t>Estimated Household's Food Expenditure Over the Last 30 days overall</t>
  </si>
  <si>
    <t>num_samples_I_3_cereals_uah_cashcredit</t>
  </si>
  <si>
    <t>mean_I_3_cereals_uah_cashcredit</t>
  </si>
  <si>
    <t>median_I_3_cereals_uah_cashcredit</t>
  </si>
  <si>
    <t>min_I_3_cereals_uah_cashcredit</t>
  </si>
  <si>
    <t>max_I_3_cereals_uah_cashcredit</t>
  </si>
  <si>
    <t>num_samples_I_3_1_cereals_uah_own_produced</t>
  </si>
  <si>
    <t>mean_I_3_1_cereals_uah_own_produced</t>
  </si>
  <si>
    <t>median_I_3_1_cereals_uah_own_produced</t>
  </si>
  <si>
    <t>min_I_3_1_cereals_uah_own_produced</t>
  </si>
  <si>
    <t>max_I_3_1_cereals_uah_own_produced</t>
  </si>
  <si>
    <t>num_samples_I_3_2_fruits_vegetables_uah_cashcredit</t>
  </si>
  <si>
    <t>mean_I_3_2_fruits_vegetables_uah_cashcredit</t>
  </si>
  <si>
    <t>median_I_3_2_fruits_vegetables_uah_cashcredit</t>
  </si>
  <si>
    <t>min_I_3_2_fruits_vegetables_uah_cashcredit</t>
  </si>
  <si>
    <t>max_I_3_2_fruits_vegetables_uah_cashcredit</t>
  </si>
  <si>
    <t>num_samples_I_3_3_fruits_vegetables_uah_own_produced</t>
  </si>
  <si>
    <t>mean_I_3_3_fruits_vegetables_uah_own_produced</t>
  </si>
  <si>
    <t>median_I_3_3_fruits_vegetables_uah_own_produced</t>
  </si>
  <si>
    <t>min_I_3_3_fruits_vegetables_uah_own_produced</t>
  </si>
  <si>
    <t>max_I_3_3_fruits_vegetables_uah_own_produced</t>
  </si>
  <si>
    <t>num_samples_I_3_4_meat_meat_products_fish_uah_cashcredit</t>
  </si>
  <si>
    <t>mean_I_3_4_meat_meat_products_fish_uah_cashcredit</t>
  </si>
  <si>
    <t>median_I_3_4_meat_meat_products_fish_uah_cashcredit</t>
  </si>
  <si>
    <t>min_I_3_4_meat_meat_products_fish_uah_cashcredit</t>
  </si>
  <si>
    <t>max_I_3_4_meat_meat_products_fish_uah_cashcredit</t>
  </si>
  <si>
    <t>num_samples_I_3_5_meat_meat_products_fish_uah_own_produced</t>
  </si>
  <si>
    <t>mean_I_3_5_meat_meat_products_fish_uah_own_produced</t>
  </si>
  <si>
    <t>median_I_3_5_meat_meat_products_fish_uah_own_produced</t>
  </si>
  <si>
    <t>min_I_3_5_meat_meat_products_fish_uah_own_produced</t>
  </si>
  <si>
    <t>max_I_3_5_meat_meat_products_fish_uah_own_produced</t>
  </si>
  <si>
    <t>num_samples_I_3_6_sugar_sweets_uah_cashcredit_</t>
  </si>
  <si>
    <t>mean_I_3_6_sugar_sweets_uah_cashcredit_</t>
  </si>
  <si>
    <t>median_I_3_6_sugar_sweets_uah_cashcredit_</t>
  </si>
  <si>
    <t>min_I_3_6_sugar_sweets_uah_cashcredit_</t>
  </si>
  <si>
    <t>max_I_3_6_sugar_sweets_uah_cashcredit_</t>
  </si>
  <si>
    <t>num_samples_I_3_7_water_beverages_uah_cashcredit_</t>
  </si>
  <si>
    <t>mean_I_3_7_water_beverages_uah_cashcredit_</t>
  </si>
  <si>
    <t>median_I_3_7_water_beverages_uah_cashcredit_</t>
  </si>
  <si>
    <t>min_I_3_7_water_beverages_uah_cashcredit_</t>
  </si>
  <si>
    <t>max_I_3_7_water_beverages_uah_cashcredit_</t>
  </si>
  <si>
    <t>num_samples_I_3_8_eating_outside_uah_cashcredit_</t>
  </si>
  <si>
    <t>mean_I_3_8_eating_outside_uah_cashcredit_</t>
  </si>
  <si>
    <t>median_I_3_8_eating_outside_uah_cashcredit_</t>
  </si>
  <si>
    <t>min_I_3_8_eating_outside_uah_cashcredit_</t>
  </si>
  <si>
    <t>max_I_3_8_eating_outside_uah_cashcredit_</t>
  </si>
  <si>
    <t>num_samples_I_3_9_other_cashcredit</t>
  </si>
  <si>
    <t>mean_I_3_9_other_cashcredit</t>
  </si>
  <si>
    <t>median_I_3_9_other_cashcredit</t>
  </si>
  <si>
    <t>min_I_3_9_other_cashcredit</t>
  </si>
  <si>
    <t>max_I_3_9_other_cashcredit</t>
  </si>
  <si>
    <t>Estimated Household's Food Expenditure Over the Last 30 days by rural or urban</t>
  </si>
  <si>
    <t>Estimated Household's Food Expenditure Over the Last 30 days by HoHH sex</t>
  </si>
  <si>
    <t>Estimated Household's Food Expenditure Over the Last 30 days by HHs with a member with a disability</t>
  </si>
  <si>
    <t>Total Monthly Expenditure Total Monthly Expenditure Reported by Households overall</t>
  </si>
  <si>
    <t>Total Monthly Expenditure Total Monthly Expenditure Reported by Households by HHs with a member with a disability</t>
  </si>
  <si>
    <t>Total Monthly Expenditure Total Monthly Expenditure Reported by Households by HoHH sex</t>
  </si>
  <si>
    <t>Total Monthly Expenditure Total Monthly Expenditure Reported by Households by rural or urban</t>
  </si>
  <si>
    <t>Total Monthly Expenditure Total Monthly Expenditure Reported by Households by HH size</t>
  </si>
  <si>
    <t>Total Monthly Expenditure Total Monthly Expenditure Reported by Households by HHs with only elderly members</t>
  </si>
  <si>
    <t>Total Monthly Expenditure Total Monthly Expenditure Reported by Households by HHs relying exclusively on humanitarian assistance</t>
  </si>
  <si>
    <t>hh_assistance_exclusive_income</t>
  </si>
  <si>
    <t>HHs Not relying Exclusively on Assistance</t>
  </si>
  <si>
    <t>HHs relying Exclusively on Assistance</t>
  </si>
  <si>
    <t>Total Monthly Expenditure Total Monthly Expenditure Reported by Households by HH proximity to frontline or Russian border</t>
  </si>
  <si>
    <t>Estimated Household's Domestic Expenditure Over the Last 30 days overall</t>
  </si>
  <si>
    <t>num_samples_I_4_1_rent</t>
  </si>
  <si>
    <t>mean_I_4_1_rent</t>
  </si>
  <si>
    <t>median_I_4_1_rent</t>
  </si>
  <si>
    <t>min_I_4_1_rent</t>
  </si>
  <si>
    <t>max_I_4_1_rent</t>
  </si>
  <si>
    <t>num_samples_I_4_2_water_from_all_sources_combined_water_as_utility_or_purchase_of_water_for_drinking</t>
  </si>
  <si>
    <t>mean_I_4_2_water_from_all_sources_combined_water_as_utility_or_purchase_of_water_for_drinking</t>
  </si>
  <si>
    <t>median_I_4_2_water_from_all_sources_combined_water_as_utility_or_purchase_of_water_for_drinking</t>
  </si>
  <si>
    <t>min_I_4_2_water_from_all_sources_combined_water_as_utility_or_purchase_of_water_for_drinking</t>
  </si>
  <si>
    <t>max_I_4_2_water_from_all_sources_combined_water_as_utility_or_purchase_of_water_for_drinking</t>
  </si>
  <si>
    <t>num_samples_I_4_3_nonfood_household_items_for_regular_purchase_lightbulbs_etc</t>
  </si>
  <si>
    <t>mean_I_4_3_nonfood_household_items_for_regular_purchase_lightbulbs_etc</t>
  </si>
  <si>
    <t>median_I_4_3_nonfood_household_items_for_regular_purchase_lightbulbs_etc</t>
  </si>
  <si>
    <t>min_I_4_3_nonfood_household_items_for_regular_purchase_lightbulbs_etc</t>
  </si>
  <si>
    <t>max_I_4_3_nonfood_household_items_for_regular_purchase_lightbulbs_etc</t>
  </si>
  <si>
    <t>num_samples_I_4_5_power_utilities_electricity_or_gas_connections_etc</t>
  </si>
  <si>
    <t>mean_I_4_5_power_utilities_electricity_or_gas_connections_etc</t>
  </si>
  <si>
    <t>median_I_4_5_power_utilities_electricity_or_gas_connections_etc</t>
  </si>
  <si>
    <t>min_I_4_5_power_utilities_electricity_or_gas_connections_etc</t>
  </si>
  <si>
    <t>max_I_4_5_power_utilities_electricity_or_gas_connections_etc</t>
  </si>
  <si>
    <t>num_samples_I_4_6_fuel_for_cooking_for_vehicles_etc</t>
  </si>
  <si>
    <t>mean_I_4_6_fuel_for_cooking_for_vehicles_etc</t>
  </si>
  <si>
    <t>median_I_4_6_fuel_for_cooking_for_vehicles_etc</t>
  </si>
  <si>
    <t>min_I_4_6_fuel_for_cooking_for_vehicles_etc</t>
  </si>
  <si>
    <t>max_I_4_6_fuel_for_cooking_for_vehicles_etc</t>
  </si>
  <si>
    <t>num_samples_I_4_7_transportation_</t>
  </si>
  <si>
    <t>mean_I_4_7_transportation_</t>
  </si>
  <si>
    <t>median_I_4_7_transportation_</t>
  </si>
  <si>
    <t>min_I_4_7_transportation_</t>
  </si>
  <si>
    <t>max_I_4_7_transportation_</t>
  </si>
  <si>
    <t>num_samples_I_4_8_communications_phone_airtime_internet_costs_etc</t>
  </si>
  <si>
    <t>mean_I_4_8_communications_phone_airtime_internet_costs_etc</t>
  </si>
  <si>
    <t>median_I_4_8_communications_phone_airtime_internet_costs_etc</t>
  </si>
  <si>
    <t>min_I_4_8_communications_phone_airtime_internet_costs_etc</t>
  </si>
  <si>
    <t>max_I_4_8_communications_phone_airtime_internet_costs_etc</t>
  </si>
  <si>
    <t>num_samples_I_4_9_recreation_sport_culture</t>
  </si>
  <si>
    <t>mean_I_4_9_recreation_sport_culture</t>
  </si>
  <si>
    <t>median_I_4_9_recreation_sport_culture</t>
  </si>
  <si>
    <t>min_I_4_9_recreation_sport_culture</t>
  </si>
  <si>
    <t>max_I_4_9_recreation_sport_culture</t>
  </si>
  <si>
    <t>num_samples_I_4_12_productive_assets_any_items_used_to_help_generate_income_ex_sewing_machine_tools</t>
  </si>
  <si>
    <t>mean_I_4_12_productive_assets_any_items_used_to_help_generate_income_ex_sewing_machine_tools</t>
  </si>
  <si>
    <t>median_I_4_12_productive_assets_any_items_used_to_help_generate_income_ex_sewing_machine_tools</t>
  </si>
  <si>
    <t>min_I_4_12_productive_assets_any_items_used_to_help_generate_income_ex_sewing_machine_tools</t>
  </si>
  <si>
    <t>max_I_4_12_productive_assets_any_items_used_to_help_generate_income_ex_sewing_machine_tools</t>
  </si>
  <si>
    <t>num_samples_I_4_15_all_other_frequent_expenditures_please_specify</t>
  </si>
  <si>
    <t>mean_I_4_15_all_other_frequent_expenditures_please_specify</t>
  </si>
  <si>
    <t>median_I_4_15_all_other_frequent_expenditures_please_specify</t>
  </si>
  <si>
    <t>min_I_4_15_all_other_frequent_expenditures_please_specify</t>
  </si>
  <si>
    <t>max_I_4_15_all_other_frequent_expenditures_please_specify</t>
  </si>
  <si>
    <t>Estimated Household's Domestic Expenditure Over the Last 30 days by HHs with a member with a disability</t>
  </si>
  <si>
    <t>Estimated Household's Domestic Expenditure Over the Last 30 days by HoHH sex</t>
  </si>
  <si>
    <t>Estimated Household's Domestic Expenditure Over the Last 30 days by rural or urban</t>
  </si>
  <si>
    <t>Estimated Household's Domestic Expenditure Over the Last 6 Months overall</t>
  </si>
  <si>
    <t>num_samples_I_5_expenditure_categories_long_term_shelter_maintenance</t>
  </si>
  <si>
    <t>mean_I_5_expenditure_categories_long_term_shelter_maintenance</t>
  </si>
  <si>
    <t>median_I_5_expenditure_categories_long_term_shelter_maintenance</t>
  </si>
  <si>
    <t>min_I_5_expenditure_categories_long_term_shelter_maintenance</t>
  </si>
  <si>
    <t>max_I_5_expenditure_categories_long_term_shelter_maintenance</t>
  </si>
  <si>
    <t>num_samples_I_5_1_nonfood_household_items_for_infrequent_purchase_blankets_cooking_pots_etc</t>
  </si>
  <si>
    <t>mean_I_5_1_nonfood_household_items_for_infrequent_purchase_blankets_cooking_pots_etc</t>
  </si>
  <si>
    <t>median_I_5_1_nonfood_household_items_for_infrequent_purchase_blankets_cooking_pots_etc</t>
  </si>
  <si>
    <t>min_I_5_1_nonfood_household_items_for_infrequent_purchase_blankets_cooking_pots_etc</t>
  </si>
  <si>
    <t>max_I_5_1_nonfood_household_items_for_infrequent_purchase_blankets_cooking_pots_etc</t>
  </si>
  <si>
    <t>num_samples_I_5_2_infrequently_purchased_medication</t>
  </si>
  <si>
    <t>mean_I_5_2_infrequently_purchased_medication</t>
  </si>
  <si>
    <t>median_I_5_2_infrequently_purchased_medication</t>
  </si>
  <si>
    <t>min_I_5_2_infrequently_purchased_medication</t>
  </si>
  <si>
    <t>max_I_5_2_infrequently_purchased_medication</t>
  </si>
  <si>
    <t>num_samples_I_5_3_clothing_shoes</t>
  </si>
  <si>
    <t>mean_I_5_3_clothing_shoes</t>
  </si>
  <si>
    <t>median_I_5_3_clothing_shoes</t>
  </si>
  <si>
    <t>min_I_5_3_clothing_shoes</t>
  </si>
  <si>
    <t>max_I_5_3_clothing_shoes</t>
  </si>
  <si>
    <t>num_samples_I_5_6_educationrelated_expenditures_school_fees_supplies_uniforms_etc</t>
  </si>
  <si>
    <t>mean_I_5_6_educationrelated_expenditures_school_fees_supplies_uniforms_etc</t>
  </si>
  <si>
    <t>median_I_5_6_educationrelated_expenditures_school_fees_supplies_uniforms_etc</t>
  </si>
  <si>
    <t>min_I_5_6_educationrelated_expenditures_school_fees_supplies_uniforms_etc</t>
  </si>
  <si>
    <t>max_I_5_6_educationrelated_expenditures_school_fees_supplies_uniforms_etc</t>
  </si>
  <si>
    <t>num_samples_I_5_7_debt_repayment</t>
  </si>
  <si>
    <t>mean_I_5_7_debt_repayment</t>
  </si>
  <si>
    <t>median_I_5_7_debt_repayment</t>
  </si>
  <si>
    <t>min_I_5_7_debt_repayment</t>
  </si>
  <si>
    <t>max_I_5_7_debt_repayment</t>
  </si>
  <si>
    <t>num_samples_I_5_8_remittances</t>
  </si>
  <si>
    <t>mean_I_5_8_remittances</t>
  </si>
  <si>
    <t>median_I_5_8_remittances</t>
  </si>
  <si>
    <t>min_I_5_8_remittances</t>
  </si>
  <si>
    <t>max_I_5_8_remittances</t>
  </si>
  <si>
    <t>num_samples_I_5_9_savings_ie_money_set_aside_for_the_longterm</t>
  </si>
  <si>
    <t>mean_I_5_9_savings_ie_money_set_aside_for_the_longterm</t>
  </si>
  <si>
    <t>median_I_5_9_savings_ie_money_set_aside_for_the_longterm</t>
  </si>
  <si>
    <t>min_I_5_9_savings_ie_money_set_aside_for_the_longterm</t>
  </si>
  <si>
    <t>max_I_5_9_savings_ie_money_set_aside_for_the_longterm</t>
  </si>
  <si>
    <t>num_samples_I_5_10_all_other_infrequent_expenditures_please_specify</t>
  </si>
  <si>
    <t>mean_I_5_10_all_other_infrequent_expenditures_please_specify</t>
  </si>
  <si>
    <t>median_I_5_10_all_other_infrequent_expenditures_please_specify</t>
  </si>
  <si>
    <t>min_I_5_10_all_other_infrequent_expenditures_please_specify</t>
  </si>
  <si>
    <t>max_I_5_10_all_other_infrequent_expenditures_please_specify</t>
  </si>
  <si>
    <t>Estimated Household's Domestic Expenditure Over the Last 6 Months rural or urban</t>
  </si>
  <si>
    <t>Estimated Household's Domestic Expenditure Over the Last 6 Months by HoHH sex</t>
  </si>
  <si>
    <t>Estimated Household's Domestic Expenditure Over the Last 6 Months by HHs with a member with a disability</t>
  </si>
  <si>
    <t>I_6 Households Reporting Challenges to Obtain Money to Meet Needs Over the Last 30 days Prior to Data Collection overall</t>
  </si>
  <si>
    <t>I_6 Households Reporting Challenges to Obtain Money to Meet Needs Over the Last 30 days Prior to Data Collection by Individuals with a disability</t>
  </si>
  <si>
    <t>I_6 Households Reporting Challenges to Obtain Money to Meet Needs Over the Last 30 days Prior to Data Collection by HoHH sex</t>
  </si>
  <si>
    <t>I_6 Households Reporting Challenges to Obtain Money to Meet Needs Over the Last 30 days Prior to Data Collection by rural or urban</t>
  </si>
  <si>
    <t>48.7%</t>
  </si>
  <si>
    <t>I_6 Households Reporting Challenges to Obtain Money to Meet Needs Over the Last 30 days Prior to Data Collection by HHs with only elderly members</t>
  </si>
  <si>
    <t>I_6 Households Reporting Challenges to Obtain Money to Meet Needs Over the Last 30 days Prior to Data Collection by HHs with a member with a disability</t>
  </si>
  <si>
    <t>I_7 Main Challenges Reported by Households to Obtain Money to Meet Needs Over the Last 30 days Prior to Data Collection by overall</t>
  </si>
  <si>
    <t>Lack of work opportunity</t>
  </si>
  <si>
    <t>Salary or wages too low</t>
  </si>
  <si>
    <t>Pensions/social benefits amounts are too low</t>
  </si>
  <si>
    <t>Salary or wages not regularly paid</t>
  </si>
  <si>
    <t>Pensions/social benefits are not regularily paid</t>
  </si>
  <si>
    <t>Unable to withdraw enough money from bank account</t>
  </si>
  <si>
    <t>No currently functioning banks/financial institutions in my area</t>
  </si>
  <si>
    <t>Prices increased, but the income did not</t>
  </si>
  <si>
    <t>I_7 Main Challenges Reported by Households to Obtain Money to Meet Needs Over the Last 30 days Prior to Data Collection by HoHH sex</t>
  </si>
  <si>
    <t>I_7 Main Challenges Reported by Households to Obtain Money to Meet Needs Over the Last 30 days Prior to Data Collection by rural or urban</t>
  </si>
  <si>
    <t>I_7 Main Challenges Reported by Households to Obtain Money to Meet Needs Over the Last 30 days Prior to Data Collection by HH size</t>
  </si>
  <si>
    <t>I_7 Main Challenges Reported by Households to Obtain Money to Meet Needs Over the Last 30 days Prior to Data Collection by HHs with a member with a disability</t>
  </si>
  <si>
    <t>I_7 Main Challenges Reported by Households to Obtain Money to Meet Needs Over the Last 30 days Prior to Data Collection by HH proximity to frontline or Russian border</t>
  </si>
  <si>
    <t>LCSI Living Coping Strategies (LCSI) Index Score overall</t>
  </si>
  <si>
    <t>Crisis</t>
  </si>
  <si>
    <t>Emergency</t>
  </si>
  <si>
    <t>No coping</t>
  </si>
  <si>
    <t>Stress</t>
  </si>
  <si>
    <t>LCSI Living Coping Strategies (LCSI) Index Score by displacement status</t>
  </si>
  <si>
    <t>70.1%</t>
  </si>
  <si>
    <t>LCSI Living Coping Strategies (LCSI) Index Score by HoHH sex</t>
  </si>
  <si>
    <t>LCSI Living Coping Strategies (LCSI) Index Score by rural or urban</t>
  </si>
  <si>
    <t>Households Reportedly Adopting Livelihood Coping Strategies by overall</t>
  </si>
  <si>
    <t>num_samples_I_8_1_lcs_sell_hh_assets</t>
  </si>
  <si>
    <t>No, had no need to use this coping strategy_I_8_1_lcs_sell_hh_assets</t>
  </si>
  <si>
    <t>No, have already exhausted this coping strategy and cannot use it again_I_8_1_lcs_sell_hh_assets</t>
  </si>
  <si>
    <t>Not applicable / This coping strategy is not available to me_I_8_1_lcs_sell_hh_assets</t>
  </si>
  <si>
    <t>Prefer not to answer_I_8_1_lcs_sell_hh_assets</t>
  </si>
  <si>
    <t>Yes_I_8_1_lcs_sell_hh_assets</t>
  </si>
  <si>
    <t>num_samples_I_8_2_lcs_spent_savings</t>
  </si>
  <si>
    <t>No, had no need to use this coping strategy_I_8_2_lcs_spent_savings</t>
  </si>
  <si>
    <t>No, have already exhausted this coping strategy and cannot use it again_I_8_2_lcs_spent_savings</t>
  </si>
  <si>
    <t>Not applicable / This coping strategy is not available to me_I_8_2_lcs_spent_savings</t>
  </si>
  <si>
    <t>Prefer not to answer_I_8_2_lcs_spent_savings</t>
  </si>
  <si>
    <t>Yes_I_8_2_lcs_spent_savings</t>
  </si>
  <si>
    <t>num_samples_I_8_3_lcs_forrowed_food</t>
  </si>
  <si>
    <t>No, had no need to use this coping strategy_I_8_3_lcs_forrowed_food</t>
  </si>
  <si>
    <t>No, have already exhausted this coping strategy and cannot use it again_I_8_3_lcs_forrowed_food</t>
  </si>
  <si>
    <t>Not applicable / This coping strategy is not available to me_I_8_3_lcs_forrowed_food</t>
  </si>
  <si>
    <t>Prefer not to answer_I_8_3_lcs_forrowed_food</t>
  </si>
  <si>
    <t>Yes_I_8_3_lcs_forrowed_food</t>
  </si>
  <si>
    <t>num_samples_I_8_4_lcs_eat_elsewhere</t>
  </si>
  <si>
    <t>No, had no need to use this coping strategy_I_8_4_lcs_eat_elsewhere</t>
  </si>
  <si>
    <t>No, have already exhausted this coping strategy and cannot use it again_I_8_4_lcs_eat_elsewhere</t>
  </si>
  <si>
    <t>Not applicable / This coping strategy is not available to me_I_8_4_lcs_eat_elsewhere</t>
  </si>
  <si>
    <t>Prefer not to answer_I_8_4_lcs_eat_elsewhere</t>
  </si>
  <si>
    <t>Yes_I_8_4_lcs_eat_elsewhere</t>
  </si>
  <si>
    <t>num_samples_I_8_6_lcs_reduce_health_expenditures</t>
  </si>
  <si>
    <t>No, had no need to use this coping strategy_I_8_6_lcs_reduce_health_expenditures</t>
  </si>
  <si>
    <t>No, have already exhausted this coping strategy and cannot use it again_I_8_6_lcs_reduce_health_expenditures</t>
  </si>
  <si>
    <t>Not applicable / This coping strategy is not available to me_I_8_6_lcs_reduce_health_expenditures</t>
  </si>
  <si>
    <t>Prefer not to answer_I_8_6_lcs_reduce_health_expenditures</t>
  </si>
  <si>
    <t>Yes_I_8_6_lcs_reduce_health_expenditures</t>
  </si>
  <si>
    <t>num_samples_I_8_7_lcs_reduce_education_expenditures</t>
  </si>
  <si>
    <t>No, had no need to use this coping strategy_I_8_7_lcs_reduce_education_expenditures</t>
  </si>
  <si>
    <t>No, have already exhausted this coping strategy and cannot use it again_I_8_7_lcs_reduce_education_expenditures</t>
  </si>
  <si>
    <t>Not applicable / This coping strategy is not available to me_I_8_7_lcs_reduce_education_expenditures</t>
  </si>
  <si>
    <t>Prefer not to answer_I_8_7_lcs_reduce_education_expenditures</t>
  </si>
  <si>
    <t>Yes_I_8_7_lcs_reduce_education_expenditures</t>
  </si>
  <si>
    <t>num_samples_I_8_8_lcs_sell_house</t>
  </si>
  <si>
    <t>No, had no need to use this coping strategy_I_8_8_lcs_sell_house</t>
  </si>
  <si>
    <t>Not applicable / This coping strategy is not available to me_I_8_8_lcs_sell_house</t>
  </si>
  <si>
    <t>Prefer not to answer_I_8_8_lcs_sell_house</t>
  </si>
  <si>
    <t>No, have already exhausted this coping strategy and cannot use it again_I_8_8_lcs_sell_house</t>
  </si>
  <si>
    <t>Yes_I_8_8_lcs_sell_house</t>
  </si>
  <si>
    <t>num_samples_I_8_9_lcs_move_elsewhere</t>
  </si>
  <si>
    <t>No, had no need to use this coping strategy_I_8_9_lcs_move_elsewhere</t>
  </si>
  <si>
    <t>No, have already exhausted this coping strategy and cannot use it again_I_8_9_lcs_move_elsewhere</t>
  </si>
  <si>
    <t>Not applicable / This coping strategy is not available to me_I_8_9_lcs_move_elsewhere</t>
  </si>
  <si>
    <t>Prefer not to answer_I_8_9_lcs_move_elsewhere</t>
  </si>
  <si>
    <t>Yes_I_8_9_lcs_move_elsewhere</t>
  </si>
  <si>
    <t>num_samples_I_8_10_lcs_degrading_income_source</t>
  </si>
  <si>
    <t>No, had no need to use this coping strategy_I_8_10_lcs_degrading_income_source</t>
  </si>
  <si>
    <t>Not applicable / This coping strategy is not available to me_I_8_10_lcs_degrading_income_source</t>
  </si>
  <si>
    <t>Prefer not to answer_I_8_10_lcs_degrading_income_source</t>
  </si>
  <si>
    <t>Yes_I_8_10_lcs_degrading_income_source</t>
  </si>
  <si>
    <t>No, have already exhausted this coping strategy and cannot use it again_I_8_10_lcs_degrading_income_source</t>
  </si>
  <si>
    <t>num_samples_I_8_5_lcs_sell_productive_assets</t>
  </si>
  <si>
    <t>No, had no need to use this coping strategy_I_8_5_lcs_sell_productive_assets</t>
  </si>
  <si>
    <t>No, have already exhausted this coping strategy and cannot use it again_I_8_5_lcs_sell_productive_assets</t>
  </si>
  <si>
    <t>Not applicable / This coping strategy is not available to me_I_8_5_lcs_sell_productive_assets</t>
  </si>
  <si>
    <t>Prefer not to answer_I_8_5_lcs_sell_productive_assets</t>
  </si>
  <si>
    <t>Yes_I_8_5_lcs_sell_productive_assets</t>
  </si>
  <si>
    <t>num_samples_I_8_13_lcs_ask_stranger</t>
  </si>
  <si>
    <t>No, had no need to use this coping strategy_I_8_13_lcs_ask_stranger</t>
  </si>
  <si>
    <t>Not applicable / This coping strategy is not available to me_I_8_13_lcs_ask_stranger</t>
  </si>
  <si>
    <t>Prefer not to answer_I_8_13_lcs_ask_stranger</t>
  </si>
  <si>
    <t>Yes_I_8_13_lcs_ask_stranger</t>
  </si>
  <si>
    <t>No, have already exhausted this coping strategy and cannot use it again_I_8_13_lcs_ask_stranger</t>
  </si>
  <si>
    <t>62.4%</t>
  </si>
  <si>
    <t>83.4%</t>
  </si>
  <si>
    <t>Households Reportedly Adopting Livelihood Coping Strategies by HHs with a member with a disability</t>
  </si>
  <si>
    <t>63.3%</t>
  </si>
  <si>
    <t>Households Reportedly Adopting Livelihood Coping Strategies by rural or urban</t>
  </si>
  <si>
    <t>74.7%</t>
  </si>
  <si>
    <t>73.1%</t>
  </si>
  <si>
    <t>Households Reportedly Adopting Livelihood Coping Strategies by HoHH sex</t>
  </si>
  <si>
    <t>70.6%</t>
  </si>
  <si>
    <t>I_8_14 Main Reasons Households Reported for Using Livelihood Coping Strategies overall</t>
  </si>
  <si>
    <t>To access or pay for food</t>
  </si>
  <si>
    <t>To access or pay for healthcare</t>
  </si>
  <si>
    <t>To access or pay for shelter</t>
  </si>
  <si>
    <t>To access or pay for education</t>
  </si>
  <si>
    <t>I_8_14 Main Reasons Households Reported for Using Livelihood Coping Strategies by HH size</t>
  </si>
  <si>
    <t>I_8_14 Main Reasons Households Reported for Using Livelihood Coping Strategies by HH proximity to frontline or Russian border</t>
  </si>
  <si>
    <t>I_8_14 Main Reasons Households Reported for Using Livelihood Coping Strategies by HHs with a member with a disability</t>
  </si>
  <si>
    <t>I_9 Households Reporting to Own Land Used for Agricultural Activities overall</t>
  </si>
  <si>
    <t>I_9 Households Reporting to Own Land Used for Agricultural Activities by HoHH sex</t>
  </si>
  <si>
    <t>I_9 Households Reporting to Own Land Used for Agricultural Activities by rural or urban</t>
  </si>
  <si>
    <t>I_9 Households Reporting to Own Land Used for Agricultural Activities by HH size</t>
  </si>
  <si>
    <t>I_9 Households Reporting to Own Land Used for Agricultural Activities by HH proximity to frontline or Russian border</t>
  </si>
  <si>
    <t>I_9 Households Reporting to Own Land Used for Agricultural Activities by HHs with a member with a disability</t>
  </si>
  <si>
    <t>I_9_1 Purposes of the Agricultural Land Used Reported by Households overall</t>
  </si>
  <si>
    <t>Production for own consumption</t>
  </si>
  <si>
    <t>Production for sale</t>
  </si>
  <si>
    <t>Renting</t>
  </si>
  <si>
    <t>Not used at all</t>
  </si>
  <si>
    <t>I_9_1 Purposes of the Agricultural Land Used Reported by Households by HoHH sex</t>
  </si>
  <si>
    <t>I_9_1 Purposes of the Agricultural Land Used Reported by Households by rural or urban</t>
  </si>
  <si>
    <t>I_9_1 Purposes of the Agricultural Land Used Reported by Households by HH size</t>
  </si>
  <si>
    <t>I_9_1 Purposes of the Agricultural Land Used Reported by Households by HH proximity to frontline or Russian border</t>
  </si>
  <si>
    <t>I_9_1 Purposes of the Agricultural Land Used Reported by Households by sex and age</t>
  </si>
  <si>
    <t>hohh_sex_age</t>
  </si>
  <si>
    <t>18-25 y.o. HFemale HoHH</t>
  </si>
  <si>
    <t>26-50 y.o. HFemale HoHH</t>
  </si>
  <si>
    <t>26-50 y.o. HMale HoHH</t>
  </si>
  <si>
    <t>51-65 y.o. HFemale HoHH</t>
  </si>
  <si>
    <t>51-65 y.o. HMale HoHH</t>
  </si>
  <si>
    <t>66+ y.o. HFemale HoHH</t>
  </si>
  <si>
    <t>66+ y.o. HMale HoHH</t>
  </si>
  <si>
    <t>18-25 y.o. HMale HoHH</t>
  </si>
  <si>
    <t>I_10 Barriers Households Reported to Accessing Marketplaces Consistently over the Last 30 days Prior to Data Collection by overall</t>
  </si>
  <si>
    <t>No barrier faced accessing marketplace</t>
  </si>
  <si>
    <t>Live too far from market/no means of transport.</t>
  </si>
  <si>
    <t>Transportation too expensive.</t>
  </si>
  <si>
    <t>Marketplace timing (opening hours).</t>
  </si>
  <si>
    <t>Damage to marketplace.</t>
  </si>
  <si>
    <t>Security travelling to and from marketplace.</t>
  </si>
  <si>
    <t>I_10 Barriers Households Reported to Accessing Marketplaces Consistently over the Last 30 days Prior to Data Collection by Individuals with a disability</t>
  </si>
  <si>
    <t>I_10 Barriers Households Reported to Accessing Marketplaces Consistently over the Last 30 days Prior to Data Collection by rural or urban</t>
  </si>
  <si>
    <t>I_10 Barriers Households Reported to Accessing Marketplaces Consistently over the Last 30 days Prior to Data Collection by HH with member employed</t>
  </si>
  <si>
    <t>I_10 Barriers Households Reported to Accessing Marketplaces Consistently over the Last 30 days Prior to Data Collection by type of drinking water sources</t>
  </si>
  <si>
    <t>I_10 Barriers Households Reported to Accessing Marketplaces Consistently over the Last 30 days Prior to Data Collection by HHs with an elderly member</t>
  </si>
  <si>
    <t>hh_elderly_member</t>
  </si>
  <si>
    <t>HHs with at least one elderly member</t>
  </si>
  <si>
    <t>HHs with no elderly member</t>
  </si>
  <si>
    <t>I_10 Barriers Households Reported to Accessing Marketplaces Consistently over the Last 30 days Prior to Data Collection by HHs with a member with a disability</t>
  </si>
  <si>
    <t>I_10 Barriers Households Reported to Accessing Marketplaces Consistently over the Last 30 days Prior to Data Collection by HH proximity to frontline or Russian border</t>
  </si>
  <si>
    <t>I_12 Households Reportedly Borrowing Money or Taking on Additional Debt to Cover Basic Needs Since the Escalation of the War overall</t>
  </si>
  <si>
    <t>No, did not request additional debts</t>
  </si>
  <si>
    <t>I_12 Households Reportedly Borrowing Money or Taking on Additional Debt to Cover Basic Needs Since the Escalation of the War by HHs with challenge to obtain money</t>
  </si>
  <si>
    <t>I_12 Households Reportedly Borrowing Money or Taking on Additional Debt to Cover Basic Needs Since the Escalation of the War by sex and age</t>
  </si>
  <si>
    <t>I_12 Households Reportedly Borrowing Money or Taking on Additional Debt to Cover Basic Needs Since the Escalation of the War by Individuals with a disability</t>
  </si>
  <si>
    <t>I_12 Households Reportedly Borrowing Money or Taking on Additional Debt to Cover Basic Needs Since the Escalation of the War by rural or urban</t>
  </si>
  <si>
    <t>I_12 Households Reportedly Borrowing Money or Taking on Additional Debt to Cover Basic Needs Since the Escalation of the War by HH with member employed</t>
  </si>
  <si>
    <t>I_12 Households Reportedly Borrowing Money or Taking on Additional Debt to Cover Basic Needs Since the Escalation of the War by type of drinking water sources</t>
  </si>
  <si>
    <t>J_1 Individuals Reporting a Medical Problem that made them Consider Seeking Healthcare Services in the Last 3 Months Prior to Data Collection by overall</t>
  </si>
  <si>
    <t>J_1 Individuals Reporting a Medical Problem that made them Consider Seeking Healthcare Services in the Last 3 Months Prior to Data Collection by sex and age</t>
  </si>
  <si>
    <t>individual_age_sex</t>
  </si>
  <si>
    <t>Boys 6-11 y.o.</t>
  </si>
  <si>
    <t>Boys &lt;6 y.o.</t>
  </si>
  <si>
    <t>Female 18-25 y.o.</t>
  </si>
  <si>
    <t>Female 26-50 y.o.</t>
  </si>
  <si>
    <t>Female 51-65 y.o.</t>
  </si>
  <si>
    <t>Female 66+ y.o.</t>
  </si>
  <si>
    <t>Girls 6-11 y.o.</t>
  </si>
  <si>
    <t>Girls &lt;6 y.o.</t>
  </si>
  <si>
    <t>Male 18-25 y.o.</t>
  </si>
  <si>
    <t>Male 26-50 y.o.</t>
  </si>
  <si>
    <t>Male 51-65 y.o.</t>
  </si>
  <si>
    <t>Male 66+ y.o.</t>
  </si>
  <si>
    <t>55.2%</t>
  </si>
  <si>
    <t>J_1 Individuals Reporting a Medical Problem that made them Consider Seeking Healthcare Services in the Last 3 Months Prior to Data Collection by Individuals with a disability</t>
  </si>
  <si>
    <t>ind_disability_level_3_4</t>
  </si>
  <si>
    <t>Individual with disability</t>
  </si>
  <si>
    <t>Individual without disability</t>
  </si>
  <si>
    <t>J_1 Individuals Reporting a Medical Problem that made them Consider Seeking Healthcare Services in the Last 3 Months Prior to Data Collection by rural or urban</t>
  </si>
  <si>
    <t>J_1 Individuals Reporting a Medical Problem that made them Consider Seeking Healthcare Services in the Last 3 Months Prior to Data Collection by HH with member employed</t>
  </si>
  <si>
    <t>J_1 Individuals Reporting a Medical Problem that made them Consider Seeking Healthcare Services in the Last 3 Months Prior to Data Collection by type of drinking water sources</t>
  </si>
  <si>
    <t>J_1 Individuals Reporting a Medical Problem that made them Consider Seeking Healthcare Services in the Last 3 Months Prior to Data Collection by HHs with an elderly member</t>
  </si>
  <si>
    <t>J_1 Individuals Reporting a Medical Problem that made them Consider Seeking Healthcare Services in the Last 3 Months Prior to Data Collection by HHs with a member with a disability</t>
  </si>
  <si>
    <t>J_1 Individuals Reporting a Medical Problem that made them Consider Seeking Healthcare Services in the Last 3 Months Prior to Data Collection by HH proximity to frontline or Russian border</t>
  </si>
  <si>
    <t>J_1 Individuals Reporting a Medical Problem that made them Consider Seeking Healthcare Services in the Last 3 Months Prior to Data Collection by HHs with challenge to obtain money</t>
  </si>
  <si>
    <t>J_2 Healthcare Services Desired by Individuals whom Reported Having a Medical Problem that made them Consider Seeking Healthcare Services in the Last 3 Months Prior to Data Collection by overall</t>
  </si>
  <si>
    <t>Consultation for an acute illness (fever, diarrhoea, cough, etc.)</t>
  </si>
  <si>
    <t>Consultation for a chronic, non-communicable illness (diabetes, high blood pressure, heart disease, etc.)</t>
  </si>
  <si>
    <t>Cancer treatment</t>
  </si>
  <si>
    <t>Mental health and psychosocial support services</t>
  </si>
  <si>
    <t>Substance abuse services</t>
  </si>
  <si>
    <t>Consultation for a chronic, communicable illness (HIV, TB, etc.)</t>
  </si>
  <si>
    <t>Trauma care (injury, accident, conflict-related wounds)</t>
  </si>
  <si>
    <t>Rehabilitation</t>
  </si>
  <si>
    <t>Child health (acute and chronic illnesses, vaccination)</t>
  </si>
  <si>
    <t>Sexual and reproductive health (including maternal and neonatal health),</t>
  </si>
  <si>
    <t>Diagnostic services (Laboratory, imaging</t>
  </si>
  <si>
    <t>Dental services</t>
  </si>
  <si>
    <t>J_2 Healthcare Services Desired by Individuals whom Reported Having a Medical Problem that made them Consider Seeking Healthcare Services in the Last 3 Months Prior to Data Collection by sex and age</t>
  </si>
  <si>
    <t>J_2 Healthcare Services Desired by Individuals whom Reported Having a Medical Problem that made them Consider Seeking Healthcare Services in the Last 3 Months Prior to Data Collection by Individuals with a disability</t>
  </si>
  <si>
    <t>J_2 Healthcare Services Desired by Individuals whom Reported Having a Medical Problem that made them Consider Seeking Healthcare Services in the Last 3 Months Prior to Data Collection by rural or urban</t>
  </si>
  <si>
    <t>J_2 Healthcare Services Desired by Individuals whom Reported Having a Medical Problem that made them Consider Seeking Healthcare Services in the Last 3 Months Prior to Data Collection by HH with member employed</t>
  </si>
  <si>
    <t>J_2 Healthcare Services Desired by Individuals whom Reported Having a Medical Problem that made them Consider Seeking Healthcare Services in the Last 3 Months Prior to Data Collection by type of drinking water sources</t>
  </si>
  <si>
    <t>J_2 Healthcare Services Desired by Individuals whom Reported Having a Medical Problem that made them Consider Seeking Healthcare Services in the Last 3 Months Prior to Data Collection by HHs with an elderly member</t>
  </si>
  <si>
    <t>J_2 Healthcare Services Desired by Individuals whom Reported Having a Medical Problem that made them Consider Seeking Healthcare Services in the Last 3 Months Prior to Data Collection by HHs with a member with a disability</t>
  </si>
  <si>
    <t>J_2 Healthcare Services Desired by Individuals whom Reported Having a Medical Problem that made them Consider Seeking Healthcare Services in the Last 3 Months Prior to Data Collection by HH proximity to frontline or Russian border</t>
  </si>
  <si>
    <t>J_2 Healthcare Services Desired by Individuals whom Reported Having a Medical Problem that made them Consider Seeking Healthcare Services in the Last 3 Months Prior to Data Collection by HHs with challenge to obtain money</t>
  </si>
  <si>
    <t>J_3 Healthcare Services Sought by Individuals whom Reported Having a Medical Problem that made them Consider Seeking Healthcare Services in the Last 3 Months Prior to Data Collection by overall</t>
  </si>
  <si>
    <t>J_3 Healthcare Services Sought by Individuals whom Reported Having a Medical Problem that made them Consider Seeking Healthcare Services in the Last 3 Months Prior to Data Collection by sex and age</t>
  </si>
  <si>
    <t>J_3 Healthcare Services Sought by Individuals whom Reported Having a Medical Problem that made them Consider Seeking Healthcare Services in the Last 3 Months Prior to Data Collection by Individuals with a disability</t>
  </si>
  <si>
    <t>J_3 Healthcare Services Sought by Individuals whom Reported Having a Medical Problem that made them Consider Seeking Healthcare Services in the Last 3 Months Prior to Data Collection by rural or urban</t>
  </si>
  <si>
    <t>J_3 Healthcare Services Sought by Individuals whom Reported Having a Medical Problem that made them Consider Seeking Healthcare Services in the Last 3 Months Prior to Data Collection by HH with member employed</t>
  </si>
  <si>
    <t>J_3 Healthcare Services Sought by Individuals whom Reported Having a Medical Problem that made them Consider Seeking Healthcare Services in the Last 3 Months Prior to Data Collection by HHs with an elderly member</t>
  </si>
  <si>
    <t>J_3 Healthcare Services Sought by Individuals whom Reported Having a Medical Problem that made them Consider Seeking Healthcare Services in the Last 3 Months Prior to Data Collection by HHs with a member with a disability</t>
  </si>
  <si>
    <t>J_3 Healthcare Services Sought by Individuals whom Reported Having a Medical Problem that made them Consider Seeking Healthcare Services in the Last 3 Months Prior to Data Collection by HH proximity to frontline or Russian border</t>
  </si>
  <si>
    <t>J_3 Healthcare Services Sought by Individuals whom Reported Having a Medical Problem that made them Consider Seeking Healthcare Services in the Last 3 Months Prior to Data Collection by HHs with challenge to obtain money</t>
  </si>
  <si>
    <t>J_9 Access to Healthcare Services Desired by Individuals whom Reported Having Sought Healthcare Services in the Last 3 Months Prior to Data Collection by overall</t>
  </si>
  <si>
    <t>J_9 Access to Healthcare Services Desired by Individuals whom Reported Having Sought Healthcare Services in the Last 3 Months Prior to Data Collection by sex and age</t>
  </si>
  <si>
    <t>J_9 Access to Healthcare Services Desired by Individuals whom Reported Having Sought Healthcare Services in the Last 3 Months Prior to Data Collection by Individuals with a disability</t>
  </si>
  <si>
    <t>J_9 Access to Healthcare Services Desired by Individuals whom Reported Having Sought Healthcare Services in the Last 3 Months Prior to Data Collection by rural or urban</t>
  </si>
  <si>
    <t>J_9 Access to Healthcare Services Desired by Individuals whom Reported Having Sought Healthcare Services in the Last 3 Months Prior to Data Collection by HH with member employed</t>
  </si>
  <si>
    <t>J_9 Access to Healthcare Services Desired by Individuals whom Reported Having Sought Healthcare Services in the Last 3 Months Prior to Data Collection by HHs with an elderly member</t>
  </si>
  <si>
    <t>J_9 Access to Healthcare Services Desired by Individuals whom Reported Having Sought Healthcare Services in the Last 3 Months Prior to Data Collection by HHs with a member with a disability</t>
  </si>
  <si>
    <t>J_9 Access to Healthcare Services Desired by Individuals whom Reported Having Sought Healthcare Services in the Last 3 Months Prior to Data Collection by HH proximity to frontline or Russian border</t>
  </si>
  <si>
    <t>J_9 Access to Healthcare Services Desired by Individuals whom Reported Having Sought Healthcare Services in the Last 3 Months Prior to Data Collection by HHs with challenge to obtain money</t>
  </si>
  <si>
    <t>J_10 Barriers Individuals Reportedly Experienced that Prevented Access to Healthcare Services Desired in the Last 3 Months Prior to Data Collection overall</t>
  </si>
  <si>
    <t>No barriers experienced</t>
  </si>
  <si>
    <t>No functional health facility nearby</t>
  </si>
  <si>
    <t>Specific service sought unavailable</t>
  </si>
  <si>
    <t>Long waiting time for the service</t>
  </si>
  <si>
    <t>Could not afford cost of consultation/service</t>
  </si>
  <si>
    <t>No means of transport</t>
  </si>
  <si>
    <t>Could not afford transportation to health facility</t>
  </si>
  <si>
    <t>Disability prevents access to health facility</t>
  </si>
  <si>
    <t>Insecurity at health facility</t>
  </si>
  <si>
    <t>Insecurity while travelling to health facility</t>
  </si>
  <si>
    <t>Not enough or no appropriately trained staff at health facility</t>
  </si>
  <si>
    <t>Fear or distrust of health workers, examination or treatment</t>
  </si>
  <si>
    <t>Fear of stigma or prejudice</t>
  </si>
  <si>
    <t>J_10 Barriers Individuals Reportedly Experienced that Prevented Access to Healthcare Services Desired in the Last 3 Months Prior to Data Collection by sex and age</t>
  </si>
  <si>
    <t>J_10 Barriers Individuals Reportedly Experienced that Prevented Access to Healthcare Services Desired in the Last 3 Months Prior to Data Collection by Individuals with a disability</t>
  </si>
  <si>
    <t>J_10 Barriers Individuals Reportedly Experienced that Prevented Access to Healthcare Services Desired in the Last 3 Months Prior to Data Collection by rural or urban</t>
  </si>
  <si>
    <t>J_10 Barriers Individuals Reportedly Experienced that Prevented Access to Healthcare Services Desired in the Last 3 Months Prior to Data Collection by HH with member employed</t>
  </si>
  <si>
    <t>J_10 Barriers Individuals Reportedly Experienced that Prevented Access to Healthcare Services Desired in the Last 3 Months Prior to Data Collection by HHs with an elderly member</t>
  </si>
  <si>
    <t>J_10 Barriers Individuals Reportedly Experienced that Prevented Access to Healthcare Services Desired in the Last 3 Months Prior to Data Collection by HHs with a member with a disability</t>
  </si>
  <si>
    <t>J_10 Barriers Individuals Reportedly Experienced that Prevented Access to Healthcare Services Desired in the Last 3 Months Prior to Data Collection by HH proximity to frontline or Russian border</t>
  </si>
  <si>
    <t>J_10 Barriers Individuals Reportedly Experienced that Prevented Access to Healthcare Services Desired in the Last 3 Months Prior to Data Collection by HHs with challenge to obtain money</t>
  </si>
  <si>
    <t>J_13 Individuals who Reportedly Sought Medicine in the Last 3 Months Prior to Data Collection overall</t>
  </si>
  <si>
    <t>J_13 Individuals who Reportedly Sought Medicine in the Last 3 Months Prior to Data Collection by sex and age</t>
  </si>
  <si>
    <t>J_13 Individuals who Reportedly Sought Medicine in the Last 3 Months Prior to Data Collection by Individuals with a disability</t>
  </si>
  <si>
    <t>J_13 Individuals who Reportedly Sought Medicine in the Last 3 Months Prior to Data Collection by rural or urban</t>
  </si>
  <si>
    <t>66.6%</t>
  </si>
  <si>
    <t>J_13 Individuals who Reportedly Sought Medicine in the Last 3 Months Prior to Data Collection by HH with member employed</t>
  </si>
  <si>
    <t>J_13 Households who Reportedly Sought Medicine in the Last 3 Months Prior to Data Collection by HHs with an elderly member</t>
  </si>
  <si>
    <t>J_13 Households who Reportedly Sought Medicine in the Last 3 Months Prior to Data Collection by HHs with a member with a disability</t>
  </si>
  <si>
    <t>J_13 Households who Reportedly Sought Medicine in the Last 3 Months Prior to Data Collection by HH proximity to frontline or Russian border</t>
  </si>
  <si>
    <t>J_13 Households who Reportedly Sought Medicine in the Last 3 Months Prior to Data Collection by HHs with challenge to obtain money</t>
  </si>
  <si>
    <t>J_15 Medicines Reportedly Sought by Individuals in the Last 3 Months Prior to Data Collection overall</t>
  </si>
  <si>
    <t>Pain or fever medicine</t>
  </si>
  <si>
    <t>Antibiotics</t>
  </si>
  <si>
    <t>Cancer medicines</t>
  </si>
  <si>
    <t>Lung medicine</t>
  </si>
  <si>
    <t>Heart medicine</t>
  </si>
  <si>
    <t>High blood pressure medicine</t>
  </si>
  <si>
    <t>Diabetes medicine</t>
  </si>
  <si>
    <t>Birth control</t>
  </si>
  <si>
    <t>Medicines for mental health conditions</t>
  </si>
  <si>
    <t>Medicines for anxiety</t>
  </si>
  <si>
    <t>Heartburn/stomach upset medications (antacids)</t>
  </si>
  <si>
    <t>Sleeping pills</t>
  </si>
  <si>
    <t>Sinus/cold medicines (decongestants)</t>
  </si>
  <si>
    <t>Allergy medicines (antihistamines)</t>
  </si>
  <si>
    <t>Treatments for constipation (laxatives)</t>
  </si>
  <si>
    <t>I do not know</t>
  </si>
  <si>
    <t>J_15 Medicines Reportedly Sought by Individuals in the Last 3 Months Prior to Data Collection by sex and age</t>
  </si>
  <si>
    <t>J_15 Medicines Reportedly Sought by Individuals in the Last 3 Months Prior to Data Collection by Individuals with a disability</t>
  </si>
  <si>
    <t>J_15 Medicines Reportedly Sought by Individuals in the Last 3 Months Prior to Data Collection by rural or urban</t>
  </si>
  <si>
    <t>J_15 Medicines Reportedly Sought by Individuals in the Last 3 Months Prior to Data Collection by HH with member employed</t>
  </si>
  <si>
    <t>J_15 Medicines Reportedly Sought by Individuals in the Last 3 Months Prior to Data Collection by type of drinking water sources</t>
  </si>
  <si>
    <t>J_15 Medicines Reportedly Sought by Individuals in the Last 3 Months Prior to Data Collection by HHs with an elderly member</t>
  </si>
  <si>
    <t>J_15 Medicines Reportedly Sought by Individuals in the Last 3 Months Prior to Data Collection by HHs with a member with a disability</t>
  </si>
  <si>
    <t>J_15 Medicines Reportedly Sought by Individuals in the Last 3 Months Prior to Data Collection by HH proximity to frontline or Russian border</t>
  </si>
  <si>
    <t>J_15 Medicines Reportedly Sought by Individuals in the Last 3 Months Prior to Data Collection by HHs with challenge to obtain money</t>
  </si>
  <si>
    <t>J_14 Barriers Individuals Reportedly Experienced when Seeking Medicines in the Last 3 Months Prior to Data Collection overall</t>
  </si>
  <si>
    <t>No medicines sought in the last 3 months</t>
  </si>
  <si>
    <t>No barriers experienced when seeking medicines in the last 3 months</t>
  </si>
  <si>
    <t>Specific medicine sought unavailable</t>
  </si>
  <si>
    <t>Could not afford cost of medication</t>
  </si>
  <si>
    <t>Could not afford transportation to pharmacy</t>
  </si>
  <si>
    <t>Disability prevents access to pharmacy</t>
  </si>
  <si>
    <t>No means of transport to reach the closest pharmacy</t>
  </si>
  <si>
    <t>Not safe/insecurity at the pharmacy</t>
  </si>
  <si>
    <t>Not safe/insecurity while travelling to pharmacy</t>
  </si>
  <si>
    <t>Could not take time off work / from caring for children</t>
  </si>
  <si>
    <t>Lack of medicine in pharmacy</t>
  </si>
  <si>
    <t>Lack of necessary documents</t>
  </si>
  <si>
    <t>Specifiy other reason</t>
  </si>
  <si>
    <t>J_14 Barriers Individuals Reportedly Experienced when Seeking Medicines in the Last 3 Months Prior to Data Collection by sex and age</t>
  </si>
  <si>
    <t>J_14 Barriers Individuals Reportedly Experienced when Seeking Medicines in the Last 3 Months Prior to Data Collection by HHs with a member with a disability</t>
  </si>
  <si>
    <t>J_14 Barriers Individuals Reportedly Experienced when Seeking Medicines in the Last 3 Months Prior to Data Collection by rural or urban</t>
  </si>
  <si>
    <t>J_14 Barriers Individuals Reportedly Experienced when Seeking Medicines in the Last 3 Months Prior to Data Collection by HH with member employed</t>
  </si>
  <si>
    <t>J_14 Barriers Individuals Reportedly Experienced when Seeking Medicines in the Last 3 Months Prior to Data Collection by HHs with an elderly member</t>
  </si>
  <si>
    <t>J_14 Barriers Individuals Reportedly Experienced when Seeking Medicines in the Last 3 Months Prior to Data Collection by HH proximity to frontline or Russian border</t>
  </si>
  <si>
    <t>J_14 Barriers Individuals Reportedly Experienced when Seeking Medicines in the Last 3 Months Prior to Data Collection by HHs with challenge to obtain money</t>
  </si>
  <si>
    <t>K_1 Households Reporting a Child Living Outside of their Home overall</t>
  </si>
  <si>
    <t>K_1 Households Reporting a Child Living Outside of their Home by HHs with a member with a disability</t>
  </si>
  <si>
    <t>K_1 Households Reporting a Child Living Outside of their Home by HoHH sex</t>
  </si>
  <si>
    <t>K_1 Households Reporting a Child Living Outside of their Home by rural or urban</t>
  </si>
  <si>
    <t>K_1 Households Reporting a Child Living Outside of their Home by HHs with children</t>
  </si>
  <si>
    <t>K_1 Households Reporting a Child Living Outside of their Home by HHs that received assistance (Protection)</t>
  </si>
  <si>
    <t>assistance_received_protection</t>
  </si>
  <si>
    <t>HHs that did not receive protection assistance</t>
  </si>
  <si>
    <t>HHs that received protection assistance</t>
  </si>
  <si>
    <t>K_2 Number of Children Households Reported as Living Outside of their Home overall</t>
  </si>
  <si>
    <t>K_2 Number of Children Households Reported as Living Outside of their Home by HHs with a member with a disability</t>
  </si>
  <si>
    <t>K_2 Number of Children Households Reported as Living Outside of their Home by HoHH sex</t>
  </si>
  <si>
    <t>K_2 Number of Children Households Reported as Living Outside of their Home by rural or urban</t>
  </si>
  <si>
    <t>K_2 Number of Children Households Reported as Living Outside of their Home by HHs with children</t>
  </si>
  <si>
    <t>K_3 Reasons Households Reported for Children Living Outside of their Home overall</t>
  </si>
  <si>
    <t>Married/with partner and left the house</t>
  </si>
  <si>
    <t>Left the house to seek employment</t>
  </si>
  <si>
    <t>Left the house to study</t>
  </si>
  <si>
    <t>Left the house to seek safety and security, protection</t>
  </si>
  <si>
    <t>Left the house to engage with the army or armed groups</t>
  </si>
  <si>
    <t>Kidnapped/abducted</t>
  </si>
  <si>
    <t>Missing (left and no news, forced transfers of children in institutions, )</t>
  </si>
  <si>
    <t>Arbitrarily detained</t>
  </si>
  <si>
    <t>Child in state care institutions</t>
  </si>
  <si>
    <t>Child with foster family or kinship family or friends</t>
  </si>
  <si>
    <t>K_3 Reasons Households Reported for Children Living Outside of their Home by HHs with a member with a disability</t>
  </si>
  <si>
    <t>K_3 Reasons Households Reported for Children Living Outside of their Home by HoHH sex</t>
  </si>
  <si>
    <t>K_3 Reasons Households Reported for Children Living Outside of their Home by rural or urban</t>
  </si>
  <si>
    <t>K_3 Reasons Households Reported for Children Living Outside of their Home by HHs with children</t>
  </si>
  <si>
    <t>K_4 Concerns in the Last 3 Months Prior to Data Collection that remain actual as of today that Households Reported in Relation to Property or Land overall</t>
  </si>
  <si>
    <t>Damaged housing</t>
  </si>
  <si>
    <t>Destroyed housing</t>
  </si>
  <si>
    <t>Damage or destroyed property other than residential real estate</t>
  </si>
  <si>
    <t>Looting of private property</t>
  </si>
  <si>
    <t>Land contaminated with mines/UXO</t>
  </si>
  <si>
    <t>Property is unlawfully occupied by others</t>
  </si>
  <si>
    <t>Housing and/or land is used for military purposes</t>
  </si>
  <si>
    <t>Property owners do not have an access to it due to the military restrictions, active hostilities, location in NGCA</t>
  </si>
  <si>
    <t>Lack of documents proving ownership of housing</t>
  </si>
  <si>
    <t>Mortgage payments for conflict-affected housing</t>
  </si>
  <si>
    <t>Rental disputes (landlord/tenant problems)</t>
  </si>
  <si>
    <t>Eviction from collective centers</t>
  </si>
  <si>
    <t>Inadequate living conditions in collective centers</t>
  </si>
  <si>
    <t>No social housing available in the area</t>
  </si>
  <si>
    <t>No affordable housing for rent available in the area</t>
  </si>
  <si>
    <t>Rules and processes on housing and land not clear or changing</t>
  </si>
  <si>
    <t>Eviction</t>
  </si>
  <si>
    <t>No concern</t>
  </si>
  <si>
    <t>K_4 Concerns in the Last 3 Months Prior to Data Collection that remain actual as of today that Households Reported in Relation to Property or Land by HHs with a member with a disability</t>
  </si>
  <si>
    <t>K_4 Concerns in the Last 3 Months Prior to Data Collection that remain actual as of today that Households Reported in Relation to Property or Land by HoHH sex</t>
  </si>
  <si>
    <t>K_4 Concerns in the Last 3 Months Prior to Data Collection that remain actual as of today that Households Reported in Relation to Property or Land by rural or urban</t>
  </si>
  <si>
    <t>K_4 Concerns in the Last 3 Months Prior to Data Collection that remain actual as of today that Households Reported in Relation to Property or Land by HHs with children</t>
  </si>
  <si>
    <t>K_4 Concerns in the Last 3 Months Prior to Data Collection that remain actual as of today that Households Reported in Relation to Property or Land by HH proximity to frontline or Russian border</t>
  </si>
  <si>
    <t>K_6 Safety and Security Incidents Households Reported as Experienced in the Last 3 Months Prior to Data Collection overall</t>
  </si>
  <si>
    <t>Armed violence/Shelling</t>
  </si>
  <si>
    <t>Presence of landmines/UXO</t>
  </si>
  <si>
    <t>Attacks on Civilian Facilities (schools, hospitals)</t>
  </si>
  <si>
    <t>Insecure environment due to crime</t>
  </si>
  <si>
    <t>Harassment to disclose information</t>
  </si>
  <si>
    <t>Abduction or forced disappearance</t>
  </si>
  <si>
    <t>Presence of military actors</t>
  </si>
  <si>
    <t>Arbitrary arrest and/or detention</t>
  </si>
  <si>
    <t>Social tension in the community</t>
  </si>
  <si>
    <t>No safety and security concern</t>
  </si>
  <si>
    <t>K_6 Safety and Security Incidents Households Reported as Experienced in the Last 3 Months Prior to Data Collection by HHs with a member with a disability</t>
  </si>
  <si>
    <t>K_6 Safety and Security Incidents Households Reported as Experienced in the Last 3 Months Prior to Data Collection by HoHH sex</t>
  </si>
  <si>
    <t>K_6 Safety and Security Incidents Households Reported as Experienced in the Last 3 Months Prior to Data Collection by rural or urban</t>
  </si>
  <si>
    <t>K_6 Safety and Security Incidents Households Reported as Experienced in the Last 3 Months Prior to Data Collection by HHs with children</t>
  </si>
  <si>
    <t>K_6 Safety and Security Incidents Households Reported as Experienced in the Last 3 Months Prior to Data Collection by HH proximity to frontline or Russian border</t>
  </si>
  <si>
    <t>K_7 Households Reportedly Trained or Briefed on Risks and Safe Behaviours towards Explosive Ordnance overall</t>
  </si>
  <si>
    <t>Yes adequate information</t>
  </si>
  <si>
    <t>Yes but more information required</t>
  </si>
  <si>
    <t>K_7 Households Reportedly Trained or Briefed on Risks and Safe Behaviours towards Explosive Ordnance by HHs with a member with a disability</t>
  </si>
  <si>
    <t>K_7 Households Reportedly Trained or Briefed on Risks and Safe Behaviours towards Explosive Ordnance by HoHH sex</t>
  </si>
  <si>
    <t>K_7 Households Reportedly Trained or Briefed on Risks and Safe Behaviours towards Explosive Ordnance by rural or urban</t>
  </si>
  <si>
    <t>K_7 Households Reportedly Trained or Briefed on Risks and Safe Behaviours towards Explosive Ordnance by HHs with children</t>
  </si>
  <si>
    <t>K_7 Households Reportedly Trained or Briefed on Risks and Safe Behaviours towards Explosive Ordnance by HH proximity to frontline or Russian border</t>
  </si>
  <si>
    <t>K_8 Households Reporting Explosive Ordnance Currently Present in their Community overall</t>
  </si>
  <si>
    <t>Yes, I believe they are present</t>
  </si>
  <si>
    <t>Prefer not to Answer</t>
  </si>
  <si>
    <t>Yes, I've seen them</t>
  </si>
  <si>
    <t>K_8 Households Reporting Explosive Ordnance Currently Present in their Community by HHs with a member with a disability</t>
  </si>
  <si>
    <t>K_8 Households Reporting Explosive Ordnance Currently Present in their Community by HoHH sex</t>
  </si>
  <si>
    <t>K_8 Households Reporting Explosive Ordnance Currently Present in their Community by rural or urban</t>
  </si>
  <si>
    <t>K_8 Households Reporting Explosive Ordnance Currently Present in their Community by HHs with children</t>
  </si>
  <si>
    <t>K_8 Households Reporting Explosive Ordnance Currently Present in their Community by HH proximity to frontline or Russian border</t>
  </si>
  <si>
    <t>K_9 Households Reporting that Explosive Ordnance Affect the Livelihoods of People within their Community overall</t>
  </si>
  <si>
    <t>Don’t Know</t>
  </si>
  <si>
    <t>No - Presence of EO is not affecting anyone's livelihood in the community</t>
  </si>
  <si>
    <t>Yes - Presence of EO is affecting people's livelihood in the community</t>
  </si>
  <si>
    <t>No - EO are not present</t>
  </si>
  <si>
    <t>K_9 Households Reporting that Explosive Ordnance Affect the Livelihoods of People within their Community by HHs with a member with a disability</t>
  </si>
  <si>
    <t>K_9 Households Reporting that Explosive Ordnance Affect the Livelihoods of People within their Community by HoHH sex</t>
  </si>
  <si>
    <t>K_9 Households Reporting that Explosive Ordnance Affect the Livelihoods of People within their Community by rural or urban</t>
  </si>
  <si>
    <t>K_9 Households Reporting that Explosive Ordnance Affect the Livelihoods of People within their Community by HH proximity to frontline or Russian border</t>
  </si>
  <si>
    <t>K_9 Households Reporting that Explosive Ordnance Affect the Livelihoods of People within their Community by HHs with children</t>
  </si>
  <si>
    <t>K_10 Households Reporting Cases of Civilian Injured or Killed by Explosive Ordnance in their Community in the Last 6 Months Prior to Data Collection overall</t>
  </si>
  <si>
    <t>K_10 Households Reporting Cases of Civilian Injured or Killed by Explosive Ordnance in their Community in the Last 6 Months Prior to Data Collection by HHs with a member with a disability</t>
  </si>
  <si>
    <t>K_10 Households Reporting Cases of Civilian Injured or Killed by Explosive Ordnance in their Community in the Last 6 Months Prior to Data Collection by HoHH sex</t>
  </si>
  <si>
    <t>K_10 Households Reporting Cases of Civilian Injured or Killed by Explosive Ordnance in their Community in the Last 6 Months Prior to Data Collection by rural or urban</t>
  </si>
  <si>
    <t>K_10 Households Reporting Cases of Civilian Injured or Killed by Explosive Ordnance in their Community in the Last 6 Months Prior to Data Collection by HHs with children</t>
  </si>
  <si>
    <t>K_10 Households Reporting Cases of Civilian Injured or Killed by Explosive Ordnance in their Community in the Last 6 Months Prior to Data Collection by HH proximity to frontline or Russian border</t>
  </si>
  <si>
    <t>K_11 Main Safety and Security Concerns for Women in the Area Reported by Households overall</t>
  </si>
  <si>
    <t>Being sent abroad to find work</t>
  </si>
  <si>
    <t>Being sent abroad for protection</t>
  </si>
  <si>
    <t>Being injured/killed by an explosive hazard (including mine / UXO)</t>
  </si>
  <si>
    <t>Being kidnapped</t>
  </si>
  <si>
    <t>Being robbed</t>
  </si>
  <si>
    <t>Suffering from physical harassment or violence (not sexual)</t>
  </si>
  <si>
    <t>Suffering from sexual harassment or violence</t>
  </si>
  <si>
    <t>Suffering from verbal harassment</t>
  </si>
  <si>
    <t>Suffering from economic violence</t>
  </si>
  <si>
    <t>Discrimination or persecution (because of ethnicity, status, etc.)</t>
  </si>
  <si>
    <t>Being killed</t>
  </si>
  <si>
    <t>Being injured</t>
  </si>
  <si>
    <t>Being detained</t>
  </si>
  <si>
    <t>Being exploited (i.e. being engaged in harmful forms of labor for economic gain of the exploiter)</t>
  </si>
  <si>
    <t>K_11 Main Safety and Security Concerns for Women in the Area Reported by Households by HHs with a member with a disability</t>
  </si>
  <si>
    <t>K_11 Main Safety and Security Concerns for Women in the Area Reported by Households by HoHH sex</t>
  </si>
  <si>
    <t>K_11 Main Safety and Security Concerns for Women in the Area Reported by Households by rural or urban</t>
  </si>
  <si>
    <t>K_11 Main Safety and Security Concerns for Women in the Area Reported by Households by HHs with children</t>
  </si>
  <si>
    <t>K_11 Main Safety and Security Concerns for Women in the Area Reported by Households by HH proximity to frontline or Russian border</t>
  </si>
  <si>
    <t>K_13 Main Safety and Security Concerns for Children in the Area Reported by Households overall</t>
  </si>
  <si>
    <t>Being recruited by armed forces</t>
  </si>
  <si>
    <t>Being separated from their caregivers</t>
  </si>
  <si>
    <t>K_13 Main Safety and Security Concerns for Children in the Area Reported by Households by HHs with a member with a disability</t>
  </si>
  <si>
    <t>K_13 Main Safety and Security Concerns for Children in the Area Reported by Households by HoHH sex</t>
  </si>
  <si>
    <t>K_13 Main Safety and Security Concerns for Children in the Area Reported by Households by rural or urban</t>
  </si>
  <si>
    <t>K_13 Main Safety and Security Concerns for Children in the Area Reported by Households by HHs with children</t>
  </si>
  <si>
    <t>K_13 Main Safety and Security Concerns for Children in the Area Reported by Households by HH proximity to frontline or Russian border</t>
  </si>
  <si>
    <t>K_12 Households Reporting Need to Access Social Services Provided by the Government in the Last 3 Months Prior to Data Collection overall</t>
  </si>
  <si>
    <t>K_12 Households Reporting Need to Access Social Services Provided by the Government in the Last 3 Months Prior to Data Collection by HHs with a member with a disability</t>
  </si>
  <si>
    <t>K_12 Households Reporting Need to Access Social Services Provided by the Government in the Last 3 Months Prior to Data Collection by HoHH sex</t>
  </si>
  <si>
    <t>K_12 Households Reporting Need to Access Social Services Provided by the Government in the Last 3 Months Prior to Data Collection by HH proximity to frontline or Russian border</t>
  </si>
  <si>
    <t>K_12 Households Reporting Need to Access Social Services Provided by the Government in the Last 3 Months Prior to Data Collection by rural or urban</t>
  </si>
  <si>
    <t>K_18 Legal Assistance Households Reported to Require overall</t>
  </si>
  <si>
    <t>No,</t>
  </si>
  <si>
    <t>Don’t know,</t>
  </si>
  <si>
    <t>Yes - to obtain identity documents</t>
  </si>
  <si>
    <t>Yes - to obtain civil documents (birth, death, marriage, divorce)</t>
  </si>
  <si>
    <t>Yes - to obtain property documentation</t>
  </si>
  <si>
    <t>Yes - to apply for compensation for damaged or destroyed property</t>
  </si>
  <si>
    <t>Yes - to access pensions</t>
  </si>
  <si>
    <t>Yes - to access social benefits</t>
  </si>
  <si>
    <t>Yes - to apply for subsidies</t>
  </si>
  <si>
    <t>Yes - other reason (please specify)</t>
  </si>
  <si>
    <t>K_18 Legal Assistance Households Reported to Require by HHs with a member with a disability</t>
  </si>
  <si>
    <t>K_18 Legal Assistance Households Reported to Require by HoHH sex</t>
  </si>
  <si>
    <t>K_18 Legal Assistance Households Reported to Require by rural or urban</t>
  </si>
  <si>
    <t>K_18 Legal Assistance Households Reported to Require by HH proximity to frontline or Russian border</t>
  </si>
  <si>
    <t>K_18 Legal Assistance Households Reported to Require by HHs with only elderly members</t>
  </si>
  <si>
    <t>K_14 GBV Response Services Households Reported being Aware as Available in their Community overall</t>
  </si>
  <si>
    <t>Violence against women hotline</t>
  </si>
  <si>
    <t>Survivors of violence against women's relief center</t>
  </si>
  <si>
    <t>Psychosocial support for women and girls (how to seek help when under distress?)</t>
  </si>
  <si>
    <t>Psychosocial support for men and boys</t>
  </si>
  <si>
    <t>Recreational activities organized for women and girls at Women and Girls Safe Spaces</t>
  </si>
  <si>
    <t>Reproductive health services for women and girls</t>
  </si>
  <si>
    <t>Services offered for women and girls, men and boys if they experience some form of violence (sexual, physical, economic)</t>
  </si>
  <si>
    <t>Legal Services</t>
  </si>
  <si>
    <t>None of these services are available</t>
  </si>
  <si>
    <t>K_14 GBV Response Services Households Reported being Aware as Available in their Community by HHs with a member with a disability</t>
  </si>
  <si>
    <t>K_14 GBV Response Services Households Reported being Aware as Available in their Community by HoHH sex</t>
  </si>
  <si>
    <t>K_14 GBV Response Services Households Reported being Aware as Available in their Community by rural or urban</t>
  </si>
  <si>
    <t>K_14 GBV Response Services Households Reported being Aware as Available in their Community by HHs with children</t>
  </si>
  <si>
    <t>K_15 Barriers Households Reported in Accessing GBV Response Services overall</t>
  </si>
  <si>
    <t>No barriers</t>
  </si>
  <si>
    <t>Don’t know how to access these services</t>
  </si>
  <si>
    <t>Women and girls are too busy with household chores to access these services</t>
  </si>
  <si>
    <t>Travel to these services is difficult</t>
  </si>
  <si>
    <t>Travel to these services is unsafe</t>
  </si>
  <si>
    <t>Women and girls feel discriminated against (social stigma) while accessing these services</t>
  </si>
  <si>
    <t>There are financial constraints to access these services</t>
  </si>
  <si>
    <t>Parents do not allow girls to access these services</t>
  </si>
  <si>
    <t>These services are too busy, with long waiting times</t>
  </si>
  <si>
    <t>The quality of services is not good</t>
  </si>
  <si>
    <t>Services are not always functional</t>
  </si>
  <si>
    <t>K_15 Barriers Households Reported in Accessing GBV Response Services by HHs with a member with a disability</t>
  </si>
  <si>
    <t>K_15 Barriers Households Reported in Accessing GBV Response Services by HoHH sex</t>
  </si>
  <si>
    <t>K_15 Barriers Households Reported in Accessing GBV Response Services by rural or urban</t>
  </si>
  <si>
    <t>K_15 Barriers Households Reported in Accessing GBV Response Services by HH sex composition</t>
  </si>
  <si>
    <t>hh_composition_sex</t>
  </si>
  <si>
    <t>HHs with Female members only</t>
  </si>
  <si>
    <t>HHs with Male and Female members</t>
  </si>
  <si>
    <t>HHs with Male members only</t>
  </si>
  <si>
    <t>K_16 Child Well-being Services Households Reporting being Aware as Available in their Community overall</t>
  </si>
  <si>
    <t>Mental health and psychosocial support services for girls and boys</t>
  </si>
  <si>
    <t>Social services for girls and boys</t>
  </si>
  <si>
    <t>supportive group activities</t>
  </si>
  <si>
    <t>None of these services are available here</t>
  </si>
  <si>
    <t>K_16 Child Well-being Services Households Reporting being Aware as Available in their Community by HHs with a member with a disability</t>
  </si>
  <si>
    <t>K_16 Child Well-being Services Households Reporting being Aware as Available in their Community by HoHH sex</t>
  </si>
  <si>
    <t>K_16 Child Well-being Services Households Reporting being Aware as Available in their Community by rural or urban</t>
  </si>
  <si>
    <t>K_16 Child Well-being Services Households Reporting being Aware as Available in their Community by HHs with children</t>
  </si>
  <si>
    <t>K_16 Child Well-being Services Households Reporting being Aware as Available in their Community by HHs with boys and or or girls</t>
  </si>
  <si>
    <t>hh_children_composition</t>
  </si>
  <si>
    <t>HHs with boys</t>
  </si>
  <si>
    <t>HHs with girls</t>
  </si>
  <si>
    <t>HHs with girls and boys</t>
  </si>
  <si>
    <t>HHs without children</t>
  </si>
  <si>
    <t>K_17 Barriers Households Reported in Accessing Child Well-being Services overall</t>
  </si>
  <si>
    <t>Parents do not allow them</t>
  </si>
  <si>
    <t>They are busy with HH chore,</t>
  </si>
  <si>
    <t>Social workers from State institutions do not visit settlement often</t>
  </si>
  <si>
    <t>Difficulties to reach</t>
  </si>
  <si>
    <t>Always too many people/too long to wait</t>
  </si>
  <si>
    <t>Services are not accessible to children with disabilities/ UASCs</t>
  </si>
  <si>
    <t>Feel discriminated against</t>
  </si>
  <si>
    <t>Safety and security concerns (on the road)</t>
  </si>
  <si>
    <t>Safety and security concerns (fear of reprisals)</t>
  </si>
  <si>
    <t>Safety and privacy concern (do not trust the staff or trust that my information will be kept private)</t>
  </si>
  <si>
    <t>Financial constraints</t>
  </si>
  <si>
    <t>Lack of civil documentation to access these service</t>
  </si>
  <si>
    <t>Distance (lack of transportation/ cannot afford transportation)</t>
  </si>
  <si>
    <t>Services are not always functional (opened half of the day or some days a week)</t>
  </si>
  <si>
    <t>Lack of information on CP services (uncertain of what type of help is available and offered)</t>
  </si>
  <si>
    <t>K_17 Barriers Households Reported in Accessing Child Well-being Services by HHs with a member with a disability</t>
  </si>
  <si>
    <t>K_17 Barriers Households Reported in Accessing Child Well-being Services by HoHH sex</t>
  </si>
  <si>
    <t>K_17 Barriers Households Reported in Accessing Child Well-being Services by rural or urban</t>
  </si>
  <si>
    <t>K_17 Barriers Households Reported in Accessing Child Well-being Services by HHs with children</t>
  </si>
  <si>
    <t>K_17 Barriers Households Reported in Accessing Child Well-being Services by HHs with boys and or or girls</t>
  </si>
  <si>
    <t>L_1 Top Five Priority Needs Reported by Households overall</t>
  </si>
  <si>
    <t>Drinking water</t>
  </si>
  <si>
    <t>Food</t>
  </si>
  <si>
    <t>Baby products and/or baby food</t>
  </si>
  <si>
    <t>Provide accommodation</t>
  </si>
  <si>
    <t>Rent support</t>
  </si>
  <si>
    <t>Repair of inadequate/damaged accommodation</t>
  </si>
  <si>
    <t>Healthcare</t>
  </si>
  <si>
    <t>Provision of medicines</t>
  </si>
  <si>
    <t>Hygiene NFIs</t>
  </si>
  <si>
    <t>Wash facilities (repair / installment of bathing, shower, toilet including hot water)</t>
  </si>
  <si>
    <t>Cooking facilities</t>
  </si>
  <si>
    <t>Clothing (including winter clothes, coats, boots)</t>
  </si>
  <si>
    <t>Bedding / blankets</t>
  </si>
  <si>
    <t>Fuel for heating</t>
  </si>
  <si>
    <t>Livelihoods support / employment</t>
  </si>
  <si>
    <t>Financial assistance to repay debt</t>
  </si>
  <si>
    <t>Education for children under 18</t>
  </si>
  <si>
    <t>Psychosocial support</t>
  </si>
  <si>
    <t>Support for survivors of GBV</t>
  </si>
  <si>
    <t>Legal services</t>
  </si>
  <si>
    <t>Assistive devices for persons with disabilities</t>
  </si>
  <si>
    <t>Home based care for older people or people with limited mobility</t>
  </si>
  <si>
    <t>Explosive Ordnance Risk Education to prevent mine injuries</t>
  </si>
  <si>
    <t>Child care services</t>
  </si>
  <si>
    <t>Assistance for evacuation</t>
  </si>
  <si>
    <t>L_1 Top Five Priority Needs Reported by Households by HHs with a member with a disability</t>
  </si>
  <si>
    <t>L_1 Top Five Priority Needs Reported by Households by HoHH sex</t>
  </si>
  <si>
    <t>L_1 Top Five Priority Needs Reported by Households by rural or urban</t>
  </si>
  <si>
    <t>L_1 Top Five Priority Needs Reported by Households by assistance received</t>
  </si>
  <si>
    <t>L_1 Top Five Priority Needs Reported by Households by HHs with challenge to obtain money</t>
  </si>
  <si>
    <t>L_1 Top Five Priority Needs Reported by Households by HH proximity to frontline or Russian border</t>
  </si>
  <si>
    <t>L_1 Top Five Priority Needs Reported by Households by HH that adopted or not adopted livelihood coping strategies</t>
  </si>
  <si>
    <t>livelihood_coping_strategy</t>
  </si>
  <si>
    <t>HHs using at least one 'crisis' strategy</t>
  </si>
  <si>
    <t>HHs using at least one 'emergency' strategy</t>
  </si>
  <si>
    <t>HHs using at least one 'stress' strategy</t>
  </si>
  <si>
    <t>HHs using no coping strategies</t>
  </si>
  <si>
    <t>L_2 Preferences to Receive Future Humanitarian Assistance Reported by Households overall</t>
  </si>
  <si>
    <t>Do not want to receive humanitarian assistance</t>
  </si>
  <si>
    <t>In-kind</t>
  </si>
  <si>
    <t>Cash assistance (for basic needs)</t>
  </si>
  <si>
    <t>Services</t>
  </si>
  <si>
    <t>L_2 Preferences to Receive Future Humanitarian Assistance Reported by Households by HHs with a member with a disability</t>
  </si>
  <si>
    <t>L_2 Preferences to Receive Future Humanitarian Assistance Reported by Households by HoHH sex</t>
  </si>
  <si>
    <t>L_2 Preferences to Receive Future Humanitarian Assistance Reported by Households by rural or urban</t>
  </si>
  <si>
    <t>L_2 Preferences to Receive Future Humanitarian Assistance Reported by Households by assistance received</t>
  </si>
  <si>
    <t>L_2 Preferences to Receive Future Humanitarian Assistance Reported by Households by HHs with challenge to obtain money</t>
  </si>
  <si>
    <t>L_2 Preferences to Receive Future Humanitarian Assistance Reported by Households by HH proximity to frontline or Russian border</t>
  </si>
  <si>
    <t>L_4 Households Reported to have Received Humanitarian Assistance in the Last 3 Months Prior to Data Collection overall</t>
  </si>
  <si>
    <t>L_4 Households Reported to have Received Humanitarian Assistance in the Last 3 Months Prior to Data Collection by HHs with a member with a disability</t>
  </si>
  <si>
    <t>L_4 Households Reported to have Received Humanitarian Assistance in the Last 3 Months Prior to Data Collection by HoHH sex</t>
  </si>
  <si>
    <t>L_4 Households Reported to have Received Humanitarian Assistance in the Last 3 Months Prior to Data Collection by rural or urban</t>
  </si>
  <si>
    <t>L_4 Households Reported to have Received Humanitarian Assistance in the Last 3 Months Prior to Data Collection by HH proximity to frontline or Russian border</t>
  </si>
  <si>
    <t>L_7 Barriers Households Faced in Accessing Humanitarian Assistance in the Last 3 Months Prior to Data Collection overall</t>
  </si>
  <si>
    <t>Yes, do not have enough information on how to register for assistance</t>
  </si>
  <si>
    <t>Yes, do not have enough information on where humanitarian assistance is provided</t>
  </si>
  <si>
    <t>Yes, do not have necessary documents</t>
  </si>
  <si>
    <t>Yes, registration process is too long/complicated</t>
  </si>
  <si>
    <t>Yes, we were considered as not eligible</t>
  </si>
  <si>
    <t>Yes, did not have information on how it would be provided</t>
  </si>
  <si>
    <t>No, no barriers</t>
  </si>
  <si>
    <t>L_7 Barriers Households Faced in Accessing Humanitarian Assistance in the Last 3 Months Prior to Data Collection by HHs with a member with a disability</t>
  </si>
  <si>
    <t>L_7 Barriers Households Faced in Accessing Humanitarian Assistance in the Last 3 Months Prior to Data Collection by HoHH sex</t>
  </si>
  <si>
    <t>L_7 Barriers Households Faced in Accessing Humanitarian Assistance in the Last 3 Months Prior to Data Collection by rural or urban</t>
  </si>
  <si>
    <t>L_7 Barriers Households Faced in Accessing Humanitarian Assistance in the Last 3 Months Prior to Data Collection by HH proximity to frontline or Russian border</t>
  </si>
  <si>
    <t>L_8 Top Three Types of Information Households Would Like to Receive from Humanitarian Assistance Providers overall</t>
  </si>
  <si>
    <t>News on what is happening in other parts of Ukraine</t>
  </si>
  <si>
    <t>News on what is happening in area of origin</t>
  </si>
  <si>
    <t>Finding missing people</t>
  </si>
  <si>
    <t>The security situation here</t>
  </si>
  <si>
    <t>How to register for aid from the Ukraine government or humanitarian agencies</t>
  </si>
  <si>
    <t>How to stay safe in the event of missile / rocket / artillery / nuclear attacks</t>
  </si>
  <si>
    <t>How to get food assistance (food items)</t>
  </si>
  <si>
    <t>How to get shelter assistance (repairs, NFIs, winterization kits)</t>
  </si>
  <si>
    <t>How to get health assistance (cash for healthcare, medicine, treatments, services)</t>
  </si>
  <si>
    <t>How to ge WASH assistance (personal hygiene items, water, cleaning, shelter repairs)</t>
  </si>
  <si>
    <t>How to get protection assistance</t>
  </si>
  <si>
    <t>How to get cash assistance (multi-purpose cash for basic needs, including food)</t>
  </si>
  <si>
    <t>How to access Government's social benefits and assistance</t>
  </si>
  <si>
    <t>Info about relocation or evacuation</t>
  </si>
  <si>
    <t>Info about the aid agencies they are receiving aid from</t>
  </si>
  <si>
    <t>How to complain about the humanitarian assistance you are receiving</t>
  </si>
  <si>
    <t>How to complain about bad behaviour of aid workers</t>
  </si>
  <si>
    <t>L_8 Top Three Types of Information Households Would Like to Receive from Humanitarian Assistance Providers by HHs with a member with a disability</t>
  </si>
  <si>
    <t>L_8 Top Three Types of Information Households Would Like to Receive from Humanitarian Assistance Providers by HoHH sex</t>
  </si>
  <si>
    <t>L_8 Top Three Types of Information Households Would Like to Receive from Humanitarian Assistance Providers by rural or urban</t>
  </si>
  <si>
    <t>L_8 Top Three Types of Information Households Would Like to Receive from Humanitarian Assistance Providers by HH proximity to frontline or Russian border</t>
  </si>
  <si>
    <t>L_8 Top Three Types of Information Households Would Like to Receive from Humanitarian Assistance Providersby HH with or without children</t>
  </si>
  <si>
    <t>L_8 Top Three Types of Information Households Would Like to Receive from Humanitarian Assistance Providersby HH that adopted or not adopted livelihood coping strategies</t>
  </si>
  <si>
    <t>L_9 Preferences Households Reported for Communication with Humanitarian Assistance Providers overall</t>
  </si>
  <si>
    <t>Face to face (at home) with aid worker</t>
  </si>
  <si>
    <t>Face to face (in office/other venue) with aid worker</t>
  </si>
  <si>
    <t>Face to face with member of the community</t>
  </si>
  <si>
    <t>Phone call</t>
  </si>
  <si>
    <t>SMS</t>
  </si>
  <si>
    <t>Messenger apps (WhatsApp, Telegram, Viber, Signal)</t>
  </si>
  <si>
    <t>Social media (Instagram, Facebook, Twitter)</t>
  </si>
  <si>
    <t>Letter</t>
  </si>
  <si>
    <t>TV</t>
  </si>
  <si>
    <t>Newspaper, magazines</t>
  </si>
  <si>
    <t>Billboard, posters</t>
  </si>
  <si>
    <t>Leaflets</t>
  </si>
  <si>
    <t>E-Mail</t>
  </si>
  <si>
    <t>Complaint &amp; Suggestion Box</t>
  </si>
  <si>
    <t>Do not want to provide feedback</t>
  </si>
  <si>
    <t>L_9 Preferences Households Reported for Communication with Humanitarian Assistance Providers by HHs with a member with a disability</t>
  </si>
  <si>
    <t>L_9 Preferences Households Reported for Communication with Humanitarian Assistance Providers by HoHH sex</t>
  </si>
  <si>
    <t>L_9 Preferences Households Reported for Communication with Humanitarian Assistance Providers by rural or urban</t>
  </si>
  <si>
    <t>L_9 Preferences Households Reported for Communication with Humanitarian Assistance Providers by HH proximity to frontline or Russian border</t>
  </si>
  <si>
    <t>L_4 Household Reportedly Receiving Assistance by Types of Assistance in the Last 3 Months by overall</t>
  </si>
  <si>
    <t>num_samples_L_4_1_assistance_received_food</t>
  </si>
  <si>
    <t>No_L_4_1_assistance_received_food</t>
  </si>
  <si>
    <t>Yes_L_4_1_assistance_received_food</t>
  </si>
  <si>
    <t>num_samples_L_4_2_assistance_received_shelter</t>
  </si>
  <si>
    <t>No_L_4_2_assistance_received_shelter</t>
  </si>
  <si>
    <t>Yes_L_4_2_assistance_received_shelter</t>
  </si>
  <si>
    <t>Dont know_L_4_2_assistance_received_shelter</t>
  </si>
  <si>
    <t>num_samples_L_4_3_assistance_received_health</t>
  </si>
  <si>
    <t>No_L_4_3_assistance_received_health</t>
  </si>
  <si>
    <t>Yes_L_4_3_assistance_received_health</t>
  </si>
  <si>
    <t>Dont know_L_4_3_assistance_received_health</t>
  </si>
  <si>
    <t>num_samples_L_4_4_assistance_received_wash</t>
  </si>
  <si>
    <t>No_L_4_4_assistance_received_wash</t>
  </si>
  <si>
    <t>Yes_L_4_4_assistance_received_wash</t>
  </si>
  <si>
    <t>Dont know_L_4_4_assistance_received_wash</t>
  </si>
  <si>
    <t>num_samples_L_4_5_assistance_received_protection</t>
  </si>
  <si>
    <t>No_L_4_5_assistance_received_protection</t>
  </si>
  <si>
    <t>Yes_L_4_5_assistance_received_protection</t>
  </si>
  <si>
    <t>Dont know_L_4_5_assistance_received_protection</t>
  </si>
  <si>
    <t>num_samples_L_4_6_assistance_received_cash</t>
  </si>
  <si>
    <t>No_L_4_6_assistance_received_cash</t>
  </si>
  <si>
    <t>Yes_L_4_6_assistance_received_cash</t>
  </si>
  <si>
    <t>num_samples_L_4_7_assistance_received_other_assistance</t>
  </si>
  <si>
    <t>No_L_4_7_assistance_received_other_assistance</t>
  </si>
  <si>
    <t>Yes_L_4_7_assistance_received_other_assistance</t>
  </si>
  <si>
    <t>Dont know_L_4_7_assistance_received_other_assistance</t>
  </si>
  <si>
    <t>L_4 Household Reportedly Receiving Assistance by Types of Assistance in the Last 3 Months by HoHH sex</t>
  </si>
  <si>
    <t>L_4 Household Reportedly Receiving Assistance by Types of Assistance in the Last 3 Months by rural or urban</t>
  </si>
  <si>
    <t>L_4 Household Reportedly Receiving Assistance by Types of Assistance in the Last 3 Months by displacement status</t>
  </si>
  <si>
    <t>displacement_status</t>
  </si>
  <si>
    <t>Displaced</t>
  </si>
  <si>
    <t>Non-displaced</t>
  </si>
  <si>
    <t>L_5 Household Satisfaction with the Food Assistance Received in the Last 3 Months by overall</t>
  </si>
  <si>
    <t>Dissatisfied</t>
  </si>
  <si>
    <t>Neither satisfied nor dissatisfied</t>
  </si>
  <si>
    <t>Satisfied</t>
  </si>
  <si>
    <t>Very Dissatisfied</t>
  </si>
  <si>
    <t>Very satisfied</t>
  </si>
  <si>
    <t>L_5 Household Satisfaction with the Shelter Assistance Received in the Last 3 Months by overall</t>
  </si>
  <si>
    <t>L_5 Household Satisfaction with the Health Assistance Received in the Last 3 Months by overall</t>
  </si>
  <si>
    <t>L_5 Household Satisfaction with the WASH Assistance Received in the Last 3 Monthsby overall</t>
  </si>
  <si>
    <t>L_5 Household Satisfaction with the Protection Assistance Received in the Last 3 Months by overall</t>
  </si>
  <si>
    <t>L_5 Household Satisfaction with the Cash Assistance Received in the Last 3 Months by overall</t>
  </si>
  <si>
    <t>L_5 Household Satisfaction with the Other Assistance Received in the Last 3 Months by overall</t>
  </si>
  <si>
    <t>L_5 Household Satisfaction with the Food Assistance Received in the Last 3 Months by head of household sex</t>
  </si>
  <si>
    <t>L_5 Household Satisfaction with the Shelter Assistance Received in the Last 3 Months by head of household sex</t>
  </si>
  <si>
    <t>L_5 Household Satisfaction with the Health Assistance Received in the Last 3 Months by head of household sex</t>
  </si>
  <si>
    <t>L_5 Household Satisfaction with the WASH Assistance Received in the Last 3 Months by head of household sex</t>
  </si>
  <si>
    <t>L_5 Household Satisfaction with the Protection Assistance Received in the Last 3 Months by head of household sex</t>
  </si>
  <si>
    <t>L_5 Household Satisfaction with the Cash Assistance Received in the Last 3 Months by head of household sex</t>
  </si>
  <si>
    <t>L_5 Household Satisfaction with the Other Assistance Received in the Last 3 Months by head of household sex</t>
  </si>
  <si>
    <t>L_5 Household Satisfaction with the Food Assistance Received in the Last 3 Months by rural or urban</t>
  </si>
  <si>
    <t>L_5 Household Satisfaction with the Shelter Assistance Received in the Last 3 Months by rural or urban</t>
  </si>
  <si>
    <t>L_5 Household Satisfaction with the Health Assistance Received in the Last 3 Months by rural or urban</t>
  </si>
  <si>
    <t>L_5 Household Satisfaction with the WASH Assistance Received in the Last 3 Months by rural or urban</t>
  </si>
  <si>
    <t>L_5 Household Satisfaction with the Protection Assistance Received in the Last 3 Months by rural or urban</t>
  </si>
  <si>
    <t>L_5 Household Satisfaction with the Cash Assistance Received in the Last 3 Months by rural or urban</t>
  </si>
  <si>
    <t>L_5 Household Satisfaction with the Other Assistance Received in the Last 3 Months by rural or urban</t>
  </si>
  <si>
    <t>L_5 Household Satisfaction with the Food Assistance Received in the Last 3 Months by displacement status</t>
  </si>
  <si>
    <t>L_5 Household Satisfaction with the Shelter Assistance Received in the Last 3 Months by displacement status</t>
  </si>
  <si>
    <t>L_5 Household Satisfaction with the Health Assistance Received in the Last 3 Months by displacement status</t>
  </si>
  <si>
    <t>L_5 Household Satisfaction with the WASH Assistance Received in the Last 3 Months by displacement status</t>
  </si>
  <si>
    <t>L_5 Household Satisfaction with the Protection Assistance Received in the Last 3 Months by displacement status</t>
  </si>
  <si>
    <t>L_5 Household Satisfaction with the Cash Assistance Received in the Last 3 Months by displacement status</t>
  </si>
  <si>
    <t>L_5 Household Satisfaction with the Other Assistance Received in the Last 3 Months by displacement status</t>
  </si>
  <si>
    <t>L_6 Reasons for Household Satisfaction with the Food Assistance Received in the Last 3 Months by overall</t>
  </si>
  <si>
    <t>Quality was not good enough</t>
  </si>
  <si>
    <t>Quantity was not good enough</t>
  </si>
  <si>
    <t>Inconsistent / irregular assistance</t>
  </si>
  <si>
    <t>Did not receive the aid on time/ Delays in delivery of aid</t>
  </si>
  <si>
    <t>Type of assistance was not appropriate/needed</t>
  </si>
  <si>
    <t>Assistance was not delivered in a fair, impartial manner</t>
  </si>
  <si>
    <t>Inappropriate behavior of aid workers</t>
  </si>
  <si>
    <t>Difficult to access distribution point (long way, expensive transport)</t>
  </si>
  <si>
    <t>Difficult to access aid for certain population groups (elderly, persons with disabilities, women, children, pregnant and lactacting women, LGBTQ, chronically ill)</t>
  </si>
  <si>
    <t>The communication about time, location, and requirement of assistance was unclear</t>
  </si>
  <si>
    <t>L_6 Reasons for Household Satisfaction with the Shelter Assistance Received in the Last 3 Months by overall</t>
  </si>
  <si>
    <t>L_6 Reasons for Household Satisfaction with the Health Assistance Received in the Last 3 Months by overall</t>
  </si>
  <si>
    <t>L_6 Reasons for Household Satisfaction with the WASH Assistance Received in the Last 3 Monthsby overall</t>
  </si>
  <si>
    <t>L_6 Reasons for Household Satisfaction with the Protection Assistance Received in the Last 3 Months by overall</t>
  </si>
  <si>
    <t>L_6 Reasons for Household Satisfaction with the Cash Assistance Received in the Last 3 Months by overall</t>
  </si>
  <si>
    <t>L_6 Reasons for Household Satisfaction with the Food Assistance Received in the Last 3 Months by head of household sex</t>
  </si>
  <si>
    <t>L_6 Reasons for Household Satisfaction with the Shelter Assistance Received in the Last 3 Months by head of household sex</t>
  </si>
  <si>
    <t>L_6 Reasons for Household Satisfaction with the Health Assistance Received in the Last 3 Months by head of household sex</t>
  </si>
  <si>
    <t>L_6 Reasons for Household Satisfaction with the WASH Assistance Received in the Last 3 Months by head of household sex</t>
  </si>
  <si>
    <t>L_6 Reasons for Household Satisfaction with the Protection Assistance Received in the Last 3 Months by head of household sex</t>
  </si>
  <si>
    <t>L_6 Reasons for Household Satisfaction with the Cash Assistance Received in the Last 3 Months by head of household sex</t>
  </si>
  <si>
    <t>L_6 Reasons for Household Satisfaction with the Food Assistance Received in the Last 3 Months by rural or urban</t>
  </si>
  <si>
    <t>L_6 Reasons for Household Satisfaction with the Shelter Assistance Received in the Last 3 Months by rural or urban</t>
  </si>
  <si>
    <t>L_6 Reasons for Household Satisfaction with the Health Assistance Received in the Last 3 Months by rural or urban</t>
  </si>
  <si>
    <t>L_6 Reasons for Household Satisfaction with the WASH Assistance Received in the Last 3 Months by rural or urban</t>
  </si>
  <si>
    <t>L_6 Reasons for Household Satisfaction with the Protection Assistance Received in the Last 3 Months by rural or urban</t>
  </si>
  <si>
    <t>L_6 Reasons for Household Satisfaction with the Cash Assistance Received in the Last 3 Months by rural or urban</t>
  </si>
  <si>
    <t>L_6 Reasons for Household Satisfaction with the Food Assistance Received in the Last 3 Months by displacement status</t>
  </si>
  <si>
    <t>L_6 Reasons for Household Satisfaction with the Shelter Assistance Received in the Last 3 Months by displacement status</t>
  </si>
  <si>
    <t>L_6 Reasons for Household Satisfaction with the Health Assistance Received in the Last 3 Months by displacement status</t>
  </si>
  <si>
    <t>L_6 Reasons for Household Satisfaction with the WASH Assistance Received in the Last 3 Months by displacement status</t>
  </si>
  <si>
    <t>L_6 Reasons for Household Satisfaction with the Protection Assistance Received in the Last 3 Months by displacement status</t>
  </si>
  <si>
    <t>L_6 Reasons for Household Satisfaction with the Cash Assistance Received in the Last 3 Months by displacement status</t>
  </si>
  <si>
    <t>CS_1 Access the organization focal point in the site by overall</t>
  </si>
  <si>
    <t>No, there is no focal point in the site</t>
  </si>
  <si>
    <t>Yes, during the day only</t>
  </si>
  <si>
    <t>Yes, someone is here 24/7</t>
  </si>
  <si>
    <t>Yes, Visits periodically (not every day)</t>
  </si>
  <si>
    <t>CS_1 Access the organization focal point in the site by HH with at least one member with disability</t>
  </si>
  <si>
    <t>CS_1 Access the organization focal point in the site by HH with member employed</t>
  </si>
  <si>
    <t>CS_1 Access the organization focal point in the site by HHs with children</t>
  </si>
  <si>
    <t>CS_1 Access the organization focal point in the site by HoHH Age</t>
  </si>
  <si>
    <t>hohh_age_group</t>
  </si>
  <si>
    <t>18-25 y.o. HoHHs</t>
  </si>
  <si>
    <t>26-50 y.o. HoHHs</t>
  </si>
  <si>
    <t>51-65 y.o. HoHHs</t>
  </si>
  <si>
    <t>66+ y.o. HoHHs</t>
  </si>
  <si>
    <t>CS_1 Access the organization focal point in the site by HoHH Sex</t>
  </si>
  <si>
    <t>CS_1 Access the organization focal point in the site by Household Size</t>
  </si>
  <si>
    <t>CS_1 Access the organization focal point in the site by Households' accomodation intentions</t>
  </si>
  <si>
    <t>accomodation_intentions</t>
  </si>
  <si>
    <t>Don't know/Don't wish to answer</t>
  </si>
  <si>
    <t>Remain in current accomodation</t>
  </si>
  <si>
    <t>CS_1 Access the organization focal point in the site by Households' location intentions</t>
  </si>
  <si>
    <t>location_intentions</t>
  </si>
  <si>
    <t>In another oblast</t>
  </si>
  <si>
    <t>CS_1 Access the organization focal point in the site by Length of the Household Displacement</t>
  </si>
  <si>
    <t>hh_lenght_displacement_cccm</t>
  </si>
  <si>
    <t>HH displaced less than 1 month</t>
  </si>
  <si>
    <t>HH displaced up to 3 months</t>
  </si>
  <si>
    <t>HH displaced up to 6 months</t>
  </si>
  <si>
    <t>HH displaced up to 9 months</t>
  </si>
  <si>
    <t>HHs displaced up to 1 year</t>
  </si>
  <si>
    <t>HHs displaced up to 1 year and 3 months</t>
  </si>
  <si>
    <t>HHs displaced up to 1 year and 6 months</t>
  </si>
  <si>
    <t>CS_1 Access the organization focal point in the site by rural or urban</t>
  </si>
  <si>
    <t>CS_2 Consultations for decision-making on the site by overall</t>
  </si>
  <si>
    <t>Yes, through general meetings</t>
  </si>
  <si>
    <t>Yes, through individual consultations</t>
  </si>
  <si>
    <t>Yes, through initiative groups</t>
  </si>
  <si>
    <t>Yes, through groups on social media</t>
  </si>
  <si>
    <t>Yes (other, please specify)</t>
  </si>
  <si>
    <t>CS_2 Consultations for decision-making on the site by HH with at least one member with disability</t>
  </si>
  <si>
    <t>CS_2 Consultations for decision-making on the site by HH with member employed</t>
  </si>
  <si>
    <t>CS_2 Consultations for decision-making on the site by HHs with children</t>
  </si>
  <si>
    <t>CS_2 Consultations for decision-making on the site by HoHH Age</t>
  </si>
  <si>
    <t>CS_2 Consultations for decision-making on the site by HoHH Sex</t>
  </si>
  <si>
    <t>CS_2 Consultations for decision-making on the site by Household Size</t>
  </si>
  <si>
    <t>CS_2 Consultations for decision-making on the site by Households' accomodation intentions</t>
  </si>
  <si>
    <t>CS_2 Consultations for decision-making on the site by Households' location intentions</t>
  </si>
  <si>
    <t>CS_2 Consultations for decision-making on the site by Length of the Household Displacement</t>
  </si>
  <si>
    <t>CS_2 Consultations for decision-making on the site by rural or urban</t>
  </si>
  <si>
    <t>CS_2_1_1 Meetings initiators by overall</t>
  </si>
  <si>
    <t>Residents of the site</t>
  </si>
  <si>
    <t>Site management</t>
  </si>
  <si>
    <t>CS_2_1_1 Meetings initiators by HH with at least one member with disability</t>
  </si>
  <si>
    <t>CS_2_1_1 Meetings initiators by HH with member employed</t>
  </si>
  <si>
    <t>CS_2_1_1 Meetings initiators by HHs with children</t>
  </si>
  <si>
    <t>CS_2_1_1 Meetings initiators by HoHH Age</t>
  </si>
  <si>
    <t>CS_2_1_1 Meetings initiators by HoHH Sex</t>
  </si>
  <si>
    <t>CS_2_1_1 Meetings initiators by Household Size</t>
  </si>
  <si>
    <t>CS_2_1_1 Meetings initiators by Households' accomodation intentions</t>
  </si>
  <si>
    <t>CS_2_1_1 Meetings initiators by Households' location intentions</t>
  </si>
  <si>
    <t>CS_2_1_1 Meetings initiators by Length of the Household Displacement</t>
  </si>
  <si>
    <t>CS_2_1_1 Meetings initiators by rural or urban</t>
  </si>
  <si>
    <t>CS_3 Threat of eviction by overall</t>
  </si>
  <si>
    <t>Yes, we have faced threats of eviction</t>
  </si>
  <si>
    <t>Yes, we have faced threats of eviction and have heard of other households or individuals being evicted</t>
  </si>
  <si>
    <t>Yes, we have heard of other households or individuals evicted from the site</t>
  </si>
  <si>
    <t>CS_3 Threat of eviction by HH with at least one member with disability</t>
  </si>
  <si>
    <t>CS_3 Threat of eviction by HH with member employed</t>
  </si>
  <si>
    <t>CS_3 Threat of eviction by HHs with children</t>
  </si>
  <si>
    <t>CS_3 Threat of eviction by HoHH Age</t>
  </si>
  <si>
    <t>CS_3 Threat of eviction by HoHH Sex</t>
  </si>
  <si>
    <t>CS_3 Threat of eviction by Household Size</t>
  </si>
  <si>
    <t>CS_3 Threat of eviction by Households' accomodation intentions</t>
  </si>
  <si>
    <t>CS_3 Threat of eviction by Households' location intentions</t>
  </si>
  <si>
    <t>CS_3 Threat of eviction by Length of the Household Displacement</t>
  </si>
  <si>
    <t>CS_3 Threat of eviction by rural or urban</t>
  </si>
  <si>
    <t>CS_4 Reason of eviction by overall</t>
  </si>
  <si>
    <t>Facility can no longer host site residents</t>
  </si>
  <si>
    <t>Site was overcrowded</t>
  </si>
  <si>
    <t>Dangerous or beligerent behavior of site residents</t>
  </si>
  <si>
    <t>Site residents were not able to pay for utilities / other payments</t>
  </si>
  <si>
    <t>Area of origin was deemed safe for return</t>
  </si>
  <si>
    <t>Site residents did not abide by rules and regulations of site</t>
  </si>
  <si>
    <t>There is a limited period of hosting</t>
  </si>
  <si>
    <t>Relocation to another site</t>
  </si>
  <si>
    <t>CS_4 Reason of eviction by HH with at least one member with disability</t>
  </si>
  <si>
    <t>CS_4 Reason of eviction by HH with member employed</t>
  </si>
  <si>
    <t>CS_4 Reason of eviction by HHs with children</t>
  </si>
  <si>
    <t>CS_4 Reason of eviction by HoHH Age</t>
  </si>
  <si>
    <t>CS_4 Reason of eviction by HoHH Sex</t>
  </si>
  <si>
    <t>CS_4 Reason of eviction by Household Size</t>
  </si>
  <si>
    <t>CS_4 Reason of eviction by Households' accomodation intentions</t>
  </si>
  <si>
    <t>CS_4 Reason of eviction by Households' location intentions</t>
  </si>
  <si>
    <t>CS_4 Reason of eviction by Length of the Household Displacement</t>
  </si>
  <si>
    <t>CS_4 Reason of eviction by rural or urban</t>
  </si>
  <si>
    <t>CS_5 Feedback and complaint mechanism  availability by overall</t>
  </si>
  <si>
    <t>Site management handles complaints themselves</t>
  </si>
  <si>
    <t>Ombudsman / complaints desk present</t>
  </si>
  <si>
    <t>Toll free / telephone line available</t>
  </si>
  <si>
    <t>Suggestion / feedback box</t>
  </si>
  <si>
    <t>CS_5 Feedback and complaint mechanism  availability by HH with at least one member with disability</t>
  </si>
  <si>
    <t>CS_5 Feedback and complaint mechanism  availability by HH with member employed</t>
  </si>
  <si>
    <t>CS_5 Feedback and complaint mechanism  availability by HHs with children</t>
  </si>
  <si>
    <t>CS_5 Feedback and complaint mechanism  availability by HoHH Age</t>
  </si>
  <si>
    <t>CS_5 Feedback and complaint mechanism  availability by HoHH Sex</t>
  </si>
  <si>
    <t>CS_5 Feedback and complaint mechanism  availability by Household Size</t>
  </si>
  <si>
    <t>CS_5 Feedback and complaint mechanism  availability by Households' accomodation intentions</t>
  </si>
  <si>
    <t>CS_5 Feedback and complaint mechanism  availability by Households' location intentions</t>
  </si>
  <si>
    <t>CS_5 Feedback and complaint mechanism  availability by Length of the Household Displacement</t>
  </si>
  <si>
    <t>CS_5 Feedback and complaint mechanism  availability by rural or urban</t>
  </si>
  <si>
    <t>CS_5_1 Feedback and complaint mechanism effectiveness by overall</t>
  </si>
  <si>
    <t>Effective</t>
  </si>
  <si>
    <t>Neither effective nor ineffective</t>
  </si>
  <si>
    <t>Not effective</t>
  </si>
  <si>
    <t>Not effective at all</t>
  </si>
  <si>
    <t>Very effective</t>
  </si>
  <si>
    <t>CS_5_1 Feedback and complaint mechanism effectiveness by HH with at least one member with disability</t>
  </si>
  <si>
    <t>CS_5_1 Feedback and complaint mechanism effectiveness by HH with member employed</t>
  </si>
  <si>
    <t>CS_5_1 Feedback and complaint mechanism effectiveness by HHs with children</t>
  </si>
  <si>
    <t>CS_5_1 Feedback and complaint mechanism effectiveness by HoHH Age</t>
  </si>
  <si>
    <t>CS_5_1 Feedback and complaint mechanism effectiveness by HoHH Sex</t>
  </si>
  <si>
    <t>CS_5_1 Feedback and complaint mechanism effectiveness by Household Size</t>
  </si>
  <si>
    <t>CS_5_1 Feedback and complaint mechanism effectiveness by Households' accomodation intentions</t>
  </si>
  <si>
    <t>CS_5_1 Feedback and complaint mechanism effectiveness by Households' location intentions</t>
  </si>
  <si>
    <t>CS_5_1 Feedback and complaint mechanism effectiveness by Length of the Household Displacement</t>
  </si>
  <si>
    <t>CS_5_1 Feedback and complaint mechanism effectiveness by rural or urban</t>
  </si>
  <si>
    <t>CS_6 Referral system by overall</t>
  </si>
  <si>
    <t>Not sure</t>
  </si>
  <si>
    <t>CS_6 Referral system by HH with at least one member with disability</t>
  </si>
  <si>
    <t>CS_6 Referral system by HH with member employed</t>
  </si>
  <si>
    <t>CS_6 Referral system by HHs with children</t>
  </si>
  <si>
    <t>CS_6 Referral system by HoHH Age</t>
  </si>
  <si>
    <t>CS_6 Referral system by HoHH Sex</t>
  </si>
  <si>
    <t>CS_6 Referral system by Household Size</t>
  </si>
  <si>
    <t>CS_6 Referral system by Households' accomodation intentions</t>
  </si>
  <si>
    <t>CS_6 Referral system by Households' location intentions</t>
  </si>
  <si>
    <t>CS_6 Referral system by Length of the Household Displacement</t>
  </si>
  <si>
    <t>CS_6 Referral system by rural or urban</t>
  </si>
  <si>
    <t>CS_7 Unsafe areas for women and girls by overall</t>
  </si>
  <si>
    <t>There are no areas that women and girls avoid or feel unsafe</t>
  </si>
  <si>
    <t>Showers</t>
  </si>
  <si>
    <t>Toilets</t>
  </si>
  <si>
    <t>Dining area</t>
  </si>
  <si>
    <t>Common areas</t>
  </si>
  <si>
    <t>Garden or courtyard</t>
  </si>
  <si>
    <t>Recreational areas</t>
  </si>
  <si>
    <t>Streets surrounding the site</t>
  </si>
  <si>
    <t>Kitchen</t>
  </si>
  <si>
    <t>CS_7 Unsafe areas for women and girls by HH with at least one member with disability</t>
  </si>
  <si>
    <t>CS_7 Unsafe areas for women and girls by HH with member employed</t>
  </si>
  <si>
    <t>CS_7 Unsafe areas for women and girls by HHs with children</t>
  </si>
  <si>
    <t>CS_7 Unsafe areas for women and girls by HoHH Age</t>
  </si>
  <si>
    <t>CS_7 Unsafe areas for women and girls by HoHH Sex</t>
  </si>
  <si>
    <t>CS_7 Unsafe areas for women and girls by Household Size</t>
  </si>
  <si>
    <t>CS_7 Unsafe areas for women and girls by Households' accomodation intentions</t>
  </si>
  <si>
    <t>CS_7 Unsafe areas for women and girls by Households' location intentions</t>
  </si>
  <si>
    <t>CS_7 Unsafe areas for women and girls by Length of the Household Displacement</t>
  </si>
  <si>
    <t>CS_7 Unsafe areas for women and girls by rural or urban</t>
  </si>
  <si>
    <t>CS_8 Information availability for the residents by overall</t>
  </si>
  <si>
    <t>About accommodation options outside of the site</t>
  </si>
  <si>
    <t>About IDPs registration (on state level)</t>
  </si>
  <si>
    <t>About governmental programs and local programs providing cash or in-kind support to IDPs</t>
  </si>
  <si>
    <t>Аbout how to apply to local authorities/state bodies, receive documents confirming the fact of damages of house and/or property as a result of the war as well as receive compensation available in the site</t>
  </si>
  <si>
    <t>About registration in the State employment service, career guidance events organized by it, and employment opportunities it offers</t>
  </si>
  <si>
    <t>About pension and different state social security programs</t>
  </si>
  <si>
    <t>About medical support available</t>
  </si>
  <si>
    <t>About access to education</t>
  </si>
  <si>
    <t>About access to legal aid</t>
  </si>
  <si>
    <t>About PSEA (protection against sexual exploitation and abuse) and response/referral of GBV survivors</t>
  </si>
  <si>
    <t>About Explosive Ordnance Risk Education</t>
  </si>
  <si>
    <t>None of above</t>
  </si>
  <si>
    <t>CS_8 Information availability for the residents by HH with at least one member with disability</t>
  </si>
  <si>
    <t>CS_8 Information availability for the residents by HH with member employed</t>
  </si>
  <si>
    <t>CS_8 Information availability for the residents by HHs with children</t>
  </si>
  <si>
    <t>CS_8 Information availability for the residents by HoHH Age</t>
  </si>
  <si>
    <t>CS_8 Information availability for the residents by HoHH Sex</t>
  </si>
  <si>
    <t>CS_8 Information availability for the residents by Household Size</t>
  </si>
  <si>
    <t>CS_8 Information availability for the residents by Households' accomodation intentions</t>
  </si>
  <si>
    <t>CS_8 Information availability for the residents by Households' location intentions</t>
  </si>
  <si>
    <t>CS_8 Information availability for the residents by Length of the Household Displacement</t>
  </si>
  <si>
    <t>CS_8 Information availability for the residents by rural or urban</t>
  </si>
  <si>
    <t>CS_9 Humanitarian aid destribution in the last 30 days by overall</t>
  </si>
  <si>
    <t>Partially</t>
  </si>
  <si>
    <t>CS_9 Humanitarian aid destribution in the last 30 days by HH with at least one member with disability</t>
  </si>
  <si>
    <t>CS_9 Humanitarian aid destribution in the last 30 days by HH with member employed</t>
  </si>
  <si>
    <t>CS_9 Humanitarian aid destribution in the last 30 days by HHs with children</t>
  </si>
  <si>
    <t>CS_9 Humanitarian aid destribution in the last 30 days by HoHH Age</t>
  </si>
  <si>
    <t>CS_9 Humanitarian aid destribution in the last 30 days by HoHH Sex</t>
  </si>
  <si>
    <t>CS_9 Humanitarian aid destribution in the last 30 days by Household Size</t>
  </si>
  <si>
    <t>CS_9 Humanitarian aid destribution in the last 30 days by Households' accomodation intentions</t>
  </si>
  <si>
    <t>CS_9 Humanitarian aid destribution in the last 30 days by Households' location intentions</t>
  </si>
  <si>
    <t>CS_9 Humanitarian aid destribution in the last 30 days by Length of the Household Displacement</t>
  </si>
  <si>
    <t>CS_9 Humanitarian aid destribution in the last 30 days by rural or urban</t>
  </si>
  <si>
    <t>CS_9_1 Items distributed by overall</t>
  </si>
  <si>
    <t>Sleeping items</t>
  </si>
  <si>
    <t>Hygiene items</t>
  </si>
  <si>
    <t>Clothes and/or shoes</t>
  </si>
  <si>
    <t>Cleaning materials</t>
  </si>
  <si>
    <t>Communications equipment (computer equipment, etc.)</t>
  </si>
  <si>
    <t>Food products</t>
  </si>
  <si>
    <t>Kitchen amenities (ovens, refrigerators, utensils, pots/pans)</t>
  </si>
  <si>
    <t>Furniture (for living rooms, common areas, kitchen, etc.)</t>
  </si>
  <si>
    <t>Medicine</t>
  </si>
  <si>
    <t>Cash assistance</t>
  </si>
  <si>
    <t>Specialized support to people with disabilities or older people</t>
  </si>
  <si>
    <t>CS_9_1 Items distributed by HH with at least one member with disability</t>
  </si>
  <si>
    <t>CS_9_1 Items distributed by HH with member employed</t>
  </si>
  <si>
    <t>CS_9_1 Items distributed by HHs with children</t>
  </si>
  <si>
    <t>CS_9_1 Items distributed by HoHH Age</t>
  </si>
  <si>
    <t>CS_9_1 Items distributed by HoHH Sex</t>
  </si>
  <si>
    <t>CS_9_1 Items distributed by Household Size</t>
  </si>
  <si>
    <t>CS_9_1 Items distributed by Households' accomodation intentions</t>
  </si>
  <si>
    <t>CS_9_1 Items distributed by Households' location intentions</t>
  </si>
  <si>
    <t>CS_9_1 Items distributed by Length of the Household Displacement</t>
  </si>
  <si>
    <t>CS_9_1 Items distributed by rural or urban</t>
  </si>
  <si>
    <t>CS_10 Participation in social activity with people living outside the sites by overall</t>
  </si>
  <si>
    <t>Recreational, sport activity</t>
  </si>
  <si>
    <t>Cultural or entertainment activities</t>
  </si>
  <si>
    <t>Religious events</t>
  </si>
  <si>
    <t>School events</t>
  </si>
  <si>
    <t>Volunteering</t>
  </si>
  <si>
    <t>Community activities promoted in the site</t>
  </si>
  <si>
    <t>Other public events (please specify)</t>
  </si>
  <si>
    <t>CS_10 Participation in social activity with people living outside the sites by HH with at least one member with disability</t>
  </si>
  <si>
    <t>CS_10 Participation in social activity with people living outside the sites by HH with member employed</t>
  </si>
  <si>
    <t>CS_10 Participation in social activity with people living outside the sites by HHs with children</t>
  </si>
  <si>
    <t>CS_10 Participation in social activity with people living outside the sites by HoHH Age</t>
  </si>
  <si>
    <t>CS_10 Participation in social activity with people living outside the sites by HoHH Sex</t>
  </si>
  <si>
    <t>CS_10 Participation in social activity with people living outside the sites by Household Size</t>
  </si>
  <si>
    <t>CS_10 Participation in social activity with people living outside the sites by Households' accomodation intentions</t>
  </si>
  <si>
    <t>CS_10 Participation in social activity with people living outside the sites by Households' location intentions</t>
  </si>
  <si>
    <t>CS_10 Participation in social activity with people living outside the sites by Length of the Household Displacement</t>
  </si>
  <si>
    <t>CS_10 Participation in social activity with people living outside the sites by rural or urban</t>
  </si>
  <si>
    <t>CS_10_1 Reasons for not participating in social activities by overall</t>
  </si>
  <si>
    <t>Lack of transportation</t>
  </si>
  <si>
    <t>No infrastructure or conditions available in the site surrounding area</t>
  </si>
  <si>
    <t>Lack of financial resources</t>
  </si>
  <si>
    <t>Lack of interest</t>
  </si>
  <si>
    <t>Lack of opportunity (no community activity scheduled)</t>
  </si>
  <si>
    <t>Lack of information about where access community activities</t>
  </si>
  <si>
    <t>Fear of discrimination or persecution</t>
  </si>
  <si>
    <t>Lack of social connections in the host community</t>
  </si>
  <si>
    <t>CS_10_1 Reasons for not participating in social activities by HH with at least one member with disability</t>
  </si>
  <si>
    <t>CS_10_1 Reasons for not participating in social activities by HH with member employed</t>
  </si>
  <si>
    <t>CS_10_1 Reasons for not participating in social activities by HHs with children</t>
  </si>
  <si>
    <t>CS_10_1 Reasons for not participating in social activities by HoHH Age</t>
  </si>
  <si>
    <t>CS_10_1 Reasons for not participating in social activities by HoHH Sex</t>
  </si>
  <si>
    <t>CS_10_1 Reasons for not participating in social activities by Household Size</t>
  </si>
  <si>
    <t>CS_10_1 Reasons for not participating in social activities by Households' accomodation intentions</t>
  </si>
  <si>
    <t>CS_10_1 Reasons for not participating in social activities by Households' location intentions</t>
  </si>
  <si>
    <t>CS_10_1 Reasons for not participating in social activities by Length of the Household Displacement</t>
  </si>
  <si>
    <t>CS_10_1 Reasons for not participating in social activities by rural or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</si>
</sst>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u/>
      <sz val="11"/>
      <color theme="10"/>
      <name val="Calibri"/>
      <family val="2"/>
    </font>
    <font>
      <u/>
      <sz val="11"/>
      <color theme="10"/>
      <name val="Calibri"/>
      <family val="2"/>
      <scheme val="minor"/>
    </font>
    <font>
      <b/>
      <sz val="20"/>
      <color rgb="FF000000"/>
      <name val="Arial Narrow"/>
      <family val="2"/>
    </font>
    <font>
      <b/>
      <sz val="28"/>
      <color rgb="FF000000"/>
      <name val="Arial Narrow"/>
      <family val="2"/>
    </font>
    <font>
      <b/>
      <sz val="11"/>
      <color rgb="FFFFFFFF"/>
      <name val="Arial Narrow"/>
      <family val="2"/>
    </font>
    <font>
      <b/>
      <sz val="10"/>
      <name val="Arial Narrow"/>
      <family val="2"/>
    </font>
    <font>
      <sz val="10"/>
      <name val="Arial Narrow"/>
      <family val="2"/>
    </font>
    <font>
      <sz val="10"/>
      <color rgb="FF000000"/>
      <name val="Arial Narrow"/>
    </font>
    <font>
      <b/>
      <sz val="10"/>
      <color rgb="FF000000"/>
      <name val="Arial Narrow"/>
    </font>
  </fonts>
  <fills count="7">
    <fill>
      <patternFill patternType="none"/>
    </fill>
    <fill>
      <patternFill patternType="gray125"/>
    </fill>
    <fill>
      <patternFill patternType="solid">
        <fgColor rgb="FFFF0000"/>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0"/>
    <xf numFmtId="0" fontId="1" fillId="0" borderId="0"/>
  </cellStyleXfs>
  <cellXfs count="18">
    <xf numFmtId="0" fontId="0" fillId="0" borderId="0" xfId="0"/>
    <xf numFmtId="0" fontId="2" fillId="0" borderId="0" xfId="0" applyFont="1"/>
    <xf numFmtId="0" fontId="3" fillId="0" borderId="0" xfId="1"/>
    <xf numFmtId="0" fontId="0" fillId="2" borderId="0" xfId="0" applyFill="1"/>
    <xf numFmtId="0" fontId="1" fillId="0" borderId="0" xfId="2"/>
    <xf numFmtId="0" fontId="6" fillId="3" borderId="1" xfId="2" applyFont="1" applyFill="1" applyBorder="1" applyAlignment="1">
      <alignment horizontal="left" vertical="top" wrapText="1"/>
    </xf>
    <xf numFmtId="0" fontId="7" fillId="4" borderId="1" xfId="2" applyFont="1" applyFill="1" applyBorder="1" applyAlignment="1">
      <alignment horizontal="center" vertical="center" wrapText="1"/>
    </xf>
    <xf numFmtId="0" fontId="8" fillId="4" borderId="1" xfId="2" applyFont="1" applyFill="1" applyBorder="1" applyAlignment="1">
      <alignment horizontal="left" vertical="center" wrapText="1"/>
    </xf>
    <xf numFmtId="0" fontId="7" fillId="0" borderId="1" xfId="2" applyFont="1" applyBorder="1" applyAlignment="1">
      <alignment horizontal="center" vertical="center" wrapText="1"/>
    </xf>
    <xf numFmtId="0" fontId="8" fillId="4" borderId="1" xfId="2" applyFont="1" applyFill="1" applyBorder="1" applyAlignment="1">
      <alignment horizontal="left" vertical="top" wrapText="1"/>
    </xf>
    <xf numFmtId="0" fontId="9" fillId="0" borderId="1" xfId="2" applyFont="1" applyBorder="1" applyAlignment="1">
      <alignment horizontal="left" vertical="center" wrapText="1"/>
    </xf>
    <xf numFmtId="0" fontId="7" fillId="4" borderId="1" xfId="0" applyFont="1" applyFill="1" applyBorder="1" applyAlignment="1">
      <alignment horizontal="center" vertical="center" wrapText="1"/>
    </xf>
    <xf numFmtId="0" fontId="8" fillId="5" borderId="1" xfId="2" applyFont="1" applyFill="1" applyBorder="1" applyAlignment="1">
      <alignment horizontal="left" vertical="center" wrapText="1"/>
    </xf>
    <xf numFmtId="14" fontId="8" fillId="6" borderId="1" xfId="3" applyNumberFormat="1" applyFont="1" applyFill="1" applyBorder="1" applyAlignment="1">
      <alignment horizontal="left" vertical="center" wrapText="1"/>
    </xf>
    <xf numFmtId="0" fontId="8" fillId="4" borderId="2" xfId="0" applyFont="1" applyFill="1" applyBorder="1" applyAlignment="1">
      <alignment vertical="center" wrapText="1"/>
    </xf>
    <xf numFmtId="0" fontId="4" fillId="0" borderId="1" xfId="2" applyFont="1" applyBorder="1" applyAlignment="1">
      <alignment horizontal="center" vertical="center" wrapText="1"/>
    </xf>
    <xf numFmtId="0" fontId="5" fillId="0" borderId="1" xfId="2" applyFont="1" applyBorder="1" applyAlignment="1">
      <alignment horizontal="center" vertical="center" wrapText="1"/>
    </xf>
    <xf numFmtId="14" fontId="7" fillId="0" borderId="1" xfId="2" applyNumberFormat="1" applyFont="1" applyBorder="1" applyAlignment="1">
      <alignment horizontal="center" vertical="center" wrapText="1"/>
    </xf>
  </cellXfs>
  <cellStyles count="4">
    <cellStyle name="Hyperlink" xfId="1" builtinId="8"/>
    <cellStyle name="Normal" xfId="0" builtinId="0"/>
    <cellStyle name="Normal 2" xfId="2" xr:uid="{A8DB5D60-E192-46A8-A020-6B2C62F7FFBF}"/>
    <cellStyle name="Normal 2 3" xfId="3" xr:uid="{D2AE5E7F-B9E9-49A6-9FEA-507350A1EA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418737</xdr:colOff>
      <xdr:row>1</xdr:row>
      <xdr:rowOff>28575</xdr:rowOff>
    </xdr:from>
    <xdr:to>
      <xdr:col>7</xdr:col>
      <xdr:colOff>250303</xdr:colOff>
      <xdr:row>2</xdr:row>
      <xdr:rowOff>505896</xdr:rowOff>
    </xdr:to>
    <xdr:pic>
      <xdr:nvPicPr>
        <xdr:cNvPr id="2" name="Picture 1">
          <a:extLst>
            <a:ext uri="{FF2B5EF4-FFF2-40B4-BE49-F238E27FC236}">
              <a16:creationId xmlns:a16="http://schemas.microsoft.com/office/drawing/2014/main" id="{D4A63FFB-96C6-4ED7-B981-3DD785934F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6857" y="417195"/>
          <a:ext cx="2803366" cy="660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CABC-D409-4A24-8365-6381558DC766}">
  <sheetPr>
    <tabColor rgb="FF0070C0"/>
  </sheetPr>
  <dimension ref="A1:B13"/>
  <sheetViews>
    <sheetView zoomScaleNormal="100" workbookViewId="0">
      <selection activeCell="D3" sqref="D3"/>
    </sheetView>
  </sheetViews>
  <sheetFormatPr defaultColWidth="8.6640625" defaultRowHeight="14.4" x14ac:dyDescent="0.3"/>
  <cols>
    <col min="1" max="1" width="23.6640625" style="4" customWidth="1"/>
    <col min="2" max="2" width="192.44140625" style="4" customWidth="1"/>
    <col min="3" max="16384" width="8.6640625" style="4"/>
  </cols>
  <sheetData>
    <row r="1" spans="1:2" ht="30.6" customHeight="1" x14ac:dyDescent="0.3">
      <c r="A1" s="15" t="s">
        <v>0</v>
      </c>
      <c r="B1" s="16"/>
    </row>
    <row r="2" spans="1:2" x14ac:dyDescent="0.3">
      <c r="A2" s="5" t="s">
        <v>1</v>
      </c>
      <c r="B2" s="5" t="s">
        <v>2</v>
      </c>
    </row>
    <row r="3" spans="1:2" ht="165.75" customHeight="1" x14ac:dyDescent="0.3">
      <c r="A3" s="6" t="s">
        <v>3</v>
      </c>
      <c r="B3" s="7" t="s">
        <v>4</v>
      </c>
    </row>
    <row r="4" spans="1:2" ht="83.25" customHeight="1" x14ac:dyDescent="0.3">
      <c r="A4" s="8" t="s">
        <v>5</v>
      </c>
      <c r="B4" s="10" t="s">
        <v>6</v>
      </c>
    </row>
    <row r="5" spans="1:2" ht="402.75" customHeight="1" x14ac:dyDescent="0.3">
      <c r="A5" s="6" t="s">
        <v>7</v>
      </c>
      <c r="B5" s="12" t="s">
        <v>8</v>
      </c>
    </row>
    <row r="6" spans="1:2" ht="15" customHeight="1" x14ac:dyDescent="0.3">
      <c r="A6" s="17" t="s">
        <v>9</v>
      </c>
      <c r="B6" s="13" t="s">
        <v>10</v>
      </c>
    </row>
    <row r="7" spans="1:2" x14ac:dyDescent="0.3">
      <c r="A7" s="17"/>
      <c r="B7" s="13" t="s">
        <v>11</v>
      </c>
    </row>
    <row r="8" spans="1:2" x14ac:dyDescent="0.3">
      <c r="A8" s="17"/>
      <c r="B8" s="13" t="s">
        <v>12</v>
      </c>
    </row>
    <row r="9" spans="1:2" x14ac:dyDescent="0.3">
      <c r="A9" s="11" t="s">
        <v>13</v>
      </c>
      <c r="B9" s="14" t="s">
        <v>14</v>
      </c>
    </row>
    <row r="10" spans="1:2" x14ac:dyDescent="0.3">
      <c r="A10" s="5" t="s">
        <v>15</v>
      </c>
      <c r="B10" s="5" t="s">
        <v>2</v>
      </c>
    </row>
    <row r="11" spans="1:2" x14ac:dyDescent="0.3">
      <c r="A11" s="9" t="s">
        <v>16</v>
      </c>
      <c r="B11" s="9" t="s">
        <v>17</v>
      </c>
    </row>
    <row r="12" spans="1:2" x14ac:dyDescent="0.3">
      <c r="A12" s="9" t="s">
        <v>18</v>
      </c>
      <c r="B12" s="9" t="s">
        <v>19</v>
      </c>
    </row>
    <row r="13" spans="1:2" x14ac:dyDescent="0.3">
      <c r="A13" s="9" t="s">
        <v>20</v>
      </c>
      <c r="B13" s="9" t="s">
        <v>21</v>
      </c>
    </row>
  </sheetData>
  <mergeCells count="2">
    <mergeCell ref="A1:B1"/>
    <mergeCell ref="A6:A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1"/>
  <sheetViews>
    <sheetView topLeftCell="A250" workbookViewId="0">
      <selection activeCell="A256" sqref="A256"/>
    </sheetView>
  </sheetViews>
  <sheetFormatPr defaultColWidth="11.5546875" defaultRowHeight="14.4" x14ac:dyDescent="0.3"/>
  <sheetData>
    <row r="1" spans="1:1" x14ac:dyDescent="0.3">
      <c r="A1" t="s">
        <v>22</v>
      </c>
    </row>
    <row r="2" spans="1:1" x14ac:dyDescent="0.3">
      <c r="A2" s="1" t="str">
        <f>HYPERLINK("#'Data'!A1", "Macroregion")</f>
        <v>Macroregion</v>
      </c>
    </row>
    <row r="3" spans="1:1" x14ac:dyDescent="0.3">
      <c r="A3" s="1" t="str">
        <f>HYPERLINK("#'Data'!A5", "A_1  Respondent Age overall")</f>
        <v>A_1  Respondent Age overall</v>
      </c>
    </row>
    <row r="4" spans="1:1" x14ac:dyDescent="0.3">
      <c r="A4" s="1" t="str">
        <f>HYPERLINK("#'Data'!A14", "A_2 Respondent Sex overall")</f>
        <v>A_2 Respondent Sex overall</v>
      </c>
    </row>
    <row r="5" spans="1:1" x14ac:dyDescent="0.3">
      <c r="A5" s="1" t="str">
        <f>HYPERLINK("#'Data'!A23", "A_3 Respondents Reportedly Head of the Household overall")</f>
        <v>A_3 Respondents Reportedly Head of the Household overall</v>
      </c>
    </row>
    <row r="6" spans="1:1" x14ac:dyDescent="0.3">
      <c r="A6" s="1" t="str">
        <f>HYPERLINK("#'Data'!A32", "A_8 Number of Household Members overall")</f>
        <v>A_8 Number of Household Members overall</v>
      </c>
    </row>
    <row r="7" spans="1:1" x14ac:dyDescent="0.3">
      <c r="A7" s="1" t="str">
        <f>HYPERLINK("#'Data'!A41", "A_17 Employment Situation of Household Members overall")</f>
        <v>A_17 Employment Situation of Household Members overall</v>
      </c>
    </row>
    <row r="8" spans="1:1" x14ac:dyDescent="0.3">
      <c r="A8" s="1" t="str">
        <f>HYPERLINK("#'Data'!A50", "A_9_1 Household Members with Money Spending Decision-Making Authority overall")</f>
        <v>A_9_1 Household Members with Money Spending Decision-Making Authority overall</v>
      </c>
    </row>
    <row r="9" spans="1:1" x14ac:dyDescent="0.3">
      <c r="A9" s="1" t="str">
        <f>HYPERLINK("#'Data'!A59", "A_9_2 Household Members with Healthcare and Education of Children Decision-Making Authority overall")</f>
        <v>A_9_2 Household Members with Healthcare and Education of Children Decision-Making Authority overall</v>
      </c>
    </row>
    <row r="10" spans="1:1" x14ac:dyDescent="0.3">
      <c r="A10" s="1" t="str">
        <f>HYPERLINK("#'Data'!A68", "A_9_3 Household Members with Migration Decision-Making Authority overall")</f>
        <v>A_9_3 Household Members with Migration Decision-Making Authority overall</v>
      </c>
    </row>
    <row r="11" spans="1:1" x14ac:dyDescent="0.3">
      <c r="A11" s="1" t="str">
        <f>HYPERLINK("#'Data'!A77", "J_22 Women with infant child by type of child birth giving overall")</f>
        <v>J_22 Women with infant child by type of child birth giving overall</v>
      </c>
    </row>
    <row r="12" spans="1:1" x14ac:dyDescent="0.3">
      <c r="A12" s="1" t="str">
        <f>HYPERLINK("#'Data'!A86", "J_24 Women with infant child by type of child birth giving by rural or urban")</f>
        <v>J_24 Women with infant child by type of child birth giving by rural or urban</v>
      </c>
    </row>
    <row r="13" spans="1:1" x14ac:dyDescent="0.3">
      <c r="A13" s="1" t="str">
        <f>HYPERLINK("#'Data'!A101", "J_25 Women with infant child by type of child birth giving by HH proximity to frontline or Russian border")</f>
        <v>J_25 Women with infant child by type of child birth giving by HH proximity to frontline or Russian border</v>
      </c>
    </row>
    <row r="14" spans="1:1" x14ac:dyDescent="0.3">
      <c r="A14" s="1" t="str">
        <f>HYPERLINK("#'Data'!A112", "A_19 Household Members with Difficulty Seeing, Even When Wearing Glasses overall")</f>
        <v>A_19 Household Members with Difficulty Seeing, Even When Wearing Glasses overall</v>
      </c>
    </row>
    <row r="15" spans="1:1" x14ac:dyDescent="0.3">
      <c r="A15" s="1" t="str">
        <f>HYPERLINK("#'Data'!A121", "A_20 Household Members with Difficulty Heating, Even When Using Hearing Aids overall")</f>
        <v>A_20 Household Members with Difficulty Heating, Even When Using Hearing Aids overall</v>
      </c>
    </row>
    <row r="16" spans="1:1" x14ac:dyDescent="0.3">
      <c r="A16" s="1" t="str">
        <f>HYPERLINK("#'Data'!A130", "A_21 Household Members with Difficulty Walking or Climbing Steps overall")</f>
        <v>A_21 Household Members with Difficulty Walking or Climbing Steps overall</v>
      </c>
    </row>
    <row r="17" spans="1:1" x14ac:dyDescent="0.3">
      <c r="A17" s="1" t="str">
        <f>HYPERLINK("#'Data'!A139", "A_22 Household Members with Difficulty Remembering or Concentrating overall")</f>
        <v>A_22 Household Members with Difficulty Remembering or Concentrating overall</v>
      </c>
    </row>
    <row r="18" spans="1:1" x14ac:dyDescent="0.3">
      <c r="A18" s="1" t="str">
        <f>HYPERLINK("#'Data'!A148", "A_23 Household Members with Difficulty with Self-Care overall")</f>
        <v>A_23 Household Members with Difficulty with Self-Care overall</v>
      </c>
    </row>
    <row r="19" spans="1:1" x14ac:dyDescent="0.3">
      <c r="A19" s="1" t="str">
        <f>HYPERLINK("#'Data'!A157", "A_24 Household Members with Difficulty Communicating when using Usual Language overall")</f>
        <v>A_24 Household Members with Difficulty Communicating when using Usual Language overall</v>
      </c>
    </row>
    <row r="20" spans="1:1" x14ac:dyDescent="0.3">
      <c r="A20" s="1" t="str">
        <f>HYPERLINK("#'Data'!A166", "WG-SS Household Members with Washington Group Severity Score 3 or 4 overall")</f>
        <v>WG-SS Household Members with Washington Group Severity Score 3 or 4 overall</v>
      </c>
    </row>
    <row r="21" spans="1:1" x14ac:dyDescent="0.3">
      <c r="A21" s="1" t="str">
        <f>HYPERLINK("#'Data'!A175", "B_1 Households Reporting this is their Habitual Place of Residence overall")</f>
        <v>B_1 Households Reporting this is their Habitual Place of Residence overall</v>
      </c>
    </row>
    <row r="22" spans="1:1" x14ac:dyDescent="0.3">
      <c r="A22" s="1" t="str">
        <f>HYPERLINK("#'Data'!A184", "B_1 Households Reporting this is their Habitual Place of Residence by HHs with a member with a disability")</f>
        <v>B_1 Households Reporting this is their Habitual Place of Residence by HHs with a member with a disability</v>
      </c>
    </row>
    <row r="23" spans="1:1" x14ac:dyDescent="0.3">
      <c r="A23" s="1" t="str">
        <f>HYPERLINK("#'Data'!A204", "B_1 Households Reporting this is their Habitual Place of Residence by HoHH sex")</f>
        <v>B_1 Households Reporting this is their Habitual Place of Residence by HoHH sex</v>
      </c>
    </row>
    <row r="24" spans="1:1" x14ac:dyDescent="0.3">
      <c r="A24" s="1" t="str">
        <f>HYPERLINK("#'Data'!A225", "B_1 Households Reporting this is their Habitual Place of Residence by rural or urban")</f>
        <v>B_1 Households Reporting this is their Habitual Place of Residence by rural or urban</v>
      </c>
    </row>
    <row r="25" spans="1:1" x14ac:dyDescent="0.3">
      <c r="A25" s="1" t="str">
        <f>HYPERLINK("#'Data'!A240", "B_1 Households Reporting this is their Habitual Place of Residence by HH proximity to frontline or Russian border")</f>
        <v>B_1 Households Reporting this is their Habitual Place of Residence by HH proximity to frontline or Russian border</v>
      </c>
    </row>
    <row r="26" spans="1:1" x14ac:dyDescent="0.3">
      <c r="A26" s="1" t="str">
        <f>HYPERLINK("#'Data'!A253", "B_4 Households Left their Place of Habitual Residence for 14+ days as a Result of the Escalation of the War since 24th Feb 2022 overall")</f>
        <v>B_4 Households Left their Place of Habitual Residence for 14+ days as a Result of the Escalation of the War since 24th Feb 2022 overall</v>
      </c>
    </row>
    <row r="27" spans="1:1" x14ac:dyDescent="0.3">
      <c r="A27" s="1" t="str">
        <f>HYPERLINK("#'Data'!A262", "B_4 Households Left their Place of Habitual Residence for 14+ days as a Result of the Escalation of the War since 24th Feb 2022 by HHs with a member with a disability")</f>
        <v>B_4 Households Left their Place of Habitual Residence for 14+ days as a Result of the Escalation of the War since 24th Feb 2022 by HHs with a member with a disability</v>
      </c>
    </row>
    <row r="28" spans="1:1" x14ac:dyDescent="0.3">
      <c r="A28" s="1" t="str">
        <f>HYPERLINK("#'Data'!A282", "B_4 Households Left their Place of Habitual Residence for 14+ days as a Result of the Escalation of the War since 24th Feb 2022 by HoHH sex")</f>
        <v>B_4 Households Left their Place of Habitual Residence for 14+ days as a Result of the Escalation of the War since 24th Feb 2022 by HoHH sex</v>
      </c>
    </row>
    <row r="29" spans="1:1" x14ac:dyDescent="0.3">
      <c r="A29" s="1" t="str">
        <f>HYPERLINK("#'Data'!A303", "B_4 Households Left their Place of Habitual Residence for 14+ days as a Result of the Escalation of the War since 24th Feb 2022 by rural or urban")</f>
        <v>B_4 Households Left their Place of Habitual Residence for 14+ days as a Result of the Escalation of the War since 24th Feb 2022 by rural or urban</v>
      </c>
    </row>
    <row r="30" spans="1:1" x14ac:dyDescent="0.3">
      <c r="A30" s="1" t="str">
        <f>HYPERLINK("#'Data'!A318", "B_4 Households Left their Place of Habitual Residence for 14+ days as a Result of the Escalation of the War since 24th Feb 2022 by HH proximity to frontline or Russian border")</f>
        <v>B_4 Households Left their Place of Habitual Residence for 14+ days as a Result of the Escalation of the War since 24th Feb 2022 by HH proximity to frontline or Russian border</v>
      </c>
    </row>
    <row r="31" spans="1:1" x14ac:dyDescent="0.3">
      <c r="A31" s="1" t="str">
        <f>HYPERLINK("#'Data'!A331", "B_5 Households Reporting they had to Leave their Habitual Place of Residence as a Result of theEscalation of the War on 24 Feb 2022 overall")</f>
        <v>B_5 Households Reporting they had to Leave their Habitual Place of Residence as a Result of theEscalation of the War on 24 Feb 2022 overall</v>
      </c>
    </row>
    <row r="32" spans="1:1" x14ac:dyDescent="0.3">
      <c r="A32" s="1" t="str">
        <f>HYPERLINK("#'Data'!A340", "B_5 Households Reporting they had to Leave their Habitual Place of Residence as a Result of theEscalation of the War on 24 Feb 2022 by HHs with a member with a disability")</f>
        <v>B_5 Households Reporting they had to Leave their Habitual Place of Residence as a Result of theEscalation of the War on 24 Feb 2022 by HHs with a member with a disability</v>
      </c>
    </row>
    <row r="33" spans="1:1" x14ac:dyDescent="0.3">
      <c r="A33" s="1" t="str">
        <f>HYPERLINK("#'Data'!A360", "B_5 Households Reporting they had to Leave their Habitual Place of Residence as a Result of theEscalation of the War on 24 Feb 2022 by HoHH sex")</f>
        <v>B_5 Households Reporting they had to Leave their Habitual Place of Residence as a Result of theEscalation of the War on 24 Feb 2022 by HoHH sex</v>
      </c>
    </row>
    <row r="34" spans="1:1" x14ac:dyDescent="0.3">
      <c r="A34" s="1" t="str">
        <f>HYPERLINK("#'Data'!A381", "B_5 Households Reporting they had to Leave their Habitual Place of Residence as a Result of theEscalation of the War on 24 Feb 2022 by rural or urban")</f>
        <v>B_5 Households Reporting they had to Leave their Habitual Place of Residence as a Result of theEscalation of the War on 24 Feb 2022 by rural or urban</v>
      </c>
    </row>
    <row r="35" spans="1:1" x14ac:dyDescent="0.3">
      <c r="A35" s="1" t="str">
        <f>HYPERLINK("#'Data'!A396", "B_5 Households Reporting they had to Leave their Habitual Place of Residence as a Result of theEscalation of the War on 24 Feb 2022 by HH proximity to frontline or Russian border")</f>
        <v>B_5 Households Reporting they had to Leave their Habitual Place of Residence as a Result of theEscalation of the War on 24 Feb 2022 by HH proximity to frontline or Russian border</v>
      </c>
    </row>
    <row r="36" spans="1:1" x14ac:dyDescent="0.3">
      <c r="A36" s="1" t="str">
        <f>HYPERLINK("#'Data'!A409", "B_3 Households Reporting to have been Separated from a Member of their Regular Household as a Result of the Escalation of the War overall")</f>
        <v>B_3 Households Reporting to have been Separated from a Member of their Regular Household as a Result of the Escalation of the War overall</v>
      </c>
    </row>
    <row r="37" spans="1:1" x14ac:dyDescent="0.3">
      <c r="A37" s="1" t="str">
        <f>HYPERLINK("#'Data'!A418", "B_3 Households Reporting to have been Separated from a Member of their Regular Household as a Result of the Escalation of the War by HHs with a member with a disability")</f>
        <v>B_3 Households Reporting to have been Separated from a Member of their Regular Household as a Result of the Escalation of the War by HHs with a member with a disability</v>
      </c>
    </row>
    <row r="38" spans="1:1" x14ac:dyDescent="0.3">
      <c r="A38" s="1" t="str">
        <f>HYPERLINK("#'Data'!A438", "B_3 Households Reporting to have been Separated from a Member of their Regular Household as a Result of the Escalation of the War by HoHH sex")</f>
        <v>B_3 Households Reporting to have been Separated from a Member of their Regular Household as a Result of the Escalation of the War by HoHH sex</v>
      </c>
    </row>
    <row r="39" spans="1:1" x14ac:dyDescent="0.3">
      <c r="A39" s="1" t="str">
        <f>HYPERLINK("#'Data'!A459", "B_3 Households Reporting to have been Separated from a Member of their Regular Household as a Result of the Escalation of the War by rural or urban")</f>
        <v>B_3 Households Reporting to have been Separated from a Member of their Regular Household as a Result of the Escalation of the War by rural or urban</v>
      </c>
    </row>
    <row r="40" spans="1:1" x14ac:dyDescent="0.3">
      <c r="A40" s="1" t="str">
        <f>HYPERLINK("#'Data'!A474", "B_3 Households Reporting to have been Separated from a Member of their Regular Household as a Result of the Escalation of the War by HH proximity to frontline or Russian border")</f>
        <v>B_3 Households Reporting to have been Separated from a Member of their Regular Household as a Result of the Escalation of the War by HH proximity to frontline or Russian border</v>
      </c>
    </row>
    <row r="41" spans="1:1" x14ac:dyDescent="0.3">
      <c r="A41" s="1" t="str">
        <f>HYPERLINK("#'Data'!A487", "B_9 Length of time Households Report to have been Displaced (Currently or in the Past) Since the Escalation of the War on 24 Feb 2022 by HHs with a member with a disability")</f>
        <v>B_9 Length of time Households Report to have been Displaced (Currently or in the Past) Since the Escalation of the War on 24 Feb 2022 by HHs with a member with a disability</v>
      </c>
    </row>
    <row r="42" spans="1:1" x14ac:dyDescent="0.3">
      <c r="A42" s="1" t="str">
        <f>HYPERLINK("#'Data'!A507", "B_9 Length of time Households Report to have been Displaced (Currently or in the Past) Since the Escalation of the War on 24 Feb 2022 by HoHH sex")</f>
        <v>B_9 Length of time Households Report to have been Displaced (Currently or in the Past) Since the Escalation of the War on 24 Feb 2022 by HoHH sex</v>
      </c>
    </row>
    <row r="43" spans="1:1" x14ac:dyDescent="0.3">
      <c r="A43" s="1" t="str">
        <f>HYPERLINK("#'Data'!A528", "B_9 Length of time Households Report to have been Displaced (Currently or in the Past) Since the Escalation of the War on 24 Feb 2022 by rural or urban")</f>
        <v>B_9 Length of time Households Report to have been Displaced (Currently or in the Past) Since the Escalation of the War on 24 Feb 2022 by rural or urban</v>
      </c>
    </row>
    <row r="44" spans="1:1" x14ac:dyDescent="0.3">
      <c r="A44" s="1" t="str">
        <f>HYPERLINK("#'Data'!A543", "B_9 Length of time Households Report to have been Displaced (Currently or in the Past) Since the Escalation of the War on 24 Feb 2022 by HH proximity to frontline or Russian border")</f>
        <v>B_9 Length of time Households Report to have been Displaced (Currently or in the Past) Since the Escalation of the War on 24 Feb 2022 by HH proximity to frontline or Russian border</v>
      </c>
    </row>
    <row r="45" spans="1:1" x14ac:dyDescent="0.3">
      <c r="A45" s="1" t="str">
        <f>HYPERLINK("#'Data'!A556", "B_9 Length of time Households Report to have been Displaced (Currently or in the Past) Since the Escalation of the War on 24 Feb 2022 overall")</f>
        <v>B_9 Length of time Households Report to have been Displaced (Currently or in the Past) Since the Escalation of the War on 24 Feb 2022 overall</v>
      </c>
    </row>
    <row r="46" spans="1:1" x14ac:dyDescent="0.3">
      <c r="A46" s="1" t="str">
        <f>HYPERLINK("#'Data'!A565", "B_11 Households Reported Accommodation Intentions Regarding Accomodation for the Medium to Long Term (from 3 to 6 Months) overall")</f>
        <v>B_11 Households Reported Accommodation Intentions Regarding Accomodation for the Medium to Long Term (from 3 to 6 Months) overall</v>
      </c>
    </row>
    <row r="47" spans="1:1" x14ac:dyDescent="0.3">
      <c r="A47" s="1" t="str">
        <f>HYPERLINK("#'Data'!A574", "B_11 Households Reported Accommodation Intentions Regarding Accomodation for the Medium to Long Term (from 3 to 6 Months) by HHs with a member with a disability")</f>
        <v>B_11 Households Reported Accommodation Intentions Regarding Accomodation for the Medium to Long Term (from 3 to 6 Months) by HHs with a member with a disability</v>
      </c>
    </row>
    <row r="48" spans="1:1" x14ac:dyDescent="0.3">
      <c r="A48" s="1" t="str">
        <f>HYPERLINK("#'Data'!A594", "B_11 Households Reported Accommodation Intentions Regarding Accomodation for the Medium to Long Term (from 3 to 6 Months) by HoHH sex")</f>
        <v>B_11 Households Reported Accommodation Intentions Regarding Accomodation for the Medium to Long Term (from 3 to 6 Months) by HoHH sex</v>
      </c>
    </row>
    <row r="49" spans="1:1" x14ac:dyDescent="0.3">
      <c r="A49" s="1" t="str">
        <f>HYPERLINK("#'Data'!A615", "B_11 Households Reported Accommodation Intentions Regarding Accomodation for the Medium to Long Term (from 3 to 6 Months) by rural or urban")</f>
        <v>B_11 Households Reported Accommodation Intentions Regarding Accomodation for the Medium to Long Term (from 3 to 6 Months) by rural or urban</v>
      </c>
    </row>
    <row r="50" spans="1:1" x14ac:dyDescent="0.3">
      <c r="A50" s="1" t="str">
        <f>HYPERLINK("#'Data'!A630", "B_11 Households Reported Accommodation Intentions Regarding Accomodation for the Medium to Long Term (from 3 to 6 Months) by HH proximity to frontline or Russian border")</f>
        <v>B_11 Households Reported Accommodation Intentions Regarding Accomodation for the Medium to Long Term (from 3 to 6 Months) by HH proximity to frontline or Russian border</v>
      </c>
    </row>
    <row r="51" spans="1:1" x14ac:dyDescent="0.3">
      <c r="A51" s="1" t="str">
        <f>HYPERLINK("#'Data'!A643", "B_12 Households Reported Accommodation Intentions Regarding Location for the Medium to Long Term (from 3 to 6 Months) overall")</f>
        <v>B_12 Households Reported Accommodation Intentions Regarding Location for the Medium to Long Term (from 3 to 6 Months) overall</v>
      </c>
    </row>
    <row r="52" spans="1:1" x14ac:dyDescent="0.3">
      <c r="A52" s="1" t="str">
        <f>HYPERLINK("#'Data'!A652", "B_12 Households Reported Accommodation Intentions Regarding Location for the Medium to Long Term (from 3 to 6 Months) by HHs with a member with a disability")</f>
        <v>B_12 Households Reported Accommodation Intentions Regarding Location for the Medium to Long Term (from 3 to 6 Months) by HHs with a member with a disability</v>
      </c>
    </row>
    <row r="53" spans="1:1" x14ac:dyDescent="0.3">
      <c r="A53" s="1" t="str">
        <f>HYPERLINK("#'Data'!A669", "B_12 Households Reported Accommodation Intentions Regarding Location for the Medium to Long Term (from 3 to 6 Months) by HoHH sex")</f>
        <v>B_12 Households Reported Accommodation Intentions Regarding Location for the Medium to Long Term (from 3 to 6 Months) by HoHH sex</v>
      </c>
    </row>
    <row r="54" spans="1:1" x14ac:dyDescent="0.3">
      <c r="A54" s="1" t="str">
        <f>HYPERLINK("#'Data'!A688", "B_12 Households Reported Accommodation Intentions Regarding Location for the Medium to Long Term (from 3 to 6 Months) by rural or urban")</f>
        <v>B_12 Households Reported Accommodation Intentions Regarding Location for the Medium to Long Term (from 3 to 6 Months) by rural or urban</v>
      </c>
    </row>
    <row r="55" spans="1:1" x14ac:dyDescent="0.3">
      <c r="A55" s="1" t="str">
        <f>HYPERLINK("#'Data'!A703", "B_12 Households Reported Accommodation Intentions Regarding Location for the Medium to Long Term (from 3 to 6 Months) by HH proximity to frontline or Russian border")</f>
        <v>B_12 Households Reported Accommodation Intentions Regarding Location for the Medium to Long Term (from 3 to 6 Months) by HH proximity to frontline or Russian border</v>
      </c>
    </row>
    <row r="56" spans="1:1" x14ac:dyDescent="0.3">
      <c r="A56" s="1" t="str">
        <f>HYPERLINK("#'Data'!A715", "C_1 School Aged Children Reportedly Enrolled in Formal School during the 2022-2023 school year overall")</f>
        <v>C_1 School Aged Children Reportedly Enrolled in Formal School during the 2022-2023 school year overall</v>
      </c>
    </row>
    <row r="57" spans="1:1" x14ac:dyDescent="0.3">
      <c r="A57" s="1" t="str">
        <f>HYPERLINK("#'Data'!A724", "C_1 School Aged Children Reportedly Enrolled in Formal School during the 2022-2023 school year by child with a disability")</f>
        <v>C_1 School Aged Children Reportedly Enrolled in Formal School during the 2022-2023 school year by child with a disability</v>
      </c>
    </row>
    <row r="58" spans="1:1" x14ac:dyDescent="0.3">
      <c r="A58" s="1" t="str">
        <f>HYPERLINK("#'Data'!A756", "C_1 School Aged Children Reportedly Enrolled in Formal School during the 2022-2023 school year by rural or urban")</f>
        <v>C_1 School Aged Children Reportedly Enrolled in Formal School during the 2022-2023 school year by rural or urban</v>
      </c>
    </row>
    <row r="59" spans="1:1" x14ac:dyDescent="0.3">
      <c r="A59" s="1" t="str">
        <f>HYPERLINK("#'Data'!A771", "C_1 School Aged Children Reportedly Enrolled in Formal School during the 2022-2023 school year by HoHH sex")</f>
        <v>C_1 School Aged Children Reportedly Enrolled in Formal School during the 2022-2023 school year by HoHH sex</v>
      </c>
    </row>
    <row r="60" spans="1:1" x14ac:dyDescent="0.3">
      <c r="A60" s="1" t="str">
        <f>HYPERLINK("#'Data'!A790", "C_1 School Aged Children Reportedly Enrolled in Formal School during the 2022-2023 school year by HH with a member employed")</f>
        <v>C_1 School Aged Children Reportedly Enrolled in Formal School during the 2022-2023 school year by HH with a member employed</v>
      </c>
    </row>
    <row r="61" spans="1:1" x14ac:dyDescent="0.3">
      <c r="A61" s="1" t="str">
        <f>HYPERLINK("#'Data'!A809", "C_1 School Aged Children Reportedly Enrolled in Formal School during the 2022-2023 school year by HH proximity to frontline or Russian border")</f>
        <v>C_1 School Aged Children Reportedly Enrolled in Formal School during the 2022-2023 school year by HH proximity to frontline or Russian border</v>
      </c>
    </row>
    <row r="62" spans="1:1" x14ac:dyDescent="0.3">
      <c r="A62" s="1" t="str">
        <f>HYPERLINK("#'Data'!A822", "C_2 School Aged Children Reportedly Enrolled in Learning Modalities during the 2022-2023 school year overall")</f>
        <v>C_2 School Aged Children Reportedly Enrolled in Learning Modalities during the 2022-2023 school year overall</v>
      </c>
    </row>
    <row r="63" spans="1:1" x14ac:dyDescent="0.3">
      <c r="A63" s="1" t="str">
        <f>HYPERLINK("#'Data'!A831", "C_2 School Aged Children Reportedly Enrolled in Learning Modalities during the 2022-2023 school year by child with a disability")</f>
        <v>C_2 School Aged Children Reportedly Enrolled in Learning Modalities during the 2022-2023 school year by child with a disability</v>
      </c>
    </row>
    <row r="64" spans="1:1" x14ac:dyDescent="0.3">
      <c r="A64" s="1" t="str">
        <f>HYPERLINK("#'Data'!A861", "C_2 School Aged Children Reportedly Enrolled in Learning Modalities during the 2022-2023 school year by rural or urban")</f>
        <v>C_2 School Aged Children Reportedly Enrolled in Learning Modalities during the 2022-2023 school year by rural or urban</v>
      </c>
    </row>
    <row r="65" spans="1:1" x14ac:dyDescent="0.3">
      <c r="A65" s="1" t="str">
        <f>HYPERLINK("#'Data'!A876", "C_2 School Aged Children Reportedly Enrolled in Learning Modalities during the 2022-2023 school year by HoHH sex")</f>
        <v>C_2 School Aged Children Reportedly Enrolled in Learning Modalities during the 2022-2023 school year by HoHH sex</v>
      </c>
    </row>
    <row r="66" spans="1:1" x14ac:dyDescent="0.3">
      <c r="A66" s="1" t="str">
        <f>HYPERLINK("#'Data'!A895", "C_2 School Aged Children Reportedly Enrolled in Learning Modalities during the 2022-2023 school year by HH with member employed")</f>
        <v>C_2 School Aged Children Reportedly Enrolled in Learning Modalities during the 2022-2023 school year by HH with member employed</v>
      </c>
    </row>
    <row r="67" spans="1:1" x14ac:dyDescent="0.3">
      <c r="A67" s="1" t="str">
        <f>HYPERLINK("#'Data'!A912", "C_2 School Aged Children Reportedly Enrolled in Learning Modalities during the 2022-2023 school year by HH proximity to frontline or Russian border")</f>
        <v>C_2 School Aged Children Reportedly Enrolled in Learning Modalities during the 2022-2023 school year by HH proximity to frontline or Russian border</v>
      </c>
    </row>
    <row r="68" spans="1:1" x14ac:dyDescent="0.3">
      <c r="A68" s="1" t="str">
        <f>HYPERLINK("#'Data'!A925", "C_3 School Aged Children Reportedly Attending Schools In-Person during the 2022-2023 school year overall")</f>
        <v>C_3 School Aged Children Reportedly Attending Schools In-Person during the 2022-2023 school year overall</v>
      </c>
    </row>
    <row r="69" spans="1:1" x14ac:dyDescent="0.3">
      <c r="A69" s="1" t="str">
        <f>HYPERLINK("#'Data'!A934", "C_3 School Aged Children Reportedly Enrolled in Learning Modalities during the 2022-2023 school year by child sex and age")</f>
        <v>C_3 School Aged Children Reportedly Enrolled in Learning Modalities during the 2022-2023 school year by child sex and age</v>
      </c>
    </row>
    <row r="70" spans="1:1" x14ac:dyDescent="0.3">
      <c r="A70" s="1" t="str">
        <f>HYPERLINK("#'Data'!A963", "C_3 School Aged Children Reportedly Attending Schools In-Person during the 2022-2023 school year by child with a disability")</f>
        <v>C_3 School Aged Children Reportedly Attending Schools In-Person during the 2022-2023 school year by child with a disability</v>
      </c>
    </row>
    <row r="71" spans="1:1" x14ac:dyDescent="0.3">
      <c r="A71" s="1" t="str">
        <f>HYPERLINK("#'Data'!A981", "C_3 School Aged Children Reportedly Attending Schools In-Person during the 2022-2023 school year by rural or urban")</f>
        <v>C_3 School Aged Children Reportedly Attending Schools In-Person during the 2022-2023 school year by rural or urban</v>
      </c>
    </row>
    <row r="72" spans="1:1" x14ac:dyDescent="0.3">
      <c r="A72" s="1" t="str">
        <f>HYPERLINK("#'Data'!A995", "C_3 School Aged Children Reportedly Attending Schools In-Person during the 2022-2023 school year by HoHH sex")</f>
        <v>C_3 School Aged Children Reportedly Attending Schools In-Person during the 2022-2023 school year by HoHH sex</v>
      </c>
    </row>
    <row r="73" spans="1:1" x14ac:dyDescent="0.3">
      <c r="A73" s="1" t="str">
        <f>HYPERLINK("#'Data'!A1013", "C_3 School Aged Children Reportedly Attending Schools In-Person during the 2022-2023 school year by HH with member employed")</f>
        <v>C_3 School Aged Children Reportedly Attending Schools In-Person during the 2022-2023 school year by HH with member employed</v>
      </c>
    </row>
    <row r="74" spans="1:1" x14ac:dyDescent="0.3">
      <c r="A74" s="1" t="str">
        <f>HYPERLINK("#'Data'!A1027", "C_3 School Aged Children Reportedly Attending Schools In-Person during the 2022-2023 school year by HH proximity to frontline or Russian border")</f>
        <v>C_3 School Aged Children Reportedly Attending Schools In-Person during the 2022-2023 school year by HH proximity to frontline or Russian border</v>
      </c>
    </row>
    <row r="75" spans="1:1" x14ac:dyDescent="0.3">
      <c r="A75" s="1" t="str">
        <f>HYPERLINK("#'Data'!A1038", "C_4 School Aged Children Reportedly Attending Schools Remotely during the 2022-2023 school year overall")</f>
        <v>C_4 School Aged Children Reportedly Attending Schools Remotely during the 2022-2023 school year overall</v>
      </c>
    </row>
    <row r="76" spans="1:1" x14ac:dyDescent="0.3">
      <c r="A76" s="1" t="str">
        <f>HYPERLINK("#'Data'!A1047", "C_4 School Aged Children Reportedly Attending Schools Remotely during the 2022-2023 school year by child with a disability")</f>
        <v>C_4 School Aged Children Reportedly Attending Schools Remotely during the 2022-2023 school year by child with a disability</v>
      </c>
    </row>
    <row r="77" spans="1:1" x14ac:dyDescent="0.3">
      <c r="A77" s="1" t="str">
        <f>HYPERLINK("#'Data'!A1074", "C_4 School Aged Children Reportedly Attending Schools Remotely during the 2022-2023 school year by rural or urban")</f>
        <v>C_4 School Aged Children Reportedly Attending Schools Remotely during the 2022-2023 school year by rural or urban</v>
      </c>
    </row>
    <row r="78" spans="1:1" x14ac:dyDescent="0.3">
      <c r="A78" s="1" t="str">
        <f>HYPERLINK("#'Data'!A1089", "C_4 School Aged Children Reportedly Attending Schools Remotely during the 2022-2023 school year by HoHH sex")</f>
        <v>C_4 School Aged Children Reportedly Attending Schools Remotely during the 2022-2023 school year by HoHH sex</v>
      </c>
    </row>
    <row r="79" spans="1:1" x14ac:dyDescent="0.3">
      <c r="A79" s="1" t="str">
        <f>HYPERLINK("#'Data'!A1108", "C_4 School Aged Children Reportedly Attending Schools Remotely during the 2022-2023 school year by HH with member employed")</f>
        <v>C_4 School Aged Children Reportedly Attending Schools Remotely during the 2022-2023 school year by HH with member employed</v>
      </c>
    </row>
    <row r="80" spans="1:1" x14ac:dyDescent="0.3">
      <c r="A80" s="1" t="str">
        <f>HYPERLINK("#'Data'!A1125", "C_4 School Aged Children Reportedly Attending Schools Remotely during the 2022-2023 school year by HH proximity to frontline or Russian border")</f>
        <v>C_4 School Aged Children Reportedly Attending Schools Remotely during the 2022-2023 school year by HH proximity to frontline or Russian border</v>
      </c>
    </row>
    <row r="81" spans="1:1" x14ac:dyDescent="0.3">
      <c r="A81" s="1" t="str">
        <f>HYPERLINK("#'Data'!A1138", "C_4 School Aged Children Reportedly Attending Schools In-Person and Remotely (Blended Learning) during the 2022-2023 school year overall")</f>
        <v>C_4 School Aged Children Reportedly Attending Schools In-Person and Remotely (Blended Learning) during the 2022-2023 school year overall</v>
      </c>
    </row>
    <row r="82" spans="1:1" x14ac:dyDescent="0.3">
      <c r="A82" s="1" t="str">
        <f>HYPERLINK("#'Data'!A1147", "C_4 School Aged Children Reportedly Attending Schools In-Person and Remotely (Blended Learning) during the 2022-2023 school year by child with a disability")</f>
        <v>C_4 School Aged Children Reportedly Attending Schools In-Person and Remotely (Blended Learning) during the 2022-2023 school year by child with a disability</v>
      </c>
    </row>
    <row r="83" spans="1:1" x14ac:dyDescent="0.3">
      <c r="A83" s="1" t="str">
        <f>HYPERLINK("#'Data'!A1162", "C_4 School Aged Children Reportedly Attending Schools In-Person and Remotely (Blended Learning) during the 2022-2023 school year by child sex and age")</f>
        <v>C_4 School Aged Children Reportedly Attending Schools In-Person and Remotely (Blended Learning) during the 2022-2023 school year by child sex and age</v>
      </c>
    </row>
    <row r="84" spans="1:1" x14ac:dyDescent="0.3">
      <c r="A84" s="1" t="str">
        <f>HYPERLINK("#'Data'!A1188", "C_4 School Aged Children Reportedly Attending Schools In-Person and Remotely (Blended Learning) during the 2022-2023 school year by rural or urban")</f>
        <v>C_4 School Aged Children Reportedly Attending Schools In-Person and Remotely (Blended Learning) during the 2022-2023 school year by rural or urban</v>
      </c>
    </row>
    <row r="85" spans="1:1" x14ac:dyDescent="0.3">
      <c r="A85" s="1" t="str">
        <f>HYPERLINK("#'Data'!A1202", "C_4 School Aged Children Reportedly Attending Schools In-Person and Remotely (Blended Learning) during the 2022-2023 school year by HoHH sex")</f>
        <v>C_4 School Aged Children Reportedly Attending Schools In-Person and Remotely (Blended Learning) during the 2022-2023 school year by HoHH sex</v>
      </c>
    </row>
    <row r="86" spans="1:1" x14ac:dyDescent="0.3">
      <c r="A86" s="1" t="str">
        <f>HYPERLINK("#'Data'!A1219", "C_4 School Aged Children Reportedly Attending Schools In-Person and Remotely (Blended Learning) during the 2022-2023 school year by HH with member employed")</f>
        <v>C_4 School Aged Children Reportedly Attending Schools In-Person and Remotely (Blended Learning) during the 2022-2023 school year by HH with member employed</v>
      </c>
    </row>
    <row r="87" spans="1:1" x14ac:dyDescent="0.3">
      <c r="A87" s="1" t="str">
        <f>HYPERLINK("#'Data'!A1234", "C_4 School Aged Children Reportedly Attending Schools In-Person and Remotely (Blended Learning) during the 2022-2023 school year by HH proximity to frontline or Russian border")</f>
        <v>C_4 School Aged Children Reportedly Attending Schools In-Person and Remotely (Blended Learning) during the 2022-2023 school year by HH proximity to frontline or Russian border</v>
      </c>
    </row>
    <row r="88" spans="1:1" x14ac:dyDescent="0.3">
      <c r="A88" s="1" t="str">
        <f>HYPERLINK("#'Data'!A1246", "C_6 Main Reason School Aged Children Reportedly Did Not Access Formal School during the 2022-2023 school year overall")</f>
        <v>C_6 Main Reason School Aged Children Reportedly Did Not Access Formal School during the 2022-2023 school year overall</v>
      </c>
    </row>
    <row r="89" spans="1:1" x14ac:dyDescent="0.3">
      <c r="A89" s="1" t="str">
        <f>HYPERLINK("#'Data'!A1255", "C_6 Main Reason School Aged Children Reportedly Did Not Access Formal School during the 2022-2023 school year by child with a disability")</f>
        <v>C_6 Main Reason School Aged Children Reportedly Did Not Access Formal School during the 2022-2023 school year by child with a disability</v>
      </c>
    </row>
    <row r="90" spans="1:1" x14ac:dyDescent="0.3">
      <c r="A90" s="1" t="str">
        <f>HYPERLINK("#'Data'!A1270", "C_6 Main Reason School Aged Children Reportedly Did Not Access Formal School during the 2022-2023 school year by child sex and age")</f>
        <v>C_6 Main Reason School Aged Children Reportedly Did Not Access Formal School during the 2022-2023 school year by child sex and age</v>
      </c>
    </row>
    <row r="91" spans="1:1" x14ac:dyDescent="0.3">
      <c r="A91" s="1" t="str">
        <f>HYPERLINK("#'Data'!A1296", "C_6 Main Reason School Aged Children Reportedly Did Not Access Formal School during the 2022-2023 school year by rural or urban")</f>
        <v>C_6 Main Reason School Aged Children Reportedly Did Not Access Formal School during the 2022-2023 school year by rural or urban</v>
      </c>
    </row>
    <row r="92" spans="1:1" x14ac:dyDescent="0.3">
      <c r="A92" s="1" t="str">
        <f>HYPERLINK("#'Data'!A1311", "C_6 Main Reason School Aged Children Reportedly Did Not Access Formal School during the 2022-2023 school year by HoHH sex")</f>
        <v>C_6 Main Reason School Aged Children Reportedly Did Not Access Formal School during the 2022-2023 school year by HoHH sex</v>
      </c>
    </row>
    <row r="93" spans="1:1" x14ac:dyDescent="0.3">
      <c r="A93" s="1" t="str">
        <f>HYPERLINK("#'Data'!A1325", "C_6 Main Reason School Aged Children Reportedly Did Not Access Formal School during the 2022-2023 school year by HH with member employed")</f>
        <v>C_6 Main Reason School Aged Children Reportedly Did Not Access Formal School during the 2022-2023 school year by HH with member employed</v>
      </c>
    </row>
    <row r="94" spans="1:1" x14ac:dyDescent="0.3">
      <c r="A94" s="1" t="str">
        <f>HYPERLINK("#'Data'!A1338", "C_6 Main Reason School Aged Children Reportedly Did Not Access Formal School during the 2022-2023 school year by HH proximity to frontline or Russian border")</f>
        <v>C_6 Main Reason School Aged Children Reportedly Did Not Access Formal School during the 2022-2023 school year by HH proximity to frontline or Russian border</v>
      </c>
    </row>
    <row r="95" spans="1:1" x14ac:dyDescent="0.3">
      <c r="A95" s="1" t="str">
        <f>HYPERLINK("#'Data'!A1348", "C_7 School Aged Children Reportedly Able to Travel Safely and Learn in Safe Conditions at School During the 2022-2023 school year overall")</f>
        <v>C_7 School Aged Children Reportedly Able to Travel Safely and Learn in Safe Conditions at School During the 2022-2023 school year overall</v>
      </c>
    </row>
    <row r="96" spans="1:1" x14ac:dyDescent="0.3">
      <c r="A96" s="1" t="str">
        <f>HYPERLINK("#'Data'!A1357", "C_7 School Aged Children Reportedly Able to Travel Safely and Learn in Safe Conditions at School During the 2022-2023 school year by child with a disability")</f>
        <v>C_7 School Aged Children Reportedly Able to Travel Safely and Learn in Safe Conditions at School During the 2022-2023 school year by child with a disability</v>
      </c>
    </row>
    <row r="97" spans="1:1" x14ac:dyDescent="0.3">
      <c r="A97" s="1" t="str">
        <f>HYPERLINK("#'Data'!A1376", "C_7 School Aged Children Reportedly Able to Travel Safely and Learn in Safe Conditions at School During the 2022-2023 school year by rural or urban")</f>
        <v>C_7 School Aged Children Reportedly Able to Travel Safely and Learn in Safe Conditions at School During the 2022-2023 school year by rural or urban</v>
      </c>
    </row>
    <row r="98" spans="1:1" x14ac:dyDescent="0.3">
      <c r="A98" s="1" t="str">
        <f>HYPERLINK("#'Data'!A1391", "C_7 School Aged Children Reportedly Able to Travel Safely and Learn in Safe Conditions at School During the 2022-2023 school year by child sex and age")</f>
        <v>C_7 School Aged Children Reportedly Able to Travel Safely and Learn in Safe Conditions at School During the 2022-2023 school year by child sex and age</v>
      </c>
    </row>
    <row r="99" spans="1:1" x14ac:dyDescent="0.3">
      <c r="A99" s="1" t="str">
        <f>HYPERLINK("#'Data'!A1422", "C_7 School Aged Children Reportedly Able to Travel Safely and Learn in Safe Conditions at School During the 2022-2023 school year by HoHH sex")</f>
        <v>C_7 School Aged Children Reportedly Able to Travel Safely and Learn in Safe Conditions at School During the 2022-2023 school year by HoHH sex</v>
      </c>
    </row>
    <row r="100" spans="1:1" x14ac:dyDescent="0.3">
      <c r="A100" s="1" t="str">
        <f>HYPERLINK("#'Data'!A1441", "C_7 School Aged Children Reportedly Able to Travel Safely and Learn in Safe Conditions at School During the 2022-2023 school year by HH with member employed")</f>
        <v>C_7 School Aged Children Reportedly Able to Travel Safely and Learn in Safe Conditions at School During the 2022-2023 school year by HH with member employed</v>
      </c>
    </row>
    <row r="101" spans="1:1" x14ac:dyDescent="0.3">
      <c r="A101" s="1" t="str">
        <f>HYPERLINK("#'Data'!A1456", "C_7 School Aged Children Reportedly Able to Travel Safely and Learn in Safe Conditions at School During the 2022-2023 school year by HH proximity to frontline or Russian border")</f>
        <v>C_7 School Aged Children Reportedly Able to Travel Safely and Learn in Safe Conditions at School During the 2022-2023 school year by HH proximity to frontline or Russian border</v>
      </c>
    </row>
    <row r="102" spans="1:1" x14ac:dyDescent="0.3">
      <c r="A102" s="1" t="str">
        <f>HYPERLINK("#'Data'!A1468", "C_8 Main Barriers School Aged Children Reportedly Faced to Travel and Learn Safely at School During the 2022-2023 school year overall")</f>
        <v>C_8 Main Barriers School Aged Children Reportedly Faced to Travel and Learn Safely at School During the 2022-2023 school year overall</v>
      </c>
    </row>
    <row r="103" spans="1:1" x14ac:dyDescent="0.3">
      <c r="A103" s="1" t="str">
        <f>HYPERLINK("#'Data'!A1477", "C_8 Main Barriers School Aged Children Reportedly Faced to Travel and Learn Safely at School During the 2022-2023 school year by child with a disability")</f>
        <v>C_8 Main Barriers School Aged Children Reportedly Faced to Travel and Learn Safely at School During the 2022-2023 school year by child with a disability</v>
      </c>
    </row>
    <row r="104" spans="1:1" x14ac:dyDescent="0.3">
      <c r="A104" s="1" t="str">
        <f>HYPERLINK("#'Data'!A1486", "C_8 Main Barriers School Aged Children Reportedly Faced to Travel and Learn Safely at School During the 2022-2023 school year by child sex and age")</f>
        <v>C_8 Main Barriers School Aged Children Reportedly Faced to Travel and Learn Safely at School During the 2022-2023 school year by child sex and age</v>
      </c>
    </row>
    <row r="105" spans="1:1" x14ac:dyDescent="0.3">
      <c r="A105" s="1" t="str">
        <f>HYPERLINK("#'Data'!A1495", "C_8 Main Barriers School Aged Children Reportedly Faced to Travel and Learn Safely at School During the 2022-2023 school year by rural or urban")</f>
        <v>C_8 Main Barriers School Aged Children Reportedly Faced to Travel and Learn Safely at School During the 2022-2023 school year by rural or urban</v>
      </c>
    </row>
    <row r="106" spans="1:1" x14ac:dyDescent="0.3">
      <c r="A106" s="1" t="str">
        <f>HYPERLINK("#'Data'!A1504", "C_8 Main Barriers School Aged Children Reportedly Faced to Travel and Learn Safely at School During the 2022-2023 school year by HoHH sex")</f>
        <v>C_8 Main Barriers School Aged Children Reportedly Faced to Travel and Learn Safely at School During the 2022-2023 school year by HoHH sex</v>
      </c>
    </row>
    <row r="107" spans="1:1" x14ac:dyDescent="0.3">
      <c r="A107" s="1" t="str">
        <f>HYPERLINK("#'Data'!A1513", "C_8 Main Barriers School Aged Children Reportedly Faced to Travel and Learn Safely at School During the 2022-2023 school year by HH with member employed")</f>
        <v>C_8 Main Barriers School Aged Children Reportedly Faced to Travel and Learn Safely at School During the 2022-2023 school year by HH with member employed</v>
      </c>
    </row>
    <row r="108" spans="1:1" x14ac:dyDescent="0.3">
      <c r="A108" s="1" t="str">
        <f>HYPERLINK("#'Data'!A1522", "C_8 Main Barriers School Aged Children Reportedly Faced to Travel and Learn Safely at School During the 2022-2023 school year by HH proximity to frontline or Russian border")</f>
        <v>C_8 Main Barriers School Aged Children Reportedly Faced to Travel and Learn Safely at School During the 2022-2023 school year by HH proximity to frontline or Russian border</v>
      </c>
    </row>
    <row r="109" spans="1:1" x14ac:dyDescent="0.3">
      <c r="A109" s="1" t="str">
        <f>HYPERLINK("#'Data'!A1531", "C_9 School Aged Children Reportedly Able to Learn in Acceptable Conditions at School During the 2022-2023 school year overall")</f>
        <v>C_9 School Aged Children Reportedly Able to Learn in Acceptable Conditions at School During the 2022-2023 school year overall</v>
      </c>
    </row>
    <row r="110" spans="1:1" x14ac:dyDescent="0.3">
      <c r="A110" s="1" t="str">
        <f>HYPERLINK("#'Data'!A1540", "C_9 School Aged Children Reportedly Able to Learn in Acceptable Conditions at School During the 2022-2023 school year by child with a disability")</f>
        <v>C_9 School Aged Children Reportedly Able to Learn in Acceptable Conditions at School During the 2022-2023 school year by child with a disability</v>
      </c>
    </row>
    <row r="111" spans="1:1" x14ac:dyDescent="0.3">
      <c r="A111" s="1" t="str">
        <f>HYPERLINK("#'Data'!A1568", "C_9 School Aged Children Reportedly Able to Learn in Acceptable Conditions at School During the 2022-2023 school year by rural or urban")</f>
        <v>C_9 School Aged Children Reportedly Able to Learn in Acceptable Conditions at School During the 2022-2023 school year by rural or urban</v>
      </c>
    </row>
    <row r="112" spans="1:1" x14ac:dyDescent="0.3">
      <c r="A112" s="1" t="str">
        <f>HYPERLINK("#'Data'!A1583", "C_9 School Aged Children Reportedly Able to Learn in Acceptable Conditions at School During the 2022-2023 school year by HoHH sex")</f>
        <v>C_9 School Aged Children Reportedly Able to Learn in Acceptable Conditions at School During the 2022-2023 school year by HoHH sex</v>
      </c>
    </row>
    <row r="113" spans="1:1" x14ac:dyDescent="0.3">
      <c r="A113" s="1" t="str">
        <f>HYPERLINK("#'Data'!A1602", "C_9 School Aged Children Reportedly Able to Learn in Acceptable Conditions at School During the 2022-2023 school year by HH with member employed")</f>
        <v>C_9 School Aged Children Reportedly Able to Learn in Acceptable Conditions at School During the 2022-2023 school year by HH with member employed</v>
      </c>
    </row>
    <row r="114" spans="1:1" x14ac:dyDescent="0.3">
      <c r="A114" s="1" t="str">
        <f>HYPERLINK("#'Data'!A1619", "C_9 School Aged Children Reportedly Able to Learn in Acceptable Conditions at School During the 2022-2023 school year by HH proximity to frontline or Russian border")</f>
        <v>C_9 School Aged Children Reportedly Able to Learn in Acceptable Conditions at School During the 2022-2023 school year by HH proximity to frontline or Russian border</v>
      </c>
    </row>
    <row r="115" spans="1:1" x14ac:dyDescent="0.3">
      <c r="A115" s="1" t="str">
        <f>HYPERLINK("#'Data'!A1632", "C_10 Main Barriers School Aged Children Reportedly Faced to Learn in Acceptable Conditions at School During the 2022-2023 school year overall")</f>
        <v>C_10 Main Barriers School Aged Children Reportedly Faced to Learn in Acceptable Conditions at School During the 2022-2023 school year overall</v>
      </c>
    </row>
    <row r="116" spans="1:1" x14ac:dyDescent="0.3">
      <c r="A116" s="1" t="str">
        <f>HYPERLINK("#'Data'!A1641", "C_10 Main Barriers School Aged Children Reportedly Faced to Learn in Acceptable Conditions at School During the 2022-2023 school year by child with a disability")</f>
        <v>C_10 Main Barriers School Aged Children Reportedly Faced to Learn in Acceptable Conditions at School During the 2022-2023 school year by child with a disability</v>
      </c>
    </row>
    <row r="117" spans="1:1" x14ac:dyDescent="0.3">
      <c r="A117" s="1" t="str">
        <f>HYPERLINK("#'Data'!A1652", "C_10 Main Barriers School Aged Children Reportedly Faced to Learn in Acceptable Conditions at School During the 2022-2023 school year by rural or urban")</f>
        <v>C_10 Main Barriers School Aged Children Reportedly Faced to Learn in Acceptable Conditions at School During the 2022-2023 school year by rural or urban</v>
      </c>
    </row>
    <row r="118" spans="1:1" x14ac:dyDescent="0.3">
      <c r="A118" s="1" t="str">
        <f>HYPERLINK("#'Data'!A1664", "C_10 Main Barriers School Aged Children Reportedly Faced to Learn in Acceptable Conditions at School During the 2022-2023 school year by child sex and age")</f>
        <v>C_10 Main Barriers School Aged Children Reportedly Faced to Learn in Acceptable Conditions at School During the 2022-2023 school year by child sex and age</v>
      </c>
    </row>
    <row r="119" spans="1:1" x14ac:dyDescent="0.3">
      <c r="A119" s="1" t="str">
        <f>HYPERLINK("#'Data'!A1694", "C_10 Main Barriers School Aged Children Reportedly Faced to Learn in Acceptable Conditions at School During the 2022-2023 school year by HoHH sex")</f>
        <v>C_10 Main Barriers School Aged Children Reportedly Faced to Learn in Acceptable Conditions at School During the 2022-2023 school year by HoHH sex</v>
      </c>
    </row>
    <row r="120" spans="1:1" x14ac:dyDescent="0.3">
      <c r="A120" s="1" t="str">
        <f>HYPERLINK("#'Data'!A1708", "C_10 Main Barriers School Aged Children Reportedly Faced to Learn in Acceptable Conditions at School During the 2022-2023 school year by HH with member employed")</f>
        <v>C_10 Main Barriers School Aged Children Reportedly Faced to Learn in Acceptable Conditions at School During the 2022-2023 school year by HH with member employed</v>
      </c>
    </row>
    <row r="121" spans="1:1" x14ac:dyDescent="0.3">
      <c r="A121" s="1" t="str">
        <f>HYPERLINK("#'Data'!A1723", "C_10 Main Barriers School Aged Children Reportedly Faced to Learn in Acceptable Conditions at School During the 2022-2023 school year by HH proximity to frontline or Russian border")</f>
        <v>C_10 Main Barriers School Aged Children Reportedly Faced to Learn in Acceptable Conditions at School During the 2022-2023 school year by HH proximity to frontline or Russian border</v>
      </c>
    </row>
    <row r="122" spans="1:1" x14ac:dyDescent="0.3">
      <c r="A122" s="1" t="str">
        <f>HYPERLINK("#'Data'!A1735", "C_11 Young Children (2 to 5 years old) Reportedly Attending Early Childhood Education Programmes overall")</f>
        <v>C_11 Young Children (2 to 5 years old) Reportedly Attending Early Childhood Education Programmes overall</v>
      </c>
    </row>
    <row r="123" spans="1:1" x14ac:dyDescent="0.3">
      <c r="A123" s="1" t="str">
        <f>HYPERLINK("#'Data'!A1744", "C_11 Young Children (2 to 5 years old) Reportedly Attending Early Childhood Education Programmes by child with a disability")</f>
        <v>C_11 Young Children (2 to 5 years old) Reportedly Attending Early Childhood Education Programmes by child with a disability</v>
      </c>
    </row>
    <row r="124" spans="1:1" x14ac:dyDescent="0.3">
      <c r="A124" s="1" t="str">
        <f>HYPERLINK("#'Data'!A1755", "C_11 Young Children (2 to 5 years old) Reportedly Attending Early Childhood Education Programmes by rural or urban")</f>
        <v>C_11 Young Children (2 to 5 years old) Reportedly Attending Early Childhood Education Programmes by rural or urban</v>
      </c>
    </row>
    <row r="125" spans="1:1" x14ac:dyDescent="0.3">
      <c r="A125" s="1" t="str">
        <f>HYPERLINK("#'Data'!A1770", "C_11 Young Children (2 to 5 years old) Reportedly Attending Early Childhood Education Programmes by HoHH sex")</f>
        <v>C_11 Young Children (2 to 5 years old) Reportedly Attending Early Childhood Education Programmes by HoHH sex</v>
      </c>
    </row>
    <row r="126" spans="1:1" x14ac:dyDescent="0.3">
      <c r="A126" s="1" t="str">
        <f>HYPERLINK("#'Data'!A1788", "C_11 Young Children (2 to 5 years old) Reportedly Attending Early Childhood Education Programmes by HH with member employed")</f>
        <v>C_11 Young Children (2 to 5 years old) Reportedly Attending Early Childhood Education Programmes by HH with member employed</v>
      </c>
    </row>
    <row r="127" spans="1:1" x14ac:dyDescent="0.3">
      <c r="A127" s="1" t="str">
        <f>HYPERLINK("#'Data'!A1803", "C_11 Young Children (2 to 5 years old) Reportedly Attending Early Childhood Education Programmes by HH proximity to frontline or Russian border")</f>
        <v>C_11 Young Children (2 to 5 years old) Reportedly Attending Early Childhood Education Programmes by HH proximity to frontline or Russian border</v>
      </c>
    </row>
    <row r="128" spans="1:1" x14ac:dyDescent="0.3">
      <c r="A128" s="1" t="str">
        <f>HYPERLINK("#'Data'!A1815", "C_12 Main Barriers Reported for Young Children (2 to 5 years old) Faced to child Attending Early Childhood Education Programmes overall")</f>
        <v>C_12 Main Barriers Reported for Young Children (2 to 5 years old) Faced to child Attending Early Childhood Education Programmes overall</v>
      </c>
    </row>
    <row r="129" spans="1:1" x14ac:dyDescent="0.3">
      <c r="A129" s="1" t="str">
        <f>HYPERLINK("#'Data'!A1824", "C_12 Main Barriers Reported for Young Children (2 to 5 years old) Faced to child Attending Early Childhood Education Programmes by child with a disability")</f>
        <v>C_12 Main Barriers Reported for Young Children (2 to 5 years old) Faced to child Attending Early Childhood Education Programmes by child with a disability</v>
      </c>
    </row>
    <row r="130" spans="1:1" x14ac:dyDescent="0.3">
      <c r="A130" s="1" t="str">
        <f>HYPERLINK("#'Data'!A1833", "C_12 Main Barriers Reported for Young Children (2 to 5 years old) Faced to child Attending Early Childhood Education Programmes by rural or urban")</f>
        <v>C_12 Main Barriers Reported for Young Children (2 to 5 years old) Faced to child Attending Early Childhood Education Programmes by rural or urban</v>
      </c>
    </row>
    <row r="131" spans="1:1" x14ac:dyDescent="0.3">
      <c r="A131" s="1" t="str">
        <f>HYPERLINK("#'Data'!A1848", "C_12 Main Barriers Reported for Young Children (2 to 5 years old) Faced to child Attending Early Childhood Education Programmes by HoHH sex")</f>
        <v>C_12 Main Barriers Reported for Young Children (2 to 5 years old) Faced to child Attending Early Childhood Education Programmes by HoHH sex</v>
      </c>
    </row>
    <row r="132" spans="1:1" x14ac:dyDescent="0.3">
      <c r="A132" s="1" t="str">
        <f>HYPERLINK("#'Data'!A1866", "C_12 Main Barriers Reported for Young Children (2 to 5 years old) Faced to child Attending Early Childhood Education Programmes by HH with member employed")</f>
        <v>C_12 Main Barriers Reported for Young Children (2 to 5 years old) Faced to child Attending Early Childhood Education Programmes by HH with member employed</v>
      </c>
    </row>
    <row r="133" spans="1:1" x14ac:dyDescent="0.3">
      <c r="A133" s="1" t="str">
        <f>HYPERLINK("#'Data'!A1880", "C_12 Main Barriers Reported for Young Children (2 to 5 years old) Faced to child Attending Early Childhood Education Programmes by HH proximity to frontline or Russian border")</f>
        <v>C_12 Main Barriers Reported for Young Children (2 to 5 years old) Faced to child Attending Early Childhood Education Programmes by HH proximity to frontline or Russian border</v>
      </c>
    </row>
    <row r="134" spans="1:1" x14ac:dyDescent="0.3">
      <c r="A134" s="1" t="str">
        <f>HYPERLINK("#'Data'!A1892", "D_1 Households by Type of Shelter Reported overall")</f>
        <v>D_1 Households by Type of Shelter Reported overall</v>
      </c>
    </row>
    <row r="135" spans="1:1" x14ac:dyDescent="0.3">
      <c r="A135" s="1" t="str">
        <f>HYPERLINK("#'Data'!A1901", "D_1 Households by Type of Shelter Reported by HHs with a member with a disability")</f>
        <v>D_1 Households by Type of Shelter Reported by HHs with a member with a disability</v>
      </c>
    </row>
    <row r="136" spans="1:1" x14ac:dyDescent="0.3">
      <c r="A136" s="1" t="str">
        <f>HYPERLINK("#'Data'!A1921", "D_1 Households by Type of Shelter Reported by HoHH sex")</f>
        <v>D_1 Households by Type of Shelter Reported by HoHH sex</v>
      </c>
    </row>
    <row r="137" spans="1:1" x14ac:dyDescent="0.3">
      <c r="A137" s="1" t="str">
        <f>HYPERLINK("#'Data'!A1942", "D_1 Households by Type of Shelter Reported by rural or urban")</f>
        <v>D_1 Households by Type of Shelter Reported by rural or urban</v>
      </c>
    </row>
    <row r="138" spans="1:1" x14ac:dyDescent="0.3">
      <c r="A138" s="1" t="str">
        <f>HYPERLINK("#'Data'!A1957", "D_1 Households by Type of Shelter Reported by HH with unimproved drinking water source")</f>
        <v>D_1 Households by Type of Shelter Reported by HH with unimproved drinking water source</v>
      </c>
    </row>
    <row r="139" spans="1:1" x14ac:dyDescent="0.3">
      <c r="A139" s="1" t="str">
        <f>HYPERLINK("#'Data'!A1975", "D_1 Households by Type of Shelter Reported by HH with unimproved sanitation facility")</f>
        <v>D_1 Households by Type of Shelter Reported by HH with unimproved sanitation facility</v>
      </c>
    </row>
    <row r="140" spans="1:1" x14ac:dyDescent="0.3">
      <c r="A140" s="1" t="str">
        <f>HYPERLINK("#'Data'!A1992", "D_1 Households by Type of Shelter Reported by HH with member employed")</f>
        <v>D_1 Households by Type of Shelter Reported by HH with member employed</v>
      </c>
    </row>
    <row r="141" spans="1:1" x14ac:dyDescent="0.3">
      <c r="A141" s="1" t="str">
        <f>HYPERLINK("#'Data'!A2013", "D_2 Households by Type of Conflict-Related Damages or Defects Reported overall")</f>
        <v>D_2 Households by Type of Conflict-Related Damages or Defects Reported overall</v>
      </c>
    </row>
    <row r="142" spans="1:1" x14ac:dyDescent="0.3">
      <c r="A142" s="1" t="str">
        <f>HYPERLINK("#'Data'!A2022", "D_2 Households by Type of Conflict-Related Damages or Defects Reported by HHs with a member with a disability")</f>
        <v>D_2 Households by Type of Conflict-Related Damages or Defects Reported by HHs with a member with a disability</v>
      </c>
    </row>
    <row r="143" spans="1:1" x14ac:dyDescent="0.3">
      <c r="A143" s="1" t="str">
        <f>HYPERLINK("#'Data'!A2042", "D_2 Households by Type of Conflict-Related Damages or Defects Reported by HoHH sex")</f>
        <v>D_2 Households by Type of Conflict-Related Damages or Defects Reported by HoHH sex</v>
      </c>
    </row>
    <row r="144" spans="1:1" x14ac:dyDescent="0.3">
      <c r="A144" s="1" t="str">
        <f>HYPERLINK("#'Data'!A2063", "D_2 Households by Type of Conflict-Related Damages or Defects Reported by rural or urban")</f>
        <v>D_2 Households by Type of Conflict-Related Damages or Defects Reported by rural or urban</v>
      </c>
    </row>
    <row r="145" spans="1:1" x14ac:dyDescent="0.3">
      <c r="A145" s="1" t="str">
        <f>HYPERLINK("#'Data'!A2078", "D_2 Households by Type of Conflict-Related Damages or Defects Reported by HH proximity to frontline or Russian border")</f>
        <v>D_2 Households by Type of Conflict-Related Damages or Defects Reported by HH proximity to frontline or Russian border</v>
      </c>
    </row>
    <row r="146" spans="1:1" x14ac:dyDescent="0.3">
      <c r="A146" s="1" t="str">
        <f>HYPERLINK("#'Data'!A2091", "D_2 Households by Type of Conflict-Related Damages or Defects Reported by Shelter assistance received")</f>
        <v>D_2 Households by Type of Conflict-Related Damages or Defects Reported by Shelter assistance received</v>
      </c>
    </row>
    <row r="147" spans="1:1" x14ac:dyDescent="0.3">
      <c r="A147" s="1" t="str">
        <f>HYPERLINK("#'Data'!A2116", "D_3 Households by Shelter Living Condition Issues Reported overall")</f>
        <v>D_3 Households by Shelter Living Condition Issues Reported overall</v>
      </c>
    </row>
    <row r="148" spans="1:1" x14ac:dyDescent="0.3">
      <c r="A148" s="1" t="str">
        <f>HYPERLINK("#'Data'!A2125", "D_3 Households by Shelter Living Condition Issues Reported by HoHH sex")</f>
        <v>D_3 Households by Shelter Living Condition Issues Reported by HoHH sex</v>
      </c>
    </row>
    <row r="149" spans="1:1" x14ac:dyDescent="0.3">
      <c r="A149" s="1" t="str">
        <f>HYPERLINK("#'Data'!A2146", "D_3 Households by Shelter Living Condition Issues Reported by rural or urban")</f>
        <v>D_3 Households by Shelter Living Condition Issues Reported by rural or urban</v>
      </c>
    </row>
    <row r="150" spans="1:1" x14ac:dyDescent="0.3">
      <c r="A150" s="1" t="str">
        <f>HYPERLINK("#'Data'!A2161", "D_3 Households by Shelter Living Condition Issues Reported by Shelter assistance received")</f>
        <v>D_3 Households by Shelter Living Condition Issues Reported by Shelter assistance received</v>
      </c>
    </row>
    <row r="151" spans="1:1" x14ac:dyDescent="0.3">
      <c r="A151" s="1" t="str">
        <f>HYPERLINK("#'Data'!A2186", "D_9 NFI Households Reported as Missing overall")</f>
        <v>D_9 NFI Households Reported as Missing overall</v>
      </c>
    </row>
    <row r="152" spans="1:1" x14ac:dyDescent="0.3">
      <c r="A152" s="1" t="str">
        <f>HYPERLINK("#'Data'!A2195", "D_9 NFI Households Reported as Missing by HHs with a member with a disability")</f>
        <v>D_9 NFI Households Reported as Missing by HHs with a member with a disability</v>
      </c>
    </row>
    <row r="153" spans="1:1" x14ac:dyDescent="0.3">
      <c r="A153" s="1" t="str">
        <f>HYPERLINK("#'Data'!A2215", "D_9 NFI Households Reported as Missing by HoHH sex")</f>
        <v>D_9 NFI Households Reported as Missing by HoHH sex</v>
      </c>
    </row>
    <row r="154" spans="1:1" x14ac:dyDescent="0.3">
      <c r="A154" s="1" t="str">
        <f>HYPERLINK("#'Data'!A2236", "D_9 NFI Households Reported as Missing by rural or urban")</f>
        <v>D_9 NFI Households Reported as Missing by rural or urban</v>
      </c>
    </row>
    <row r="155" spans="1:1" x14ac:dyDescent="0.3">
      <c r="A155" s="1" t="str">
        <f>HYPERLINK("#'Data'!A2251", "D_9 NFI Households Reported as Missing by HH size")</f>
        <v>D_9 NFI Households Reported as Missing by HH size</v>
      </c>
    </row>
    <row r="156" spans="1:1" x14ac:dyDescent="0.3">
      <c r="A156" s="1" t="str">
        <f>HYPERLINK("#'Data'!A2272", "D_9 NFI Households Reported as Missing by HH with or without young children")</f>
        <v>D_9 NFI Households Reported as Missing by HH with or without young children</v>
      </c>
    </row>
    <row r="157" spans="1:1" x14ac:dyDescent="0.3">
      <c r="A157" s="1" t="str">
        <f>HYPERLINK("#'Data'!A2287", "D_9 NFI Households Reported as Missing by HH with or without infant children")</f>
        <v>D_9 NFI Households Reported as Missing by HH with or without infant children</v>
      </c>
    </row>
    <row r="158" spans="1:1" x14ac:dyDescent="0.3">
      <c r="A158" s="1" t="str">
        <f>HYPERLINK("#'Data'!A2304", "D_10 Shelter Occupancy Arranagement Reported by Households overall")</f>
        <v>D_10 Shelter Occupancy Arranagement Reported by Households overall</v>
      </c>
    </row>
    <row r="159" spans="1:1" x14ac:dyDescent="0.3">
      <c r="A159" s="1" t="str">
        <f>HYPERLINK("#'Data'!A2313", "D_10 Shelter Occupancy Arranagement Reported by Households by HHs with a member with a disability")</f>
        <v>D_10 Shelter Occupancy Arranagement Reported by Households by HHs with a member with a disability</v>
      </c>
    </row>
    <row r="160" spans="1:1" x14ac:dyDescent="0.3">
      <c r="A160" s="1" t="str">
        <f>HYPERLINK("#'Data'!A2333", "D_10 Shelter Occupancy Arranagement Reported by Households by HoHH sex")</f>
        <v>D_10 Shelter Occupancy Arranagement Reported by Households by HoHH sex</v>
      </c>
    </row>
    <row r="161" spans="1:1" x14ac:dyDescent="0.3">
      <c r="A161" s="1" t="str">
        <f>HYPERLINK("#'Data'!A2354", "D_10 Shelter Occupancy Arranagement Reported by Households by rural or urban")</f>
        <v>D_10 Shelter Occupancy Arranagement Reported by Households by rural or urban</v>
      </c>
    </row>
    <row r="162" spans="1:1" x14ac:dyDescent="0.3">
      <c r="A162" s="1" t="str">
        <f>HYPERLINK("#'Data'!A2369", "D_14 Main Heating Source Reportedly Used by Households in their Accommodation during the last Winter Season overall")</f>
        <v>D_14 Main Heating Source Reportedly Used by Households in their Accommodation during the last Winter Season overall</v>
      </c>
    </row>
    <row r="163" spans="1:1" x14ac:dyDescent="0.3">
      <c r="A163" s="1" t="str">
        <f>HYPERLINK("#'Data'!A2378", "D_14 Main Heating Source Reportedly Used by Households in their Accommodation during the last Winter Season by HHs with a member with a disability")</f>
        <v>D_14 Main Heating Source Reportedly Used by Households in their Accommodation during the last Winter Season by HHs with a member with a disability</v>
      </c>
    </row>
    <row r="164" spans="1:1" x14ac:dyDescent="0.3">
      <c r="A164" s="1" t="str">
        <f>HYPERLINK("#'Data'!A2398", "D_14 Main Heating Source Reportedly Used by Households in their Accommodation during the last Winter Season by HoHH sex")</f>
        <v>D_14 Main Heating Source Reportedly Used by Households in their Accommodation during the last Winter Season by HoHH sex</v>
      </c>
    </row>
    <row r="165" spans="1:1" x14ac:dyDescent="0.3">
      <c r="A165" s="1" t="str">
        <f>HYPERLINK("#'Data'!A2419", "D_14 Main Heating Source Reportedly Used by Households in their Accommodation during the last Winter Season by rural or urban")</f>
        <v>D_14 Main Heating Source Reportedly Used by Households in their Accommodation during the last Winter Season by rural or urban</v>
      </c>
    </row>
    <row r="166" spans="1:1" x14ac:dyDescent="0.3">
      <c r="A166" s="1" t="str">
        <f>HYPERLINK("#'Data'!A2434", "D_14 Main Heating Source Reportedly Used by Households in their Accommodation during the last Winter Season by HH proximity to frontline or Russian border")</f>
        <v>D_14 Main Heating Source Reportedly Used by Households in their Accommodation during the last Winter Season by HH proximity to frontline or Russian border</v>
      </c>
    </row>
    <row r="167" spans="1:1" x14ac:dyDescent="0.3">
      <c r="A167" s="1" t="str">
        <f>HYPERLINK("#'Data'!A2447", "D_14 Main Heating Source Reportedly Used by Households in their Accommodation during the last Winter Seasonby HHs reporting house damaged by conflict-related reasons")</f>
        <v>D_14 Main Heating Source Reportedly Used by Households in their Accommodation during the last Winter Seasonby HHs reporting house damaged by conflict-related reasons</v>
      </c>
    </row>
    <row r="168" spans="1:1" x14ac:dyDescent="0.3">
      <c r="A168" s="1" t="str">
        <f>HYPERLINK("#'Data'!A2468", "D_15 Households Reporting Interruption to Main Utility Services in their Current Accommodation over the Last 30 days Prior to Data Collection overall")</f>
        <v>D_15 Households Reporting Interruption to Main Utility Services in their Current Accommodation over the Last 30 days Prior to Data Collection overall</v>
      </c>
    </row>
    <row r="169" spans="1:1" x14ac:dyDescent="0.3">
      <c r="A169" s="1" t="str">
        <f>HYPERLINK("#'Data'!A2477", "D_15 Households Reporting Interruption to Main Utility Services in their Current Accommodation over the Last 30 days Prior to Data Collection by HHs with a member with a disability")</f>
        <v>D_15 Households Reporting Interruption to Main Utility Services in their Current Accommodation over the Last 30 days Prior to Data Collection by HHs with a member with a disability</v>
      </c>
    </row>
    <row r="170" spans="1:1" x14ac:dyDescent="0.3">
      <c r="A170" s="1" t="str">
        <f>HYPERLINK("#'Data'!A2497", "D_15 Households Reporting Interruption to Main Utility Services in their Current Accommodation over the Last 30 days Prior to Data Collection by HoHH sex")</f>
        <v>D_15 Households Reporting Interruption to Main Utility Services in their Current Accommodation over the Last 30 days Prior to Data Collection by HoHH sex</v>
      </c>
    </row>
    <row r="171" spans="1:1" x14ac:dyDescent="0.3">
      <c r="A171" s="1" t="str">
        <f>HYPERLINK("#'Data'!A2518", "D_15 Households Reporting Interruption to Main Utility Services in their Current Accommodation over the Last 30 days Prior to Data Collection by rural or urban")</f>
        <v>D_15 Households Reporting Interruption to Main Utility Services in their Current Accommodation over the Last 30 days Prior to Data Collection by rural or urban</v>
      </c>
    </row>
    <row r="172" spans="1:1" x14ac:dyDescent="0.3">
      <c r="A172" s="1" t="str">
        <f>HYPERLINK("#'Data'!A2533", "D_15 Households Reporting Interruption to Main Utility Services in their Current Accommodation over the Last 30 days Prior to Data Collection by HH proximity to frontline or Russian border")</f>
        <v>D_15 Households Reporting Interruption to Main Utility Services in their Current Accommodation over the Last 30 days Prior to Data Collection by HH proximity to frontline or Russian border</v>
      </c>
    </row>
    <row r="173" spans="1:1" x14ac:dyDescent="0.3">
      <c r="A173" s="1" t="str">
        <f>HYPERLINK("#'Data'!A2546", "D_16 Distance of the Nearest Bomb Shelter to the Residence Reported by Households overall")</f>
        <v>D_16 Distance of the Nearest Bomb Shelter to the Residence Reported by Households overall</v>
      </c>
    </row>
    <row r="174" spans="1:1" x14ac:dyDescent="0.3">
      <c r="A174" s="1" t="str">
        <f>HYPERLINK("#'Data'!A2555", "D_16 Distance of the Nearest Bomb Shelter to the Residence Reported by Households by HHs with a member with a disability")</f>
        <v>D_16 Distance of the Nearest Bomb Shelter to the Residence Reported by Households by HHs with a member with a disability</v>
      </c>
    </row>
    <row r="175" spans="1:1" x14ac:dyDescent="0.3">
      <c r="A175" s="1" t="str">
        <f>HYPERLINK("#'Data'!A2575", "D_16 Distance of the Nearest Bomb Shelter to the Residence Reported by Households by HoHH sex")</f>
        <v>D_16 Distance of the Nearest Bomb Shelter to the Residence Reported by Households by HoHH sex</v>
      </c>
    </row>
    <row r="176" spans="1:1" x14ac:dyDescent="0.3">
      <c r="A176" s="1" t="str">
        <f>HYPERLINK("#'Data'!A2596", "D_16 Distance of the Nearest Bomb Shelter to the Residence Reported by Households by rural or urban")</f>
        <v>D_16 Distance of the Nearest Bomb Shelter to the Residence Reported by Households by rural or urban</v>
      </c>
    </row>
    <row r="177" spans="1:1" x14ac:dyDescent="0.3">
      <c r="A177" s="1" t="str">
        <f>HYPERLINK("#'Data'!A2611", "Overcrowding Shelter Overcrowding overall")</f>
        <v>Overcrowding Shelter Overcrowding overall</v>
      </c>
    </row>
    <row r="178" spans="1:1" x14ac:dyDescent="0.3">
      <c r="A178" s="1" t="str">
        <f>HYPERLINK("#'Data'!A2620", "Overcrowding Shelter Overcrowding by HHs with a member with a disability")</f>
        <v>Overcrowding Shelter Overcrowding by HHs with a member with a disability</v>
      </c>
    </row>
    <row r="179" spans="1:1" x14ac:dyDescent="0.3">
      <c r="A179" s="1" t="str">
        <f>HYPERLINK("#'Data'!A2639", "Overcrowding Shelter Overcrowding by HoHH sex")</f>
        <v>Overcrowding Shelter Overcrowding by HoHH sex</v>
      </c>
    </row>
    <row r="180" spans="1:1" x14ac:dyDescent="0.3">
      <c r="A180" s="1" t="str">
        <f>HYPERLINK("#'Data'!A2659", "Overcrowding Shelter Overcrowding by rural or urban")</f>
        <v>Overcrowding Shelter Overcrowding by rural or urban</v>
      </c>
    </row>
    <row r="181" spans="1:1" x14ac:dyDescent="0.3">
      <c r="A181" s="1" t="str">
        <f>HYPERLINK("#'Data'!A2674", "Overcrowding Shelter Overcrowding by HH with member employed")</f>
        <v>Overcrowding Shelter Overcrowding by HH with member employed</v>
      </c>
    </row>
    <row r="182" spans="1:1" x14ac:dyDescent="0.3">
      <c r="A182" s="1" t="str">
        <f>HYPERLINK("#'Data'!A2695", "Households Reporting Functional Domestic Space by overall")</f>
        <v>Households Reporting Functional Domestic Space by overall</v>
      </c>
    </row>
    <row r="183" spans="1:1" x14ac:dyDescent="0.3">
      <c r="A183" s="1" t="str">
        <f>HYPERLINK("#'Data'!A2704", "Households Reporting Functional Domestic Space by disability")</f>
        <v>Households Reporting Functional Domestic Space by disability</v>
      </c>
    </row>
    <row r="184" spans="1:1" x14ac:dyDescent="0.3">
      <c r="A184" s="1" t="str">
        <f>HYPERLINK("#'Data'!A2724", "Households Reporting Functional Domestic Space by rural or urban")</f>
        <v>Households Reporting Functional Domestic Space by rural or urban</v>
      </c>
    </row>
    <row r="185" spans="1:1" x14ac:dyDescent="0.3">
      <c r="A185" s="1" t="str">
        <f>HYPERLINK("#'Data'!A2739", "E_4 Household Reported Daily Hours of Access to Internet Network overall")</f>
        <v>E_4 Household Reported Daily Hours of Access to Internet Network overall</v>
      </c>
    </row>
    <row r="186" spans="1:1" x14ac:dyDescent="0.3">
      <c r="A186" s="1" t="str">
        <f>HYPERLINK("#'Data'!A2748", "E_4 Household Reported Daily Hours of Access to Internet Network by rural or urban")</f>
        <v>E_4 Household Reported Daily Hours of Access to Internet Network by rural or urban</v>
      </c>
    </row>
    <row r="187" spans="1:1" x14ac:dyDescent="0.3">
      <c r="A187" s="1" t="str">
        <f>HYPERLINK("#'Data'!A2763", "E_4 Household Reported Daily Hours of Access to Internet Network by HHs with a member with a disability")</f>
        <v>E_4 Household Reported Daily Hours of Access to Internet Network by HHs with a member with a disability</v>
      </c>
    </row>
    <row r="188" spans="1:1" x14ac:dyDescent="0.3">
      <c r="A188" s="1" t="str">
        <f>HYPERLINK("#'Data'!A2783", "E_4 Household Reported Daily Hours of Access to Internet Network by HH with member employed")</f>
        <v>E_4 Household Reported Daily Hours of Access to Internet Network by HH with member employed</v>
      </c>
    </row>
    <row r="189" spans="1:1" x14ac:dyDescent="0.3">
      <c r="A189" s="1" t="str">
        <f>HYPERLINK("#'Data'!A2804", "E_4 Household Reported Daily Hours of Access to Internet Network by HoHH sex")</f>
        <v>E_4 Household Reported Daily Hours of Access to Internet Network by HoHH sex</v>
      </c>
    </row>
    <row r="190" spans="1:1" x14ac:dyDescent="0.3">
      <c r="A190" s="1" t="str">
        <f>HYPERLINK("#'Data'!A2825", "E_5 Household Reported Main Sources of Access to Internet overall")</f>
        <v>E_5 Household Reported Main Sources of Access to Internet overall</v>
      </c>
    </row>
    <row r="191" spans="1:1" x14ac:dyDescent="0.3">
      <c r="A191" s="1" t="str">
        <f>HYPERLINK("#'Data'!A2834", "E_5 Household Reported Main Sources of Access to Internet by rural or urban")</f>
        <v>E_5 Household Reported Main Sources of Access to Internet by rural or urban</v>
      </c>
    </row>
    <row r="192" spans="1:1" x14ac:dyDescent="0.3">
      <c r="A192" s="1" t="str">
        <f>HYPERLINK("#'Data'!A2849", "E_5 Household Reported Main Sources of Access to Internet by HHs with a member with a disability")</f>
        <v>E_5 Household Reported Main Sources of Access to Internet by HHs with a member with a disability</v>
      </c>
    </row>
    <row r="193" spans="1:1" x14ac:dyDescent="0.3">
      <c r="A193" s="1" t="str">
        <f>HYPERLINK("#'Data'!A2869", "E_5 Household Reported Main Sources of Access to Internet by HH with member employed")</f>
        <v>E_5 Household Reported Main Sources of Access to Internet by HH with member employed</v>
      </c>
    </row>
    <row r="194" spans="1:1" x14ac:dyDescent="0.3">
      <c r="A194" s="1" t="str">
        <f>HYPERLINK("#'Data'!A2890", "E_5 Household Reported Main Sources of Access to Internet by HoHH sex")</f>
        <v>E_5 Household Reported Main Sources of Access to Internet by HoHH sex</v>
      </c>
    </row>
    <row r="195" spans="1:1" x14ac:dyDescent="0.3">
      <c r="A195" s="1" t="str">
        <f>HYPERLINK("#'Data'!A2911", "F_1 Main Sources of Water used for Drinking Reported by Households overall")</f>
        <v>F_1 Main Sources of Water used for Drinking Reported by Households overall</v>
      </c>
    </row>
    <row r="196" spans="1:1" x14ac:dyDescent="0.3">
      <c r="A196" s="1" t="str">
        <f>HYPERLINK("#'Data'!A2920", "F_1 Main Sources of Water used for Drinking Reported by Households by rural or urban")</f>
        <v>F_1 Main Sources of Water used for Drinking Reported by Households by rural or urban</v>
      </c>
    </row>
    <row r="197" spans="1:1" x14ac:dyDescent="0.3">
      <c r="A197" s="1" t="str">
        <f>HYPERLINK("#'Data'!A2935", "F_1 Main Sources of Water used for Drinking Reported by Households by HHs with a member with a disability")</f>
        <v>F_1 Main Sources of Water used for Drinking Reported by Households by HHs with a member with a disability</v>
      </c>
    </row>
    <row r="198" spans="1:1" x14ac:dyDescent="0.3">
      <c r="A198" s="1" t="str">
        <f>HYPERLINK("#'Data'!A2955", "F_1 Main Sources of Water used for Drinking Reported by Households by HH with member employed")</f>
        <v>F_1 Main Sources of Water used for Drinking Reported by Households by HH with member employed</v>
      </c>
    </row>
    <row r="199" spans="1:1" x14ac:dyDescent="0.3">
      <c r="A199" s="1" t="str">
        <f>HYPERLINK("#'Data'!A2976", "F_1 Main Sources of Water used for Drinking Reported by Households by HoHH sex")</f>
        <v>F_1 Main Sources of Water used for Drinking Reported by Households by HoHH sex</v>
      </c>
    </row>
    <row r="200" spans="1:1" x14ac:dyDescent="0.3">
      <c r="A200" s="1" t="str">
        <f>HYPERLINK("#'Data'!A2997", "F_5 Time reported by Households to Fetch Water from Main Source of Water used for Drinking overall")</f>
        <v>F_5 Time reported by Households to Fetch Water from Main Source of Water used for Drinking overall</v>
      </c>
    </row>
    <row r="201" spans="1:1" x14ac:dyDescent="0.3">
      <c r="A201" s="1" t="str">
        <f>HYPERLINK("#'Data'!A3006", "F_5 Time reported by Households to Fetch Water from Main Source of Water used for Drinking by rural or urban")</f>
        <v>F_5 Time reported by Households to Fetch Water from Main Source of Water used for Drinking by rural or urban</v>
      </c>
    </row>
    <row r="202" spans="1:1" x14ac:dyDescent="0.3">
      <c r="A202" s="1" t="str">
        <f>HYPERLINK("#'Data'!A3021", "F_5 Time reported by Households to Fetch Water from Main Source of Water used for Drinking by HHs with a member with a disability")</f>
        <v>F_5 Time reported by Households to Fetch Water from Main Source of Water used for Drinking by HHs with a member with a disability</v>
      </c>
    </row>
    <row r="203" spans="1:1" x14ac:dyDescent="0.3">
      <c r="A203" s="1" t="str">
        <f>HYPERLINK("#'Data'!A3039", "F_5 Time reported by Households to Fetch Water from Main Source of Water used for Drinking by HH with member employed")</f>
        <v>F_5 Time reported by Households to Fetch Water from Main Source of Water used for Drinking by HH with member employed</v>
      </c>
    </row>
    <row r="204" spans="1:1" x14ac:dyDescent="0.3">
      <c r="A204" s="1" t="str">
        <f>HYPERLINK("#'Data'!A3060", "F_5 Time reported by Households to Fetch Water from Main Source of Water used for Drinking by HoHH sex")</f>
        <v>F_5 Time reported by Households to Fetch Water from Main Source of Water used for Drinking by HoHH sex</v>
      </c>
    </row>
    <row r="205" spans="1:1" x14ac:dyDescent="0.3">
      <c r="A205" s="1" t="str">
        <f>HYPERLINK("#'Data'!A3078", "F_2 Household Considering Water from their Main sources Safe to Drink Without Treatment overall")</f>
        <v>F_2 Household Considering Water from their Main sources Safe to Drink Without Treatment overall</v>
      </c>
    </row>
    <row r="206" spans="1:1" x14ac:dyDescent="0.3">
      <c r="A206" s="1" t="str">
        <f>HYPERLINK("#'Data'!A3087", "F_2 Household Considering Water from their Main sources Safe to Drink Without Treatment by rural or urban")</f>
        <v>F_2 Household Considering Water from their Main sources Safe to Drink Without Treatment by rural or urban</v>
      </c>
    </row>
    <row r="207" spans="1:1" x14ac:dyDescent="0.3">
      <c r="A207" s="1" t="str">
        <f>HYPERLINK("#'Data'!A3102", "F_2 Household Considering Water from their Main sources Safe to Drink Without Treatment by HHs with a member with a disability")</f>
        <v>F_2 Household Considering Water from their Main sources Safe to Drink Without Treatment by HHs with a member with a disability</v>
      </c>
    </row>
    <row r="208" spans="1:1" x14ac:dyDescent="0.3">
      <c r="A208" s="1" t="str">
        <f>HYPERLINK("#'Data'!A3122", "F_2 Household Considering Water from their Main sources Safe to Drink Without Treatment by HH with member employed")</f>
        <v>F_2 Household Considering Water from their Main sources Safe to Drink Without Treatment by HH with member employed</v>
      </c>
    </row>
    <row r="209" spans="1:1" x14ac:dyDescent="0.3">
      <c r="A209" s="1" t="str">
        <f>HYPERLINK("#'Data'!A3143", "F_2 Household Considering Water from their Main sources Safe to Drink Without Treatment by HoHH sex")</f>
        <v>F_2 Household Considering Water from their Main sources Safe to Drink Without Treatment by HoHH sex</v>
      </c>
    </row>
    <row r="210" spans="1:1" x14ac:dyDescent="0.3">
      <c r="A210" s="1" t="str">
        <f>HYPERLINK("#'Data'!A3164", "F_3 Households Treating Water from their Main sources Before Drinking overall")</f>
        <v>F_3 Households Treating Water from their Main sources Before Drinking overall</v>
      </c>
    </row>
    <row r="211" spans="1:1" x14ac:dyDescent="0.3">
      <c r="A211" s="1" t="str">
        <f>HYPERLINK("#'Data'!A3173", "F_3 Households Treating Water from their Main sources Before Drinking by rural or urban")</f>
        <v>F_3 Households Treating Water from their Main sources Before Drinking by rural or urban</v>
      </c>
    </row>
    <row r="212" spans="1:1" x14ac:dyDescent="0.3">
      <c r="A212" s="1" t="str">
        <f>HYPERLINK("#'Data'!A3188", "F_3 Households Treating Water from their Main sources Before Drinking by HHs with a member with a disability")</f>
        <v>F_3 Households Treating Water from their Main sources Before Drinking by HHs with a member with a disability</v>
      </c>
    </row>
    <row r="213" spans="1:1" x14ac:dyDescent="0.3">
      <c r="A213" s="1" t="str">
        <f>HYPERLINK("#'Data'!A3208", "F_3 Households Treating Water from their Main sources Before Drinking by HH with member employed")</f>
        <v>F_3 Households Treating Water from their Main sources Before Drinking by HH with member employed</v>
      </c>
    </row>
    <row r="214" spans="1:1" x14ac:dyDescent="0.3">
      <c r="A214" s="1" t="str">
        <f>HYPERLINK("#'Data'!A3229", "F_3 Households Treating Water from their Main sources Before Drinking by HoHH sex")</f>
        <v>F_3 Households Treating Water from their Main sources Before Drinking by HoHH sex</v>
      </c>
    </row>
    <row r="215" spans="1:1" x14ac:dyDescent="0.3">
      <c r="A215" s="1" t="str">
        <f>HYPERLINK("#'Data'!A3248", "F_4 Households Reporting Insufficient Drinking Water overall")</f>
        <v>F_4 Households Reporting Insufficient Drinking Water overall</v>
      </c>
    </row>
    <row r="216" spans="1:1" x14ac:dyDescent="0.3">
      <c r="A216" s="1" t="str">
        <f>HYPERLINK("#'Data'!A3257", "F_4 Households Reporting Insufficient Drinking Water by rural or urban")</f>
        <v>F_4 Households Reporting Insufficient Drinking Water by rural or urban</v>
      </c>
    </row>
    <row r="217" spans="1:1" x14ac:dyDescent="0.3">
      <c r="A217" s="1" t="str">
        <f>HYPERLINK("#'Data'!A3272", "F_4 Households Reporting Insufficient Drinking Water by HHs with a member with a disability")</f>
        <v>F_4 Households Reporting Insufficient Drinking Water by HHs with a member with a disability</v>
      </c>
    </row>
    <row r="218" spans="1:1" x14ac:dyDescent="0.3">
      <c r="A218" s="1" t="str">
        <f>HYPERLINK("#'Data'!A3292", "F_4 Households Reporting Insufficient Drinking Water by HH with member employed")</f>
        <v>F_4 Households Reporting Insufficient Drinking Water by HH with member employed</v>
      </c>
    </row>
    <row r="219" spans="1:1" x14ac:dyDescent="0.3">
      <c r="A219" s="1" t="str">
        <f>HYPERLINK("#'Data'!A3313", "F_7 Households Reporting Access to Water Quantity Adequate to Meet Needs overall")</f>
        <v>F_7 Households Reporting Access to Water Quantity Adequate to Meet Needs overall</v>
      </c>
    </row>
    <row r="220" spans="1:1" x14ac:dyDescent="0.3">
      <c r="A220" s="1" t="str">
        <f>HYPERLINK("#'Data'!A3322", "F_7 Households Reporting Access to Water Quantity Adequate to Meet Needs by HoHH sex")</f>
        <v>F_7 Households Reporting Access to Water Quantity Adequate to Meet Needs by HoHH sex</v>
      </c>
    </row>
    <row r="221" spans="1:1" x14ac:dyDescent="0.3">
      <c r="A221" s="1" t="str">
        <f>HYPERLINK("#'Data'!A3343", "F_7 Households Reporting Access to Water Quantity Adequate to Meet Needs by rural or urban")</f>
        <v>F_7 Households Reporting Access to Water Quantity Adequate to Meet Needs by rural or urban</v>
      </c>
    </row>
    <row r="222" spans="1:1" x14ac:dyDescent="0.3">
      <c r="A222" s="1" t="str">
        <f>HYPERLINK("#'Data'!A3358", "F_7 Households Reporting Access to Water Quantity Adequate to Meet Needs by HHs with a member with a disability")</f>
        <v>F_7 Households Reporting Access to Water Quantity Adequate to Meet Needs by HHs with a member with a disability</v>
      </c>
    </row>
    <row r="223" spans="1:1" x14ac:dyDescent="0.3">
      <c r="A223" s="1" t="str">
        <f>HYPERLINK("#'Data'!A3378", "F_7 Households Reporting Access to Water Quantity Adequate to Meet Needs by HH with member employed")</f>
        <v>F_7 Households Reporting Access to Water Quantity Adequate to Meet Needs by HH with member employed</v>
      </c>
    </row>
    <row r="224" spans="1:1" x14ac:dyDescent="0.3">
      <c r="A224" s="1" t="str">
        <f>HYPERLINK("#'Data'!A3399", "F_8 Type of Sanitation Facility Reportedly Used by Household Members overall")</f>
        <v>F_8 Type of Sanitation Facility Reportedly Used by Household Members overall</v>
      </c>
    </row>
    <row r="225" spans="1:1" x14ac:dyDescent="0.3">
      <c r="A225" s="1" t="str">
        <f>HYPERLINK("#'Data'!A3408", "F_8 Type of Sanitation Facility Reportedly Used by Household Members by rural or urban")</f>
        <v>F_8 Type of Sanitation Facility Reportedly Used by Household Members by rural or urban</v>
      </c>
    </row>
    <row r="226" spans="1:1" x14ac:dyDescent="0.3">
      <c r="A226" s="1" t="str">
        <f>HYPERLINK("#'Data'!A3423", "F_8 Type of Sanitation Facility Reportedly Used by Household Members by HHs with a member with a disability")</f>
        <v>F_8 Type of Sanitation Facility Reportedly Used by Household Members by HHs with a member with a disability</v>
      </c>
    </row>
    <row r="227" spans="1:1" x14ac:dyDescent="0.3">
      <c r="A227" s="1" t="str">
        <f>HYPERLINK("#'Data'!A3443", "F_8 Type of Sanitation Facility Reportedly Used by Household Members by HH with member employed")</f>
        <v>F_8 Type of Sanitation Facility Reportedly Used by Household Members by HH with member employed</v>
      </c>
    </row>
    <row r="228" spans="1:1" x14ac:dyDescent="0.3">
      <c r="A228" s="1" t="str">
        <f>HYPERLINK("#'Data'!A3464", "F_8 Type of Sanitation Facility Reportedly Used by Household Members by HoHH sex")</f>
        <v>F_8 Type of Sanitation Facility Reportedly Used by Household Members by HoHH sex</v>
      </c>
    </row>
    <row r="229" spans="1:1" x14ac:dyDescent="0.3">
      <c r="A229" s="1" t="str">
        <f>HYPERLINK("#'Data'!A3485", "F_9 Household Reporting to Share a Sanitation Facility with Another Household overall")</f>
        <v>F_9 Household Reporting to Share a Sanitation Facility with Another Household overall</v>
      </c>
    </row>
    <row r="230" spans="1:1" x14ac:dyDescent="0.3">
      <c r="A230" s="1" t="str">
        <f>HYPERLINK("#'Data'!A3494", "F_9 Household Reporting to Share a Sanitation Facility with Another Household by rural or urban")</f>
        <v>F_9 Household Reporting to Share a Sanitation Facility with Another Household by rural or urban</v>
      </c>
    </row>
    <row r="231" spans="1:1" x14ac:dyDescent="0.3">
      <c r="A231" s="1" t="str">
        <f>HYPERLINK("#'Data'!A3509", "F_9 Household Reporting to Share a Sanitation Facility with Another Household by HHs with a member with a disability")</f>
        <v>F_9 Household Reporting to Share a Sanitation Facility with Another Household by HHs with a member with a disability</v>
      </c>
    </row>
    <row r="232" spans="1:1" x14ac:dyDescent="0.3">
      <c r="A232" s="1" t="str">
        <f>HYPERLINK("#'Data'!A3529", "F_9 Household Reporting to Share a Sanitation Facility with Another Household by HH with member employed")</f>
        <v>F_9 Household Reporting to Share a Sanitation Facility with Another Household by HH with member employed</v>
      </c>
    </row>
    <row r="233" spans="1:1" x14ac:dyDescent="0.3">
      <c r="A233" s="1" t="str">
        <f>HYPERLINK("#'Data'!A3550", "F_9 Household Reporting to Share a Sanitation Facility with Another Household by HoHH sex")</f>
        <v>F_9 Household Reporting to Share a Sanitation Facility with Another Household by HoHH sex</v>
      </c>
    </row>
    <row r="234" spans="1:1" x14ac:dyDescent="0.3">
      <c r="A234" s="1" t="str">
        <f>HYPERLINK("#'Data'!A3571", "F_10 Number of Households Sharing Sanitation Facility Reported overall")</f>
        <v>F_10 Number of Households Sharing Sanitation Facility Reported overall</v>
      </c>
    </row>
    <row r="235" spans="1:1" x14ac:dyDescent="0.3">
      <c r="A235" s="1" t="str">
        <f>HYPERLINK("#'Data'!A3580", "F_10 Number of Households Sharing Sanitation Facility Reported by rural or urban")</f>
        <v>F_10 Number of Households Sharing Sanitation Facility Reported by rural or urban</v>
      </c>
    </row>
    <row r="236" spans="1:1" x14ac:dyDescent="0.3">
      <c r="A236" s="1" t="str">
        <f>HYPERLINK("#'Data'!A3595", "F_10 Number of Households Sharing Sanitation Facility Reported by WASH assistance received")</f>
        <v>F_10 Number of Households Sharing Sanitation Facility Reported by WASH assistance received</v>
      </c>
    </row>
    <row r="237" spans="1:1" x14ac:dyDescent="0.3">
      <c r="A237" s="1" t="str">
        <f>HYPERLINK("#'Data'!A3620", "F_10 Number of Households Sharing Sanitation Facility Reported by HHs with challenge to obtain money")</f>
        <v>F_10 Number of Households Sharing Sanitation Facility Reported by HHs with challenge to obtain money</v>
      </c>
    </row>
    <row r="238" spans="1:1" x14ac:dyDescent="0.3">
      <c r="A238" s="1" t="str">
        <f>HYPERLINK("#'Data'!A3639", "F_10 Number of Households Sharing Sanitation Facility Reported by HH with member employed")</f>
        <v>F_10 Number of Households Sharing Sanitation Facility Reported by HH with member employed</v>
      </c>
    </row>
    <row r="239" spans="1:1" x14ac:dyDescent="0.3">
      <c r="A239" s="1" t="str">
        <f>HYPERLINK("#'Data'!A3660", "F_10 Number of Households Sharing Sanitation Facility Reported by HHs with a member with a disability")</f>
        <v>F_10 Number of Households Sharing Sanitation Facility Reported by HHs with a member with a disability</v>
      </c>
    </row>
    <row r="240" spans="1:1" x14ac:dyDescent="0.3">
      <c r="A240" s="1" t="str">
        <f>HYPERLINK("#'Data'!A3680", "F_17 Household Reporting Access to Handwashing Facility with Water and Soap by overall")</f>
        <v>F_17 Household Reporting Access to Handwashing Facility with Water and Soap by overall</v>
      </c>
    </row>
    <row r="241" spans="1:1" x14ac:dyDescent="0.3">
      <c r="A241" s="1" t="str">
        <f>HYPERLINK("#'Data'!A3689", "F_17 Household Reporting Access to Handwashing Facility with Water and Soap by HH with member employed")</f>
        <v>F_17 Household Reporting Access to Handwashing Facility with Water and Soap by HH with member employed</v>
      </c>
    </row>
    <row r="242" spans="1:1" x14ac:dyDescent="0.3">
      <c r="A242" s="1" t="str">
        <f>HYPERLINK("#'Data'!A3710", "F_17 Household Reporting Access to Handwashing Facility with Water and Soap by HoHH sex")</f>
        <v>F_17 Household Reporting Access to Handwashing Facility with Water and Soap by HoHH sex</v>
      </c>
    </row>
    <row r="243" spans="1:1" x14ac:dyDescent="0.3">
      <c r="A243" s="1" t="str">
        <f>HYPERLINK("#'Data'!A3731", "F_17 Household Reporting Access to Handwashing Facility with Water and Soap by HHs with a member with a disability")</f>
        <v>F_17 Household Reporting Access to Handwashing Facility with Water and Soap by HHs with a member with a disability</v>
      </c>
    </row>
    <row r="244" spans="1:1" x14ac:dyDescent="0.3">
      <c r="A244" s="1" t="str">
        <f>HYPERLINK("#'Data'!A3751", "F_18 Items Households Reported as Needing and Unable to Afford over the last 30 days prior to Data Collection overall")</f>
        <v>F_18 Items Households Reported as Needing and Unable to Afford over the last 30 days prior to Data Collection overall</v>
      </c>
    </row>
    <row r="245" spans="1:1" x14ac:dyDescent="0.3">
      <c r="A245" s="1" t="str">
        <f>HYPERLINK("#'Data'!A3760", "F_18 Items Households Reported as Needing and Unable to Afford over the last 30 days prior to Data Collection by HoHH sex")</f>
        <v>F_18 Items Households Reported as Needing and Unable to Afford over the last 30 days prior to Data Collection by HoHH sex</v>
      </c>
    </row>
    <row r="246" spans="1:1" x14ac:dyDescent="0.3">
      <c r="A246" s="1" t="str">
        <f>HYPERLINK("#'Data'!A3781", "F_18 Items Households Reported as Needing and Unable to Afford over the last 30 days prior to Data Collection by rural or urban")</f>
        <v>F_18 Items Households Reported as Needing and Unable to Afford over the last 30 days prior to Data Collection by rural or urban</v>
      </c>
    </row>
    <row r="247" spans="1:1" x14ac:dyDescent="0.3">
      <c r="A247" s="1" t="str">
        <f>HYPERLINK("#'Data'!A3796", "F_18 Items Households Reported as Needing and Unable to Afford over the last 30 days prior to Data Collection by HH size")</f>
        <v>F_18 Items Households Reported as Needing and Unable to Afford over the last 30 days prior to Data Collection by HH size</v>
      </c>
    </row>
    <row r="248" spans="1:1" x14ac:dyDescent="0.3">
      <c r="A248" s="1" t="str">
        <f>HYPERLINK("#'Data'!A3817", "F_18 Items Households Reported as Needing and Unable to Afford over the last 30 days prior to Data Collection by HH proximity to frontline or Russian border")</f>
        <v>F_18 Items Households Reported as Needing and Unable to Afford over the last 30 days prior to Data Collection by HH proximity to frontline or Russian border</v>
      </c>
    </row>
    <row r="249" spans="1:1" x14ac:dyDescent="0.3">
      <c r="A249" s="1" t="str">
        <f>HYPERLINK("#'Data'!A3830", "F_18 Items Households Reported as Needing and Unable to Afford over the last 30 days prior to Data Collection by HHs with only elderly members")</f>
        <v>F_18 Items Households Reported as Needing and Unable to Afford over the last 30 days prior to Data Collection by HHs with only elderly members</v>
      </c>
    </row>
    <row r="250" spans="1:1" x14ac:dyDescent="0.3">
      <c r="A250" s="1" t="str">
        <f>HYPERLINK("#'Data'!A3845", "F_18 Items Households Reported as Needing and Unable to Afford over the last 30 days prior to Data Collection by HHs with a member with a disability")</f>
        <v>F_18 Items Households Reported as Needing and Unable to Afford over the last 30 days prior to Data Collection by HHs with a member with a disability</v>
      </c>
    </row>
    <row r="251" spans="1:1" x14ac:dyDescent="0.3">
      <c r="A251" s="1" t="str">
        <f>HYPERLINK("#'Data'!A3865", "F_19 Most Common Garbage Disposal Methods Reported by Households overall")</f>
        <v>F_19 Most Common Garbage Disposal Methods Reported by Households overall</v>
      </c>
    </row>
    <row r="252" spans="1:1" x14ac:dyDescent="0.3">
      <c r="A252" s="1" t="str">
        <f>HYPERLINK("#'Data'!A3874", "F_19 Most Common Garbage Disposal Methods Reported by Households by rural or urban")</f>
        <v>F_19 Most Common Garbage Disposal Methods Reported by Households by rural or urban</v>
      </c>
    </row>
    <row r="253" spans="1:1" x14ac:dyDescent="0.3">
      <c r="A253" s="1" t="str">
        <f>HYPERLINK("#'Data'!A3889", "F_19 Most Common Garbage Disposal Methods Reported by Households by HH size")</f>
        <v>F_19 Most Common Garbage Disposal Methods Reported by Households by HH size</v>
      </c>
    </row>
    <row r="254" spans="1:1" x14ac:dyDescent="0.3">
      <c r="A254" s="1" t="str">
        <f>HYPERLINK("#'Data'!A3910", "F_19 Most Common Garbage Disposal Methods Reported by Households by HH with member employed")</f>
        <v>F_19 Most Common Garbage Disposal Methods Reported by Households by HH with member employed</v>
      </c>
    </row>
    <row r="255" spans="1:1" x14ac:dyDescent="0.3">
      <c r="A255" s="1" t="str">
        <f>HYPERLINK("#'Data'!A3931", "F_19 Most Common Garbage Disposal Methods Reported by Households by HH proximity to frontline or Russian border")</f>
        <v>F_19 Most Common Garbage Disposal Methods Reported by Households by HH proximity to frontline or Russian border</v>
      </c>
    </row>
    <row r="256" spans="1:1" x14ac:dyDescent="0.3">
      <c r="A256" s="1" t="str">
        <f>HYPERLINK("#'Data'!A3944", "RCSI Reduced Coping Strategies Score overall")</f>
        <v>RCSI Reduced Coping Strategies Score overall</v>
      </c>
    </row>
    <row r="257" spans="1:1" x14ac:dyDescent="0.3">
      <c r="A257" s="1" t="str">
        <f>HYPERLINK("#'Data'!A3953", "RCSI Reduced Coping Strategies Score by HHs with a member with a disability")</f>
        <v>RCSI Reduced Coping Strategies Score by HHs with a member with a disability</v>
      </c>
    </row>
    <row r="258" spans="1:1" x14ac:dyDescent="0.3">
      <c r="A258" s="1" t="str">
        <f>HYPERLINK("#'Data'!A3973", "RCSI Reduced Coping Strategies Score by HoHH sex")</f>
        <v>RCSI Reduced Coping Strategies Score by HoHH sex</v>
      </c>
    </row>
    <row r="259" spans="1:1" x14ac:dyDescent="0.3">
      <c r="A259" s="1" t="str">
        <f>HYPERLINK("#'Data'!A3994", "RCSI Reduced Coping Strategies Score by rural or urban")</f>
        <v>RCSI Reduced Coping Strategies Score by rural or urban</v>
      </c>
    </row>
    <row r="260" spans="1:1" x14ac:dyDescent="0.3">
      <c r="A260" s="1" t="str">
        <f>HYPERLINK("#'Data'!A4009", "Households Reportedly Adopting Reduced Coping Strategies by overall")</f>
        <v>Households Reportedly Adopting Reduced Coping Strategies by overall</v>
      </c>
    </row>
    <row r="261" spans="1:1" x14ac:dyDescent="0.3">
      <c r="A261" s="1" t="str">
        <f>HYPERLINK("#'Data'!A4018", "Households Reportedly Adopting Reduced Coping Strategies by HHs with a member with a disability")</f>
        <v>Households Reportedly Adopting Reduced Coping Strategies by HHs with a member with a disability</v>
      </c>
    </row>
    <row r="262" spans="1:1" x14ac:dyDescent="0.3">
      <c r="A262" s="1" t="str">
        <f>HYPERLINK("#'Data'!A4038", "Households Reportedly Adopting Reduced Coping Strategies by head of household sex")</f>
        <v>Households Reportedly Adopting Reduced Coping Strategies by head of household sex</v>
      </c>
    </row>
    <row r="263" spans="1:1" x14ac:dyDescent="0.3">
      <c r="A263" s="1" t="str">
        <f>HYPERLINK("#'Data'!A4059", "Households Reportedly Adopting Reduced Coping Strategies by rural or urban")</f>
        <v>Households Reportedly Adopting Reduced Coping Strategies by rural or urban</v>
      </c>
    </row>
    <row r="264" spans="1:1" x14ac:dyDescent="0.3">
      <c r="A264" s="1" t="str">
        <f>HYPERLINK("#'Data'!A4074", "Households Reportedly Adopting Reduced Coping Strategies by employment status")</f>
        <v>Households Reportedly Adopting Reduced Coping Strategies by employment status</v>
      </c>
    </row>
    <row r="265" spans="1:1" x14ac:dyDescent="0.3">
      <c r="A265" s="1" t="str">
        <f>HYPERLINK("#'Data'!A4095", "FCS Food Consumption Score overall")</f>
        <v>FCS Food Consumption Score overall</v>
      </c>
    </row>
    <row r="266" spans="1:1" x14ac:dyDescent="0.3">
      <c r="A266" s="1" t="str">
        <f>HYPERLINK("#'Data'!A4104", "FCS Food Consumption Score by HHs with a member with a disability")</f>
        <v>FCS Food Consumption Score by HHs with a member with a disability</v>
      </c>
    </row>
    <row r="267" spans="1:1" x14ac:dyDescent="0.3">
      <c r="A267" s="1" t="str">
        <f>HYPERLINK("#'Data'!A4124", "FCS Food Consumption Score by HoHH sex")</f>
        <v>FCS Food Consumption Score by HoHH sex</v>
      </c>
    </row>
    <row r="268" spans="1:1" x14ac:dyDescent="0.3">
      <c r="A268" s="1" t="str">
        <f>HYPERLINK("#'Data'!A4144", "FCS Food Consumption Score by rural or urban")</f>
        <v>FCS Food Consumption Score by rural or urban</v>
      </c>
    </row>
    <row r="269" spans="1:1" x14ac:dyDescent="0.3">
      <c r="A269" s="1" t="str">
        <f>HYPERLINK("#'Data'!A4159", "FCS Food Consumption Score by HHs with children")</f>
        <v>FCS Food Consumption Score by HHs with children</v>
      </c>
    </row>
    <row r="270" spans="1:1" x14ac:dyDescent="0.3">
      <c r="A270" s="1" t="str">
        <f>HYPERLINK("#'Data'!A4174", "HHS Household Hunger Scale Score overall")</f>
        <v>HHS Household Hunger Scale Score overall</v>
      </c>
    </row>
    <row r="271" spans="1:1" x14ac:dyDescent="0.3">
      <c r="A271" s="1" t="str">
        <f>HYPERLINK("#'Data'!A4183", "HHS Household Hunger Scale Score by HHs with a member with a disability")</f>
        <v>HHS Household Hunger Scale Score by HHs with a member with a disability</v>
      </c>
    </row>
    <row r="272" spans="1:1" x14ac:dyDescent="0.3">
      <c r="A272" s="1" t="str">
        <f>HYPERLINK("#'Data'!A4203", "HHS Household Hunger Scale Score by HoHH sex")</f>
        <v>HHS Household Hunger Scale Score by HoHH sex</v>
      </c>
    </row>
    <row r="273" spans="1:12" x14ac:dyDescent="0.3">
      <c r="A273" s="1" t="str">
        <f>HYPERLINK("#'Data'!A4224", "HHS Household Hunger Scale Score by rural or urban")</f>
        <v>HHS Household Hunger Scale Score by rural or urban</v>
      </c>
    </row>
    <row r="274" spans="1:12" x14ac:dyDescent="0.3">
      <c r="A274" s="1" t="str">
        <f>HYPERLINK("#'Data'!A4239", "HHS Household Hunger Scale Score by HHs with children")</f>
        <v>HHS Household Hunger Scale Score by HHs with children</v>
      </c>
    </row>
    <row r="275" spans="1:12" x14ac:dyDescent="0.3">
      <c r="A275" s="1" t="str">
        <f>HYPERLINK("#'Data'!A4254", "H_1 Everbreastfed overall")</f>
        <v>H_1 Everbreastfed overall</v>
      </c>
    </row>
    <row r="276" spans="1:12" x14ac:dyDescent="0.3">
      <c r="A276" s="1" t="str">
        <f>HYPERLINK("#'Data'!A4263", "H_2 Breastfed the day before Data Collection overall")</f>
        <v>H_2 Breastfed the day before Data Collection overall</v>
      </c>
    </row>
    <row r="277" spans="1:12" x14ac:dyDescent="0.3">
      <c r="A277" s="1" t="str">
        <f>HYPERLINK("#'Data'!A4272", "I_1 Primary Income Sources Reported by Households Over the Last 30 Days Prior to Data Collection by overall")</f>
        <v>I_1 Primary Income Sources Reported by Households Over the Last 30 Days Prior to Data Collection by overall</v>
      </c>
    </row>
    <row r="278" spans="1:12" x14ac:dyDescent="0.3">
      <c r="A278" s="1" t="str">
        <f>HYPERLINK("#'Data'!A4281", "I_1 Primary Income Sources Reported by Households Over the Last 30 Days Prior to Data Collection by HHs with a member with a disability")</f>
        <v>I_1 Primary Income Sources Reported by Households Over the Last 30 Days Prior to Data Collection by HHs with a member with a disability</v>
      </c>
    </row>
    <row r="279" spans="1:12" x14ac:dyDescent="0.3">
      <c r="A279" s="1" t="str">
        <f>HYPERLINK("#'Data'!A4301", "I_1 Primary Income Sources Reported by Households Over the Last 30 Days Prior to Data Collection by HoHH sex")</f>
        <v>I_1 Primary Income Sources Reported by Households Over the Last 30 Days Prior to Data Collection by HoHH sex</v>
      </c>
    </row>
    <row r="280" spans="1:12" x14ac:dyDescent="0.3">
      <c r="A280" s="1" t="str">
        <f>HYPERLINK("#'Data'!A4322", "I_1 Primary Income Sources Reported by Households Over the Last 30 Days Prior to Data Collection by rural or urban")</f>
        <v>I_1 Primary Income Sources Reported by Households Over the Last 30 Days Prior to Data Collection by rural or urban</v>
      </c>
    </row>
    <row r="281" spans="1:12" x14ac:dyDescent="0.3">
      <c r="A281" s="1" t="str">
        <f>HYPERLINK("#'Data'!A4337", "I_1 Primary Income Sources Reported by Households Over the Last 30 Days Prior to Data Collection by HH size")</f>
        <v>I_1 Primary Income Sources Reported by Households Over the Last 30 Days Prior to Data Collection by HH size</v>
      </c>
    </row>
    <row r="282" spans="1:12" x14ac:dyDescent="0.3">
      <c r="A282" s="1" t="str">
        <f>HYPERLINK("#'Data'!A4358", "I_1 Primary Income Sources Reported by Households Over the Last 30 Days Prior to Data Collection by HH with member employed")</f>
        <v>I_1 Primary Income Sources Reported by Households Over the Last 30 Days Prior to Data Collection by HH with member employed</v>
      </c>
    </row>
    <row r="283" spans="1:12" x14ac:dyDescent="0.3">
      <c r="A283" s="1" t="str">
        <f>HYPERLINK("#'Data'!A4379", "I_1 Primary Income Sources Reported by Households Over the Last 30 Days Prior to Data Collection by HH proximity to frontline or Russian border")</f>
        <v>I_1 Primary Income Sources Reported by Households Over the Last 30 Days Prior to Data Collection by HH proximity to frontline or Russian border</v>
      </c>
    </row>
    <row r="284" spans="1:12" x14ac:dyDescent="0.3">
      <c r="A284" s="2" t="str">
        <f>HYPERLINK("#'Data'!A4392", "I_1 Primary Income Sources Reported by Households Over the Last 30 Days Prior to Data Collection by assistance received")</f>
        <v>I_1 Primary Income Sources Reported by Households Over the Last 30 Days Prior to Data Collection by assistance received</v>
      </c>
    </row>
    <row r="285" spans="1:12" x14ac:dyDescent="0.3">
      <c r="A285" s="1" t="str">
        <f>HYPERLINK("#'Data'!A4410", "Total Income Total Household Income from all Reported Primary Income Sources over the Last 30 days Prior to Data Collection overall")</f>
        <v>Total Income Total Household Income from all Reported Primary Income Sources over the Last 30 days Prior to Data Collection overall</v>
      </c>
      <c r="L285" s="2" t="str">
        <f>HYPERLINK("#'Data'!I4410", "Total Household Income Per Capita from all Reported Primary Income Sources over the Last 30 days Prior to Data Collection overall")</f>
        <v>Total Household Income Per Capita from all Reported Primary Income Sources over the Last 30 days Prior to Data Collection overall</v>
      </c>
    </row>
    <row r="286" spans="1:12" x14ac:dyDescent="0.3">
      <c r="A286" s="1" t="str">
        <f>HYPERLINK("#'Data'!A4419", "Total Income Total Household Income from all Reported Primary Income Sources over the Last 30 days Prior to Data Collection by HHs with a member with a disability")</f>
        <v>Total Income Total Household Income from all Reported Primary Income Sources over the Last 30 days Prior to Data Collection by HHs with a member with a disability</v>
      </c>
      <c r="L286" s="2" t="str">
        <f>HYPERLINK("#'Data'!I4419", "Total Household Income Per Capita from all Reported Primary Income Sources over the Last 30 days Prior to Data Collection by HHs with a member with a disability")</f>
        <v>Total Household Income Per Capita from all Reported Primary Income Sources over the Last 30 days Prior to Data Collection by HHs with a member with a disability</v>
      </c>
    </row>
    <row r="287" spans="1:12" x14ac:dyDescent="0.3">
      <c r="A287" s="1" t="str">
        <f>HYPERLINK("#'Data'!A4439", "Total Income Total Household Income from all Reported Primary Income Sources over the Last 30 days Prior to Data Collection by HoHH sex")</f>
        <v>Total Income Total Household Income from all Reported Primary Income Sources over the Last 30 days Prior to Data Collection by HoHH sex</v>
      </c>
      <c r="L287" s="2" t="str">
        <f>HYPERLINK("#'Data'!I4439", "Total Household Income Per Capita from all Reported Primary Income Sources over the Last 30 days Prior to Data Collection by HoHH sex")</f>
        <v>Total Household Income Per Capita from all Reported Primary Income Sources over the Last 30 days Prior to Data Collection by HoHH sex</v>
      </c>
    </row>
    <row r="288" spans="1:12" x14ac:dyDescent="0.3">
      <c r="A288" s="1" t="str">
        <f>HYPERLINK("#'Data'!A4460", "Total Income Total Household Income from all Reported Primary Income Sources over the Last 30 days Prior to Data Collection by rural or urban")</f>
        <v>Total Income Total Household Income from all Reported Primary Income Sources over the Last 30 days Prior to Data Collection by rural or urban</v>
      </c>
      <c r="L288" s="2" t="str">
        <f>HYPERLINK("#'Data'!I4460", "Total Household Income Per Capita from all Reported Primary Income Sources over the Last 30 days Prior to Data Collection by rural or urban")</f>
        <v>Total Household Income Per Capita from all Reported Primary Income Sources over the Last 30 days Prior to Data Collection by rural or urban</v>
      </c>
    </row>
    <row r="289" spans="1:12" x14ac:dyDescent="0.3">
      <c r="A289" s="1" t="str">
        <f>HYPERLINK("#'Data'!A4475", "Total Income Total Household Income from all Reported Primary Income Sources over the Last 30 days Prior to Data Collection by HH size")</f>
        <v>Total Income Total Household Income from all Reported Primary Income Sources over the Last 30 days Prior to Data Collection by HH size</v>
      </c>
      <c r="L289" s="2" t="str">
        <f>HYPERLINK("#'Data'!I4475", "Total Household Income Per Capita from all Reported Primary Income Sources over the Last 30 days Prior to Data Collection by HH size")</f>
        <v>Total Household Income Per Capita from all Reported Primary Income Sources over the Last 30 days Prior to Data Collection by HH size</v>
      </c>
    </row>
    <row r="290" spans="1:12" x14ac:dyDescent="0.3">
      <c r="A290" s="1" t="str">
        <f>HYPERLINK("#'Data'!A4496", "Total Income Total Household Income from all Reported Primary Income Sources over the Last 30 days Prior to Data Collection by HHs relying exclusively on humanitarian assistance")</f>
        <v>Total Income Total Household Income from all Reported Primary Income Sources over the Last 30 days Prior to Data Collection by HHs relying exclusively on humanitarian assistance</v>
      </c>
      <c r="L290" s="2" t="str">
        <f>HYPERLINK("#'Data'!I4496", "Total Household Income Per Capita from all Reported Primary Income Sources over the Last 30 days Prior to Data Collection by HHs relying exclusively on humanitarian assistance")</f>
        <v>Total Household Income Per Capita from all Reported Primary Income Sources over the Last 30 days Prior to Data Collection by HHs relying exclusively on humanitarian assistance</v>
      </c>
    </row>
    <row r="291" spans="1:12" x14ac:dyDescent="0.3">
      <c r="A291" s="1" t="str">
        <f>HYPERLINK("#'Data'!A4509", "Total Income Total Household Income from all Reported Primary Income Sources over the Last 30 days Prior to Data Collection by HH with member employed")</f>
        <v>Total Income Total Household Income from all Reported Primary Income Sources over the Last 30 days Prior to Data Collection by HH with member employed</v>
      </c>
      <c r="L291" s="2" t="str">
        <f>HYPERLINK("#'Data'!I4509", "Total Household Income Per Capita from all Reported Primary Income Sources over the Last 30 days Prior to Data Collection by HH with member employed")</f>
        <v>Total Household Income Per Capita from all Reported Primary Income Sources over the Last 30 days Prior to Data Collection by HH with member employed</v>
      </c>
    </row>
    <row r="292" spans="1:12" x14ac:dyDescent="0.3">
      <c r="A292" s="2" t="str">
        <f>HYPERLINK("#'Data'!A4530", "Estimated Household's Income Over the Last 30 days by Types of Income Source overall")</f>
        <v>Estimated Household's Income Over the Last 30 days by Types of Income Source overall</v>
      </c>
      <c r="L292" s="2" t="str">
        <f>HYPERLINK("#'Data'!BL4530", "Estimated Household's Income Over the Last 30 days by Types of Income Source per capita overall")</f>
        <v>Estimated Household's Income Over the Last 30 days by Types of Income Source per capita overall</v>
      </c>
    </row>
    <row r="293" spans="1:12" x14ac:dyDescent="0.3">
      <c r="A293" s="1" t="str">
        <f>HYPERLINK("#'Data'!A4539", "Estimated Household's Income Over the Last 30 days by Types of Income Source by rural or urban")</f>
        <v>Estimated Household's Income Over the Last 30 days by Types of Income Source by rural or urban</v>
      </c>
      <c r="L293" s="2" t="str">
        <f>HYPERLINK("#'Data'!BL4539", "Estimated Household's Income Over the Last 30 days by Types of Income Source per capita by rural or urban")</f>
        <v>Estimated Household's Income Over the Last 30 days by Types of Income Source per capita by rural or urban</v>
      </c>
    </row>
    <row r="294" spans="1:12" x14ac:dyDescent="0.3">
      <c r="A294" s="2" t="str">
        <f>HYPERLINK("#'Data'!A4559", "Estimated Household's Income Over the Last 30 days by Types of Income Source by HoHH sex")</f>
        <v>Estimated Household's Income Over the Last 30 days by Types of Income Source by HoHH sex</v>
      </c>
      <c r="L294" s="2" t="str">
        <f>HYPERLINK("#'Data'!BL4559", "Estimated Household's Income Over the Last 30 days by Types of Income Source per capita by HoHH sex")</f>
        <v>Estimated Household's Income Over the Last 30 days by Types of Income Source per capita by HoHH sex</v>
      </c>
    </row>
    <row r="295" spans="1:12" x14ac:dyDescent="0.3">
      <c r="A295" s="2" t="str">
        <f>HYPERLINK("#'Data'!A4580", "Estimated Household's Income Over the Last 30 days by Types of Income Source by by HHs with a member with a disability")</f>
        <v>Estimated Household's Income Over the Last 30 days by Types of Income Source by by HHs with a member with a disability</v>
      </c>
      <c r="L295" s="2" t="str">
        <f>HYPERLINK("#'Data'!BL4580", "Estimated Household's Income Over the Last 30 days by Types of Income Source per capita by HHs with a member with a disability")</f>
        <v>Estimated Household's Income Over the Last 30 days by Types of Income Source per capita by HHs with a member with a disability</v>
      </c>
    </row>
    <row r="296" spans="1:12" x14ac:dyDescent="0.3">
      <c r="A296" s="1" t="str">
        <f>HYPERLINK("#'Data'!A4601", "Total Food Expenditure Total Household Food Expenditure Reported over the Last 30 days Prior to Data Collection overall")</f>
        <v>Total Food Expenditure Total Household Food Expenditure Reported over the Last 30 days Prior to Data Collection overall</v>
      </c>
    </row>
    <row r="297" spans="1:12" x14ac:dyDescent="0.3">
      <c r="A297" s="1" t="str">
        <f>HYPERLINK("#'Data'!A4610", "Total Food Expenditure Total Household Food Expenditure Reported over the Last 30 days Prior to Data Collection by HHs with a member with a disability")</f>
        <v>Total Food Expenditure Total Household Food Expenditure Reported over the Last 30 days Prior to Data Collection by HHs with a member with a disability</v>
      </c>
    </row>
    <row r="298" spans="1:12" x14ac:dyDescent="0.3">
      <c r="A298" s="1" t="str">
        <f>HYPERLINK("#'Data'!A4630", "Total Food Expenditure Total Household Food Expenditure Reported over the Last 30 days Prior to Data Collection by HoHH sex")</f>
        <v>Total Food Expenditure Total Household Food Expenditure Reported over the Last 30 days Prior to Data Collection by HoHH sex</v>
      </c>
    </row>
    <row r="299" spans="1:12" x14ac:dyDescent="0.3">
      <c r="A299" s="1" t="str">
        <f>HYPERLINK("#'Data'!A4651", "Total Food Expenditure Total Household Food Expenditure Reported over the Last 30 days Prior to Data Collection by rural or urban")</f>
        <v>Total Food Expenditure Total Household Food Expenditure Reported over the Last 30 days Prior to Data Collection by rural or urban</v>
      </c>
    </row>
    <row r="300" spans="1:12" x14ac:dyDescent="0.3">
      <c r="A300" s="1" t="str">
        <f>HYPERLINK("#'Data'!A4666", "Total Food Expenditure Total Household Food Expenditure Reported over the Last 30 days Prior to Data Collection by HH size")</f>
        <v>Total Food Expenditure Total Household Food Expenditure Reported over the Last 30 days Prior to Data Collection by HH size</v>
      </c>
    </row>
    <row r="301" spans="1:12" x14ac:dyDescent="0.3">
      <c r="A301" s="1" t="str">
        <f>HYPERLINK("#'Data'!A4687", "Total Food Expenditure Total Household Food Expenditure Reported over the Last 30 days Prior to Data Collection by HHs relying exclusively on humanitarian assistance")</f>
        <v>Total Food Expenditure Total Household Food Expenditure Reported over the Last 30 days Prior to Data Collection by HHs relying exclusively on humanitarian assistance</v>
      </c>
    </row>
    <row r="302" spans="1:12" x14ac:dyDescent="0.3">
      <c r="A302" s="1" t="str">
        <f>HYPERLINK("#'Data'!A4711", "Total Food Expenditure Total Household Food Expenditure Reported over the Last 30 days Prior to Data Collection by HH proximity to frontline or Russian border")</f>
        <v>Total Food Expenditure Total Household Food Expenditure Reported over the Last 30 days Prior to Data Collection by HH proximity to frontline or Russian border</v>
      </c>
    </row>
    <row r="303" spans="1:12" x14ac:dyDescent="0.3">
      <c r="A303" s="1" t="str">
        <f>HYPERLINK("#'Data'!A4724", "Estimated Household's Food Expenditure Over the Last 30 days overall")</f>
        <v>Estimated Household's Food Expenditure Over the Last 30 days overall</v>
      </c>
    </row>
    <row r="304" spans="1:12" x14ac:dyDescent="0.3">
      <c r="A304" s="1" t="str">
        <f>HYPERLINK("#'Data'!A4733", "Estimated Household's Food Expenditure Over the Last 30 days by rural or urban")</f>
        <v>Estimated Household's Food Expenditure Over the Last 30 days by rural or urban</v>
      </c>
    </row>
    <row r="305" spans="1:1" x14ac:dyDescent="0.3">
      <c r="A305" s="1" t="str">
        <f>HYPERLINK("#'Data'!A4748", "Estimated Household's Food Expenditure Over the Last 30 days by HoHH sex")</f>
        <v>Estimated Household's Food Expenditure Over the Last 30 days by HoHH sex</v>
      </c>
    </row>
    <row r="306" spans="1:1" x14ac:dyDescent="0.3">
      <c r="A306" s="1" t="str">
        <f>HYPERLINK("#'Data'!A4769", "Estimated Household's Food Expenditure Over the Last 30 days by HHs with a member with a disability")</f>
        <v>Estimated Household's Food Expenditure Over the Last 30 days by HHs with a member with a disability</v>
      </c>
    </row>
    <row r="307" spans="1:1" x14ac:dyDescent="0.3">
      <c r="A307" s="1" t="str">
        <f>HYPERLINK("#'Data'!A4789", "Total Monthly Expenditure Total Monthly Expenditure Reported by Households overall")</f>
        <v>Total Monthly Expenditure Total Monthly Expenditure Reported by Households overall</v>
      </c>
    </row>
    <row r="308" spans="1:1" x14ac:dyDescent="0.3">
      <c r="A308" s="1" t="str">
        <f>HYPERLINK("#'Data'!A4798", "Total Monthly Expenditure Total Monthly Expenditure Reported by Households by HHs with a member with a disability")</f>
        <v>Total Monthly Expenditure Total Monthly Expenditure Reported by Households by HHs with a member with a disability</v>
      </c>
    </row>
    <row r="309" spans="1:1" x14ac:dyDescent="0.3">
      <c r="A309" s="1" t="str">
        <f>HYPERLINK("#'Data'!A4818", "Total Monthly Expenditure Total Monthly Expenditure Reported by Households by HoHH sex")</f>
        <v>Total Monthly Expenditure Total Monthly Expenditure Reported by Households by HoHH sex</v>
      </c>
    </row>
    <row r="310" spans="1:1" x14ac:dyDescent="0.3">
      <c r="A310" s="1" t="str">
        <f>HYPERLINK("#'Data'!A4839", "Total Monthly Expenditure Total Monthly Expenditure Reported by Households by rural or urban")</f>
        <v>Total Monthly Expenditure Total Monthly Expenditure Reported by Households by rural or urban</v>
      </c>
    </row>
    <row r="311" spans="1:1" x14ac:dyDescent="0.3">
      <c r="A311" s="1" t="str">
        <f>HYPERLINK("#'Data'!A4854", "Total Monthly Expenditure Total Monthly Expenditure Reported by Households by HH size")</f>
        <v>Total Monthly Expenditure Total Monthly Expenditure Reported by Households by HH size</v>
      </c>
    </row>
    <row r="312" spans="1:1" x14ac:dyDescent="0.3">
      <c r="A312" s="1" t="str">
        <f>HYPERLINK("#'Data'!A4875", "Total Monthly Expenditure Total Monthly Expenditure Reported by Households by HHs with only elderly members")</f>
        <v>Total Monthly Expenditure Total Monthly Expenditure Reported by Households by HHs with only elderly members</v>
      </c>
    </row>
    <row r="313" spans="1:1" x14ac:dyDescent="0.3">
      <c r="A313" s="1" t="str">
        <f>HYPERLINK("#'Data'!A4890", "Total Monthly Expenditure Total Monthly Expenditure Reported by Households by HHs relying exclusively on humanitarian assistance")</f>
        <v>Total Monthly Expenditure Total Monthly Expenditure Reported by Households by HHs relying exclusively on humanitarian assistance</v>
      </c>
    </row>
    <row r="314" spans="1:1" x14ac:dyDescent="0.3">
      <c r="A314" s="1" t="str">
        <f>HYPERLINK("#'Data'!A4911", "Total Monthly Expenditure Total Monthly Expenditure Reported by Households by HH proximity to frontline or Russian border")</f>
        <v>Total Monthly Expenditure Total Monthly Expenditure Reported by Households by HH proximity to frontline or Russian border</v>
      </c>
    </row>
    <row r="315" spans="1:1" x14ac:dyDescent="0.3">
      <c r="A315" s="1" t="str">
        <f>HYPERLINK("#'Data'!A4924", "Estimated Household's Domestic Expenditure Over the Last 30 days overall")</f>
        <v>Estimated Household's Domestic Expenditure Over the Last 30 days overall</v>
      </c>
    </row>
    <row r="316" spans="1:1" x14ac:dyDescent="0.3">
      <c r="A316" s="1" t="str">
        <f>HYPERLINK("#'Data'!A4933", "Estimated Household's Domestic Expenditure Over the Last 30 days by HHs with a member with a disability")</f>
        <v>Estimated Household's Domestic Expenditure Over the Last 30 days by HHs with a member with a disability</v>
      </c>
    </row>
    <row r="317" spans="1:1" x14ac:dyDescent="0.3">
      <c r="A317" s="1" t="str">
        <f>HYPERLINK("#'Data'!A4953", "Estimated Household's Domestic Expenditure Over the Last 30 days by HoHH sex")</f>
        <v>Estimated Household's Domestic Expenditure Over the Last 30 days by HoHH sex</v>
      </c>
    </row>
    <row r="318" spans="1:1" x14ac:dyDescent="0.3">
      <c r="A318" s="1" t="str">
        <f>HYPERLINK("#'Data'!A4974", "Estimated Household's Domestic Expenditure Over the Last 30 days by rural or urban")</f>
        <v>Estimated Household's Domestic Expenditure Over the Last 30 days by rural or urban</v>
      </c>
    </row>
    <row r="319" spans="1:1" x14ac:dyDescent="0.3">
      <c r="A319" s="1" t="str">
        <f>HYPERLINK("#'Data'!A4989", "Estimated Household's Domestic Expenditure Over the Last 6 Months overall")</f>
        <v>Estimated Household's Domestic Expenditure Over the Last 6 Months overall</v>
      </c>
    </row>
    <row r="320" spans="1:1" x14ac:dyDescent="0.3">
      <c r="A320" s="1" t="str">
        <f>HYPERLINK("#'Data'!A4998", "Estimated Household's Domestic Expenditure Over the Last 6 Months rural or urban")</f>
        <v>Estimated Household's Domestic Expenditure Over the Last 6 Months rural or urban</v>
      </c>
    </row>
    <row r="321" spans="1:1" x14ac:dyDescent="0.3">
      <c r="A321" s="1" t="str">
        <f>HYPERLINK("#'Data'!A5013", "Estimated Household's Domestic Expenditure Over the Last 6 Months by HoHH sex")</f>
        <v>Estimated Household's Domestic Expenditure Over the Last 6 Months by HoHH sex</v>
      </c>
    </row>
    <row r="322" spans="1:1" x14ac:dyDescent="0.3">
      <c r="A322" s="1" t="str">
        <f>HYPERLINK("#'Data'!A5034", "Estimated Household's Domestic Expenditure Over the Last 6 Months by HHs with a member with a disability")</f>
        <v>Estimated Household's Domestic Expenditure Over the Last 6 Months by HHs with a member with a disability</v>
      </c>
    </row>
    <row r="323" spans="1:1" x14ac:dyDescent="0.3">
      <c r="A323" s="1" t="str">
        <f>HYPERLINK("#'Data'!A5054", "I_6 Households Reporting Challenges to Obtain Money to Meet Needs Over the Last 30 days Prior to Data Collection overall")</f>
        <v>I_6 Households Reporting Challenges to Obtain Money to Meet Needs Over the Last 30 days Prior to Data Collection overall</v>
      </c>
    </row>
    <row r="324" spans="1:1" x14ac:dyDescent="0.3">
      <c r="A324" s="1" t="str">
        <f>HYPERLINK("#'Data'!A5063", "I_6 Households Reporting Challenges to Obtain Money to Meet Needs Over the Last 30 days Prior to Data Collection by Individuals with a disability")</f>
        <v>I_6 Households Reporting Challenges to Obtain Money to Meet Needs Over the Last 30 days Prior to Data Collection by Individuals with a disability</v>
      </c>
    </row>
    <row r="325" spans="1:1" x14ac:dyDescent="0.3">
      <c r="A325" s="1" t="str">
        <f>HYPERLINK("#'Data'!A5083", "I_6 Households Reporting Challenges to Obtain Money to Meet Needs Over the Last 30 days Prior to Data Collection by HoHH sex")</f>
        <v>I_6 Households Reporting Challenges to Obtain Money to Meet Needs Over the Last 30 days Prior to Data Collection by HoHH sex</v>
      </c>
    </row>
    <row r="326" spans="1:1" x14ac:dyDescent="0.3">
      <c r="A326" s="1" t="str">
        <f>HYPERLINK("#'Data'!A5104", "I_6 Households Reporting Challenges to Obtain Money to Meet Needs Over the Last 30 days Prior to Data Collection by rural or urban")</f>
        <v>I_6 Households Reporting Challenges to Obtain Money to Meet Needs Over the Last 30 days Prior to Data Collection by rural or urban</v>
      </c>
    </row>
    <row r="327" spans="1:1" x14ac:dyDescent="0.3">
      <c r="A327" s="1" t="str">
        <f>HYPERLINK("#'Data'!A5119", "I_6 Households Reporting Challenges to Obtain Money to Meet Needs Over the Last 30 days Prior to Data Collection by HHs with only elderly members")</f>
        <v>I_6 Households Reporting Challenges to Obtain Money to Meet Needs Over the Last 30 days Prior to Data Collection by HHs with only elderly members</v>
      </c>
    </row>
    <row r="328" spans="1:1" x14ac:dyDescent="0.3">
      <c r="A328" s="1" t="str">
        <f>HYPERLINK("#'Data'!A5134", "I_6 Households Reporting Challenges to Obtain Money to Meet Needs Over the Last 30 days Prior to Data Collection by HHs with a member with a disability")</f>
        <v>I_6 Households Reporting Challenges to Obtain Money to Meet Needs Over the Last 30 days Prior to Data Collection by HHs with a member with a disability</v>
      </c>
    </row>
    <row r="329" spans="1:1" x14ac:dyDescent="0.3">
      <c r="A329" s="1" t="str">
        <f>HYPERLINK("#'Data'!A5154", "I_7 Main Challenges Reported by Households to Obtain Money to Meet Needs Over the Last 30 days Prior to Data Collection by overall")</f>
        <v>I_7 Main Challenges Reported by Households to Obtain Money to Meet Needs Over the Last 30 days Prior to Data Collection by overall</v>
      </c>
    </row>
    <row r="330" spans="1:1" x14ac:dyDescent="0.3">
      <c r="A330" s="1" t="str">
        <f>HYPERLINK("#'Data'!A5173", "I_7 Main Challenges Reported by Households to Obtain Money to Meet Needs Over the Last 30 days Prior to Data Collection by HoHH sex")</f>
        <v>I_7 Main Challenges Reported by Households to Obtain Money to Meet Needs Over the Last 30 days Prior to Data Collection by HoHH sex</v>
      </c>
    </row>
    <row r="331" spans="1:1" x14ac:dyDescent="0.3">
      <c r="A331" s="1" t="str">
        <f>HYPERLINK("#'Data'!A5182", "I_7 Main Challenges Reported by Households to Obtain Money to Meet Needs Over the Last 30 days Prior to Data Collection by rural or urban")</f>
        <v>I_7 Main Challenges Reported by Households to Obtain Money to Meet Needs Over the Last 30 days Prior to Data Collection by rural or urban</v>
      </c>
    </row>
    <row r="332" spans="1:1" x14ac:dyDescent="0.3">
      <c r="A332" s="1" t="str">
        <f>HYPERLINK("#'Data'!A5197", "I_7 Main Challenges Reported by Households to Obtain Money to Meet Needs Over the Last 30 days Prior to Data Collection by HH size")</f>
        <v>I_7 Main Challenges Reported by Households to Obtain Money to Meet Needs Over the Last 30 days Prior to Data Collection by HH size</v>
      </c>
    </row>
    <row r="333" spans="1:1" x14ac:dyDescent="0.3">
      <c r="A333" s="1" t="str">
        <f>HYPERLINK("#'Data'!A5218", "I_7 Main Challenges Reported by Households to Obtain Money to Meet Needs Over the Last 30 days Prior to Data Collection by HHs with a member with a disability")</f>
        <v>I_7 Main Challenges Reported by Households to Obtain Money to Meet Needs Over the Last 30 days Prior to Data Collection by HHs with a member with a disability</v>
      </c>
    </row>
    <row r="334" spans="1:1" x14ac:dyDescent="0.3">
      <c r="A334" s="1" t="str">
        <f>HYPERLINK("#'Data'!A5238", "I_7 Main Challenges Reported by Households to Obtain Money to Meet Needs Over the Last 30 days Prior to Data Collection by HH proximity to frontline or Russian border")</f>
        <v>I_7 Main Challenges Reported by Households to Obtain Money to Meet Needs Over the Last 30 days Prior to Data Collection by HH proximity to frontline or Russian border</v>
      </c>
    </row>
    <row r="335" spans="1:1" x14ac:dyDescent="0.3">
      <c r="A335" s="1" t="str">
        <f>HYPERLINK("#'Data'!A5251", "LCSI Living Coping Strategies (LCSI) Index Score overall")</f>
        <v>LCSI Living Coping Strategies (LCSI) Index Score overall</v>
      </c>
    </row>
    <row r="336" spans="1:1" x14ac:dyDescent="0.3">
      <c r="A336" s="1" t="str">
        <f>HYPERLINK("#'Data'!A5271", "LCSI Living Coping Strategies (LCSI) Index Score by displacement status")</f>
        <v>LCSI Living Coping Strategies (LCSI) Index Score by displacement status</v>
      </c>
    </row>
    <row r="337" spans="1:1" x14ac:dyDescent="0.3">
      <c r="A337" s="1" t="str">
        <f>HYPERLINK("#'Data'!A5292", "LCSI Living Coping Strategies (LCSI) Index Score by HoHH sex")</f>
        <v>LCSI Living Coping Strategies (LCSI) Index Score by HoHH sex</v>
      </c>
    </row>
    <row r="338" spans="1:1" x14ac:dyDescent="0.3">
      <c r="A338" s="1" t="str">
        <f>HYPERLINK("#'Data'!A5307", "LCSI Living Coping Strategies (LCSI) Index Score by rural or urban")</f>
        <v>LCSI Living Coping Strategies (LCSI) Index Score by rural or urban</v>
      </c>
    </row>
    <row r="339" spans="1:1" x14ac:dyDescent="0.3">
      <c r="A339" s="1" t="str">
        <f>HYPERLINK("#'Data'!A5316", "Households Reportedly Adopting Livelihood Coping Strategies by overall")</f>
        <v>Households Reportedly Adopting Livelihood Coping Strategies by overall</v>
      </c>
    </row>
    <row r="340" spans="1:1" x14ac:dyDescent="0.3">
      <c r="A340" s="1" t="str">
        <f>HYPERLINK("#'Data'!A5325", "Households Reportedly Adopting Livelihood Coping Strategies by HHs with a member with a disability")</f>
        <v>Households Reportedly Adopting Livelihood Coping Strategies by HHs with a member with a disability</v>
      </c>
    </row>
    <row r="341" spans="1:1" x14ac:dyDescent="0.3">
      <c r="A341" s="1" t="str">
        <f>HYPERLINK("#'Data'!A5345", "Households Reportedly Adopting Livelihood Coping Strategies by rural or urban")</f>
        <v>Households Reportedly Adopting Livelihood Coping Strategies by rural or urban</v>
      </c>
    </row>
    <row r="342" spans="1:1" x14ac:dyDescent="0.3">
      <c r="A342" s="1" t="str">
        <f>HYPERLINK("#'Data'!A5360", "Households Reportedly Adopting Livelihood Coping Strategies by HoHH sex")</f>
        <v>Households Reportedly Adopting Livelihood Coping Strategies by HoHH sex</v>
      </c>
    </row>
    <row r="343" spans="1:1" x14ac:dyDescent="0.3">
      <c r="A343" s="1" t="str">
        <f>HYPERLINK("#'Data'!A5381", "I_8_14 Main Reasons Households Reported for Using Livelihood Coping Strategies overall")</f>
        <v>I_8_14 Main Reasons Households Reported for Using Livelihood Coping Strategies overall</v>
      </c>
    </row>
    <row r="344" spans="1:1" x14ac:dyDescent="0.3">
      <c r="A344" s="1" t="str">
        <f>HYPERLINK("#'Data'!A5390", "I_8_14 Main Reasons Households Reported for Using Livelihood Coping Strategies by HH size")</f>
        <v>I_8_14 Main Reasons Households Reported for Using Livelihood Coping Strategies by HH size</v>
      </c>
    </row>
    <row r="345" spans="1:1" x14ac:dyDescent="0.3">
      <c r="A345" s="1" t="str">
        <f>HYPERLINK("#'Data'!A5409", "I_8_14 Main Reasons Households Reported for Using Livelihood Coping Strategies by HH proximity to frontline or Russian border")</f>
        <v>I_8_14 Main Reasons Households Reported for Using Livelihood Coping Strategies by HH proximity to frontline or Russian border</v>
      </c>
    </row>
    <row r="346" spans="1:1" x14ac:dyDescent="0.3">
      <c r="A346" s="1" t="str">
        <f>HYPERLINK("#'Data'!A5422", "I_8_14 Main Reasons Households Reported for Using Livelihood Coping Strategies by HHs with a member with a disability")</f>
        <v>I_8_14 Main Reasons Households Reported for Using Livelihood Coping Strategies by HHs with a member with a disability</v>
      </c>
    </row>
    <row r="347" spans="1:1" x14ac:dyDescent="0.3">
      <c r="A347" s="1" t="str">
        <f>HYPERLINK("#'Data'!A5442", "I_9 Households Reporting to Own Land Used for Agricultural Activities overall")</f>
        <v>I_9 Households Reporting to Own Land Used for Agricultural Activities overall</v>
      </c>
    </row>
    <row r="348" spans="1:1" x14ac:dyDescent="0.3">
      <c r="A348" s="1" t="str">
        <f>HYPERLINK("#'Data'!A5451", "I_9 Households Reporting to Own Land Used for Agricultural Activities by HoHH sex")</f>
        <v>I_9 Households Reporting to Own Land Used for Agricultural Activities by HoHH sex</v>
      </c>
    </row>
    <row r="349" spans="1:1" x14ac:dyDescent="0.3">
      <c r="A349" s="1" t="str">
        <f>HYPERLINK("#'Data'!A5472", "I_9 Households Reporting to Own Land Used for Agricultural Activities by rural or urban")</f>
        <v>I_9 Households Reporting to Own Land Used for Agricultural Activities by rural or urban</v>
      </c>
    </row>
    <row r="350" spans="1:1" x14ac:dyDescent="0.3">
      <c r="A350" s="1" t="str">
        <f>HYPERLINK("#'Data'!A5487", "I_9 Households Reporting to Own Land Used for Agricultural Activities by HH size")</f>
        <v>I_9 Households Reporting to Own Land Used for Agricultural Activities by HH size</v>
      </c>
    </row>
    <row r="351" spans="1:1" x14ac:dyDescent="0.3">
      <c r="A351" s="1" t="str">
        <f>HYPERLINK("#'Data'!A5508", "I_9 Households Reporting to Own Land Used for Agricultural Activities by HH proximity to frontline or Russian border")</f>
        <v>I_9 Households Reporting to Own Land Used for Agricultural Activities by HH proximity to frontline or Russian border</v>
      </c>
    </row>
    <row r="352" spans="1:1" x14ac:dyDescent="0.3">
      <c r="A352" s="1" t="str">
        <f>HYPERLINK("#'Data'!A5521", "I_9 Households Reporting to Own Land Used for Agricultural Activities by HHs with a member with a disability")</f>
        <v>I_9 Households Reporting to Own Land Used for Agricultural Activities by HHs with a member with a disability</v>
      </c>
    </row>
    <row r="353" spans="1:1" x14ac:dyDescent="0.3">
      <c r="A353" s="1" t="str">
        <f>HYPERLINK("#'Data'!A5541", "I_9_1 Purposes of the Agricultural Land Used Reported by Households overall")</f>
        <v>I_9_1 Purposes of the Agricultural Land Used Reported by Households overall</v>
      </c>
    </row>
    <row r="354" spans="1:1" x14ac:dyDescent="0.3">
      <c r="A354" s="1" t="str">
        <f>HYPERLINK("#'Data'!A5550", "I_9_1 Purposes of the Agricultural Land Used Reported by Households by HoHH sex")</f>
        <v>I_9_1 Purposes of the Agricultural Land Used Reported by Households by HoHH sex</v>
      </c>
    </row>
    <row r="355" spans="1:1" x14ac:dyDescent="0.3">
      <c r="A355" s="1" t="str">
        <f>HYPERLINK("#'Data'!A5569", "I_9_1 Purposes of the Agricultural Land Used Reported by Households by rural or urban")</f>
        <v>I_9_1 Purposes of the Agricultural Land Used Reported by Households by rural or urban</v>
      </c>
    </row>
    <row r="356" spans="1:1" x14ac:dyDescent="0.3">
      <c r="A356" s="1" t="str">
        <f>HYPERLINK("#'Data'!A5584", "I_9_1 Purposes of the Agricultural Land Used Reported by Households by HH size")</f>
        <v>I_9_1 Purposes of the Agricultural Land Used Reported by Households by HH size</v>
      </c>
    </row>
    <row r="357" spans="1:1" x14ac:dyDescent="0.3">
      <c r="A357" s="1" t="str">
        <f>HYPERLINK("#'Data'!A5605", "I_9_1 Purposes of the Agricultural Land Used Reported by Households by HH proximity to frontline or Russian border")</f>
        <v>I_9_1 Purposes of the Agricultural Land Used Reported by Households by HH proximity to frontline or Russian border</v>
      </c>
    </row>
    <row r="358" spans="1:1" x14ac:dyDescent="0.3">
      <c r="A358" s="1" t="str">
        <f>HYPERLINK("#'Data'!A5618", "I_9_1 Purposes of the Agricultural Land Used Reported by Households by sex and age")</f>
        <v>I_9_1 Purposes of the Agricultural Land Used Reported by Households by sex and age</v>
      </c>
    </row>
    <row r="359" spans="1:1" x14ac:dyDescent="0.3">
      <c r="A359" s="1" t="str">
        <f>HYPERLINK("#'Data'!A5664", "I_10 Barriers Households Reported to Accessing Marketplaces Consistently over the Last 30 days Prior to Data Collection by overall")</f>
        <v>I_10 Barriers Households Reported to Accessing Marketplaces Consistently over the Last 30 days Prior to Data Collection by overall</v>
      </c>
    </row>
    <row r="360" spans="1:1" x14ac:dyDescent="0.3">
      <c r="A360" s="1" t="str">
        <f>HYPERLINK("#'Data'!A5673", "I_10 Barriers Households Reported to Accessing Marketplaces Consistently over the Last 30 days Prior to Data Collection by Individuals with a disability")</f>
        <v>I_10 Barriers Households Reported to Accessing Marketplaces Consistently over the Last 30 days Prior to Data Collection by Individuals with a disability</v>
      </c>
    </row>
    <row r="361" spans="1:1" x14ac:dyDescent="0.3">
      <c r="A361" s="1" t="str">
        <f>HYPERLINK("#'Data'!A5693", "I_10 Barriers Households Reported to Accessing Marketplaces Consistently over the Last 30 days Prior to Data Collection by rural or urban")</f>
        <v>I_10 Barriers Households Reported to Accessing Marketplaces Consistently over the Last 30 days Prior to Data Collection by rural or urban</v>
      </c>
    </row>
    <row r="362" spans="1:1" x14ac:dyDescent="0.3">
      <c r="A362" s="1" t="str">
        <f>HYPERLINK("#'Data'!A5708", "I_10 Barriers Households Reported to Accessing Marketplaces Consistently over the Last 30 days Prior to Data Collection by HH with member employed")</f>
        <v>I_10 Barriers Households Reported to Accessing Marketplaces Consistently over the Last 30 days Prior to Data Collection by HH with member employed</v>
      </c>
    </row>
    <row r="363" spans="1:1" x14ac:dyDescent="0.3">
      <c r="A363" s="1" t="str">
        <f>HYPERLINK("#'Data'!A5729", "I_10 Barriers Households Reported to Accessing Marketplaces Consistently over the Last 30 days Prior to Data Collection by type of drinking water sources")</f>
        <v>I_10 Barriers Households Reported to Accessing Marketplaces Consistently over the Last 30 days Prior to Data Collection by type of drinking water sources</v>
      </c>
    </row>
    <row r="364" spans="1:1" x14ac:dyDescent="0.3">
      <c r="A364" s="1" t="str">
        <f>HYPERLINK("#'Data'!A5747", "I_10 Barriers Households Reported to Accessing Marketplaces Consistently over the Last 30 days Prior to Data Collection by HHs with an elderly member")</f>
        <v>I_10 Barriers Households Reported to Accessing Marketplaces Consistently over the Last 30 days Prior to Data Collection by HHs with an elderly member</v>
      </c>
    </row>
    <row r="365" spans="1:1" x14ac:dyDescent="0.3">
      <c r="A365" s="1" t="str">
        <f>HYPERLINK("#'Data'!A5764", "I_10 Barriers Households Reported to Accessing Marketplaces Consistently over the Last 30 days Prior to Data Collection by HHs with a member with a disability")</f>
        <v>I_10 Barriers Households Reported to Accessing Marketplaces Consistently over the Last 30 days Prior to Data Collection by HHs with a member with a disability</v>
      </c>
    </row>
    <row r="366" spans="1:1" x14ac:dyDescent="0.3">
      <c r="A366" s="1" t="str">
        <f>HYPERLINK("#'Data'!A5784", "I_10 Barriers Households Reported to Accessing Marketplaces Consistently over the Last 30 days Prior to Data Collection by HH proximity to frontline or Russian border")</f>
        <v>I_10 Barriers Households Reported to Accessing Marketplaces Consistently over the Last 30 days Prior to Data Collection by HH proximity to frontline or Russian border</v>
      </c>
    </row>
    <row r="367" spans="1:1" x14ac:dyDescent="0.3">
      <c r="A367" s="1" t="str">
        <f>HYPERLINK("#'Data'!A5797", "I_12 Households Reportedly Borrowing Money or Taking on Additional Debt to Cover Basic Needs Since the Escalation of the War overall")</f>
        <v>I_12 Households Reportedly Borrowing Money or Taking on Additional Debt to Cover Basic Needs Since the Escalation of the War overall</v>
      </c>
    </row>
    <row r="368" spans="1:1" x14ac:dyDescent="0.3">
      <c r="A368" s="1" t="str">
        <f>HYPERLINK("#'Data'!A5817", "I_12 Households Reportedly Borrowing Money or Taking on Additional Debt to Cover Basic Needs Since the Escalation of the War by HHs with challenge to obtain money")</f>
        <v>I_12 Households Reportedly Borrowing Money or Taking on Additional Debt to Cover Basic Needs Since the Escalation of the War by HHs with challenge to obtain money</v>
      </c>
    </row>
    <row r="369" spans="1:1" x14ac:dyDescent="0.3">
      <c r="A369" s="1" t="str">
        <f>HYPERLINK("#'Data'!A5837", "I_12 Households Reportedly Borrowing Money or Taking on Additional Debt to Cover Basic Needs Since the Escalation of the War by sex and age")</f>
        <v>I_12 Households Reportedly Borrowing Money or Taking on Additional Debt to Cover Basic Needs Since the Escalation of the War by sex and age</v>
      </c>
    </row>
    <row r="370" spans="1:1" x14ac:dyDescent="0.3">
      <c r="A370" s="1" t="str">
        <f>HYPERLINK("#'Data'!A5893", "I_12 Households Reportedly Borrowing Money or Taking on Additional Debt to Cover Basic Needs Since the Escalation of the War by Individuals with a disability")</f>
        <v>I_12 Households Reportedly Borrowing Money or Taking on Additional Debt to Cover Basic Needs Since the Escalation of the War by Individuals with a disability</v>
      </c>
    </row>
    <row r="371" spans="1:1" x14ac:dyDescent="0.3">
      <c r="A371" s="1" t="str">
        <f>HYPERLINK("#'Data'!A5913", "I_12 Households Reportedly Borrowing Money or Taking on Additional Debt to Cover Basic Needs Since the Escalation of the War by rural or urban")</f>
        <v>I_12 Households Reportedly Borrowing Money or Taking on Additional Debt to Cover Basic Needs Since the Escalation of the War by rural or urban</v>
      </c>
    </row>
    <row r="372" spans="1:1" x14ac:dyDescent="0.3">
      <c r="A372" s="1" t="str">
        <f>HYPERLINK("#'Data'!A5928", "I_12 Households Reportedly Borrowing Money or Taking on Additional Debt to Cover Basic Needs Since the Escalation of the War by HH with member employed")</f>
        <v>I_12 Households Reportedly Borrowing Money or Taking on Additional Debt to Cover Basic Needs Since the Escalation of the War by HH with member employed</v>
      </c>
    </row>
    <row r="373" spans="1:1" x14ac:dyDescent="0.3">
      <c r="A373" s="1" t="str">
        <f>HYPERLINK("#'Data'!A5949", "I_12 Households Reportedly Borrowing Money or Taking on Additional Debt to Cover Basic Needs Since the Escalation of the War by type of drinking water sources")</f>
        <v>I_12 Households Reportedly Borrowing Money or Taking on Additional Debt to Cover Basic Needs Since the Escalation of the War by type of drinking water sources</v>
      </c>
    </row>
    <row r="374" spans="1:1" x14ac:dyDescent="0.3">
      <c r="A374" s="1" t="str">
        <f>HYPERLINK("#'Data'!A5967", "J_1 Individuals Reporting a Medical Problem that made them Consider Seeking Healthcare Services in the Last 3 Months Prior to Data Collection by overall")</f>
        <v>J_1 Individuals Reporting a Medical Problem that made them Consider Seeking Healthcare Services in the Last 3 Months Prior to Data Collection by overall</v>
      </c>
    </row>
    <row r="375" spans="1:1" x14ac:dyDescent="0.3">
      <c r="A375" s="1" t="str">
        <f>HYPERLINK("#'Data'!A5976", "J_1 Individuals Reporting a Medical Problem that made them Consider Seeking Healthcare Services in the Last 3 Months Prior to Data Collection by sex and age")</f>
        <v>J_1 Individuals Reporting a Medical Problem that made them Consider Seeking Healthcare Services in the Last 3 Months Prior to Data Collection by sex and age</v>
      </c>
    </row>
    <row r="376" spans="1:1" x14ac:dyDescent="0.3">
      <c r="A376" s="1" t="str">
        <f>HYPERLINK("#'Data'!A6065", "J_1 Individuals Reporting a Medical Problem that made them Consider Seeking Healthcare Services in the Last 3 Months Prior to Data Collection by Individuals with a disability")</f>
        <v>J_1 Individuals Reporting a Medical Problem that made them Consider Seeking Healthcare Services in the Last 3 Months Prior to Data Collection by Individuals with a disability</v>
      </c>
    </row>
    <row r="377" spans="1:1" x14ac:dyDescent="0.3">
      <c r="A377" s="1" t="str">
        <f>HYPERLINK("#'Data'!A6086", "J_1 Individuals Reporting a Medical Problem that made them Consider Seeking Healthcare Services in the Last 3 Months Prior to Data Collection by rural or urban")</f>
        <v>J_1 Individuals Reporting a Medical Problem that made them Consider Seeking Healthcare Services in the Last 3 Months Prior to Data Collection by rural or urban</v>
      </c>
    </row>
    <row r="378" spans="1:1" x14ac:dyDescent="0.3">
      <c r="A378" s="1" t="str">
        <f>HYPERLINK("#'Data'!A6101", "J_1 Individuals Reporting a Medical Problem that made them Consider Seeking Healthcare Services in the Last 3 Months Prior to Data Collection by HH with member employed")</f>
        <v>J_1 Individuals Reporting a Medical Problem that made them Consider Seeking Healthcare Services in the Last 3 Months Prior to Data Collection by HH with member employed</v>
      </c>
    </row>
    <row r="379" spans="1:1" x14ac:dyDescent="0.3">
      <c r="A379" s="1" t="str">
        <f>HYPERLINK("#'Data'!A6122", "J_1 Individuals Reporting a Medical Problem that made them Consider Seeking Healthcare Services in the Last 3 Months Prior to Data Collection by type of drinking water sources")</f>
        <v>J_1 Individuals Reporting a Medical Problem that made them Consider Seeking Healthcare Services in the Last 3 Months Prior to Data Collection by type of drinking water sources</v>
      </c>
    </row>
    <row r="380" spans="1:1" x14ac:dyDescent="0.3">
      <c r="A380" s="1" t="str">
        <f>HYPERLINK("#'Data'!A6140", "J_1 Individuals Reporting a Medical Problem that made them Consider Seeking Healthcare Services in the Last 3 Months Prior to Data Collection by HHs with an elderly member")</f>
        <v>J_1 Individuals Reporting a Medical Problem that made them Consider Seeking Healthcare Services in the Last 3 Months Prior to Data Collection by HHs with an elderly member</v>
      </c>
    </row>
    <row r="381" spans="1:1" x14ac:dyDescent="0.3">
      <c r="A381" s="1" t="str">
        <f>HYPERLINK("#'Data'!A6157", "J_1 Individuals Reporting a Medical Problem that made them Consider Seeking Healthcare Services in the Last 3 Months Prior to Data Collection by HHs with a member with a disability")</f>
        <v>J_1 Individuals Reporting a Medical Problem that made them Consider Seeking Healthcare Services in the Last 3 Months Prior to Data Collection by HHs with a member with a disability</v>
      </c>
    </row>
    <row r="382" spans="1:1" x14ac:dyDescent="0.3">
      <c r="A382" s="1" t="str">
        <f>HYPERLINK("#'Data'!A6177", "J_1 Individuals Reporting a Medical Problem that made them Consider Seeking Healthcare Services in the Last 3 Months Prior to Data Collection by HH proximity to frontline or Russian border")</f>
        <v>J_1 Individuals Reporting a Medical Problem that made them Consider Seeking Healthcare Services in the Last 3 Months Prior to Data Collection by HH proximity to frontline or Russian border</v>
      </c>
    </row>
    <row r="383" spans="1:1" x14ac:dyDescent="0.3">
      <c r="A383" s="1" t="str">
        <f>HYPERLINK("#'Data'!A6190", "J_1 Individuals Reporting a Medical Problem that made them Consider Seeking Healthcare Services in the Last 3 Months Prior to Data Collection by HHs with challenge to obtain money")</f>
        <v>J_1 Individuals Reporting a Medical Problem that made them Consider Seeking Healthcare Services in the Last 3 Months Prior to Data Collection by HHs with challenge to obtain money</v>
      </c>
    </row>
    <row r="384" spans="1:1" x14ac:dyDescent="0.3">
      <c r="A384" s="1" t="str">
        <f>HYPERLINK("#'Data'!A6210", "J_2 Healthcare Services Desired by Individuals whom Reported Having a Medical Problem that made them Consider Seeking Healthcare Services in the Last 3 Months Prior to Data Collection by overall")</f>
        <v>J_2 Healthcare Services Desired by Individuals whom Reported Having a Medical Problem that made them Consider Seeking Healthcare Services in the Last 3 Months Prior to Data Collection by overall</v>
      </c>
    </row>
    <row r="385" spans="1:1" x14ac:dyDescent="0.3">
      <c r="A385" s="1" t="str">
        <f>HYPERLINK("#'Data'!A6219", "J_2 Healthcare Services Desired by Individuals whom Reported Having a Medical Problem that made them Consider Seeking Healthcare Services in the Last 3 Months Prior to Data Collection by sex and age")</f>
        <v>J_2 Healthcare Services Desired by Individuals whom Reported Having a Medical Problem that made them Consider Seeking Healthcare Services in the Last 3 Months Prior to Data Collection by sex and age</v>
      </c>
    </row>
    <row r="386" spans="1:1" x14ac:dyDescent="0.3">
      <c r="A386" s="1" t="str">
        <f>HYPERLINK("#'Data'!A6306", "J_2 Healthcare Services Desired by Individuals whom Reported Having a Medical Problem that made them Consider Seeking Healthcare Services in the Last 3 Months Prior to Data Collection by Individuals with a disability")</f>
        <v>J_2 Healthcare Services Desired by Individuals whom Reported Having a Medical Problem that made them Consider Seeking Healthcare Services in the Last 3 Months Prior to Data Collection by Individuals with a disability</v>
      </c>
    </row>
    <row r="387" spans="1:1" x14ac:dyDescent="0.3">
      <c r="A387" s="1" t="str">
        <f>HYPERLINK("#'Data'!A6327", "J_2 Healthcare Services Desired by Individuals whom Reported Having a Medical Problem that made them Consider Seeking Healthcare Services in the Last 3 Months Prior to Data Collection by rural or urban")</f>
        <v>J_2 Healthcare Services Desired by Individuals whom Reported Having a Medical Problem that made them Consider Seeking Healthcare Services in the Last 3 Months Prior to Data Collection by rural or urban</v>
      </c>
    </row>
    <row r="388" spans="1:1" x14ac:dyDescent="0.3">
      <c r="A388" s="1" t="str">
        <f>HYPERLINK("#'Data'!A6342", "J_2 Healthcare Services Desired by Individuals whom Reported Having a Medical Problem that made them Consider Seeking Healthcare Services in the Last 3 Months Prior to Data Collection by HH with member employed")</f>
        <v>J_2 Healthcare Services Desired by Individuals whom Reported Having a Medical Problem that made them Consider Seeking Healthcare Services in the Last 3 Months Prior to Data Collection by HH with member employed</v>
      </c>
    </row>
    <row r="389" spans="1:1" x14ac:dyDescent="0.3">
      <c r="A389" s="1" t="str">
        <f>HYPERLINK("#'Data'!A6363", "J_2 Healthcare Services Desired by Individuals whom Reported Having a Medical Problem that made them Consider Seeking Healthcare Services in the Last 3 Months Prior to Data Collection by type of drinking water sources")</f>
        <v>J_2 Healthcare Services Desired by Individuals whom Reported Having a Medical Problem that made them Consider Seeking Healthcare Services in the Last 3 Months Prior to Data Collection by type of drinking water sources</v>
      </c>
    </row>
    <row r="390" spans="1:1" x14ac:dyDescent="0.3">
      <c r="A390" s="1" t="str">
        <f>HYPERLINK("#'Data'!A6381", "J_2 Healthcare Services Desired by Individuals whom Reported Having a Medical Problem that made them Consider Seeking Healthcare Services in the Last 3 Months Prior to Data Collection by HHs with an elderly member")</f>
        <v>J_2 Healthcare Services Desired by Individuals whom Reported Having a Medical Problem that made them Consider Seeking Healthcare Services in the Last 3 Months Prior to Data Collection by HHs with an elderly member</v>
      </c>
    </row>
    <row r="391" spans="1:1" x14ac:dyDescent="0.3">
      <c r="A391" s="1" t="str">
        <f>HYPERLINK("#'Data'!A6398", "J_2 Healthcare Services Desired by Individuals whom Reported Having a Medical Problem that made them Consider Seeking Healthcare Services in the Last 3 Months Prior to Data Collection by HHs with a member with a disability")</f>
        <v>J_2 Healthcare Services Desired by Individuals whom Reported Having a Medical Problem that made them Consider Seeking Healthcare Services in the Last 3 Months Prior to Data Collection by HHs with a member with a disability</v>
      </c>
    </row>
    <row r="392" spans="1:1" x14ac:dyDescent="0.3">
      <c r="A392" s="1" t="str">
        <f>HYPERLINK("#'Data'!A6418", "J_2 Healthcare Services Desired by Individuals whom Reported Having a Medical Problem that made them Consider Seeking Healthcare Services in the Last 3 Months Prior to Data Collection by HH proximity to frontline or Russian border")</f>
        <v>J_2 Healthcare Services Desired by Individuals whom Reported Having a Medical Problem that made them Consider Seeking Healthcare Services in the Last 3 Months Prior to Data Collection by HH proximity to frontline or Russian border</v>
      </c>
    </row>
    <row r="393" spans="1:1" x14ac:dyDescent="0.3">
      <c r="A393" s="1" t="str">
        <f>HYPERLINK("#'Data'!A6431", "J_2 Healthcare Services Desired by Individuals whom Reported Having a Medical Problem that made them Consider Seeking Healthcare Services in the Last 3 Months Prior to Data Collection by HHs with challenge to obtain money")</f>
        <v>J_2 Healthcare Services Desired by Individuals whom Reported Having a Medical Problem that made them Consider Seeking Healthcare Services in the Last 3 Months Prior to Data Collection by HHs with challenge to obtain money</v>
      </c>
    </row>
    <row r="394" spans="1:1" x14ac:dyDescent="0.3">
      <c r="A394" s="1" t="str">
        <f>HYPERLINK("#'Data'!A6451", "J_3 Healthcare Services Sought by Individuals whom Reported Having a Medical Problem that made them Consider Seeking Healthcare Services in the Last 3 Months Prior to Data Collection by overall")</f>
        <v>J_3 Healthcare Services Sought by Individuals whom Reported Having a Medical Problem that made them Consider Seeking Healthcare Services in the Last 3 Months Prior to Data Collection by overall</v>
      </c>
    </row>
    <row r="395" spans="1:1" x14ac:dyDescent="0.3">
      <c r="A395" s="1" t="str">
        <f>HYPERLINK("#'Data'!A6460", "J_3 Healthcare Services Sought by Individuals whom Reported Having a Medical Problem that made them Consider Seeking Healthcare Services in the Last 3 Months Prior to Data Collection by sex and age")</f>
        <v>J_3 Healthcare Services Sought by Individuals whom Reported Having a Medical Problem that made them Consider Seeking Healthcare Services in the Last 3 Months Prior to Data Collection by sex and age</v>
      </c>
    </row>
    <row r="396" spans="1:1" x14ac:dyDescent="0.3">
      <c r="A396" s="1" t="str">
        <f>HYPERLINK("#'Data'!A6547", "J_3 Healthcare Services Sought by Individuals whom Reported Having a Medical Problem that made them Consider Seeking Healthcare Services in the Last 3 Months Prior to Data Collection by Individuals with a disability")</f>
        <v>J_3 Healthcare Services Sought by Individuals whom Reported Having a Medical Problem that made them Consider Seeking Healthcare Services in the Last 3 Months Prior to Data Collection by Individuals with a disability</v>
      </c>
    </row>
    <row r="397" spans="1:1" x14ac:dyDescent="0.3">
      <c r="A397" s="1" t="str">
        <f>HYPERLINK("#'Data'!A6568", "J_3 Healthcare Services Sought by Individuals whom Reported Having a Medical Problem that made them Consider Seeking Healthcare Services in the Last 3 Months Prior to Data Collection by rural or urban")</f>
        <v>J_3 Healthcare Services Sought by Individuals whom Reported Having a Medical Problem that made them Consider Seeking Healthcare Services in the Last 3 Months Prior to Data Collection by rural or urban</v>
      </c>
    </row>
    <row r="398" spans="1:1" x14ac:dyDescent="0.3">
      <c r="A398" s="1" t="str">
        <f>HYPERLINK("#'Data'!A6583", "J_3 Healthcare Services Sought by Individuals whom Reported Having a Medical Problem that made them Consider Seeking Healthcare Services in the Last 3 Months Prior to Data Collection by HH with member employed")</f>
        <v>J_3 Healthcare Services Sought by Individuals whom Reported Having a Medical Problem that made them Consider Seeking Healthcare Services in the Last 3 Months Prior to Data Collection by HH with member employed</v>
      </c>
    </row>
    <row r="399" spans="1:1" x14ac:dyDescent="0.3">
      <c r="A399" s="1" t="str">
        <f>HYPERLINK("#'Data'!A6604", "J_3 Healthcare Services Sought by Individuals whom Reported Having a Medical Problem that made them Consider Seeking Healthcare Services in the Last 3 Months Prior to Data Collection by HHs with an elderly member")</f>
        <v>J_3 Healthcare Services Sought by Individuals whom Reported Having a Medical Problem that made them Consider Seeking Healthcare Services in the Last 3 Months Prior to Data Collection by HHs with an elderly member</v>
      </c>
    </row>
    <row r="400" spans="1:1" x14ac:dyDescent="0.3">
      <c r="A400" s="1" t="str">
        <f>HYPERLINK("#'Data'!A6621", "J_3 Healthcare Services Sought by Individuals whom Reported Having a Medical Problem that made them Consider Seeking Healthcare Services in the Last 3 Months Prior to Data Collection by HHs with a member with a disability")</f>
        <v>J_3 Healthcare Services Sought by Individuals whom Reported Having a Medical Problem that made them Consider Seeking Healthcare Services in the Last 3 Months Prior to Data Collection by HHs with a member with a disability</v>
      </c>
    </row>
    <row r="401" spans="1:1" x14ac:dyDescent="0.3">
      <c r="A401" s="1" t="str">
        <f>HYPERLINK("#'Data'!A6641", "J_3 Healthcare Services Sought by Individuals whom Reported Having a Medical Problem that made them Consider Seeking Healthcare Services in the Last 3 Months Prior to Data Collection by HH proximity to frontline or Russian border")</f>
        <v>J_3 Healthcare Services Sought by Individuals whom Reported Having a Medical Problem that made them Consider Seeking Healthcare Services in the Last 3 Months Prior to Data Collection by HH proximity to frontline or Russian border</v>
      </c>
    </row>
    <row r="402" spans="1:1" x14ac:dyDescent="0.3">
      <c r="A402" s="1" t="str">
        <f>HYPERLINK("#'Data'!A6654", "J_3 Healthcare Services Sought by Individuals whom Reported Having a Medical Problem that made them Consider Seeking Healthcare Services in the Last 3 Months Prior to Data Collection by HHs with challenge to obtain money")</f>
        <v>J_3 Healthcare Services Sought by Individuals whom Reported Having a Medical Problem that made them Consider Seeking Healthcare Services in the Last 3 Months Prior to Data Collection by HHs with challenge to obtain money</v>
      </c>
    </row>
    <row r="403" spans="1:1" x14ac:dyDescent="0.3">
      <c r="A403" s="1" t="str">
        <f>HYPERLINK("#'Data'!A6674", "J_9 Access to Healthcare Services Desired by Individuals whom Reported Having Sought Healthcare Services in the Last 3 Months Prior to Data Collection by overall")</f>
        <v>J_9 Access to Healthcare Services Desired by Individuals whom Reported Having Sought Healthcare Services in the Last 3 Months Prior to Data Collection by overall</v>
      </c>
    </row>
    <row r="404" spans="1:1" x14ac:dyDescent="0.3">
      <c r="A404" s="1" t="str">
        <f>HYPERLINK("#'Data'!A6683", "J_9 Access to Healthcare Services Desired by Individuals whom Reported Having Sought Healthcare Services in the Last 3 Months Prior to Data Collection by sex and age")</f>
        <v>J_9 Access to Healthcare Services Desired by Individuals whom Reported Having Sought Healthcare Services in the Last 3 Months Prior to Data Collection by sex and age</v>
      </c>
    </row>
    <row r="405" spans="1:1" x14ac:dyDescent="0.3">
      <c r="A405" s="1" t="str">
        <f>HYPERLINK("#'Data'!A6770", "J_9 Access to Healthcare Services Desired by Individuals whom Reported Having Sought Healthcare Services in the Last 3 Months Prior to Data Collection by Individuals with a disability")</f>
        <v>J_9 Access to Healthcare Services Desired by Individuals whom Reported Having Sought Healthcare Services in the Last 3 Months Prior to Data Collection by Individuals with a disability</v>
      </c>
    </row>
    <row r="406" spans="1:1" x14ac:dyDescent="0.3">
      <c r="A406" s="1" t="str">
        <f>HYPERLINK("#'Data'!A6791", "J_9 Access to Healthcare Services Desired by Individuals whom Reported Having Sought Healthcare Services in the Last 3 Months Prior to Data Collection by rural or urban")</f>
        <v>J_9 Access to Healthcare Services Desired by Individuals whom Reported Having Sought Healthcare Services in the Last 3 Months Prior to Data Collection by rural or urban</v>
      </c>
    </row>
    <row r="407" spans="1:1" x14ac:dyDescent="0.3">
      <c r="A407" s="1" t="str">
        <f>HYPERLINK("#'Data'!A6806", "J_9 Access to Healthcare Services Desired by Individuals whom Reported Having Sought Healthcare Services in the Last 3 Months Prior to Data Collection by HH with member employed")</f>
        <v>J_9 Access to Healthcare Services Desired by Individuals whom Reported Having Sought Healthcare Services in the Last 3 Months Prior to Data Collection by HH with member employed</v>
      </c>
    </row>
    <row r="408" spans="1:1" x14ac:dyDescent="0.3">
      <c r="A408" s="1" t="str">
        <f>HYPERLINK("#'Data'!A6827", "J_9 Access to Healthcare Services Desired by Individuals whom Reported Having Sought Healthcare Services in the Last 3 Months Prior to Data Collection by HHs with an elderly member")</f>
        <v>J_9 Access to Healthcare Services Desired by Individuals whom Reported Having Sought Healthcare Services in the Last 3 Months Prior to Data Collection by HHs with an elderly member</v>
      </c>
    </row>
    <row r="409" spans="1:1" x14ac:dyDescent="0.3">
      <c r="A409" s="1" t="str">
        <f>HYPERLINK("#'Data'!A6844", "J_9 Access to Healthcare Services Desired by Individuals whom Reported Having Sought Healthcare Services in the Last 3 Months Prior to Data Collection by HHs with a member with a disability")</f>
        <v>J_9 Access to Healthcare Services Desired by Individuals whom Reported Having Sought Healthcare Services in the Last 3 Months Prior to Data Collection by HHs with a member with a disability</v>
      </c>
    </row>
    <row r="410" spans="1:1" x14ac:dyDescent="0.3">
      <c r="A410" s="1" t="str">
        <f>HYPERLINK("#'Data'!A6864", "J_9 Access to Healthcare Services Desired by Individuals whom Reported Having Sought Healthcare Services in the Last 3 Months Prior to Data Collection by HH proximity to frontline or Russian border")</f>
        <v>J_9 Access to Healthcare Services Desired by Individuals whom Reported Having Sought Healthcare Services in the Last 3 Months Prior to Data Collection by HH proximity to frontline or Russian border</v>
      </c>
    </row>
    <row r="411" spans="1:1" x14ac:dyDescent="0.3">
      <c r="A411" s="1" t="str">
        <f>HYPERLINK("#'Data'!A6877", "J_9 Access to Healthcare Services Desired by Individuals whom Reported Having Sought Healthcare Services in the Last 3 Months Prior to Data Collection by HHs with challenge to obtain money")</f>
        <v>J_9 Access to Healthcare Services Desired by Individuals whom Reported Having Sought Healthcare Services in the Last 3 Months Prior to Data Collection by HHs with challenge to obtain money</v>
      </c>
    </row>
    <row r="412" spans="1:1" x14ac:dyDescent="0.3">
      <c r="A412" s="1" t="str">
        <f>HYPERLINK("#'Data'!A6897", "J_10 Barriers Individuals Reportedly Experienced that Prevented Access to Healthcare Services Desired in the Last 3 Months Prior to Data Collection overall")</f>
        <v>J_10 Barriers Individuals Reportedly Experienced that Prevented Access to Healthcare Services Desired in the Last 3 Months Prior to Data Collection overall</v>
      </c>
    </row>
    <row r="413" spans="1:1" x14ac:dyDescent="0.3">
      <c r="A413" s="1" t="str">
        <f>HYPERLINK("#'Data'!A6906", "J_10 Barriers Individuals Reportedly Experienced that Prevented Access to Healthcare Services Desired in the Last 3 Months Prior to Data Collection by sex and age")</f>
        <v>J_10 Barriers Individuals Reportedly Experienced that Prevented Access to Healthcare Services Desired in the Last 3 Months Prior to Data Collection by sex and age</v>
      </c>
    </row>
    <row r="414" spans="1:1" x14ac:dyDescent="0.3">
      <c r="A414" s="1" t="str">
        <f>HYPERLINK("#'Data'!A6993", "J_10 Barriers Individuals Reportedly Experienced that Prevented Access to Healthcare Services Desired in the Last 3 Months Prior to Data Collection by Individuals with a disability")</f>
        <v>J_10 Barriers Individuals Reportedly Experienced that Prevented Access to Healthcare Services Desired in the Last 3 Months Prior to Data Collection by Individuals with a disability</v>
      </c>
    </row>
    <row r="415" spans="1:1" x14ac:dyDescent="0.3">
      <c r="A415" s="1" t="str">
        <f>HYPERLINK("#'Data'!A7014", "J_10 Barriers Individuals Reportedly Experienced that Prevented Access to Healthcare Services Desired in the Last 3 Months Prior to Data Collection by rural or urban")</f>
        <v>J_10 Barriers Individuals Reportedly Experienced that Prevented Access to Healthcare Services Desired in the Last 3 Months Prior to Data Collection by rural or urban</v>
      </c>
    </row>
    <row r="416" spans="1:1" x14ac:dyDescent="0.3">
      <c r="A416" s="1" t="str">
        <f>HYPERLINK("#'Data'!A7029", "J_10 Barriers Individuals Reportedly Experienced that Prevented Access to Healthcare Services Desired in the Last 3 Months Prior to Data Collection by HH with member employed")</f>
        <v>J_10 Barriers Individuals Reportedly Experienced that Prevented Access to Healthcare Services Desired in the Last 3 Months Prior to Data Collection by HH with member employed</v>
      </c>
    </row>
    <row r="417" spans="1:1" x14ac:dyDescent="0.3">
      <c r="A417" s="1" t="str">
        <f>HYPERLINK("#'Data'!A7050", "J_10 Barriers Individuals Reportedly Experienced that Prevented Access to Healthcare Services Desired in the Last 3 Months Prior to Data Collection by HHs with an elderly member")</f>
        <v>J_10 Barriers Individuals Reportedly Experienced that Prevented Access to Healthcare Services Desired in the Last 3 Months Prior to Data Collection by HHs with an elderly member</v>
      </c>
    </row>
    <row r="418" spans="1:1" x14ac:dyDescent="0.3">
      <c r="A418" s="1" t="str">
        <f>HYPERLINK("#'Data'!A7067", "J_10 Barriers Individuals Reportedly Experienced that Prevented Access to Healthcare Services Desired in the Last 3 Months Prior to Data Collection by HHs with a member with a disability")</f>
        <v>J_10 Barriers Individuals Reportedly Experienced that Prevented Access to Healthcare Services Desired in the Last 3 Months Prior to Data Collection by HHs with a member with a disability</v>
      </c>
    </row>
    <row r="419" spans="1:1" x14ac:dyDescent="0.3">
      <c r="A419" s="1" t="str">
        <f>HYPERLINK("#'Data'!A7087", "J_10 Barriers Individuals Reportedly Experienced that Prevented Access to Healthcare Services Desired in the Last 3 Months Prior to Data Collection by HH proximity to frontline or Russian border")</f>
        <v>J_10 Barriers Individuals Reportedly Experienced that Prevented Access to Healthcare Services Desired in the Last 3 Months Prior to Data Collection by HH proximity to frontline or Russian border</v>
      </c>
    </row>
    <row r="420" spans="1:1" x14ac:dyDescent="0.3">
      <c r="A420" s="1" t="str">
        <f>HYPERLINK("#'Data'!A7100", "J_10 Barriers Individuals Reportedly Experienced that Prevented Access to Healthcare Services Desired in the Last 3 Months Prior to Data Collection by HHs with challenge to obtain money")</f>
        <v>J_10 Barriers Individuals Reportedly Experienced that Prevented Access to Healthcare Services Desired in the Last 3 Months Prior to Data Collection by HHs with challenge to obtain money</v>
      </c>
    </row>
    <row r="421" spans="1:1" x14ac:dyDescent="0.3">
      <c r="A421" s="1" t="str">
        <f>HYPERLINK("#'Data'!A7120", "J_13 Individuals who Reportedly Sought Medicine in the Last 3 Months Prior to Data Collection overall")</f>
        <v>J_13 Individuals who Reportedly Sought Medicine in the Last 3 Months Prior to Data Collection overall</v>
      </c>
    </row>
    <row r="422" spans="1:1" x14ac:dyDescent="0.3">
      <c r="A422" s="1" t="str">
        <f>HYPERLINK("#'Data'!A7129", "J_13 Individuals who Reportedly Sought Medicine in the Last 3 Months Prior to Data Collection by sex and age")</f>
        <v>J_13 Individuals who Reportedly Sought Medicine in the Last 3 Months Prior to Data Collection by sex and age</v>
      </c>
    </row>
    <row r="423" spans="1:1" x14ac:dyDescent="0.3">
      <c r="A423" s="1" t="str">
        <f>HYPERLINK("#'Data'!A7218", "J_13 Individuals who Reportedly Sought Medicine in the Last 3 Months Prior to Data Collection by Individuals with a disability")</f>
        <v>J_13 Individuals who Reportedly Sought Medicine in the Last 3 Months Prior to Data Collection by Individuals with a disability</v>
      </c>
    </row>
    <row r="424" spans="1:1" x14ac:dyDescent="0.3">
      <c r="A424" s="1" t="str">
        <f>HYPERLINK("#'Data'!A7239", "J_13 Individuals who Reportedly Sought Medicine in the Last 3 Months Prior to Data Collection by rural or urban")</f>
        <v>J_13 Individuals who Reportedly Sought Medicine in the Last 3 Months Prior to Data Collection by rural or urban</v>
      </c>
    </row>
    <row r="425" spans="1:1" x14ac:dyDescent="0.3">
      <c r="A425" s="1" t="str">
        <f>HYPERLINK("#'Data'!A7254", "J_13 Individuals who Reportedly Sought Medicine in the Last 3 Months Prior to Data Collection by HH with member employed")</f>
        <v>J_13 Individuals who Reportedly Sought Medicine in the Last 3 Months Prior to Data Collection by HH with member employed</v>
      </c>
    </row>
    <row r="426" spans="1:1" x14ac:dyDescent="0.3">
      <c r="A426" s="1" t="str">
        <f>HYPERLINK("#'Data'!A7275", "J_13 Households who Reportedly Sought Medicine in the Last 3 Months Prior to Data Collection by HHs with an elderly member")</f>
        <v>J_13 Households who Reportedly Sought Medicine in the Last 3 Months Prior to Data Collection by HHs with an elderly member</v>
      </c>
    </row>
    <row r="427" spans="1:1" x14ac:dyDescent="0.3">
      <c r="A427" s="1" t="str">
        <f>HYPERLINK("#'Data'!A7292", "J_13 Households who Reportedly Sought Medicine in the Last 3 Months Prior to Data Collection by HHs with a member with a disability")</f>
        <v>J_13 Households who Reportedly Sought Medicine in the Last 3 Months Prior to Data Collection by HHs with a member with a disability</v>
      </c>
    </row>
    <row r="428" spans="1:1" x14ac:dyDescent="0.3">
      <c r="A428" s="1" t="str">
        <f>HYPERLINK("#'Data'!A7312", "J_13 Households who Reportedly Sought Medicine in the Last 3 Months Prior to Data Collection by HH proximity to frontline or Russian border")</f>
        <v>J_13 Households who Reportedly Sought Medicine in the Last 3 Months Prior to Data Collection by HH proximity to frontline or Russian border</v>
      </c>
    </row>
    <row r="429" spans="1:1" x14ac:dyDescent="0.3">
      <c r="A429" s="1" t="str">
        <f>HYPERLINK("#'Data'!A7325", "J_13 Households who Reportedly Sought Medicine in the Last 3 Months Prior to Data Collection by HHs with challenge to obtain money")</f>
        <v>J_13 Households who Reportedly Sought Medicine in the Last 3 Months Prior to Data Collection by HHs with challenge to obtain money</v>
      </c>
    </row>
    <row r="430" spans="1:1" x14ac:dyDescent="0.3">
      <c r="A430" s="1" t="str">
        <f>HYPERLINK("#'Data'!A7345", "J_15 Medicines Reportedly Sought by Individuals in the Last 3 Months Prior to Data Collection overall")</f>
        <v>J_15 Medicines Reportedly Sought by Individuals in the Last 3 Months Prior to Data Collection overall</v>
      </c>
    </row>
    <row r="431" spans="1:1" x14ac:dyDescent="0.3">
      <c r="A431" s="1" t="str">
        <f>HYPERLINK("#'Data'!A7354", "J_15 Medicines Reportedly Sought by Individuals in the Last 3 Months Prior to Data Collection by sex and age")</f>
        <v>J_15 Medicines Reportedly Sought by Individuals in the Last 3 Months Prior to Data Collection by sex and age</v>
      </c>
    </row>
    <row r="432" spans="1:1" x14ac:dyDescent="0.3">
      <c r="A432" s="1" t="str">
        <f>HYPERLINK("#'Data'!A7441", "J_15 Medicines Reportedly Sought by Individuals in the Last 3 Months Prior to Data Collection by Individuals with a disability")</f>
        <v>J_15 Medicines Reportedly Sought by Individuals in the Last 3 Months Prior to Data Collection by Individuals with a disability</v>
      </c>
    </row>
    <row r="433" spans="1:1" x14ac:dyDescent="0.3">
      <c r="A433" s="1" t="str">
        <f>HYPERLINK("#'Data'!A7462", "J_15 Medicines Reportedly Sought by Individuals in the Last 3 Months Prior to Data Collection by rural or urban")</f>
        <v>J_15 Medicines Reportedly Sought by Individuals in the Last 3 Months Prior to Data Collection by rural or urban</v>
      </c>
    </row>
    <row r="434" spans="1:1" x14ac:dyDescent="0.3">
      <c r="A434" s="1" t="str">
        <f>HYPERLINK("#'Data'!A7477", "J_15 Medicines Reportedly Sought by Individuals in the Last 3 Months Prior to Data Collection by HH with member employed")</f>
        <v>J_15 Medicines Reportedly Sought by Individuals in the Last 3 Months Prior to Data Collection by HH with member employed</v>
      </c>
    </row>
    <row r="435" spans="1:1" x14ac:dyDescent="0.3">
      <c r="A435" s="1" t="str">
        <f>HYPERLINK("#'Data'!A7498", "J_15 Medicines Reportedly Sought by Individuals in the Last 3 Months Prior to Data Collection by type of drinking water sources")</f>
        <v>J_15 Medicines Reportedly Sought by Individuals in the Last 3 Months Prior to Data Collection by type of drinking water sources</v>
      </c>
    </row>
    <row r="436" spans="1:1" x14ac:dyDescent="0.3">
      <c r="A436" s="1" t="str">
        <f>HYPERLINK("#'Data'!A7516", "J_15 Medicines Reportedly Sought by Individuals in the Last 3 Months Prior to Data Collection by HHs with an elderly member")</f>
        <v>J_15 Medicines Reportedly Sought by Individuals in the Last 3 Months Prior to Data Collection by HHs with an elderly member</v>
      </c>
    </row>
    <row r="437" spans="1:1" x14ac:dyDescent="0.3">
      <c r="A437" s="1" t="str">
        <f>HYPERLINK("#'Data'!A7533", "J_15 Medicines Reportedly Sought by Individuals in the Last 3 Months Prior to Data Collection by HHs with a member with a disability")</f>
        <v>J_15 Medicines Reportedly Sought by Individuals in the Last 3 Months Prior to Data Collection by HHs with a member with a disability</v>
      </c>
    </row>
    <row r="438" spans="1:1" x14ac:dyDescent="0.3">
      <c r="A438" s="1" t="str">
        <f>HYPERLINK("#'Data'!A7553", "J_15 Medicines Reportedly Sought by Individuals in the Last 3 Months Prior to Data Collection by HH proximity to frontline or Russian border")</f>
        <v>J_15 Medicines Reportedly Sought by Individuals in the Last 3 Months Prior to Data Collection by HH proximity to frontline or Russian border</v>
      </c>
    </row>
    <row r="439" spans="1:1" x14ac:dyDescent="0.3">
      <c r="A439" s="1" t="str">
        <f>HYPERLINK("#'Data'!A7566", "J_15 Medicines Reportedly Sought by Individuals in the Last 3 Months Prior to Data Collection by HHs with challenge to obtain money")</f>
        <v>J_15 Medicines Reportedly Sought by Individuals in the Last 3 Months Prior to Data Collection by HHs with challenge to obtain money</v>
      </c>
    </row>
    <row r="440" spans="1:1" x14ac:dyDescent="0.3">
      <c r="A440" s="1" t="str">
        <f>HYPERLINK("#'Data'!A7586", "J_14 Barriers Individuals Reportedly Experienced when Seeking Medicines in the Last 3 Months Prior to Data Collection overall")</f>
        <v>J_14 Barriers Individuals Reportedly Experienced when Seeking Medicines in the Last 3 Months Prior to Data Collection overall</v>
      </c>
    </row>
    <row r="441" spans="1:1" x14ac:dyDescent="0.3">
      <c r="A441" s="1" t="str">
        <f>HYPERLINK("#'Data'!A7595", "J_14 Barriers Individuals Reportedly Experienced when Seeking Medicines in the Last 3 Months Prior to Data Collection by sex and age")</f>
        <v>J_14 Barriers Individuals Reportedly Experienced when Seeking Medicines in the Last 3 Months Prior to Data Collection by sex and age</v>
      </c>
    </row>
    <row r="442" spans="1:1" x14ac:dyDescent="0.3">
      <c r="A442" s="1" t="str">
        <f>HYPERLINK("#'Data'!A7682", "J_14 Barriers Individuals Reportedly Experienced when Seeking Medicines in the Last 3 Months Prior to Data Collection by HHs with a member with a disability")</f>
        <v>J_14 Barriers Individuals Reportedly Experienced when Seeking Medicines in the Last 3 Months Prior to Data Collection by HHs with a member with a disability</v>
      </c>
    </row>
    <row r="443" spans="1:1" x14ac:dyDescent="0.3">
      <c r="A443" s="1" t="str">
        <f>HYPERLINK("#'Data'!A7702", "J_14 Barriers Individuals Reportedly Experienced when Seeking Medicines in the Last 3 Months Prior to Data Collection by rural or urban")</f>
        <v>J_14 Barriers Individuals Reportedly Experienced when Seeking Medicines in the Last 3 Months Prior to Data Collection by rural or urban</v>
      </c>
    </row>
    <row r="444" spans="1:1" x14ac:dyDescent="0.3">
      <c r="A444" s="1" t="str">
        <f>HYPERLINK("#'Data'!A7717", "J_14 Barriers Individuals Reportedly Experienced when Seeking Medicines in the Last 3 Months Prior to Data Collection by HH with member employed")</f>
        <v>J_14 Barriers Individuals Reportedly Experienced when Seeking Medicines in the Last 3 Months Prior to Data Collection by HH with member employed</v>
      </c>
    </row>
    <row r="445" spans="1:1" x14ac:dyDescent="0.3">
      <c r="A445" s="1" t="str">
        <f>HYPERLINK("#'Data'!A7738", "J_14 Barriers Individuals Reportedly Experienced when Seeking Medicines in the Last 3 Months Prior to Data Collection by HHs with an elderly member")</f>
        <v>J_14 Barriers Individuals Reportedly Experienced when Seeking Medicines in the Last 3 Months Prior to Data Collection by HHs with an elderly member</v>
      </c>
    </row>
    <row r="446" spans="1:1" x14ac:dyDescent="0.3">
      <c r="A446" s="1" t="str">
        <f>HYPERLINK("#'Data'!A7755", "J_14 Barriers Individuals Reportedly Experienced when Seeking Medicines in the Last 3 Months Prior to Data Collection by HH proximity to frontline or Russian border")</f>
        <v>J_14 Barriers Individuals Reportedly Experienced when Seeking Medicines in the Last 3 Months Prior to Data Collection by HH proximity to frontline or Russian border</v>
      </c>
    </row>
    <row r="447" spans="1:1" x14ac:dyDescent="0.3">
      <c r="A447" s="1" t="str">
        <f>HYPERLINK("#'Data'!A7768", "J_14 Barriers Individuals Reportedly Experienced when Seeking Medicines in the Last 3 Months Prior to Data Collection by HHs with challenge to obtain money")</f>
        <v>J_14 Barriers Individuals Reportedly Experienced when Seeking Medicines in the Last 3 Months Prior to Data Collection by HHs with challenge to obtain money</v>
      </c>
    </row>
    <row r="448" spans="1:1" x14ac:dyDescent="0.3">
      <c r="A448" s="1" t="str">
        <f>HYPERLINK("#'Data'!A7788", "K_1 Households Reporting a Child Living Outside of their Home overall")</f>
        <v>K_1 Households Reporting a Child Living Outside of their Home overall</v>
      </c>
    </row>
    <row r="449" spans="1:1" x14ac:dyDescent="0.3">
      <c r="A449" s="1" t="str">
        <f>HYPERLINK("#'Data'!A7797", "K_1 Households Reporting a Child Living Outside of their Home by HHs with a member with a disability")</f>
        <v>K_1 Households Reporting a Child Living Outside of their Home by HHs with a member with a disability</v>
      </c>
    </row>
    <row r="450" spans="1:1" x14ac:dyDescent="0.3">
      <c r="A450" s="1" t="str">
        <f>HYPERLINK("#'Data'!A7817", "K_1 Households Reporting a Child Living Outside of their Home by HoHH sex")</f>
        <v>K_1 Households Reporting a Child Living Outside of their Home by HoHH sex</v>
      </c>
    </row>
    <row r="451" spans="1:1" x14ac:dyDescent="0.3">
      <c r="A451" s="1" t="str">
        <f>HYPERLINK("#'Data'!A7838", "K_1 Households Reporting a Child Living Outside of their Home by rural or urban")</f>
        <v>K_1 Households Reporting a Child Living Outside of their Home by rural or urban</v>
      </c>
    </row>
    <row r="452" spans="1:1" x14ac:dyDescent="0.3">
      <c r="A452" s="1" t="str">
        <f>HYPERLINK("#'Data'!A7853", "K_1 Households Reporting a Child Living Outside of their Home by HHs with children")</f>
        <v>K_1 Households Reporting a Child Living Outside of their Home by HHs with children</v>
      </c>
    </row>
    <row r="453" spans="1:1" x14ac:dyDescent="0.3">
      <c r="A453" s="1" t="str">
        <f>HYPERLINK("#'Data'!A7868", "K_1 Households Reporting a Child Living Outside of their Home by HHs that received assistance (Protection)")</f>
        <v>K_1 Households Reporting a Child Living Outside of their Home by HHs that received assistance (Protection)</v>
      </c>
    </row>
    <row r="454" spans="1:1" x14ac:dyDescent="0.3">
      <c r="A454" s="1" t="str">
        <f>HYPERLINK("#'Data'!A7893", "K_2 Number of Children Households Reported as Living Outside of their Home overall")</f>
        <v>K_2 Number of Children Households Reported as Living Outside of their Home overall</v>
      </c>
    </row>
    <row r="455" spans="1:1" x14ac:dyDescent="0.3">
      <c r="A455" s="1" t="str">
        <f>HYPERLINK("#'Data'!A7902", "K_2 Number of Children Households Reported as Living Outside of their Home by HHs with a member with a disability")</f>
        <v>K_2 Number of Children Households Reported as Living Outside of their Home by HHs with a member with a disability</v>
      </c>
    </row>
    <row r="456" spans="1:1" x14ac:dyDescent="0.3">
      <c r="A456" s="1" t="str">
        <f>HYPERLINK("#'Data'!A7917", "K_2 Number of Children Households Reported as Living Outside of their Home by HoHH sex")</f>
        <v>K_2 Number of Children Households Reported as Living Outside of their Home by HoHH sex</v>
      </c>
    </row>
    <row r="457" spans="1:1" x14ac:dyDescent="0.3">
      <c r="A457" s="1" t="str">
        <f>HYPERLINK("#'Data'!A7933", "K_2 Number of Children Households Reported as Living Outside of their Home by rural or urban")</f>
        <v>K_2 Number of Children Households Reported as Living Outside of their Home by rural or urban</v>
      </c>
    </row>
    <row r="458" spans="1:1" x14ac:dyDescent="0.3">
      <c r="A458" s="1" t="str">
        <f>HYPERLINK("#'Data'!A7947", "K_2 Number of Children Households Reported as Living Outside of their Home by HHs with children")</f>
        <v>K_2 Number of Children Households Reported as Living Outside of their Home by HHs with children</v>
      </c>
    </row>
    <row r="459" spans="1:1" x14ac:dyDescent="0.3">
      <c r="A459" s="1" t="str">
        <f>HYPERLINK("#'Data'!A7961", "K_3 Reasons Households Reported for Children Living Outside of their Home overall")</f>
        <v>K_3 Reasons Households Reported for Children Living Outside of their Home overall</v>
      </c>
    </row>
    <row r="460" spans="1:1" x14ac:dyDescent="0.3">
      <c r="A460" s="1" t="str">
        <f>HYPERLINK("#'Data'!A7970", "K_3 Reasons Households Reported for Children Living Outside of their Home by HHs with a member with a disability")</f>
        <v>K_3 Reasons Households Reported for Children Living Outside of their Home by HHs with a member with a disability</v>
      </c>
    </row>
    <row r="461" spans="1:1" x14ac:dyDescent="0.3">
      <c r="A461" s="1" t="str">
        <f>HYPERLINK("#'Data'!A7985", "K_3 Reasons Households Reported for Children Living Outside of their Home by HoHH sex")</f>
        <v>K_3 Reasons Households Reported for Children Living Outside of their Home by HoHH sex</v>
      </c>
    </row>
    <row r="462" spans="1:1" x14ac:dyDescent="0.3">
      <c r="A462" s="1" t="str">
        <f>HYPERLINK("#'Data'!A8001", "K_3 Reasons Households Reported for Children Living Outside of their Home by rural or urban")</f>
        <v>K_3 Reasons Households Reported for Children Living Outside of their Home by rural or urban</v>
      </c>
    </row>
    <row r="463" spans="1:1" x14ac:dyDescent="0.3">
      <c r="A463" s="1" t="str">
        <f>HYPERLINK("#'Data'!A8015", "K_3 Reasons Households Reported for Children Living Outside of their Home by HHs with children")</f>
        <v>K_3 Reasons Households Reported for Children Living Outside of their Home by HHs with children</v>
      </c>
    </row>
    <row r="464" spans="1:1" x14ac:dyDescent="0.3">
      <c r="A464" s="1" t="str">
        <f>HYPERLINK("#'Data'!A8029", "K_4 Concerns in the Last 3 Months Prior to Data Collection that remain actual as of today that Households Reported in Relation to Property or Land overall")</f>
        <v>K_4 Concerns in the Last 3 Months Prior to Data Collection that remain actual as of today that Households Reported in Relation to Property or Land overall</v>
      </c>
    </row>
    <row r="465" spans="1:1" x14ac:dyDescent="0.3">
      <c r="A465" s="1" t="str">
        <f>HYPERLINK("#'Data'!A8038", "K_4 Concerns in the Last 3 Months Prior to Data Collection that remain actual as of today that Households Reported in Relation to Property or Land by HHs with a member with a disability")</f>
        <v>K_4 Concerns in the Last 3 Months Prior to Data Collection that remain actual as of today that Households Reported in Relation to Property or Land by HHs with a member with a disability</v>
      </c>
    </row>
    <row r="466" spans="1:1" x14ac:dyDescent="0.3">
      <c r="A466" s="1" t="str">
        <f>HYPERLINK("#'Data'!A8058", "K_4 Concerns in the Last 3 Months Prior to Data Collection that remain actual as of today that Households Reported in Relation to Property or Land by HoHH sex")</f>
        <v>K_4 Concerns in the Last 3 Months Prior to Data Collection that remain actual as of today that Households Reported in Relation to Property or Land by HoHH sex</v>
      </c>
    </row>
    <row r="467" spans="1:1" x14ac:dyDescent="0.3">
      <c r="A467" s="1" t="str">
        <f>HYPERLINK("#'Data'!A8079", "K_4 Concerns in the Last 3 Months Prior to Data Collection that remain actual as of today that Households Reported in Relation to Property or Land by rural or urban")</f>
        <v>K_4 Concerns in the Last 3 Months Prior to Data Collection that remain actual as of today that Households Reported in Relation to Property or Land by rural or urban</v>
      </c>
    </row>
    <row r="468" spans="1:1" x14ac:dyDescent="0.3">
      <c r="A468" s="1" t="str">
        <f>HYPERLINK("#'Data'!A8094", "K_4 Concerns in the Last 3 Months Prior to Data Collection that remain actual as of today that Households Reported in Relation to Property or Land by HHs with children")</f>
        <v>K_4 Concerns in the Last 3 Months Prior to Data Collection that remain actual as of today that Households Reported in Relation to Property or Land by HHs with children</v>
      </c>
    </row>
    <row r="469" spans="1:1" x14ac:dyDescent="0.3">
      <c r="A469" s="1" t="str">
        <f>HYPERLINK("#'Data'!A8109", "K_4 Concerns in the Last 3 Months Prior to Data Collection that remain actual as of today that Households Reported in Relation to Property or Land by HH proximity to frontline or Russian border")</f>
        <v>K_4 Concerns in the Last 3 Months Prior to Data Collection that remain actual as of today that Households Reported in Relation to Property or Land by HH proximity to frontline or Russian border</v>
      </c>
    </row>
    <row r="470" spans="1:1" x14ac:dyDescent="0.3">
      <c r="A470" s="1" t="str">
        <f>HYPERLINK("#'Data'!A8122", "K_6 Safety and Security Incidents Households Reported as Experienced in the Last 3 Months Prior to Data Collection overall")</f>
        <v>K_6 Safety and Security Incidents Households Reported as Experienced in the Last 3 Months Prior to Data Collection overall</v>
      </c>
    </row>
    <row r="471" spans="1:1" x14ac:dyDescent="0.3">
      <c r="A471" s="1" t="str">
        <f>HYPERLINK("#'Data'!A8131", "K_6 Safety and Security Incidents Households Reported as Experienced in the Last 3 Months Prior to Data Collection by HHs with a member with a disability")</f>
        <v>K_6 Safety and Security Incidents Households Reported as Experienced in the Last 3 Months Prior to Data Collection by HHs with a member with a disability</v>
      </c>
    </row>
    <row r="472" spans="1:1" x14ac:dyDescent="0.3">
      <c r="A472" s="1" t="str">
        <f>HYPERLINK("#'Data'!A8151", "K_6 Safety and Security Incidents Households Reported as Experienced in the Last 3 Months Prior to Data Collection by HoHH sex")</f>
        <v>K_6 Safety and Security Incidents Households Reported as Experienced in the Last 3 Months Prior to Data Collection by HoHH sex</v>
      </c>
    </row>
    <row r="473" spans="1:1" x14ac:dyDescent="0.3">
      <c r="A473" s="1" t="str">
        <f>HYPERLINK("#'Data'!A8172", "K_6 Safety and Security Incidents Households Reported as Experienced in the Last 3 Months Prior to Data Collection by rural or urban")</f>
        <v>K_6 Safety and Security Incidents Households Reported as Experienced in the Last 3 Months Prior to Data Collection by rural or urban</v>
      </c>
    </row>
    <row r="474" spans="1:1" x14ac:dyDescent="0.3">
      <c r="A474" s="1" t="str">
        <f>HYPERLINK("#'Data'!A8187", "K_6 Safety and Security Incidents Households Reported as Experienced in the Last 3 Months Prior to Data Collection by HHs with children")</f>
        <v>K_6 Safety and Security Incidents Households Reported as Experienced in the Last 3 Months Prior to Data Collection by HHs with children</v>
      </c>
    </row>
    <row r="475" spans="1:1" x14ac:dyDescent="0.3">
      <c r="A475" s="1" t="str">
        <f>HYPERLINK("#'Data'!A8202", "K_6 Safety and Security Incidents Households Reported as Experienced in the Last 3 Months Prior to Data Collection by HH proximity to frontline or Russian border")</f>
        <v>K_6 Safety and Security Incidents Households Reported as Experienced in the Last 3 Months Prior to Data Collection by HH proximity to frontline or Russian border</v>
      </c>
    </row>
    <row r="476" spans="1:1" x14ac:dyDescent="0.3">
      <c r="A476" s="1" t="str">
        <f>HYPERLINK("#'Data'!A8215", "K_7 Households Reportedly Trained or Briefed on Risks and Safe Behaviours towards Explosive Ordnance overall")</f>
        <v>K_7 Households Reportedly Trained or Briefed on Risks and Safe Behaviours towards Explosive Ordnance overall</v>
      </c>
    </row>
    <row r="477" spans="1:1" x14ac:dyDescent="0.3">
      <c r="A477" s="1" t="str">
        <f>HYPERLINK("#'Data'!A8224", "K_7 Households Reportedly Trained or Briefed on Risks and Safe Behaviours towards Explosive Ordnance by HHs with a member with a disability")</f>
        <v>K_7 Households Reportedly Trained or Briefed on Risks and Safe Behaviours towards Explosive Ordnance by HHs with a member with a disability</v>
      </c>
    </row>
    <row r="478" spans="1:1" x14ac:dyDescent="0.3">
      <c r="A478" s="1" t="str">
        <f>HYPERLINK("#'Data'!A8244", "K_7 Households Reportedly Trained or Briefed on Risks and Safe Behaviours towards Explosive Ordnance by HoHH sex")</f>
        <v>K_7 Households Reportedly Trained or Briefed on Risks and Safe Behaviours towards Explosive Ordnance by HoHH sex</v>
      </c>
    </row>
    <row r="479" spans="1:1" x14ac:dyDescent="0.3">
      <c r="A479" s="1" t="str">
        <f>HYPERLINK("#'Data'!A8265", "K_7 Households Reportedly Trained or Briefed on Risks and Safe Behaviours towards Explosive Ordnance by rural or urban")</f>
        <v>K_7 Households Reportedly Trained or Briefed on Risks and Safe Behaviours towards Explosive Ordnance by rural or urban</v>
      </c>
    </row>
    <row r="480" spans="1:1" x14ac:dyDescent="0.3">
      <c r="A480" s="1" t="str">
        <f>HYPERLINK("#'Data'!A8280", "K_7 Households Reportedly Trained or Briefed on Risks and Safe Behaviours towards Explosive Ordnance by HHs with children")</f>
        <v>K_7 Households Reportedly Trained or Briefed on Risks and Safe Behaviours towards Explosive Ordnance by HHs with children</v>
      </c>
    </row>
    <row r="481" spans="1:1" x14ac:dyDescent="0.3">
      <c r="A481" s="1" t="str">
        <f>HYPERLINK("#'Data'!A8295", "K_7 Households Reportedly Trained or Briefed on Risks and Safe Behaviours towards Explosive Ordnance by HH proximity to frontline or Russian border")</f>
        <v>K_7 Households Reportedly Trained or Briefed on Risks and Safe Behaviours towards Explosive Ordnance by HH proximity to frontline or Russian border</v>
      </c>
    </row>
    <row r="482" spans="1:1" x14ac:dyDescent="0.3">
      <c r="A482" s="1" t="str">
        <f>HYPERLINK("#'Data'!A8308", "K_8 Households Reporting Explosive Ordnance Currently Present in their Community overall")</f>
        <v>K_8 Households Reporting Explosive Ordnance Currently Present in their Community overall</v>
      </c>
    </row>
    <row r="483" spans="1:1" x14ac:dyDescent="0.3">
      <c r="A483" s="1" t="str">
        <f>HYPERLINK("#'Data'!A8317", "K_8 Households Reporting Explosive Ordnance Currently Present in their Community by HHs with a member with a disability")</f>
        <v>K_8 Households Reporting Explosive Ordnance Currently Present in their Community by HHs with a member with a disability</v>
      </c>
    </row>
    <row r="484" spans="1:1" x14ac:dyDescent="0.3">
      <c r="A484" s="1" t="str">
        <f>HYPERLINK("#'Data'!A8337", "K_8 Households Reporting Explosive Ordnance Currently Present in their Community by HoHH sex")</f>
        <v>K_8 Households Reporting Explosive Ordnance Currently Present in their Community by HoHH sex</v>
      </c>
    </row>
    <row r="485" spans="1:1" x14ac:dyDescent="0.3">
      <c r="A485" s="1" t="str">
        <f>HYPERLINK("#'Data'!A8358", "K_8 Households Reporting Explosive Ordnance Currently Present in their Community by rural or urban")</f>
        <v>K_8 Households Reporting Explosive Ordnance Currently Present in their Community by rural or urban</v>
      </c>
    </row>
    <row r="486" spans="1:1" x14ac:dyDescent="0.3">
      <c r="A486" s="1" t="str">
        <f>HYPERLINK("#'Data'!A8373", "K_8 Households Reporting Explosive Ordnance Currently Present in their Community by HHs with children")</f>
        <v>K_8 Households Reporting Explosive Ordnance Currently Present in their Community by HHs with children</v>
      </c>
    </row>
    <row r="487" spans="1:1" x14ac:dyDescent="0.3">
      <c r="A487" s="1" t="str">
        <f>HYPERLINK("#'Data'!A8388", "K_8 Households Reporting Explosive Ordnance Currently Present in their Community by HH proximity to frontline or Russian border")</f>
        <v>K_8 Households Reporting Explosive Ordnance Currently Present in their Community by HH proximity to frontline or Russian border</v>
      </c>
    </row>
    <row r="488" spans="1:1" x14ac:dyDescent="0.3">
      <c r="A488" s="1" t="str">
        <f>HYPERLINK("#'Data'!A8401", "K_9 Households Reporting that Explosive Ordnance Affect the Livelihoods of People within their Community overall")</f>
        <v>K_9 Households Reporting that Explosive Ordnance Affect the Livelihoods of People within their Community overall</v>
      </c>
    </row>
    <row r="489" spans="1:1" x14ac:dyDescent="0.3">
      <c r="A489" s="1" t="str">
        <f>HYPERLINK("#'Data'!A8410", "K_9 Households Reporting that Explosive Ordnance Affect the Livelihoods of People within their Community by HHs with a member with a disability")</f>
        <v>K_9 Households Reporting that Explosive Ordnance Affect the Livelihoods of People within their Community by HHs with a member with a disability</v>
      </c>
    </row>
    <row r="490" spans="1:1" x14ac:dyDescent="0.3">
      <c r="A490" s="1" t="str">
        <f>HYPERLINK("#'Data'!A8427", "K_9 Households Reporting that Explosive Ordnance Affect the Livelihoods of People within their Community by HoHH sex")</f>
        <v>K_9 Households Reporting that Explosive Ordnance Affect the Livelihoods of People within their Community by HoHH sex</v>
      </c>
    </row>
    <row r="491" spans="1:1" x14ac:dyDescent="0.3">
      <c r="A491" s="1" t="str">
        <f>HYPERLINK("#'Data'!A8441", "K_9 Households Reporting that Explosive Ordnance Affect the Livelihoods of People within their Community by rural or urban")</f>
        <v>K_9 Households Reporting that Explosive Ordnance Affect the Livelihoods of People within their Community by rural or urban</v>
      </c>
    </row>
    <row r="492" spans="1:1" x14ac:dyDescent="0.3">
      <c r="A492" s="1" t="str">
        <f>HYPERLINK("#'Data'!A8453", "K_9 Households Reporting that Explosive Ordnance Affect the Livelihoods of People within their Community by HH proximity to frontline or Russian border")</f>
        <v>K_9 Households Reporting that Explosive Ordnance Affect the Livelihoods of People within their Community by HH proximity to frontline or Russian border</v>
      </c>
    </row>
    <row r="493" spans="1:1" x14ac:dyDescent="0.3">
      <c r="A493" s="1" t="str">
        <f>HYPERLINK("#'Data'!A8465", "K_9 Households Reporting that Explosive Ordnance Affect the Livelihoods of People within their Community by HHs with children")</f>
        <v>K_9 Households Reporting that Explosive Ordnance Affect the Livelihoods of People within their Community by HHs with children</v>
      </c>
    </row>
    <row r="494" spans="1:1" x14ac:dyDescent="0.3">
      <c r="A494" s="1" t="str">
        <f>HYPERLINK("#'Data'!A8480", "K_10 Households Reporting Cases of Civilian Injured or Killed by Explosive Ordnance in their Community in the Last 6 Months Prior to Data Collection overall")</f>
        <v>K_10 Households Reporting Cases of Civilian Injured or Killed by Explosive Ordnance in their Community in the Last 6 Months Prior to Data Collection overall</v>
      </c>
    </row>
    <row r="495" spans="1:1" x14ac:dyDescent="0.3">
      <c r="A495" s="1" t="str">
        <f>HYPERLINK("#'Data'!A8489", "K_10 Households Reporting Cases of Civilian Injured or Killed by Explosive Ordnance in their Community in the Last 6 Months Prior to Data Collection by HHs with a member with a disability")</f>
        <v>K_10 Households Reporting Cases of Civilian Injured or Killed by Explosive Ordnance in their Community in the Last 6 Months Prior to Data Collection by HHs with a member with a disability</v>
      </c>
    </row>
    <row r="496" spans="1:1" x14ac:dyDescent="0.3">
      <c r="A496" s="1" t="str">
        <f>HYPERLINK("#'Data'!A8506", "K_10 Households Reporting Cases of Civilian Injured or Killed by Explosive Ordnance in their Community in the Last 6 Months Prior to Data Collection by HoHH sex")</f>
        <v>K_10 Households Reporting Cases of Civilian Injured or Killed by Explosive Ordnance in their Community in the Last 6 Months Prior to Data Collection by HoHH sex</v>
      </c>
    </row>
    <row r="497" spans="1:1" x14ac:dyDescent="0.3">
      <c r="A497" s="1" t="str">
        <f>HYPERLINK("#'Data'!A8520", "K_10 Households Reporting Cases of Civilian Injured or Killed by Explosive Ordnance in their Community in the Last 6 Months Prior to Data Collection by rural or urban")</f>
        <v>K_10 Households Reporting Cases of Civilian Injured or Killed by Explosive Ordnance in their Community in the Last 6 Months Prior to Data Collection by rural or urban</v>
      </c>
    </row>
    <row r="498" spans="1:1" x14ac:dyDescent="0.3">
      <c r="A498" s="1" t="str">
        <f>HYPERLINK("#'Data'!A8532", "K_10 Households Reporting Cases of Civilian Injured or Killed by Explosive Ordnance in their Community in the Last 6 Months Prior to Data Collection by HHs with children")</f>
        <v>K_10 Households Reporting Cases of Civilian Injured or Killed by Explosive Ordnance in their Community in the Last 6 Months Prior to Data Collection by HHs with children</v>
      </c>
    </row>
    <row r="499" spans="1:1" x14ac:dyDescent="0.3">
      <c r="A499" s="1" t="str">
        <f>HYPERLINK("#'Data'!A8547", "K_10 Households Reporting Cases of Civilian Injured or Killed by Explosive Ordnance in their Community in the Last 6 Months Prior to Data Collection by HH proximity to frontline or Russian border")</f>
        <v>K_10 Households Reporting Cases of Civilian Injured or Killed by Explosive Ordnance in their Community in the Last 6 Months Prior to Data Collection by HH proximity to frontline or Russian border</v>
      </c>
    </row>
    <row r="500" spans="1:1" x14ac:dyDescent="0.3">
      <c r="A500" s="1" t="str">
        <f>HYPERLINK("#'Data'!A8559", "K_11 Main Safety and Security Concerns for Women in the Area Reported by Households overall")</f>
        <v>K_11 Main Safety and Security Concerns for Women in the Area Reported by Households overall</v>
      </c>
    </row>
    <row r="501" spans="1:1" x14ac:dyDescent="0.3">
      <c r="A501" s="1" t="str">
        <f>HYPERLINK("#'Data'!A8568", "K_11 Main Safety and Security Concerns for Women in the Area Reported by Households by HHs with a member with a disability")</f>
        <v>K_11 Main Safety and Security Concerns for Women in the Area Reported by Households by HHs with a member with a disability</v>
      </c>
    </row>
    <row r="502" spans="1:1" x14ac:dyDescent="0.3">
      <c r="A502" s="1" t="str">
        <f>HYPERLINK("#'Data'!A8588", "K_11 Main Safety and Security Concerns for Women in the Area Reported by Households by HoHH sex")</f>
        <v>K_11 Main Safety and Security Concerns for Women in the Area Reported by Households by HoHH sex</v>
      </c>
    </row>
    <row r="503" spans="1:1" x14ac:dyDescent="0.3">
      <c r="A503" s="1" t="str">
        <f>HYPERLINK("#'Data'!A8609", "K_11 Main Safety and Security Concerns for Women in the Area Reported by Households by rural or urban")</f>
        <v>K_11 Main Safety and Security Concerns for Women in the Area Reported by Households by rural or urban</v>
      </c>
    </row>
    <row r="504" spans="1:1" x14ac:dyDescent="0.3">
      <c r="A504" s="1" t="str">
        <f>HYPERLINK("#'Data'!A8624", "K_11 Main Safety and Security Concerns for Women in the Area Reported by Households by HHs with children")</f>
        <v>K_11 Main Safety and Security Concerns for Women in the Area Reported by Households by HHs with children</v>
      </c>
    </row>
    <row r="505" spans="1:1" x14ac:dyDescent="0.3">
      <c r="A505" s="1" t="str">
        <f>HYPERLINK("#'Data'!A8639", "K_11 Main Safety and Security Concerns for Women in the Area Reported by Households by HH proximity to frontline or Russian border")</f>
        <v>K_11 Main Safety and Security Concerns for Women in the Area Reported by Households by HH proximity to frontline or Russian border</v>
      </c>
    </row>
    <row r="506" spans="1:1" x14ac:dyDescent="0.3">
      <c r="A506" s="1" t="str">
        <f>HYPERLINK("#'Data'!A8652", "K_13 Main Safety and Security Concerns for Children in the Area Reported by Households overall")</f>
        <v>K_13 Main Safety and Security Concerns for Children in the Area Reported by Households overall</v>
      </c>
    </row>
    <row r="507" spans="1:1" x14ac:dyDescent="0.3">
      <c r="A507" s="1" t="str">
        <f>HYPERLINK("#'Data'!A8661", "K_13 Main Safety and Security Concerns for Children in the Area Reported by Households by HHs with a member with a disability")</f>
        <v>K_13 Main Safety and Security Concerns for Children in the Area Reported by Households by HHs with a member with a disability</v>
      </c>
    </row>
    <row r="508" spans="1:1" x14ac:dyDescent="0.3">
      <c r="A508" s="1" t="str">
        <f>HYPERLINK("#'Data'!A8681", "K_13 Main Safety and Security Concerns for Children in the Area Reported by Households by HoHH sex")</f>
        <v>K_13 Main Safety and Security Concerns for Children in the Area Reported by Households by HoHH sex</v>
      </c>
    </row>
    <row r="509" spans="1:1" x14ac:dyDescent="0.3">
      <c r="A509" s="1" t="str">
        <f>HYPERLINK("#'Data'!A8702", "K_13 Main Safety and Security Concerns for Children in the Area Reported by Households by rural or urban")</f>
        <v>K_13 Main Safety and Security Concerns for Children in the Area Reported by Households by rural or urban</v>
      </c>
    </row>
    <row r="510" spans="1:1" x14ac:dyDescent="0.3">
      <c r="A510" s="1" t="str">
        <f>HYPERLINK("#'Data'!A8717", "K_13 Main Safety and Security Concerns for Children in the Area Reported by Households by HHs with children")</f>
        <v>K_13 Main Safety and Security Concerns for Children in the Area Reported by Households by HHs with children</v>
      </c>
    </row>
    <row r="511" spans="1:1" x14ac:dyDescent="0.3">
      <c r="A511" s="1" t="str">
        <f>HYPERLINK("#'Data'!A8732", "K_13 Main Safety and Security Concerns for Children in the Area Reported by Households by HH proximity to frontline or Russian border")</f>
        <v>K_13 Main Safety and Security Concerns for Children in the Area Reported by Households by HH proximity to frontline or Russian border</v>
      </c>
    </row>
    <row r="512" spans="1:1" x14ac:dyDescent="0.3">
      <c r="A512" s="1" t="str">
        <f>HYPERLINK("#'Data'!A8745", "K_12 Households Reporting Need to Access Social Services Provided by the Government in the Last 3 Months Prior to Data Collection overall")</f>
        <v>K_12 Households Reporting Need to Access Social Services Provided by the Government in the Last 3 Months Prior to Data Collection overall</v>
      </c>
    </row>
    <row r="513" spans="1:1" x14ac:dyDescent="0.3">
      <c r="A513" s="1" t="str">
        <f>HYPERLINK("#'Data'!A8754", "K_12 Households Reporting Need to Access Social Services Provided by the Government in the Last 3 Months Prior to Data Collection by HHs with a member with a disability")</f>
        <v>K_12 Households Reporting Need to Access Social Services Provided by the Government in the Last 3 Months Prior to Data Collection by HHs with a member with a disability</v>
      </c>
    </row>
    <row r="514" spans="1:1" x14ac:dyDescent="0.3">
      <c r="A514" s="1" t="str">
        <f>HYPERLINK("#'Data'!A8774", "K_12 Households Reporting Need to Access Social Services Provided by the Government in the Last 3 Months Prior to Data Collection by HoHH sex")</f>
        <v>K_12 Households Reporting Need to Access Social Services Provided by the Government in the Last 3 Months Prior to Data Collection by HoHH sex</v>
      </c>
    </row>
    <row r="515" spans="1:1" x14ac:dyDescent="0.3">
      <c r="A515" s="1" t="str">
        <f>HYPERLINK("#'Data'!A8795", "K_12 Households Reporting Need to Access Social Services Provided by the Government in the Last 3 Months Prior to Data Collection by HH proximity to frontline or Russian border")</f>
        <v>K_12 Households Reporting Need to Access Social Services Provided by the Government in the Last 3 Months Prior to Data Collection by HH proximity to frontline or Russian border</v>
      </c>
    </row>
    <row r="516" spans="1:1" x14ac:dyDescent="0.3">
      <c r="A516" s="1" t="str">
        <f>HYPERLINK("#'Data'!A8808", "K_12 Households Reporting Need to Access Social Services Provided by the Government in the Last 3 Months Prior to Data Collection by rural or urban")</f>
        <v>K_12 Households Reporting Need to Access Social Services Provided by the Government in the Last 3 Months Prior to Data Collection by rural or urban</v>
      </c>
    </row>
    <row r="517" spans="1:1" x14ac:dyDescent="0.3">
      <c r="A517" s="1" t="str">
        <f>HYPERLINK("#'Data'!A8823", "K_18 Legal Assistance Households Reported to Require overall")</f>
        <v>K_18 Legal Assistance Households Reported to Require overall</v>
      </c>
    </row>
    <row r="518" spans="1:1" x14ac:dyDescent="0.3">
      <c r="A518" s="1" t="str">
        <f>HYPERLINK("#'Data'!A8832", "K_18 Legal Assistance Households Reported to Require by HHs with a member with a disability")</f>
        <v>K_18 Legal Assistance Households Reported to Require by HHs with a member with a disability</v>
      </c>
    </row>
    <row r="519" spans="1:1" x14ac:dyDescent="0.3">
      <c r="A519" s="1" t="str">
        <f>HYPERLINK("#'Data'!A8852", "K_18 Legal Assistance Households Reported to Require by HoHH sex")</f>
        <v>K_18 Legal Assistance Households Reported to Require by HoHH sex</v>
      </c>
    </row>
    <row r="520" spans="1:1" x14ac:dyDescent="0.3">
      <c r="A520" s="1" t="str">
        <f>HYPERLINK("#'Data'!A8873", "K_18 Legal Assistance Households Reported to Require by rural or urban")</f>
        <v>K_18 Legal Assistance Households Reported to Require by rural or urban</v>
      </c>
    </row>
    <row r="521" spans="1:1" x14ac:dyDescent="0.3">
      <c r="A521" s="1" t="str">
        <f>HYPERLINK("#'Data'!A8888", "K_18 Legal Assistance Households Reported to Require by HH proximity to frontline or Russian border")</f>
        <v>K_18 Legal Assistance Households Reported to Require by HH proximity to frontline or Russian border</v>
      </c>
    </row>
    <row r="522" spans="1:1" x14ac:dyDescent="0.3">
      <c r="A522" s="1" t="str">
        <f>HYPERLINK("#'Data'!A8901", "K_18 Legal Assistance Households Reported to Require by HHs with only elderly members")</f>
        <v>K_18 Legal Assistance Households Reported to Require by HHs with only elderly members</v>
      </c>
    </row>
    <row r="523" spans="1:1" x14ac:dyDescent="0.3">
      <c r="A523" s="1" t="str">
        <f>HYPERLINK("#'Data'!A8916", "K_14 GBV Response Services Households Reported being Aware as Available in their Community overall")</f>
        <v>K_14 GBV Response Services Households Reported being Aware as Available in their Community overall</v>
      </c>
    </row>
    <row r="524" spans="1:1" x14ac:dyDescent="0.3">
      <c r="A524" s="1" t="str">
        <f>HYPERLINK("#'Data'!A8925", "K_14 GBV Response Services Households Reported being Aware as Available in their Community by HHs with a member with a disability")</f>
        <v>K_14 GBV Response Services Households Reported being Aware as Available in their Community by HHs with a member with a disability</v>
      </c>
    </row>
    <row r="525" spans="1:1" x14ac:dyDescent="0.3">
      <c r="A525" s="1" t="str">
        <f>HYPERLINK("#'Data'!A8945", "K_14 GBV Response Services Households Reported being Aware as Available in their Community by HoHH sex")</f>
        <v>K_14 GBV Response Services Households Reported being Aware as Available in their Community by HoHH sex</v>
      </c>
    </row>
    <row r="526" spans="1:1" x14ac:dyDescent="0.3">
      <c r="A526" s="1" t="str">
        <f>HYPERLINK("#'Data'!A8966", "K_14 GBV Response Services Households Reported being Aware as Available in their Community by rural or urban")</f>
        <v>K_14 GBV Response Services Households Reported being Aware as Available in their Community by rural or urban</v>
      </c>
    </row>
    <row r="527" spans="1:1" x14ac:dyDescent="0.3">
      <c r="A527" s="1" t="str">
        <f>HYPERLINK("#'Data'!A8981", "K_14 GBV Response Services Households Reported being Aware as Available in their Community by HHs with children")</f>
        <v>K_14 GBV Response Services Households Reported being Aware as Available in their Community by HHs with children</v>
      </c>
    </row>
    <row r="528" spans="1:1" x14ac:dyDescent="0.3">
      <c r="A528" s="1" t="str">
        <f>HYPERLINK("#'Data'!A8996", "K_15 Barriers Households Reported in Accessing GBV Response Services overall")</f>
        <v>K_15 Barriers Households Reported in Accessing GBV Response Services overall</v>
      </c>
    </row>
    <row r="529" spans="1:1" x14ac:dyDescent="0.3">
      <c r="A529" s="1" t="str">
        <f>HYPERLINK("#'Data'!A9005", "K_15 Barriers Households Reported in Accessing GBV Response Services by HHs with a member with a disability")</f>
        <v>K_15 Barriers Households Reported in Accessing GBV Response Services by HHs with a member with a disability</v>
      </c>
    </row>
    <row r="530" spans="1:1" x14ac:dyDescent="0.3">
      <c r="A530" s="1" t="str">
        <f>HYPERLINK("#'Data'!A9024", "K_15 Barriers Households Reported in Accessing GBV Response Services by HoHH sex")</f>
        <v>K_15 Barriers Households Reported in Accessing GBV Response Services by HoHH sex</v>
      </c>
    </row>
    <row r="531" spans="1:1" x14ac:dyDescent="0.3">
      <c r="A531" s="1" t="str">
        <f>HYPERLINK("#'Data'!A9045", "K_15 Barriers Households Reported in Accessing GBV Response Services by rural or urban")</f>
        <v>K_15 Barriers Households Reported in Accessing GBV Response Services by rural or urban</v>
      </c>
    </row>
    <row r="532" spans="1:1" x14ac:dyDescent="0.3">
      <c r="A532" s="1" t="str">
        <f>HYPERLINK("#'Data'!A9060", "K_15 Barriers Households Reported in Accessing GBV Response Services by HH sex composition")</f>
        <v>K_15 Barriers Households Reported in Accessing GBV Response Services by HH sex composition</v>
      </c>
    </row>
    <row r="533" spans="1:1" x14ac:dyDescent="0.3">
      <c r="A533" s="1" t="str">
        <f>HYPERLINK("#'Data'!A9081", "K_16 Child Well-being Services Households Reporting being Aware as Available in their Community overall")</f>
        <v>K_16 Child Well-being Services Households Reporting being Aware as Available in their Community overall</v>
      </c>
    </row>
    <row r="534" spans="1:1" x14ac:dyDescent="0.3">
      <c r="A534" s="1" t="str">
        <f>HYPERLINK("#'Data'!A9090", "K_16 Child Well-being Services Households Reporting being Aware as Available in their Community by HHs with a member with a disability")</f>
        <v>K_16 Child Well-being Services Households Reporting being Aware as Available in their Community by HHs with a member with a disability</v>
      </c>
    </row>
    <row r="535" spans="1:1" x14ac:dyDescent="0.3">
      <c r="A535" s="1" t="str">
        <f>HYPERLINK("#'Data'!A9110", "K_16 Child Well-being Services Households Reporting being Aware as Available in their Community by HoHH sex")</f>
        <v>K_16 Child Well-being Services Households Reporting being Aware as Available in their Community by HoHH sex</v>
      </c>
    </row>
    <row r="536" spans="1:1" x14ac:dyDescent="0.3">
      <c r="A536" s="1" t="str">
        <f>HYPERLINK("#'Data'!A9131", "K_16 Child Well-being Services Households Reporting being Aware as Available in their Community by rural or urban")</f>
        <v>K_16 Child Well-being Services Households Reporting being Aware as Available in their Community by rural or urban</v>
      </c>
    </row>
    <row r="537" spans="1:1" x14ac:dyDescent="0.3">
      <c r="A537" s="1" t="str">
        <f>HYPERLINK("#'Data'!A9146", "K_16 Child Well-being Services Households Reporting being Aware as Available in their Community by HHs with children")</f>
        <v>K_16 Child Well-being Services Households Reporting being Aware as Available in their Community by HHs with children</v>
      </c>
    </row>
    <row r="538" spans="1:1" x14ac:dyDescent="0.3">
      <c r="A538" s="1" t="str">
        <f>HYPERLINK("#'Data'!A9161", "K_16 Child Well-being Services Households Reporting being Aware as Available in their Community by HHs with boys and or or girls")</f>
        <v>K_16 Child Well-being Services Households Reporting being Aware as Available in their Community by HHs with boys and or or girls</v>
      </c>
    </row>
    <row r="539" spans="1:1" x14ac:dyDescent="0.3">
      <c r="A539" s="1" t="str">
        <f>HYPERLINK("#'Data'!A9188", "K_17 Barriers Households Reported in Accessing Child Well-being Services overall")</f>
        <v>K_17 Barriers Households Reported in Accessing Child Well-being Services overall</v>
      </c>
    </row>
    <row r="540" spans="1:1" x14ac:dyDescent="0.3">
      <c r="A540" s="1" t="str">
        <f>HYPERLINK("#'Data'!A9197", "K_17 Barriers Households Reported in Accessing Child Well-being Services by HHs with a member with a disability")</f>
        <v>K_17 Barriers Households Reported in Accessing Child Well-being Services by HHs with a member with a disability</v>
      </c>
    </row>
    <row r="541" spans="1:1" x14ac:dyDescent="0.3">
      <c r="A541" s="1" t="str">
        <f>HYPERLINK("#'Data'!A9217", "K_17 Barriers Households Reported in Accessing Child Well-being Services by HoHH sex")</f>
        <v>K_17 Barriers Households Reported in Accessing Child Well-being Services by HoHH sex</v>
      </c>
    </row>
    <row r="542" spans="1:1" x14ac:dyDescent="0.3">
      <c r="A542" s="1" t="str">
        <f>HYPERLINK("#'Data'!A9238", "K_17 Barriers Households Reported in Accessing Child Well-being Services by rural or urban")</f>
        <v>K_17 Barriers Households Reported in Accessing Child Well-being Services by rural or urban</v>
      </c>
    </row>
    <row r="543" spans="1:1" x14ac:dyDescent="0.3">
      <c r="A543" s="1" t="str">
        <f>HYPERLINK("#'Data'!A9253", "K_17 Barriers Households Reported in Accessing Child Well-being Services by HHs with children")</f>
        <v>K_17 Barriers Households Reported in Accessing Child Well-being Services by HHs with children</v>
      </c>
    </row>
    <row r="544" spans="1:1" x14ac:dyDescent="0.3">
      <c r="A544" s="1" t="str">
        <f>HYPERLINK("#'Data'!A9268", "K_17 Barriers Households Reported in Accessing Child Well-being Services by HHs with boys and or or girls")</f>
        <v>K_17 Barriers Households Reported in Accessing Child Well-being Services by HHs with boys and or or girls</v>
      </c>
    </row>
    <row r="545" spans="1:1" x14ac:dyDescent="0.3">
      <c r="A545" s="1" t="str">
        <f>HYPERLINK("#'Data'!A9295", "L_1 Top Five Priority Needs Reported by Households overall")</f>
        <v>L_1 Top Five Priority Needs Reported by Households overall</v>
      </c>
    </row>
    <row r="546" spans="1:1" x14ac:dyDescent="0.3">
      <c r="A546" s="1" t="str">
        <f>HYPERLINK("#'Data'!A9304", "L_1 Top Five Priority Needs Reported by Households by HHs with a member with a disability")</f>
        <v>L_1 Top Five Priority Needs Reported by Households by HHs with a member with a disability</v>
      </c>
    </row>
    <row r="547" spans="1:1" x14ac:dyDescent="0.3">
      <c r="A547" s="1" t="str">
        <f>HYPERLINK("#'Data'!A9324", "L_1 Top Five Priority Needs Reported by Households by HoHH sex")</f>
        <v>L_1 Top Five Priority Needs Reported by Households by HoHH sex</v>
      </c>
    </row>
    <row r="548" spans="1:1" x14ac:dyDescent="0.3">
      <c r="A548" s="1" t="str">
        <f>HYPERLINK("#'Data'!A9345", "L_1 Top Five Priority Needs Reported by Households by rural or urban")</f>
        <v>L_1 Top Five Priority Needs Reported by Households by rural or urban</v>
      </c>
    </row>
    <row r="549" spans="1:1" x14ac:dyDescent="0.3">
      <c r="A549" s="1" t="str">
        <f>HYPERLINK("#'Data'!A9360", "L_1 Top Five Priority Needs Reported by Households by assistance received")</f>
        <v>L_1 Top Five Priority Needs Reported by Households by assistance received</v>
      </c>
    </row>
    <row r="550" spans="1:1" x14ac:dyDescent="0.3">
      <c r="A550" s="1" t="str">
        <f>HYPERLINK("#'Data'!A9378", "L_1 Top Five Priority Needs Reported by Households by HHs with challenge to obtain money")</f>
        <v>L_1 Top Five Priority Needs Reported by Households by HHs with challenge to obtain money</v>
      </c>
    </row>
    <row r="551" spans="1:1" x14ac:dyDescent="0.3">
      <c r="A551" s="1" t="str">
        <f>HYPERLINK("#'Data'!A9398", "L_1 Top Five Priority Needs Reported by Households by HH proximity to frontline or Russian border")</f>
        <v>L_1 Top Five Priority Needs Reported by Households by HH proximity to frontline or Russian border</v>
      </c>
    </row>
    <row r="552" spans="1:1" x14ac:dyDescent="0.3">
      <c r="A552" s="1" t="str">
        <f>HYPERLINK("#'Data'!A9411", "L_1 Top Five Priority Needs Reported by Households by HH that adopted or not adopted livelihood coping strategies")</f>
        <v>L_1 Top Five Priority Needs Reported by Households by HH that adopted or not adopted livelihood coping strategies</v>
      </c>
    </row>
    <row r="553" spans="1:1" x14ac:dyDescent="0.3">
      <c r="A553" s="1" t="str">
        <f>HYPERLINK("#'Data'!A9438", "L_2 Preferences to Receive Future Humanitarian Assistance Reported by Households overall")</f>
        <v>L_2 Preferences to Receive Future Humanitarian Assistance Reported by Households overall</v>
      </c>
    </row>
    <row r="554" spans="1:1" x14ac:dyDescent="0.3">
      <c r="A554" s="1" t="str">
        <f>HYPERLINK("#'Data'!A9447", "L_2 Preferences to Receive Future Humanitarian Assistance Reported by Households by HHs with a member with a disability")</f>
        <v>L_2 Preferences to Receive Future Humanitarian Assistance Reported by Households by HHs with a member with a disability</v>
      </c>
    </row>
    <row r="555" spans="1:1" x14ac:dyDescent="0.3">
      <c r="A555" s="1" t="str">
        <f>HYPERLINK("#'Data'!A9467", "L_2 Preferences to Receive Future Humanitarian Assistance Reported by Households by HoHH sex")</f>
        <v>L_2 Preferences to Receive Future Humanitarian Assistance Reported by Households by HoHH sex</v>
      </c>
    </row>
    <row r="556" spans="1:1" x14ac:dyDescent="0.3">
      <c r="A556" s="1" t="str">
        <f>HYPERLINK("#'Data'!A9488", "L_2 Preferences to Receive Future Humanitarian Assistance Reported by Households by rural or urban")</f>
        <v>L_2 Preferences to Receive Future Humanitarian Assistance Reported by Households by rural or urban</v>
      </c>
    </row>
    <row r="557" spans="1:1" x14ac:dyDescent="0.3">
      <c r="A557" s="1" t="str">
        <f>HYPERLINK("#'Data'!A9503", "L_2 Preferences to Receive Future Humanitarian Assistance Reported by Households by assistance received")</f>
        <v>L_2 Preferences to Receive Future Humanitarian Assistance Reported by Households by assistance received</v>
      </c>
    </row>
    <row r="558" spans="1:1" x14ac:dyDescent="0.3">
      <c r="A558" s="1" t="str">
        <f>HYPERLINK("#'Data'!A9521", "L_2 Preferences to Receive Future Humanitarian Assistance Reported by Households by HHs with challenge to obtain money")</f>
        <v>L_2 Preferences to Receive Future Humanitarian Assistance Reported by Households by HHs with challenge to obtain money</v>
      </c>
    </row>
    <row r="559" spans="1:1" x14ac:dyDescent="0.3">
      <c r="A559" s="1" t="str">
        <f>HYPERLINK("#'Data'!A9541", "L_2 Preferences to Receive Future Humanitarian Assistance Reported by Households by HH proximity to frontline or Russian border")</f>
        <v>L_2 Preferences to Receive Future Humanitarian Assistance Reported by Households by HH proximity to frontline or Russian border</v>
      </c>
    </row>
    <row r="560" spans="1:1" x14ac:dyDescent="0.3">
      <c r="A560" s="1" t="str">
        <f>HYPERLINK("#'Data'!A9554", "L_4 Households Reported to have Received Humanitarian Assistance in the Last 3 Months Prior to Data Collection overall")</f>
        <v>L_4 Households Reported to have Received Humanitarian Assistance in the Last 3 Months Prior to Data Collection overall</v>
      </c>
    </row>
    <row r="561" spans="1:1" x14ac:dyDescent="0.3">
      <c r="A561" s="1" t="str">
        <f>HYPERLINK("#'Data'!A9563", "L_4 Households Reported to have Received Humanitarian Assistance in the Last 3 Months Prior to Data Collection by HHs with a member with a disability")</f>
        <v>L_4 Households Reported to have Received Humanitarian Assistance in the Last 3 Months Prior to Data Collection by HHs with a member with a disability</v>
      </c>
    </row>
    <row r="562" spans="1:1" x14ac:dyDescent="0.3">
      <c r="A562" s="1" t="str">
        <f>HYPERLINK("#'Data'!A9583", "L_4 Households Reported to have Received Humanitarian Assistance in the Last 3 Months Prior to Data Collection by HoHH sex")</f>
        <v>L_4 Households Reported to have Received Humanitarian Assistance in the Last 3 Months Prior to Data Collection by HoHH sex</v>
      </c>
    </row>
    <row r="563" spans="1:1" x14ac:dyDescent="0.3">
      <c r="A563" s="1" t="str">
        <f>HYPERLINK("#'Data'!A9604", "L_4 Households Reported to have Received Humanitarian Assistance in the Last 3 Months Prior to Data Collection by rural or urban")</f>
        <v>L_4 Households Reported to have Received Humanitarian Assistance in the Last 3 Months Prior to Data Collection by rural or urban</v>
      </c>
    </row>
    <row r="564" spans="1:1" x14ac:dyDescent="0.3">
      <c r="A564" s="1" t="str">
        <f>HYPERLINK("#'Data'!A9619", "L_4 Households Reported to have Received Humanitarian Assistance in the Last 3 Months Prior to Data Collection by HH proximity to frontline or Russian border")</f>
        <v>L_4 Households Reported to have Received Humanitarian Assistance in the Last 3 Months Prior to Data Collection by HH proximity to frontline or Russian border</v>
      </c>
    </row>
    <row r="565" spans="1:1" x14ac:dyDescent="0.3">
      <c r="A565" s="1" t="str">
        <f>HYPERLINK("#'Data'!A9632", "L_7 Barriers Households Faced in Accessing Humanitarian Assistance in the Last 3 Months Prior to Data Collection overall")</f>
        <v>L_7 Barriers Households Faced in Accessing Humanitarian Assistance in the Last 3 Months Prior to Data Collection overall</v>
      </c>
    </row>
    <row r="566" spans="1:1" x14ac:dyDescent="0.3">
      <c r="A566" s="1" t="str">
        <f>HYPERLINK("#'Data'!A9641", "L_7 Barriers Households Faced in Accessing Humanitarian Assistance in the Last 3 Months Prior to Data Collection by HHs with a member with a disability")</f>
        <v>L_7 Barriers Households Faced in Accessing Humanitarian Assistance in the Last 3 Months Prior to Data Collection by HHs with a member with a disability</v>
      </c>
    </row>
    <row r="567" spans="1:1" x14ac:dyDescent="0.3">
      <c r="A567" s="1" t="str">
        <f>HYPERLINK("#'Data'!A9661", "L_7 Barriers Households Faced in Accessing Humanitarian Assistance in the Last 3 Months Prior to Data Collection by HoHH sex")</f>
        <v>L_7 Barriers Households Faced in Accessing Humanitarian Assistance in the Last 3 Months Prior to Data Collection by HoHH sex</v>
      </c>
    </row>
    <row r="568" spans="1:1" x14ac:dyDescent="0.3">
      <c r="A568" s="1" t="str">
        <f>HYPERLINK("#'Data'!A9682", "L_7 Barriers Households Faced in Accessing Humanitarian Assistance in the Last 3 Months Prior to Data Collection by rural or urban")</f>
        <v>L_7 Barriers Households Faced in Accessing Humanitarian Assistance in the Last 3 Months Prior to Data Collection by rural or urban</v>
      </c>
    </row>
    <row r="569" spans="1:1" x14ac:dyDescent="0.3">
      <c r="A569" s="1" t="str">
        <f>HYPERLINK("#'Data'!A9697", "L_7 Barriers Households Faced in Accessing Humanitarian Assistance in the Last 3 Months Prior to Data Collection by HH proximity to frontline or Russian border")</f>
        <v>L_7 Barriers Households Faced in Accessing Humanitarian Assistance in the Last 3 Months Prior to Data Collection by HH proximity to frontline or Russian border</v>
      </c>
    </row>
    <row r="570" spans="1:1" x14ac:dyDescent="0.3">
      <c r="A570" s="1" t="str">
        <f>HYPERLINK("#'Data'!A9710", "L_8 Top Three Types of Information Households Would Like to Receive from Humanitarian Assistance Providers overall")</f>
        <v>L_8 Top Three Types of Information Households Would Like to Receive from Humanitarian Assistance Providers overall</v>
      </c>
    </row>
    <row r="571" spans="1:1" x14ac:dyDescent="0.3">
      <c r="A571" s="1" t="str">
        <f>HYPERLINK("#'Data'!A9719", "L_8 Top Three Types of Information Households Would Like to Receive from Humanitarian Assistance Providers by HHs with a member with a disability")</f>
        <v>L_8 Top Three Types of Information Households Would Like to Receive from Humanitarian Assistance Providers by HHs with a member with a disability</v>
      </c>
    </row>
    <row r="572" spans="1:1" x14ac:dyDescent="0.3">
      <c r="A572" s="1" t="str">
        <f>HYPERLINK("#'Data'!A9739", "L_8 Top Three Types of Information Households Would Like to Receive from Humanitarian Assistance Providers by HoHH sex")</f>
        <v>L_8 Top Three Types of Information Households Would Like to Receive from Humanitarian Assistance Providers by HoHH sex</v>
      </c>
    </row>
    <row r="573" spans="1:1" x14ac:dyDescent="0.3">
      <c r="A573" s="1" t="str">
        <f>HYPERLINK("#'Data'!A9760", "L_8 Top Three Types of Information Households Would Like to Receive from Humanitarian Assistance Providers by rural or urban")</f>
        <v>L_8 Top Three Types of Information Households Would Like to Receive from Humanitarian Assistance Providers by rural or urban</v>
      </c>
    </row>
    <row r="574" spans="1:1" x14ac:dyDescent="0.3">
      <c r="A574" s="1" t="str">
        <f>HYPERLINK("#'Data'!A9775", "L_8 Top Three Types of Information Households Would Like to Receive from Humanitarian Assistance Providers by HH proximity to frontline or Russian border")</f>
        <v>L_8 Top Three Types of Information Households Would Like to Receive from Humanitarian Assistance Providers by HH proximity to frontline or Russian border</v>
      </c>
    </row>
    <row r="575" spans="1:1" x14ac:dyDescent="0.3">
      <c r="A575" s="1" t="str">
        <f>HYPERLINK("#'Data'!A9788", "L_8 Top Three Types of Information Households Would Like to Receive from Humanitarian Assistance Providersby HH with or without children")</f>
        <v>L_8 Top Three Types of Information Households Would Like to Receive from Humanitarian Assistance Providersby HH with or without children</v>
      </c>
    </row>
    <row r="576" spans="1:1" x14ac:dyDescent="0.3">
      <c r="A576" s="1" t="str">
        <f>HYPERLINK("#'Data'!A9803", "L_8 Top Three Types of Information Households Would Like to Receive from Humanitarian Assistance Providersby HH that adopted or not adopted livelihood coping strategies")</f>
        <v>L_8 Top Three Types of Information Households Would Like to Receive from Humanitarian Assistance Providersby HH that adopted or not adopted livelihood coping strategies</v>
      </c>
    </row>
    <row r="577" spans="1:1" x14ac:dyDescent="0.3">
      <c r="A577" s="1" t="str">
        <f>HYPERLINK("#'Data'!A9830", "L_9 Preferences Households Reported for Communication with Humanitarian Assistance Providers overall")</f>
        <v>L_9 Preferences Households Reported for Communication with Humanitarian Assistance Providers overall</v>
      </c>
    </row>
    <row r="578" spans="1:1" x14ac:dyDescent="0.3">
      <c r="A578" s="1" t="str">
        <f>HYPERLINK("#'Data'!A9839", "L_9 Preferences Households Reported for Communication with Humanitarian Assistance Providers by HHs with a member with a disability")</f>
        <v>L_9 Preferences Households Reported for Communication with Humanitarian Assistance Providers by HHs with a member with a disability</v>
      </c>
    </row>
    <row r="579" spans="1:1" x14ac:dyDescent="0.3">
      <c r="A579" s="1" t="str">
        <f>HYPERLINK("#'Data'!A9859", "L_9 Preferences Households Reported for Communication with Humanitarian Assistance Providers by HoHH sex")</f>
        <v>L_9 Preferences Households Reported for Communication with Humanitarian Assistance Providers by HoHH sex</v>
      </c>
    </row>
    <row r="580" spans="1:1" x14ac:dyDescent="0.3">
      <c r="A580" s="1" t="str">
        <f>HYPERLINK("#'Data'!A9880", "L_9 Preferences Households Reported for Communication with Humanitarian Assistance Providers by rural or urban")</f>
        <v>L_9 Preferences Households Reported for Communication with Humanitarian Assistance Providers by rural or urban</v>
      </c>
    </row>
    <row r="581" spans="1:1" x14ac:dyDescent="0.3">
      <c r="A581" s="1" t="str">
        <f>HYPERLINK("#'Data'!A9895", "L_9 Preferences Households Reported for Communication with Humanitarian Assistance Providers by HH proximity to frontline or Russian border")</f>
        <v>L_9 Preferences Households Reported for Communication with Humanitarian Assistance Providers by HH proximity to frontline or Russian border</v>
      </c>
    </row>
    <row r="582" spans="1:1" x14ac:dyDescent="0.3">
      <c r="A582" s="1" t="str">
        <f>HYPERLINK("#'Data'!A9908", "L_4 Household Reportedly Receiving Assistance by Types of Assistance in the Last 3 Months by overall")</f>
        <v>L_4 Household Reportedly Receiving Assistance by Types of Assistance in the Last 3 Months by overall</v>
      </c>
    </row>
    <row r="583" spans="1:1" x14ac:dyDescent="0.3">
      <c r="A583" s="1" t="str">
        <f>HYPERLINK("#'Data'!A9917", "L_4 Household Reportedly Receiving Assistance by Types of Assistance in the Last 3 Months by HoHH sex")</f>
        <v>L_4 Household Reportedly Receiving Assistance by Types of Assistance in the Last 3 Months by HoHH sex</v>
      </c>
    </row>
    <row r="584" spans="1:1" x14ac:dyDescent="0.3">
      <c r="A584" s="1" t="str">
        <f>HYPERLINK("#'Data'!A9938", "L_4 Household Reportedly Receiving Assistance by Types of Assistance in the Last 3 Months by rural or urban")</f>
        <v>L_4 Household Reportedly Receiving Assistance by Types of Assistance in the Last 3 Months by rural or urban</v>
      </c>
    </row>
    <row r="585" spans="1:1" x14ac:dyDescent="0.3">
      <c r="A585" s="1" t="str">
        <f>HYPERLINK("#'Data'!A9953", "L_4 Household Reportedly Receiving Assistance by Types of Assistance in the Last 3 Months by displacement status")</f>
        <v>L_4 Household Reportedly Receiving Assistance by Types of Assistance in the Last 3 Months by displacement status</v>
      </c>
    </row>
    <row r="586" spans="1:1" x14ac:dyDescent="0.3">
      <c r="A586" s="1" t="str">
        <f>HYPERLINK("#'Data'!A9973", "L_5 Household Satisfaction with the Food Assistance Received in the Last 3 Months by overall")</f>
        <v>L_5 Household Satisfaction with the Food Assistance Received in the Last 3 Months by overall</v>
      </c>
    </row>
    <row r="587" spans="1:1" x14ac:dyDescent="0.3">
      <c r="A587" s="1" t="str">
        <f>HYPERLINK("#'Data'!A9982", "L_5 Household Satisfaction with the Shelter Assistance Received in the Last 3 Months by overall")</f>
        <v>L_5 Household Satisfaction with the Shelter Assistance Received in the Last 3 Months by overall</v>
      </c>
    </row>
    <row r="588" spans="1:1" x14ac:dyDescent="0.3">
      <c r="A588" s="1" t="str">
        <f>HYPERLINK("#'Data'!A9991", "L_5 Household Satisfaction with the Health Assistance Received in the Last 3 Months by overall")</f>
        <v>L_5 Household Satisfaction with the Health Assistance Received in the Last 3 Months by overall</v>
      </c>
    </row>
    <row r="589" spans="1:1" x14ac:dyDescent="0.3">
      <c r="A589" s="1" t="str">
        <f>HYPERLINK("#'Data'!A10000", "L_5 Household Satisfaction with the WASH Assistance Received in the Last 3 Monthsby overall")</f>
        <v>L_5 Household Satisfaction with the WASH Assistance Received in the Last 3 Monthsby overall</v>
      </c>
    </row>
    <row r="590" spans="1:1" x14ac:dyDescent="0.3">
      <c r="A590" s="1" t="str">
        <f>HYPERLINK("#'Data'!A10009", "L_5 Household Satisfaction with the Protection Assistance Received in the Last 3 Months by overall")</f>
        <v>L_5 Household Satisfaction with the Protection Assistance Received in the Last 3 Months by overall</v>
      </c>
    </row>
    <row r="591" spans="1:1" x14ac:dyDescent="0.3">
      <c r="A591" s="1" t="str">
        <f>HYPERLINK("#'Data'!A10018", "L_5 Household Satisfaction with the Cash Assistance Received in the Last 3 Months by overall")</f>
        <v>L_5 Household Satisfaction with the Cash Assistance Received in the Last 3 Months by overall</v>
      </c>
    </row>
    <row r="592" spans="1:1" x14ac:dyDescent="0.3">
      <c r="A592" s="1" t="str">
        <f>HYPERLINK("#'Data'!A10027", "L_5 Household Satisfaction with the Other Assistance Received in the Last 3 Months by overall")</f>
        <v>L_5 Household Satisfaction with the Other Assistance Received in the Last 3 Months by overall</v>
      </c>
    </row>
    <row r="593" spans="1:1" x14ac:dyDescent="0.3">
      <c r="A593" s="1" t="str">
        <f>HYPERLINK("#'Data'!A10036", "L_5 Household Satisfaction with the Food Assistance Received in the Last 3 Months by head of household sex")</f>
        <v>L_5 Household Satisfaction with the Food Assistance Received in the Last 3 Months by head of household sex</v>
      </c>
    </row>
    <row r="594" spans="1:1" x14ac:dyDescent="0.3">
      <c r="A594" s="1" t="str">
        <f>HYPERLINK("#'Data'!A10056", "L_5 Household Satisfaction with the Shelter Assistance Received in the Last 3 Months by head of household sex")</f>
        <v>L_5 Household Satisfaction with the Shelter Assistance Received in the Last 3 Months by head of household sex</v>
      </c>
    </row>
    <row r="595" spans="1:1" x14ac:dyDescent="0.3">
      <c r="A595" s="1" t="str">
        <f>HYPERLINK("#'Data'!A10074", "L_5 Household Satisfaction with the Health Assistance Received in the Last 3 Months by head of household sex")</f>
        <v>L_5 Household Satisfaction with the Health Assistance Received in the Last 3 Months by head of household sex</v>
      </c>
    </row>
    <row r="596" spans="1:1" x14ac:dyDescent="0.3">
      <c r="A596" s="1" t="str">
        <f>HYPERLINK("#'Data'!A10093", "L_5 Household Satisfaction with the WASH Assistance Received in the Last 3 Months by head of household sex")</f>
        <v>L_5 Household Satisfaction with the WASH Assistance Received in the Last 3 Months by head of household sex</v>
      </c>
    </row>
    <row r="597" spans="1:1" x14ac:dyDescent="0.3">
      <c r="A597" s="1" t="str">
        <f>HYPERLINK("#'Data'!A10114", "L_5 Household Satisfaction with the Protection Assistance Received in the Last 3 Months by head of household sex")</f>
        <v>L_5 Household Satisfaction with the Protection Assistance Received in the Last 3 Months by head of household sex</v>
      </c>
    </row>
    <row r="598" spans="1:1" x14ac:dyDescent="0.3">
      <c r="A598" s="1" t="str">
        <f>HYPERLINK("#'Data'!A10132", "L_5 Household Satisfaction with the Cash Assistance Received in the Last 3 Months by head of household sex")</f>
        <v>L_5 Household Satisfaction with the Cash Assistance Received in the Last 3 Months by head of household sex</v>
      </c>
    </row>
    <row r="599" spans="1:1" x14ac:dyDescent="0.3">
      <c r="A599" s="1" t="str">
        <f>HYPERLINK("#'Data'!A10151", "L_5 Household Satisfaction with the Other Assistance Received in the Last 3 Months by head of household sex")</f>
        <v>L_5 Household Satisfaction with the Other Assistance Received in the Last 3 Months by head of household sex</v>
      </c>
    </row>
    <row r="600" spans="1:1" x14ac:dyDescent="0.3">
      <c r="A600" s="1" t="str">
        <f>HYPERLINK("#'Data'!A10165", "L_5 Household Satisfaction with the Food Assistance Received in the Last 3 Months by rural or urban")</f>
        <v>L_5 Household Satisfaction with the Food Assistance Received in the Last 3 Months by rural or urban</v>
      </c>
    </row>
    <row r="601" spans="1:1" x14ac:dyDescent="0.3">
      <c r="A601" s="1" t="str">
        <f>HYPERLINK("#'Data'!A10180", "L_5 Household Satisfaction with the Shelter Assistance Received in the Last 3 Months by rural or urban")</f>
        <v>L_5 Household Satisfaction with the Shelter Assistance Received in the Last 3 Months by rural or urban</v>
      </c>
    </row>
    <row r="602" spans="1:1" x14ac:dyDescent="0.3">
      <c r="A602" s="1" t="str">
        <f>HYPERLINK("#'Data'!A10194", "L_5 Household Satisfaction with the Health Assistance Received in the Last 3 Months by rural or urban")</f>
        <v>L_5 Household Satisfaction with the Health Assistance Received in the Last 3 Months by rural or urban</v>
      </c>
    </row>
    <row r="603" spans="1:1" x14ac:dyDescent="0.3">
      <c r="A603" s="1" t="str">
        <f>HYPERLINK("#'Data'!A10209", "L_5 Household Satisfaction with the WASH Assistance Received in the Last 3 Months by rural or urban")</f>
        <v>L_5 Household Satisfaction with the WASH Assistance Received in the Last 3 Months by rural or urban</v>
      </c>
    </row>
    <row r="604" spans="1:1" x14ac:dyDescent="0.3">
      <c r="A604" s="1" t="str">
        <f>HYPERLINK("#'Data'!A10224", "L_5 Household Satisfaction with the Protection Assistance Received in the Last 3 Months by rural or urban")</f>
        <v>L_5 Household Satisfaction with the Protection Assistance Received in the Last 3 Months by rural or urban</v>
      </c>
    </row>
    <row r="605" spans="1:1" x14ac:dyDescent="0.3">
      <c r="A605" s="1" t="str">
        <f>HYPERLINK("#'Data'!A10239", "L_5 Household Satisfaction with the Cash Assistance Received in the Last 3 Months by rural or urban")</f>
        <v>L_5 Household Satisfaction with the Cash Assistance Received in the Last 3 Months by rural or urban</v>
      </c>
    </row>
    <row r="606" spans="1:1" x14ac:dyDescent="0.3">
      <c r="A606" s="1" t="str">
        <f>HYPERLINK("#'Data'!A10254", "L_5 Household Satisfaction with the Other Assistance Received in the Last 3 Months by rural or urban")</f>
        <v>L_5 Household Satisfaction with the Other Assistance Received in the Last 3 Months by rural or urban</v>
      </c>
    </row>
    <row r="607" spans="1:1" x14ac:dyDescent="0.3">
      <c r="A607" s="1" t="str">
        <f>HYPERLINK("#'Data'!A10268", "L_5 Household Satisfaction with the Food Assistance Received in the Last 3 Months by displacement status")</f>
        <v>L_5 Household Satisfaction with the Food Assistance Received in the Last 3 Months by displacement status</v>
      </c>
    </row>
    <row r="608" spans="1:1" x14ac:dyDescent="0.3">
      <c r="A608" s="1" t="str">
        <f>HYPERLINK("#'Data'!A10287", "L_5 Household Satisfaction with the Shelter Assistance Received in the Last 3 Months by displacement status")</f>
        <v>L_5 Household Satisfaction with the Shelter Assistance Received in the Last 3 Months by displacement status</v>
      </c>
    </row>
    <row r="609" spans="1:1" x14ac:dyDescent="0.3">
      <c r="A609" s="1" t="str">
        <f>HYPERLINK("#'Data'!A10301", "L_5 Household Satisfaction with the Health Assistance Received in the Last 3 Months by displacement status")</f>
        <v>L_5 Household Satisfaction with the Health Assistance Received in the Last 3 Months by displacement status</v>
      </c>
    </row>
    <row r="610" spans="1:1" x14ac:dyDescent="0.3">
      <c r="A610" s="1" t="str">
        <f>HYPERLINK("#'Data'!A10315", "L_5 Household Satisfaction with the WASH Assistance Received in the Last 3 Months by displacement status")</f>
        <v>L_5 Household Satisfaction with the WASH Assistance Received in the Last 3 Months by displacement status</v>
      </c>
    </row>
    <row r="611" spans="1:1" x14ac:dyDescent="0.3">
      <c r="A611" s="1" t="str">
        <f>HYPERLINK("#'Data'!A10335", "L_5 Household Satisfaction with the Protection Assistance Received in the Last 3 Months by displacement status")</f>
        <v>L_5 Household Satisfaction with the Protection Assistance Received in the Last 3 Months by displacement status</v>
      </c>
    </row>
    <row r="612" spans="1:1" x14ac:dyDescent="0.3">
      <c r="A612" s="1" t="str">
        <f>HYPERLINK("#'Data'!A10349", "L_5 Household Satisfaction with the Cash Assistance Received in the Last 3 Months by displacement status")</f>
        <v>L_5 Household Satisfaction with the Cash Assistance Received in the Last 3 Months by displacement status</v>
      </c>
    </row>
    <row r="613" spans="1:1" x14ac:dyDescent="0.3">
      <c r="A613" s="1" t="str">
        <f>HYPERLINK("#'Data'!A10365", "L_5 Household Satisfaction with the Other Assistance Received in the Last 3 Months by displacement status")</f>
        <v>L_5 Household Satisfaction with the Other Assistance Received in the Last 3 Months by displacement status</v>
      </c>
    </row>
    <row r="614" spans="1:1" x14ac:dyDescent="0.3">
      <c r="A614" s="1" t="str">
        <f>HYPERLINK("#'Data'!A10378", "L_6 Reasons for Household Satisfaction with the Food Assistance Received in the Last 3 Months by overall")</f>
        <v>L_6 Reasons for Household Satisfaction with the Food Assistance Received in the Last 3 Months by overall</v>
      </c>
    </row>
    <row r="615" spans="1:1" x14ac:dyDescent="0.3">
      <c r="A615" s="1" t="str">
        <f>HYPERLINK("#'Data'!A10387", "L_6 Reasons for Household Satisfaction with the Shelter Assistance Received in the Last 3 Months by overall")</f>
        <v>L_6 Reasons for Household Satisfaction with the Shelter Assistance Received in the Last 3 Months by overall</v>
      </c>
    </row>
    <row r="616" spans="1:1" x14ac:dyDescent="0.3">
      <c r="A616" s="1" t="str">
        <f>HYPERLINK("#'Data'!A10396", "L_6 Reasons for Household Satisfaction with the Health Assistance Received in the Last 3 Months by overall")</f>
        <v>L_6 Reasons for Household Satisfaction with the Health Assistance Received in the Last 3 Months by overall</v>
      </c>
    </row>
    <row r="617" spans="1:1" x14ac:dyDescent="0.3">
      <c r="A617" s="1" t="str">
        <f>HYPERLINK("#'Data'!A10405", "L_6 Reasons for Household Satisfaction with the WASH Assistance Received in the Last 3 Monthsby overall")</f>
        <v>L_6 Reasons for Household Satisfaction with the WASH Assistance Received in the Last 3 Monthsby overall</v>
      </c>
    </row>
    <row r="618" spans="1:1" x14ac:dyDescent="0.3">
      <c r="A618" s="1" t="str">
        <f>HYPERLINK("#'Data'!A10414", "L_6 Reasons for Household Satisfaction with the Protection Assistance Received in the Last 3 Months by overall")</f>
        <v>L_6 Reasons for Household Satisfaction with the Protection Assistance Received in the Last 3 Months by overall</v>
      </c>
    </row>
    <row r="619" spans="1:1" x14ac:dyDescent="0.3">
      <c r="A619" s="1" t="str">
        <f>HYPERLINK("#'Data'!A10423", "L_6 Reasons for Household Satisfaction with the Cash Assistance Received in the Last 3 Months by overall")</f>
        <v>L_6 Reasons for Household Satisfaction with the Cash Assistance Received in the Last 3 Months by overall</v>
      </c>
    </row>
    <row r="620" spans="1:1" x14ac:dyDescent="0.3">
      <c r="A620" s="1" t="str">
        <f>HYPERLINK("#'Data'!A10432", "L_6 Reasons for Household Satisfaction with the Food Assistance Received in the Last 3 Months by head of household sex")</f>
        <v>L_6 Reasons for Household Satisfaction with the Food Assistance Received in the Last 3 Months by head of household sex</v>
      </c>
    </row>
    <row r="621" spans="1:1" x14ac:dyDescent="0.3">
      <c r="A621" s="1" t="str">
        <f>HYPERLINK("#'Data'!A10449", "L_6 Reasons for Household Satisfaction with the Shelter Assistance Received in the Last 3 Months by head of household sex")</f>
        <v>L_6 Reasons for Household Satisfaction with the Shelter Assistance Received in the Last 3 Months by head of household sex</v>
      </c>
    </row>
    <row r="622" spans="1:1" x14ac:dyDescent="0.3">
      <c r="A622" s="1" t="str">
        <f>HYPERLINK("#'Data'!A10458", "L_6 Reasons for Household Satisfaction with the Health Assistance Received in the Last 3 Months by head of household sex")</f>
        <v>L_6 Reasons for Household Satisfaction with the Health Assistance Received in the Last 3 Months by head of household sex</v>
      </c>
    </row>
    <row r="623" spans="1:1" x14ac:dyDescent="0.3">
      <c r="A623" s="1" t="str">
        <f>HYPERLINK("#'Data'!A10469", "L_6 Reasons for Household Satisfaction with the WASH Assistance Received in the Last 3 Months by head of household sex")</f>
        <v>L_6 Reasons for Household Satisfaction with the WASH Assistance Received in the Last 3 Months by head of household sex</v>
      </c>
    </row>
    <row r="624" spans="1:1" x14ac:dyDescent="0.3">
      <c r="A624" s="1" t="str">
        <f>HYPERLINK("#'Data'!A10478", "L_6 Reasons for Household Satisfaction with the Protection Assistance Received in the Last 3 Months by head of household sex")</f>
        <v>L_6 Reasons for Household Satisfaction with the Protection Assistance Received in the Last 3 Months by head of household sex</v>
      </c>
    </row>
    <row r="625" spans="1:1" x14ac:dyDescent="0.3">
      <c r="A625" s="1" t="str">
        <f>HYPERLINK("#'Data'!A10489", "L_6 Reasons for Household Satisfaction with the Cash Assistance Received in the Last 3 Months by head of household sex")</f>
        <v>L_6 Reasons for Household Satisfaction with the Cash Assistance Received in the Last 3 Months by head of household sex</v>
      </c>
    </row>
    <row r="626" spans="1:1" x14ac:dyDescent="0.3">
      <c r="A626" s="1" t="str">
        <f>HYPERLINK("#'Data'!A10500", "L_6 Reasons for Household Satisfaction with the Food Assistance Received in the Last 3 Months by rural or urban")</f>
        <v>L_6 Reasons for Household Satisfaction with the Food Assistance Received in the Last 3 Months by rural or urban</v>
      </c>
    </row>
    <row r="627" spans="1:1" x14ac:dyDescent="0.3">
      <c r="A627" s="1" t="str">
        <f>HYPERLINK("#'Data'!A10513", "L_6 Reasons for Household Satisfaction with the Shelter Assistance Received in the Last 3 Months by rural or urban")</f>
        <v>L_6 Reasons for Household Satisfaction with the Shelter Assistance Received in the Last 3 Months by rural or urban</v>
      </c>
    </row>
    <row r="628" spans="1:1" x14ac:dyDescent="0.3">
      <c r="A628" s="1" t="str">
        <f>HYPERLINK("#'Data'!A10522", "L_6 Reasons for Household Satisfaction with the Health Assistance Received in the Last 3 Months by rural or urban")</f>
        <v>L_6 Reasons for Household Satisfaction with the Health Assistance Received in the Last 3 Months by rural or urban</v>
      </c>
    </row>
    <row r="629" spans="1:1" x14ac:dyDescent="0.3">
      <c r="A629" s="1" t="str">
        <f>HYPERLINK("#'Data'!A10531", "L_6 Reasons for Household Satisfaction with the WASH Assistance Received in the Last 3 Months by rural or urban")</f>
        <v>L_6 Reasons for Household Satisfaction with the WASH Assistance Received in the Last 3 Months by rural or urban</v>
      </c>
    </row>
    <row r="630" spans="1:1" x14ac:dyDescent="0.3">
      <c r="A630" s="1" t="str">
        <f>HYPERLINK("#'Data'!A10542", "L_6 Reasons for Household Satisfaction with the Protection Assistance Received in the Last 3 Months by rural or urban")</f>
        <v>L_6 Reasons for Household Satisfaction with the Protection Assistance Received in the Last 3 Months by rural or urban</v>
      </c>
    </row>
    <row r="631" spans="1:1" x14ac:dyDescent="0.3">
      <c r="A631" s="1" t="str">
        <f>HYPERLINK("#'Data'!A10553", "L_6 Reasons for Household Satisfaction with the Cash Assistance Received in the Last 3 Months by rural or urban")</f>
        <v>L_6 Reasons for Household Satisfaction with the Cash Assistance Received in the Last 3 Months by rural or urban</v>
      </c>
    </row>
    <row r="632" spans="1:1" x14ac:dyDescent="0.3">
      <c r="A632" s="1" t="str">
        <f>HYPERLINK("#'Data'!A10562", "L_6 Reasons for Household Satisfaction with the Food Assistance Received in the Last 3 Months by displacement status")</f>
        <v>L_6 Reasons for Household Satisfaction with the Food Assistance Received in the Last 3 Months by displacement status</v>
      </c>
    </row>
    <row r="633" spans="1:1" x14ac:dyDescent="0.3">
      <c r="A633" s="1" t="str">
        <f>HYPERLINK("#'Data'!A10575", "L_6 Reasons for Household Satisfaction with the Shelter Assistance Received in the Last 3 Months by displacement status")</f>
        <v>L_6 Reasons for Household Satisfaction with the Shelter Assistance Received in the Last 3 Months by displacement status</v>
      </c>
    </row>
    <row r="634" spans="1:1" x14ac:dyDescent="0.3">
      <c r="A634" s="1" t="str">
        <f>HYPERLINK("#'Data'!A10584", "L_6 Reasons for Household Satisfaction with the Health Assistance Received in the Last 3 Months by displacement status")</f>
        <v>L_6 Reasons for Household Satisfaction with the Health Assistance Received in the Last 3 Months by displacement status</v>
      </c>
    </row>
    <row r="635" spans="1:1" x14ac:dyDescent="0.3">
      <c r="A635" s="1" t="str">
        <f>HYPERLINK("#'Data'!A10595", "L_6 Reasons for Household Satisfaction with the WASH Assistance Received in the Last 3 Months by displacement status")</f>
        <v>L_6 Reasons for Household Satisfaction with the WASH Assistance Received in the Last 3 Months by displacement status</v>
      </c>
    </row>
    <row r="636" spans="1:1" x14ac:dyDescent="0.3">
      <c r="A636" s="1" t="str">
        <f>HYPERLINK("#'Data'!A10605", "L_6 Reasons for Household Satisfaction with the Protection Assistance Received in the Last 3 Months by displacement status")</f>
        <v>L_6 Reasons for Household Satisfaction with the Protection Assistance Received in the Last 3 Months by displacement status</v>
      </c>
    </row>
    <row r="637" spans="1:1" x14ac:dyDescent="0.3">
      <c r="A637" s="1" t="str">
        <f>HYPERLINK("#'Data'!A10615", "L_6 Reasons for Household Satisfaction with the Cash Assistance Received in the Last 3 Months by displacement status")</f>
        <v>L_6 Reasons for Household Satisfaction with the Cash Assistance Received in the Last 3 Months by displacement status</v>
      </c>
    </row>
    <row r="638" spans="1:1" x14ac:dyDescent="0.3">
      <c r="A638" s="1" t="str">
        <f>HYPERLINK("#'Data'!A10626", "CS_1 Access the organization focal point in the site by overall")</f>
        <v>CS_1 Access the organization focal point in the site by overall</v>
      </c>
    </row>
    <row r="639" spans="1:1" x14ac:dyDescent="0.3">
      <c r="A639" s="1" t="str">
        <f>HYPERLINK("#'Data'!A10635", "CS_1 Access the organization focal point in the site by HH with at least one member with disability")</f>
        <v>CS_1 Access the organization focal point in the site by HH with at least one member with disability</v>
      </c>
    </row>
    <row r="640" spans="1:1" x14ac:dyDescent="0.3">
      <c r="A640" s="1" t="str">
        <f>HYPERLINK("#'Data'!A10655", "CS_1 Access the organization focal point in the site by HH with member employed")</f>
        <v>CS_1 Access the organization focal point in the site by HH with member employed</v>
      </c>
    </row>
    <row r="641" spans="1:1" x14ac:dyDescent="0.3">
      <c r="A641" s="1" t="str">
        <f>HYPERLINK("#'Data'!A10676", "CS_1 Access the organization focal point in the site by HHs with children")</f>
        <v>CS_1 Access the organization focal point in the site by HHs with children</v>
      </c>
    </row>
    <row r="642" spans="1:1" x14ac:dyDescent="0.3">
      <c r="A642" s="1" t="str">
        <f>HYPERLINK("#'Data'!A10691", "CS_1 Access the organization focal point in the site by HoHH Age")</f>
        <v>CS_1 Access the organization focal point in the site by HoHH Age</v>
      </c>
    </row>
    <row r="643" spans="1:1" x14ac:dyDescent="0.3">
      <c r="A643" s="1" t="str">
        <f>HYPERLINK("#'Data'!A10723", "CS_1 Access the organization focal point in the site by HoHH Sex")</f>
        <v>CS_1 Access the organization focal point in the site by HoHH Sex</v>
      </c>
    </row>
    <row r="644" spans="1:1" x14ac:dyDescent="0.3">
      <c r="A644" s="1" t="str">
        <f>HYPERLINK("#'Data'!A10744", "CS_1 Access the organization focal point in the site by Household Size")</f>
        <v>CS_1 Access the organization focal point in the site by Household Size</v>
      </c>
    </row>
    <row r="645" spans="1:1" x14ac:dyDescent="0.3">
      <c r="A645" s="1" t="str">
        <f>HYPERLINK("#'Data'!A10765", "CS_1 Access the organization focal point in the site by Households' accomodation intentions")</f>
        <v>CS_1 Access the organization focal point in the site by Households' accomodation intentions</v>
      </c>
    </row>
    <row r="646" spans="1:1" x14ac:dyDescent="0.3">
      <c r="A646" s="1" t="str">
        <f>HYPERLINK("#'Data'!A10802", "CS_1 Access the organization focal point in the site by Households' location intentions")</f>
        <v>CS_1 Access the organization focal point in the site by Households' location intentions</v>
      </c>
    </row>
    <row r="647" spans="1:1" x14ac:dyDescent="0.3">
      <c r="A647" s="1" t="str">
        <f>HYPERLINK("#'Data'!A10844", "CS_1 Access the organization focal point in the site by Length of the Household Displacement")</f>
        <v>CS_1 Access the organization focal point in the site by Length of the Household Displacement</v>
      </c>
    </row>
    <row r="648" spans="1:1" x14ac:dyDescent="0.3">
      <c r="A648" s="1" t="str">
        <f>HYPERLINK("#'Data'!A10898", "CS_1 Access the organization focal point in the site by rural or urban")</f>
        <v>CS_1 Access the organization focal point in the site by rural or urban</v>
      </c>
    </row>
    <row r="649" spans="1:1" x14ac:dyDescent="0.3">
      <c r="A649" s="1" t="str">
        <f>HYPERLINK("#'Data'!A10913", "CS_2 Consultations for decision-making on the site by overall")</f>
        <v>CS_2 Consultations for decision-making on the site by overall</v>
      </c>
    </row>
    <row r="650" spans="1:1" x14ac:dyDescent="0.3">
      <c r="A650" s="1" t="str">
        <f>HYPERLINK("#'Data'!A10922", "CS_2 Consultations for decision-making on the site by HH with at least one member with disability")</f>
        <v>CS_2 Consultations for decision-making on the site by HH with at least one member with disability</v>
      </c>
    </row>
    <row r="651" spans="1:1" x14ac:dyDescent="0.3">
      <c r="A651" s="1" t="str">
        <f>HYPERLINK("#'Data'!A10942", "CS_2 Consultations for decision-making on the site by HH with member employed")</f>
        <v>CS_2 Consultations for decision-making on the site by HH with member employed</v>
      </c>
    </row>
    <row r="652" spans="1:1" x14ac:dyDescent="0.3">
      <c r="A652" s="1" t="str">
        <f>HYPERLINK("#'Data'!A10963", "CS_2 Consultations for decision-making on the site by HHs with children")</f>
        <v>CS_2 Consultations for decision-making on the site by HHs with children</v>
      </c>
    </row>
    <row r="653" spans="1:1" x14ac:dyDescent="0.3">
      <c r="A653" s="1" t="str">
        <f>HYPERLINK("#'Data'!A10978", "CS_2 Consultations for decision-making on the site by HoHH Age")</f>
        <v>CS_2 Consultations for decision-making on the site by HoHH Age</v>
      </c>
    </row>
    <row r="654" spans="1:1" x14ac:dyDescent="0.3">
      <c r="A654" s="1" t="str">
        <f>HYPERLINK("#'Data'!A11010", "CS_2 Consultations for decision-making on the site by HoHH Sex")</f>
        <v>CS_2 Consultations for decision-making on the site by HoHH Sex</v>
      </c>
    </row>
    <row r="655" spans="1:1" x14ac:dyDescent="0.3">
      <c r="A655" s="1" t="str">
        <f>HYPERLINK("#'Data'!A11031", "CS_2 Consultations for decision-making on the site by Household Size")</f>
        <v>CS_2 Consultations for decision-making on the site by Household Size</v>
      </c>
    </row>
    <row r="656" spans="1:1" x14ac:dyDescent="0.3">
      <c r="A656" s="1" t="str">
        <f>HYPERLINK("#'Data'!A11052", "CS_2 Consultations for decision-making on the site by Households' accomodation intentions")</f>
        <v>CS_2 Consultations for decision-making on the site by Households' accomodation intentions</v>
      </c>
    </row>
    <row r="657" spans="1:1" x14ac:dyDescent="0.3">
      <c r="A657" s="1" t="str">
        <f>HYPERLINK("#'Data'!A11089", "CS_2 Consultations for decision-making on the site by Households' location intentions")</f>
        <v>CS_2 Consultations for decision-making on the site by Households' location intentions</v>
      </c>
    </row>
    <row r="658" spans="1:1" x14ac:dyDescent="0.3">
      <c r="A658" s="1" t="str">
        <f>HYPERLINK("#'Data'!A11131", "CS_2 Consultations for decision-making on the site by Length of the Household Displacement")</f>
        <v>CS_2 Consultations for decision-making on the site by Length of the Household Displacement</v>
      </c>
    </row>
    <row r="659" spans="1:1" x14ac:dyDescent="0.3">
      <c r="A659" s="1" t="str">
        <f>HYPERLINK("#'Data'!A11185", "CS_2 Consultations for decision-making on the site by rural or urban")</f>
        <v>CS_2 Consultations for decision-making on the site by rural or urban</v>
      </c>
    </row>
    <row r="660" spans="1:1" x14ac:dyDescent="0.3">
      <c r="A660" s="1" t="str">
        <f>HYPERLINK("#'Data'!A11200", "CS_2_1_1 Meetings initiators by overall")</f>
        <v>CS_2_1_1 Meetings initiators by overall</v>
      </c>
    </row>
    <row r="661" spans="1:1" x14ac:dyDescent="0.3">
      <c r="A661" s="1" t="str">
        <f>HYPERLINK("#'Data'!A11209", "CS_2_1_1 Meetings initiators by HH with at least one member with disability")</f>
        <v>CS_2_1_1 Meetings initiators by HH with at least one member with disability</v>
      </c>
    </row>
    <row r="662" spans="1:1" x14ac:dyDescent="0.3">
      <c r="A662" s="1" t="str">
        <f>HYPERLINK("#'Data'!A11229", "CS_2_1_1 Meetings initiators by HH with member employed")</f>
        <v>CS_2_1_1 Meetings initiators by HH with member employed</v>
      </c>
    </row>
    <row r="663" spans="1:1" x14ac:dyDescent="0.3">
      <c r="A663" s="1" t="str">
        <f>HYPERLINK("#'Data'!A11250", "CS_2_1_1 Meetings initiators by HHs with children")</f>
        <v>CS_2_1_1 Meetings initiators by HHs with children</v>
      </c>
    </row>
    <row r="664" spans="1:1" x14ac:dyDescent="0.3">
      <c r="A664" s="1" t="str">
        <f>HYPERLINK("#'Data'!A11265", "CS_2_1_1 Meetings initiators by HoHH Age")</f>
        <v>CS_2_1_1 Meetings initiators by HoHH Age</v>
      </c>
    </row>
    <row r="665" spans="1:1" x14ac:dyDescent="0.3">
      <c r="A665" s="1" t="str">
        <f>HYPERLINK("#'Data'!A11297", "CS_2_1_1 Meetings initiators by HoHH Sex")</f>
        <v>CS_2_1_1 Meetings initiators by HoHH Sex</v>
      </c>
    </row>
    <row r="666" spans="1:1" x14ac:dyDescent="0.3">
      <c r="A666" s="1" t="str">
        <f>HYPERLINK("#'Data'!A11318", "CS_2_1_1 Meetings initiators by Household Size")</f>
        <v>CS_2_1_1 Meetings initiators by Household Size</v>
      </c>
    </row>
    <row r="667" spans="1:1" x14ac:dyDescent="0.3">
      <c r="A667" s="1" t="str">
        <f>HYPERLINK("#'Data'!A11339", "CS_2_1_1 Meetings initiators by Households' accomodation intentions")</f>
        <v>CS_2_1_1 Meetings initiators by Households' accomodation intentions</v>
      </c>
    </row>
    <row r="668" spans="1:1" x14ac:dyDescent="0.3">
      <c r="A668" s="1" t="str">
        <f>HYPERLINK("#'Data'!A11376", "CS_2_1_1 Meetings initiators by Households' location intentions")</f>
        <v>CS_2_1_1 Meetings initiators by Households' location intentions</v>
      </c>
    </row>
    <row r="669" spans="1:1" x14ac:dyDescent="0.3">
      <c r="A669" s="1" t="str">
        <f>HYPERLINK("#'Data'!A11418", "CS_2_1_1 Meetings initiators by Length of the Household Displacement")</f>
        <v>CS_2_1_1 Meetings initiators by Length of the Household Displacement</v>
      </c>
    </row>
    <row r="670" spans="1:1" x14ac:dyDescent="0.3">
      <c r="A670" s="1" t="str">
        <f>HYPERLINK("#'Data'!A11472", "CS_2_1_1 Meetings initiators by rural or urban")</f>
        <v>CS_2_1_1 Meetings initiators by rural or urban</v>
      </c>
    </row>
    <row r="671" spans="1:1" x14ac:dyDescent="0.3">
      <c r="A671" s="1" t="str">
        <f>HYPERLINK("#'Data'!A11487", "CS_3 Threat of eviction by overall")</f>
        <v>CS_3 Threat of eviction by overall</v>
      </c>
    </row>
    <row r="672" spans="1:1" x14ac:dyDescent="0.3">
      <c r="A672" s="1" t="str">
        <f>HYPERLINK("#'Data'!A11496", "CS_3 Threat of eviction by HH with at least one member with disability")</f>
        <v>CS_3 Threat of eviction by HH with at least one member with disability</v>
      </c>
    </row>
    <row r="673" spans="1:1" x14ac:dyDescent="0.3">
      <c r="A673" s="1" t="str">
        <f>HYPERLINK("#'Data'!A11516", "CS_3 Threat of eviction by HH with member employed")</f>
        <v>CS_3 Threat of eviction by HH with member employed</v>
      </c>
    </row>
    <row r="674" spans="1:1" x14ac:dyDescent="0.3">
      <c r="A674" s="1" t="str">
        <f>HYPERLINK("#'Data'!A11537", "CS_3 Threat of eviction by HHs with children")</f>
        <v>CS_3 Threat of eviction by HHs with children</v>
      </c>
    </row>
    <row r="675" spans="1:1" x14ac:dyDescent="0.3">
      <c r="A675" s="1" t="str">
        <f>HYPERLINK("#'Data'!A11552", "CS_3 Threat of eviction by HoHH Age")</f>
        <v>CS_3 Threat of eviction by HoHH Age</v>
      </c>
    </row>
    <row r="676" spans="1:1" x14ac:dyDescent="0.3">
      <c r="A676" s="1" t="str">
        <f>HYPERLINK("#'Data'!A11584", "CS_3 Threat of eviction by HoHH Sex")</f>
        <v>CS_3 Threat of eviction by HoHH Sex</v>
      </c>
    </row>
    <row r="677" spans="1:1" x14ac:dyDescent="0.3">
      <c r="A677" s="1" t="str">
        <f>HYPERLINK("#'Data'!A11605", "CS_3 Threat of eviction by Household Size")</f>
        <v>CS_3 Threat of eviction by Household Size</v>
      </c>
    </row>
    <row r="678" spans="1:1" x14ac:dyDescent="0.3">
      <c r="A678" s="1" t="str">
        <f>HYPERLINK("#'Data'!A11626", "CS_3 Threat of eviction by Households' accomodation intentions")</f>
        <v>CS_3 Threat of eviction by Households' accomodation intentions</v>
      </c>
    </row>
    <row r="679" spans="1:1" x14ac:dyDescent="0.3">
      <c r="A679" s="1" t="str">
        <f>HYPERLINK("#'Data'!A11663", "CS_3 Threat of eviction by Households' location intentions")</f>
        <v>CS_3 Threat of eviction by Households' location intentions</v>
      </c>
    </row>
    <row r="680" spans="1:1" x14ac:dyDescent="0.3">
      <c r="A680" s="1" t="str">
        <f>HYPERLINK("#'Data'!A11705", "CS_3 Threat of eviction by Length of the Household Displacement")</f>
        <v>CS_3 Threat of eviction by Length of the Household Displacement</v>
      </c>
    </row>
    <row r="681" spans="1:1" x14ac:dyDescent="0.3">
      <c r="A681" s="1" t="str">
        <f>HYPERLINK("#'Data'!A11759", "CS_3 Threat of eviction by rural or urban")</f>
        <v>CS_3 Threat of eviction by rural or urban</v>
      </c>
    </row>
    <row r="682" spans="1:1" x14ac:dyDescent="0.3">
      <c r="A682" s="1" t="str">
        <f>HYPERLINK("#'Data'!A11774", "CS_4 Reason of eviction by overall")</f>
        <v>CS_4 Reason of eviction by overall</v>
      </c>
    </row>
    <row r="683" spans="1:1" x14ac:dyDescent="0.3">
      <c r="A683" s="1" t="str">
        <f>HYPERLINK("#'Data'!A11783", "CS_4 Reason of eviction by HH with at least one member with disability")</f>
        <v>CS_4 Reason of eviction by HH with at least one member with disability</v>
      </c>
    </row>
    <row r="684" spans="1:1" x14ac:dyDescent="0.3">
      <c r="A684" s="1" t="str">
        <f>HYPERLINK("#'Data'!A11802", "CS_4 Reason of eviction by HH with member employed")</f>
        <v>CS_4 Reason of eviction by HH with member employed</v>
      </c>
    </row>
    <row r="685" spans="1:1" x14ac:dyDescent="0.3">
      <c r="A685" s="1" t="str">
        <f>HYPERLINK("#'Data'!A11823", "CS_4 Reason of eviction by HHs with children")</f>
        <v>CS_4 Reason of eviction by HHs with children</v>
      </c>
    </row>
    <row r="686" spans="1:1" x14ac:dyDescent="0.3">
      <c r="A686" s="1" t="str">
        <f>HYPERLINK("#'Data'!A11838", "CS_4 Reason of eviction by HoHH Age")</f>
        <v>CS_4 Reason of eviction by HoHH Age</v>
      </c>
    </row>
    <row r="687" spans="1:1" x14ac:dyDescent="0.3">
      <c r="A687" s="1" t="str">
        <f>HYPERLINK("#'Data'!A11868", "CS_4 Reason of eviction by HoHH Sex")</f>
        <v>CS_4 Reason of eviction by HoHH Sex</v>
      </c>
    </row>
    <row r="688" spans="1:1" x14ac:dyDescent="0.3">
      <c r="A688" s="1" t="str">
        <f>HYPERLINK("#'Data'!A11887", "CS_4 Reason of eviction by Household Size")</f>
        <v>CS_4 Reason of eviction by Household Size</v>
      </c>
    </row>
    <row r="689" spans="1:1" x14ac:dyDescent="0.3">
      <c r="A689" s="1" t="str">
        <f>HYPERLINK("#'Data'!A11907", "CS_4 Reason of eviction by Households' accomodation intentions")</f>
        <v>CS_4 Reason of eviction by Households' accomodation intentions</v>
      </c>
    </row>
    <row r="690" spans="1:1" x14ac:dyDescent="0.3">
      <c r="A690" s="1" t="str">
        <f>HYPERLINK("#'Data'!A11938", "CS_4 Reason of eviction by Households' location intentions")</f>
        <v>CS_4 Reason of eviction by Households' location intentions</v>
      </c>
    </row>
    <row r="691" spans="1:1" x14ac:dyDescent="0.3">
      <c r="A691" s="1" t="str">
        <f>HYPERLINK("#'Data'!A11970", "CS_4 Reason of eviction by Length of the Household Displacement")</f>
        <v>CS_4 Reason of eviction by Length of the Household Displacement</v>
      </c>
    </row>
    <row r="692" spans="1:1" x14ac:dyDescent="0.3">
      <c r="A692" s="1" t="str">
        <f>HYPERLINK("#'Data'!A12012", "CS_4 Reason of eviction by rural or urban")</f>
        <v>CS_4 Reason of eviction by rural or urban</v>
      </c>
    </row>
    <row r="693" spans="1:1" x14ac:dyDescent="0.3">
      <c r="A693" s="1" t="str">
        <f>HYPERLINK("#'Data'!A12027", "CS_5 Feedback and complaint mechanism  availability by overall")</f>
        <v>CS_5 Feedback and complaint mechanism  availability by overall</v>
      </c>
    </row>
    <row r="694" spans="1:1" x14ac:dyDescent="0.3">
      <c r="A694" s="1" t="str">
        <f>HYPERLINK("#'Data'!A12036", "CS_5 Feedback and complaint mechanism  availability by HH with at least one member with disability")</f>
        <v>CS_5 Feedback and complaint mechanism  availability by HH with at least one member with disability</v>
      </c>
    </row>
    <row r="695" spans="1:1" x14ac:dyDescent="0.3">
      <c r="A695" s="1" t="str">
        <f>HYPERLINK("#'Data'!A12056", "CS_5 Feedback and complaint mechanism  availability by HH with member employed")</f>
        <v>CS_5 Feedback and complaint mechanism  availability by HH with member employed</v>
      </c>
    </row>
    <row r="696" spans="1:1" x14ac:dyDescent="0.3">
      <c r="A696" s="1" t="str">
        <f>HYPERLINK("#'Data'!A12077", "CS_5 Feedback and complaint mechanism  availability by HHs with children")</f>
        <v>CS_5 Feedback and complaint mechanism  availability by HHs with children</v>
      </c>
    </row>
    <row r="697" spans="1:1" x14ac:dyDescent="0.3">
      <c r="A697" s="1" t="str">
        <f>HYPERLINK("#'Data'!A12092", "CS_5 Feedback and complaint mechanism  availability by HoHH Age")</f>
        <v>CS_5 Feedback and complaint mechanism  availability by HoHH Age</v>
      </c>
    </row>
    <row r="698" spans="1:1" x14ac:dyDescent="0.3">
      <c r="A698" s="1" t="str">
        <f>HYPERLINK("#'Data'!A12124", "CS_5 Feedback and complaint mechanism  availability by HoHH Sex")</f>
        <v>CS_5 Feedback and complaint mechanism  availability by HoHH Sex</v>
      </c>
    </row>
    <row r="699" spans="1:1" x14ac:dyDescent="0.3">
      <c r="A699" s="1" t="str">
        <f>HYPERLINK("#'Data'!A12145", "CS_5 Feedback and complaint mechanism  availability by Household Size")</f>
        <v>CS_5 Feedback and complaint mechanism  availability by Household Size</v>
      </c>
    </row>
    <row r="700" spans="1:1" x14ac:dyDescent="0.3">
      <c r="A700" s="1" t="str">
        <f>HYPERLINK("#'Data'!A12166", "CS_5 Feedback and complaint mechanism  availability by Households' accomodation intentions")</f>
        <v>CS_5 Feedback and complaint mechanism  availability by Households' accomodation intentions</v>
      </c>
    </row>
    <row r="701" spans="1:1" x14ac:dyDescent="0.3">
      <c r="A701" s="1" t="str">
        <f>HYPERLINK("#'Data'!A12203", "CS_5 Feedback and complaint mechanism  availability by Households' location intentions")</f>
        <v>CS_5 Feedback and complaint mechanism  availability by Households' location intentions</v>
      </c>
    </row>
    <row r="702" spans="1:1" x14ac:dyDescent="0.3">
      <c r="A702" s="1" t="str">
        <f>HYPERLINK("#'Data'!A12245", "CS_5 Feedback and complaint mechanism  availability by Length of the Household Displacement")</f>
        <v>CS_5 Feedback and complaint mechanism  availability by Length of the Household Displacement</v>
      </c>
    </row>
    <row r="703" spans="1:1" x14ac:dyDescent="0.3">
      <c r="A703" s="1" t="str">
        <f>HYPERLINK("#'Data'!A12298", "CS_5 Feedback and complaint mechanism  availability by rural or urban")</f>
        <v>CS_5 Feedback and complaint mechanism  availability by rural or urban</v>
      </c>
    </row>
    <row r="704" spans="1:1" x14ac:dyDescent="0.3">
      <c r="A704" s="1" t="str">
        <f>HYPERLINK("#'Data'!A12313", "CS_5_1 Feedback and complaint mechanism effectiveness by overall")</f>
        <v>CS_5_1 Feedback and complaint mechanism effectiveness by overall</v>
      </c>
    </row>
    <row r="705" spans="1:1" x14ac:dyDescent="0.3">
      <c r="A705" s="1" t="str">
        <f>HYPERLINK("#'Data'!A12322", "CS_5_1 Feedback and complaint mechanism effectiveness by HH with at least one member with disability")</f>
        <v>CS_5_1 Feedback and complaint mechanism effectiveness by HH with at least one member with disability</v>
      </c>
    </row>
    <row r="706" spans="1:1" x14ac:dyDescent="0.3">
      <c r="A706" s="1" t="str">
        <f>HYPERLINK("#'Data'!A12342", "CS_5_1 Feedback and complaint mechanism effectiveness by HH with member employed")</f>
        <v>CS_5_1 Feedback and complaint mechanism effectiveness by HH with member employed</v>
      </c>
    </row>
    <row r="707" spans="1:1" x14ac:dyDescent="0.3">
      <c r="A707" s="1" t="str">
        <f>HYPERLINK("#'Data'!A12363", "CS_5_1 Feedback and complaint mechanism effectiveness by HHs with children")</f>
        <v>CS_5_1 Feedback and complaint mechanism effectiveness by HHs with children</v>
      </c>
    </row>
    <row r="708" spans="1:1" x14ac:dyDescent="0.3">
      <c r="A708" s="1" t="str">
        <f>HYPERLINK("#'Data'!A12378", "CS_5_1 Feedback and complaint mechanism effectiveness by HoHH Age")</f>
        <v>CS_5_1 Feedback and complaint mechanism effectiveness by HoHH Age</v>
      </c>
    </row>
    <row r="709" spans="1:1" x14ac:dyDescent="0.3">
      <c r="A709" s="1" t="str">
        <f>HYPERLINK("#'Data'!A12410", "CS_5_1 Feedback and complaint mechanism effectiveness by HoHH Sex")</f>
        <v>CS_5_1 Feedback and complaint mechanism effectiveness by HoHH Sex</v>
      </c>
    </row>
    <row r="710" spans="1:1" x14ac:dyDescent="0.3">
      <c r="A710" s="1" t="str">
        <f>HYPERLINK("#'Data'!A12431", "CS_5_1 Feedback and complaint mechanism effectiveness by Household Size")</f>
        <v>CS_5_1 Feedback and complaint mechanism effectiveness by Household Size</v>
      </c>
    </row>
    <row r="711" spans="1:1" x14ac:dyDescent="0.3">
      <c r="A711" s="1" t="str">
        <f>HYPERLINK("#'Data'!A12452", "CS_5_1 Feedback and complaint mechanism effectiveness by Households' accomodation intentions")</f>
        <v>CS_5_1 Feedback and complaint mechanism effectiveness by Households' accomodation intentions</v>
      </c>
    </row>
    <row r="712" spans="1:1" x14ac:dyDescent="0.3">
      <c r="A712" s="1" t="str">
        <f>HYPERLINK("#'Data'!A12489", "CS_5_1 Feedback and complaint mechanism effectiveness by Households' location intentions")</f>
        <v>CS_5_1 Feedback and complaint mechanism effectiveness by Households' location intentions</v>
      </c>
    </row>
    <row r="713" spans="1:1" x14ac:dyDescent="0.3">
      <c r="A713" s="1" t="str">
        <f>HYPERLINK("#'Data'!A12531", "CS_5_1 Feedback and complaint mechanism effectiveness by Length of the Household Displacement")</f>
        <v>CS_5_1 Feedback and complaint mechanism effectiveness by Length of the Household Displacement</v>
      </c>
    </row>
    <row r="714" spans="1:1" x14ac:dyDescent="0.3">
      <c r="A714" s="1" t="str">
        <f>HYPERLINK("#'Data'!A12585", "CS_5_1 Feedback and complaint mechanism effectiveness by rural or urban")</f>
        <v>CS_5_1 Feedback and complaint mechanism effectiveness by rural or urban</v>
      </c>
    </row>
    <row r="715" spans="1:1" x14ac:dyDescent="0.3">
      <c r="A715" s="1" t="str">
        <f>HYPERLINK("#'Data'!A12600", "CS_6 Referral system by overall")</f>
        <v>CS_6 Referral system by overall</v>
      </c>
    </row>
    <row r="716" spans="1:1" x14ac:dyDescent="0.3">
      <c r="A716" s="1" t="str">
        <f>HYPERLINK("#'Data'!A12609", "CS_6 Referral system by HH with at least one member with disability")</f>
        <v>CS_6 Referral system by HH with at least one member with disability</v>
      </c>
    </row>
    <row r="717" spans="1:1" x14ac:dyDescent="0.3">
      <c r="A717" s="1" t="str">
        <f>HYPERLINK("#'Data'!A12629", "CS_6 Referral system by HH with member employed")</f>
        <v>CS_6 Referral system by HH with member employed</v>
      </c>
    </row>
    <row r="718" spans="1:1" x14ac:dyDescent="0.3">
      <c r="A718" s="1" t="str">
        <f>HYPERLINK("#'Data'!A12650", "CS_6 Referral system by HHs with children")</f>
        <v>CS_6 Referral system by HHs with children</v>
      </c>
    </row>
    <row r="719" spans="1:1" x14ac:dyDescent="0.3">
      <c r="A719" s="1" t="str">
        <f>HYPERLINK("#'Data'!A12665", "CS_6 Referral system by HoHH Age")</f>
        <v>CS_6 Referral system by HoHH Age</v>
      </c>
    </row>
    <row r="720" spans="1:1" x14ac:dyDescent="0.3">
      <c r="A720" s="1" t="str">
        <f>HYPERLINK("#'Data'!A12697", "CS_6 Referral system by HoHH Sex")</f>
        <v>CS_6 Referral system by HoHH Sex</v>
      </c>
    </row>
    <row r="721" spans="1:1" x14ac:dyDescent="0.3">
      <c r="A721" s="1" t="str">
        <f>HYPERLINK("#'Data'!A12718", "CS_6 Referral system by Household Size")</f>
        <v>CS_6 Referral system by Household Size</v>
      </c>
    </row>
    <row r="722" spans="1:1" x14ac:dyDescent="0.3">
      <c r="A722" s="1" t="str">
        <f>HYPERLINK("#'Data'!A12739", "CS_6 Referral system by Households' accomodation intentions")</f>
        <v>CS_6 Referral system by Households' accomodation intentions</v>
      </c>
    </row>
    <row r="723" spans="1:1" x14ac:dyDescent="0.3">
      <c r="A723" s="1" t="str">
        <f>HYPERLINK("#'Data'!A12776", "CS_6 Referral system by Households' location intentions")</f>
        <v>CS_6 Referral system by Households' location intentions</v>
      </c>
    </row>
    <row r="724" spans="1:1" x14ac:dyDescent="0.3">
      <c r="A724" s="1" t="str">
        <f>HYPERLINK("#'Data'!A12818", "CS_6 Referral system by Length of the Household Displacement")</f>
        <v>CS_6 Referral system by Length of the Household Displacement</v>
      </c>
    </row>
    <row r="725" spans="1:1" x14ac:dyDescent="0.3">
      <c r="A725" s="1" t="str">
        <f>HYPERLINK("#'Data'!A12872", "CS_6 Referral system by rural or urban")</f>
        <v>CS_6 Referral system by rural or urban</v>
      </c>
    </row>
    <row r="726" spans="1:1" x14ac:dyDescent="0.3">
      <c r="A726" s="1" t="str">
        <f>HYPERLINK("#'Data'!A12887", "CS_7 Unsafe areas for women and girls by overall")</f>
        <v>CS_7 Unsafe areas for women and girls by overall</v>
      </c>
    </row>
    <row r="727" spans="1:1" x14ac:dyDescent="0.3">
      <c r="A727" s="1" t="str">
        <f>HYPERLINK("#'Data'!A12896", "CS_7 Unsafe areas for women and girls by HH with at least one member with disability")</f>
        <v>CS_7 Unsafe areas for women and girls by HH with at least one member with disability</v>
      </c>
    </row>
    <row r="728" spans="1:1" x14ac:dyDescent="0.3">
      <c r="A728" s="1" t="str">
        <f>HYPERLINK("#'Data'!A12916", "CS_7 Unsafe areas for women and girls by HH with member employed")</f>
        <v>CS_7 Unsafe areas for women and girls by HH with member employed</v>
      </c>
    </row>
    <row r="729" spans="1:1" x14ac:dyDescent="0.3">
      <c r="A729" s="1" t="str">
        <f>HYPERLINK("#'Data'!A12937", "CS_7 Unsafe areas for women and girls by HHs with children")</f>
        <v>CS_7 Unsafe areas for women and girls by HHs with children</v>
      </c>
    </row>
    <row r="730" spans="1:1" x14ac:dyDescent="0.3">
      <c r="A730" s="1" t="str">
        <f>HYPERLINK("#'Data'!A12952", "CS_7 Unsafe areas for women and girls by HoHH Age")</f>
        <v>CS_7 Unsafe areas for women and girls by HoHH Age</v>
      </c>
    </row>
    <row r="731" spans="1:1" x14ac:dyDescent="0.3">
      <c r="A731" s="1" t="str">
        <f>HYPERLINK("#'Data'!A12984", "CS_7 Unsafe areas for women and girls by HoHH Sex")</f>
        <v>CS_7 Unsafe areas for women and girls by HoHH Sex</v>
      </c>
    </row>
    <row r="732" spans="1:1" x14ac:dyDescent="0.3">
      <c r="A732" s="1" t="str">
        <f>HYPERLINK("#'Data'!A13005", "CS_7 Unsafe areas for women and girls by Household Size")</f>
        <v>CS_7 Unsafe areas for women and girls by Household Size</v>
      </c>
    </row>
    <row r="733" spans="1:1" x14ac:dyDescent="0.3">
      <c r="A733" s="1" t="str">
        <f>HYPERLINK("#'Data'!A13026", "CS_7 Unsafe areas for women and girls by Households' accomodation intentions")</f>
        <v>CS_7 Unsafe areas for women and girls by Households' accomodation intentions</v>
      </c>
    </row>
    <row r="734" spans="1:1" x14ac:dyDescent="0.3">
      <c r="A734" s="1" t="str">
        <f>HYPERLINK("#'Data'!A13063", "CS_7 Unsafe areas for women and girls by Households' location intentions")</f>
        <v>CS_7 Unsafe areas for women and girls by Households' location intentions</v>
      </c>
    </row>
    <row r="735" spans="1:1" x14ac:dyDescent="0.3">
      <c r="A735" s="1" t="str">
        <f>HYPERLINK("#'Data'!A13105", "CS_7 Unsafe areas for women and girls by Length of the Household Displacement")</f>
        <v>CS_7 Unsafe areas for women and girls by Length of the Household Displacement</v>
      </c>
    </row>
    <row r="736" spans="1:1" x14ac:dyDescent="0.3">
      <c r="A736" s="1" t="str">
        <f>HYPERLINK("#'Data'!A13159", "CS_7 Unsafe areas for women and girls by rural or urban")</f>
        <v>CS_7 Unsafe areas for women and girls by rural or urban</v>
      </c>
    </row>
    <row r="737" spans="1:1" x14ac:dyDescent="0.3">
      <c r="A737" s="1" t="str">
        <f>HYPERLINK("#'Data'!A13174", "CS_8 Information availability for the residents by overall")</f>
        <v>CS_8 Information availability for the residents by overall</v>
      </c>
    </row>
    <row r="738" spans="1:1" x14ac:dyDescent="0.3">
      <c r="A738" s="1" t="str">
        <f>HYPERLINK("#'Data'!A13183", "CS_8 Information availability for the residents by HH with at least one member with disability")</f>
        <v>CS_8 Information availability for the residents by HH with at least one member with disability</v>
      </c>
    </row>
    <row r="739" spans="1:1" x14ac:dyDescent="0.3">
      <c r="A739" s="1" t="str">
        <f>HYPERLINK("#'Data'!A13203", "CS_8 Information availability for the residents by HH with member employed")</f>
        <v>CS_8 Information availability for the residents by HH with member employed</v>
      </c>
    </row>
    <row r="740" spans="1:1" x14ac:dyDescent="0.3">
      <c r="A740" s="1" t="str">
        <f>HYPERLINK("#'Data'!A13224", "CS_8 Information availability for the residents by HHs with children")</f>
        <v>CS_8 Information availability for the residents by HHs with children</v>
      </c>
    </row>
    <row r="741" spans="1:1" x14ac:dyDescent="0.3">
      <c r="A741" s="1" t="str">
        <f>HYPERLINK("#'Data'!A13239", "CS_8 Information availability for the residents by HoHH Age")</f>
        <v>CS_8 Information availability for the residents by HoHH Age</v>
      </c>
    </row>
    <row r="742" spans="1:1" x14ac:dyDescent="0.3">
      <c r="A742" s="1" t="str">
        <f>HYPERLINK("#'Data'!A13271", "CS_8 Information availability for the residents by HoHH Sex")</f>
        <v>CS_8 Information availability for the residents by HoHH Sex</v>
      </c>
    </row>
    <row r="743" spans="1:1" x14ac:dyDescent="0.3">
      <c r="A743" s="1" t="str">
        <f>HYPERLINK("#'Data'!A13292", "CS_8 Information availability for the residents by Household Size")</f>
        <v>CS_8 Information availability for the residents by Household Size</v>
      </c>
    </row>
    <row r="744" spans="1:1" x14ac:dyDescent="0.3">
      <c r="A744" s="1" t="str">
        <f>HYPERLINK("#'Data'!A13313", "CS_8 Information availability for the residents by Households' accomodation intentions")</f>
        <v>CS_8 Information availability for the residents by Households' accomodation intentions</v>
      </c>
    </row>
    <row r="745" spans="1:1" x14ac:dyDescent="0.3">
      <c r="A745" s="1" t="str">
        <f>HYPERLINK("#'Data'!A13350", "CS_8 Information availability for the residents by Households' location intentions")</f>
        <v>CS_8 Information availability for the residents by Households' location intentions</v>
      </c>
    </row>
    <row r="746" spans="1:1" x14ac:dyDescent="0.3">
      <c r="A746" s="1" t="str">
        <f>HYPERLINK("#'Data'!A13392", "CS_8 Information availability for the residents by Length of the Household Displacement")</f>
        <v>CS_8 Information availability for the residents by Length of the Household Displacement</v>
      </c>
    </row>
    <row r="747" spans="1:1" x14ac:dyDescent="0.3">
      <c r="A747" s="1" t="str">
        <f>HYPERLINK("#'Data'!A13446", "CS_8 Information availability for the residents by rural or urban")</f>
        <v>CS_8 Information availability for the residents by rural or urban</v>
      </c>
    </row>
    <row r="748" spans="1:1" x14ac:dyDescent="0.3">
      <c r="A748" s="1" t="str">
        <f>HYPERLINK("#'Data'!A13461", "CS_9 Humanitarian aid destribution in the last 30 days by overall")</f>
        <v>CS_9 Humanitarian aid destribution in the last 30 days by overall</v>
      </c>
    </row>
    <row r="749" spans="1:1" x14ac:dyDescent="0.3">
      <c r="A749" s="1" t="str">
        <f>HYPERLINK("#'Data'!A13470", "CS_9 Humanitarian aid destribution in the last 30 days by HH with at least one member with disability")</f>
        <v>CS_9 Humanitarian aid destribution in the last 30 days by HH with at least one member with disability</v>
      </c>
    </row>
    <row r="750" spans="1:1" x14ac:dyDescent="0.3">
      <c r="A750" s="1" t="str">
        <f>HYPERLINK("#'Data'!A13490", "CS_9 Humanitarian aid destribution in the last 30 days by HH with member employed")</f>
        <v>CS_9 Humanitarian aid destribution in the last 30 days by HH with member employed</v>
      </c>
    </row>
    <row r="751" spans="1:1" x14ac:dyDescent="0.3">
      <c r="A751" s="1" t="str">
        <f>HYPERLINK("#'Data'!A13511", "CS_9 Humanitarian aid destribution in the last 30 days by HHs with children")</f>
        <v>CS_9 Humanitarian aid destribution in the last 30 days by HHs with children</v>
      </c>
    </row>
    <row r="752" spans="1:1" x14ac:dyDescent="0.3">
      <c r="A752" s="1" t="str">
        <f>HYPERLINK("#'Data'!A13526", "CS_9 Humanitarian aid destribution in the last 30 days by HoHH Age")</f>
        <v>CS_9 Humanitarian aid destribution in the last 30 days by HoHH Age</v>
      </c>
    </row>
    <row r="753" spans="1:1" x14ac:dyDescent="0.3">
      <c r="A753" s="1" t="str">
        <f>HYPERLINK("#'Data'!A13558", "CS_9 Humanitarian aid destribution in the last 30 days by HoHH Sex")</f>
        <v>CS_9 Humanitarian aid destribution in the last 30 days by HoHH Sex</v>
      </c>
    </row>
    <row r="754" spans="1:1" x14ac:dyDescent="0.3">
      <c r="A754" s="1" t="str">
        <f>HYPERLINK("#'Data'!A13579", "CS_9 Humanitarian aid destribution in the last 30 days by Household Size")</f>
        <v>CS_9 Humanitarian aid destribution in the last 30 days by Household Size</v>
      </c>
    </row>
    <row r="755" spans="1:1" x14ac:dyDescent="0.3">
      <c r="A755" s="1" t="str">
        <f>HYPERLINK("#'Data'!A13600", "CS_9 Humanitarian aid destribution in the last 30 days by Households' accomodation intentions")</f>
        <v>CS_9 Humanitarian aid destribution in the last 30 days by Households' accomodation intentions</v>
      </c>
    </row>
    <row r="756" spans="1:1" x14ac:dyDescent="0.3">
      <c r="A756" s="1" t="str">
        <f>HYPERLINK("#'Data'!A13637", "CS_9 Humanitarian aid destribution in the last 30 days by Households' location intentions")</f>
        <v>CS_9 Humanitarian aid destribution in the last 30 days by Households' location intentions</v>
      </c>
    </row>
    <row r="757" spans="1:1" x14ac:dyDescent="0.3">
      <c r="A757" s="1" t="str">
        <f>HYPERLINK("#'Data'!A13679", "CS_9 Humanitarian aid destribution in the last 30 days by Length of the Household Displacement")</f>
        <v>CS_9 Humanitarian aid destribution in the last 30 days by Length of the Household Displacement</v>
      </c>
    </row>
    <row r="758" spans="1:1" x14ac:dyDescent="0.3">
      <c r="A758" s="1" t="str">
        <f>HYPERLINK("#'Data'!A13733", "CS_9 Humanitarian aid destribution in the last 30 days by rural or urban")</f>
        <v>CS_9 Humanitarian aid destribution in the last 30 days by rural or urban</v>
      </c>
    </row>
    <row r="759" spans="1:1" x14ac:dyDescent="0.3">
      <c r="A759" s="1" t="str">
        <f>HYPERLINK("#'Data'!A13748", "CS_9_1 Items distributed by overall")</f>
        <v>CS_9_1 Items distributed by overall</v>
      </c>
    </row>
    <row r="760" spans="1:1" x14ac:dyDescent="0.3">
      <c r="A760" s="1" t="str">
        <f>HYPERLINK("#'Data'!A13757", "CS_9_1 Items distributed by HH with at least one member with disability")</f>
        <v>CS_9_1 Items distributed by HH with at least one member with disability</v>
      </c>
    </row>
    <row r="761" spans="1:1" x14ac:dyDescent="0.3">
      <c r="A761" s="1" t="str">
        <f>HYPERLINK("#'Data'!A13776", "CS_9_1 Items distributed by HH with member employed")</f>
        <v>CS_9_1 Items distributed by HH with member employed</v>
      </c>
    </row>
    <row r="762" spans="1:1" x14ac:dyDescent="0.3">
      <c r="A762" s="1" t="str">
        <f>HYPERLINK("#'Data'!A13797", "CS_9_1 Items distributed by HHs with children")</f>
        <v>CS_9_1 Items distributed by HHs with children</v>
      </c>
    </row>
    <row r="763" spans="1:1" x14ac:dyDescent="0.3">
      <c r="A763" s="1" t="str">
        <f>HYPERLINK("#'Data'!A13812", "CS_9_1 Items distributed by HoHH Age")</f>
        <v>CS_9_1 Items distributed by HoHH Age</v>
      </c>
    </row>
    <row r="764" spans="1:1" x14ac:dyDescent="0.3">
      <c r="A764" s="1" t="str">
        <f>HYPERLINK("#'Data'!A13843", "CS_9_1 Items distributed by HoHH Sex")</f>
        <v>CS_9_1 Items distributed by HoHH Sex</v>
      </c>
    </row>
    <row r="765" spans="1:1" x14ac:dyDescent="0.3">
      <c r="A765" s="1" t="str">
        <f>HYPERLINK("#'Data'!A13864", "CS_9_1 Items distributed by Household Size")</f>
        <v>CS_9_1 Items distributed by Household Size</v>
      </c>
    </row>
    <row r="766" spans="1:1" x14ac:dyDescent="0.3">
      <c r="A766" s="1" t="str">
        <f>HYPERLINK("#'Data'!A13885", "CS_9_1 Items distributed by Households' accomodation intentions")</f>
        <v>CS_9_1 Items distributed by Households' accomodation intentions</v>
      </c>
    </row>
    <row r="767" spans="1:1" x14ac:dyDescent="0.3">
      <c r="A767" s="1" t="str">
        <f>HYPERLINK("#'Data'!A13921", "CS_9_1 Items distributed by Households' location intentions")</f>
        <v>CS_9_1 Items distributed by Households' location intentions</v>
      </c>
    </row>
    <row r="768" spans="1:1" x14ac:dyDescent="0.3">
      <c r="A768" s="1" t="str">
        <f>HYPERLINK("#'Data'!A13960", "CS_9_1 Items distributed by Length of the Household Displacement")</f>
        <v>CS_9_1 Items distributed by Length of the Household Displacement</v>
      </c>
    </row>
    <row r="769" spans="1:1" x14ac:dyDescent="0.3">
      <c r="A769" s="1" t="str">
        <f>HYPERLINK("#'Data'!A14013", "CS_9_1 Items distributed by rural or urban")</f>
        <v>CS_9_1 Items distributed by rural or urban</v>
      </c>
    </row>
    <row r="770" spans="1:1" x14ac:dyDescent="0.3">
      <c r="A770" s="1" t="str">
        <f>HYPERLINK("#'Data'!A14028", "CS_10 Participation in social activity with people living outside the sites by overall")</f>
        <v>CS_10 Participation in social activity with people living outside the sites by overall</v>
      </c>
    </row>
    <row r="771" spans="1:1" x14ac:dyDescent="0.3">
      <c r="A771" s="1" t="str">
        <f>HYPERLINK("#'Data'!A14037", "CS_10 Participation in social activity with people living outside the sites by HH with at least one member with disability")</f>
        <v>CS_10 Participation in social activity with people living outside the sites by HH with at least one member with disability</v>
      </c>
    </row>
    <row r="772" spans="1:1" x14ac:dyDescent="0.3">
      <c r="A772" s="1" t="str">
        <f>HYPERLINK("#'Data'!A14057", "CS_10 Participation in social activity with people living outside the sites by HH with member employed")</f>
        <v>CS_10 Participation in social activity with people living outside the sites by HH with member employed</v>
      </c>
    </row>
    <row r="773" spans="1:1" x14ac:dyDescent="0.3">
      <c r="A773" s="1" t="str">
        <f>HYPERLINK("#'Data'!A14078", "CS_10 Participation in social activity with people living outside the sites by HHs with children")</f>
        <v>CS_10 Participation in social activity with people living outside the sites by HHs with children</v>
      </c>
    </row>
    <row r="774" spans="1:1" x14ac:dyDescent="0.3">
      <c r="A774" s="1" t="str">
        <f>HYPERLINK("#'Data'!A14093", "CS_10 Participation in social activity with people living outside the sites by HoHH Age")</f>
        <v>CS_10 Participation in social activity with people living outside the sites by HoHH Age</v>
      </c>
    </row>
    <row r="775" spans="1:1" x14ac:dyDescent="0.3">
      <c r="A775" s="1" t="str">
        <f>HYPERLINK("#'Data'!A14125", "CS_10 Participation in social activity with people living outside the sites by HoHH Sex")</f>
        <v>CS_10 Participation in social activity with people living outside the sites by HoHH Sex</v>
      </c>
    </row>
    <row r="776" spans="1:1" x14ac:dyDescent="0.3">
      <c r="A776" s="1" t="str">
        <f>HYPERLINK("#'Data'!A14146", "CS_10 Participation in social activity with people living outside the sites by Household Size")</f>
        <v>CS_10 Participation in social activity with people living outside the sites by Household Size</v>
      </c>
    </row>
    <row r="777" spans="1:1" x14ac:dyDescent="0.3">
      <c r="A777" s="1" t="str">
        <f>HYPERLINK("#'Data'!A14167", "CS_10 Participation in social activity with people living outside the sites by Households' accomodation intentions")</f>
        <v>CS_10 Participation in social activity with people living outside the sites by Households' accomodation intentions</v>
      </c>
    </row>
    <row r="778" spans="1:1" x14ac:dyDescent="0.3">
      <c r="A778" s="1" t="str">
        <f>HYPERLINK("#'Data'!A14204", "CS_10 Participation in social activity with people living outside the sites by Households' location intentions")</f>
        <v>CS_10 Participation in social activity with people living outside the sites by Households' location intentions</v>
      </c>
    </row>
    <row r="779" spans="1:1" x14ac:dyDescent="0.3">
      <c r="A779" s="1" t="str">
        <f>HYPERLINK("#'Data'!A14246", "CS_10 Participation in social activity with people living outside the sites by Length of the Household Displacement")</f>
        <v>CS_10 Participation in social activity with people living outside the sites by Length of the Household Displacement</v>
      </c>
    </row>
    <row r="780" spans="1:1" x14ac:dyDescent="0.3">
      <c r="A780" s="1" t="str">
        <f>HYPERLINK("#'Data'!A14300", "CS_10 Participation in social activity with people living outside the sites by rural or urban")</f>
        <v>CS_10 Participation in social activity with people living outside the sites by rural or urban</v>
      </c>
    </row>
    <row r="781" spans="1:1" x14ac:dyDescent="0.3">
      <c r="A781" s="1" t="str">
        <f>HYPERLINK("#'Data'!A14315", "CS_10_1 Reasons for not participating in social activities by overall")</f>
        <v>CS_10_1 Reasons for not participating in social activities by overall</v>
      </c>
    </row>
    <row r="782" spans="1:1" x14ac:dyDescent="0.3">
      <c r="A782" s="1" t="str">
        <f>HYPERLINK("#'Data'!A14324", "CS_10_1 Reasons for not participating in social activities by HH with at least one member with disability")</f>
        <v>CS_10_1 Reasons for not participating in social activities by HH with at least one member with disability</v>
      </c>
    </row>
    <row r="783" spans="1:1" x14ac:dyDescent="0.3">
      <c r="A783" s="1" t="str">
        <f>HYPERLINK("#'Data'!A14343", "CS_10_1 Reasons for not participating in social activities by HH with member employed")</f>
        <v>CS_10_1 Reasons for not participating in social activities by HH with member employed</v>
      </c>
    </row>
    <row r="784" spans="1:1" x14ac:dyDescent="0.3">
      <c r="A784" s="1" t="str">
        <f>HYPERLINK("#'Data'!A14364", "CS_10_1 Reasons for not participating in social activities by HHs with children")</f>
        <v>CS_10_1 Reasons for not participating in social activities by HHs with children</v>
      </c>
    </row>
    <row r="785" spans="1:1" x14ac:dyDescent="0.3">
      <c r="A785" s="1" t="str">
        <f>HYPERLINK("#'Data'!A14379", "CS_10_1 Reasons for not participating in social activities by HoHH Age")</f>
        <v>CS_10_1 Reasons for not participating in social activities by HoHH Age</v>
      </c>
    </row>
    <row r="786" spans="1:1" x14ac:dyDescent="0.3">
      <c r="A786" s="1" t="str">
        <f>HYPERLINK("#'Data'!A14411", "CS_10_1 Reasons for not participating in social activities by HoHH Sex")</f>
        <v>CS_10_1 Reasons for not participating in social activities by HoHH Sex</v>
      </c>
    </row>
    <row r="787" spans="1:1" x14ac:dyDescent="0.3">
      <c r="A787" s="1" t="str">
        <f>HYPERLINK("#'Data'!A14431", "CS_10_1 Reasons for not participating in social activities by Household Size")</f>
        <v>CS_10_1 Reasons for not participating in social activities by Household Size</v>
      </c>
    </row>
    <row r="788" spans="1:1" x14ac:dyDescent="0.3">
      <c r="A788" s="1" t="str">
        <f>HYPERLINK("#'Data'!A14452", "CS_10_1 Reasons for not participating in social activities by Households' accomodation intentions")</f>
        <v>CS_10_1 Reasons for not participating in social activities by Households' accomodation intentions</v>
      </c>
    </row>
    <row r="789" spans="1:1" x14ac:dyDescent="0.3">
      <c r="A789" s="1" t="str">
        <f>HYPERLINK("#'Data'!A14487", "CS_10_1 Reasons for not participating in social activities by Households' location intentions")</f>
        <v>CS_10_1 Reasons for not participating in social activities by Households' location intentions</v>
      </c>
    </row>
    <row r="790" spans="1:1" x14ac:dyDescent="0.3">
      <c r="A790" s="1" t="str">
        <f>HYPERLINK("#'Data'!A14525", "CS_10_1 Reasons for not participating in social activities by Length of the Household Displacement")</f>
        <v>CS_10_1 Reasons for not participating in social activities by Length of the Household Displacement</v>
      </c>
    </row>
    <row r="791" spans="1:1" x14ac:dyDescent="0.3">
      <c r="A791" s="1" t="str">
        <f>HYPERLINK("#'Data'!A14579", "CS_10_1 Reasons for not participating in social activities by rural or urban")</f>
        <v>CS_10_1 Reasons for not participating in social activities by rural or urban</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U14592"/>
  <sheetViews>
    <sheetView tabSelected="1" topLeftCell="A4236" workbookViewId="0">
      <selection activeCell="I4242" sqref="I4242"/>
    </sheetView>
  </sheetViews>
  <sheetFormatPr defaultColWidth="11.5546875" defaultRowHeight="14.4" x14ac:dyDescent="0.3"/>
  <sheetData>
    <row r="1" spans="1:6" x14ac:dyDescent="0.3">
      <c r="A1" t="s">
        <v>23</v>
      </c>
    </row>
    <row r="2" spans="1:6" x14ac:dyDescent="0.3">
      <c r="A2" t="s">
        <v>24</v>
      </c>
      <c r="B2" t="s">
        <v>25</v>
      </c>
      <c r="C2" t="s">
        <v>26</v>
      </c>
      <c r="D2" t="s">
        <v>27</v>
      </c>
      <c r="E2" t="s">
        <v>28</v>
      </c>
      <c r="F2" t="s">
        <v>29</v>
      </c>
    </row>
    <row r="3" spans="1:6" x14ac:dyDescent="0.3">
      <c r="A3">
        <v>2038</v>
      </c>
      <c r="B3" t="s">
        <v>30</v>
      </c>
      <c r="C3" t="s">
        <v>31</v>
      </c>
      <c r="D3" t="s">
        <v>32</v>
      </c>
      <c r="E3" t="s">
        <v>33</v>
      </c>
      <c r="F3" t="s">
        <v>34</v>
      </c>
    </row>
    <row r="5" spans="1:6" x14ac:dyDescent="0.3">
      <c r="A5" t="s">
        <v>35</v>
      </c>
    </row>
    <row r="6" spans="1:6" x14ac:dyDescent="0.3">
      <c r="A6" t="s">
        <v>36</v>
      </c>
      <c r="B6" t="s">
        <v>24</v>
      </c>
      <c r="C6" t="s">
        <v>37</v>
      </c>
      <c r="D6" t="s">
        <v>38</v>
      </c>
      <c r="E6" t="s">
        <v>39</v>
      </c>
      <c r="F6" t="s">
        <v>40</v>
      </c>
    </row>
    <row r="7" spans="1:6" x14ac:dyDescent="0.3">
      <c r="A7" t="s">
        <v>25</v>
      </c>
      <c r="B7">
        <v>414</v>
      </c>
      <c r="C7">
        <v>55.11</v>
      </c>
      <c r="D7">
        <v>59</v>
      </c>
      <c r="E7">
        <v>18</v>
      </c>
      <c r="F7">
        <v>92</v>
      </c>
    </row>
    <row r="8" spans="1:6" x14ac:dyDescent="0.3">
      <c r="A8" t="s">
        <v>26</v>
      </c>
      <c r="B8">
        <v>477</v>
      </c>
      <c r="C8">
        <v>51.96</v>
      </c>
      <c r="D8">
        <v>52</v>
      </c>
      <c r="E8">
        <v>18</v>
      </c>
      <c r="F8">
        <v>89</v>
      </c>
    </row>
    <row r="9" spans="1:6" x14ac:dyDescent="0.3">
      <c r="A9" t="s">
        <v>29</v>
      </c>
      <c r="B9">
        <v>530</v>
      </c>
      <c r="C9">
        <v>51.58</v>
      </c>
      <c r="D9">
        <v>49</v>
      </c>
      <c r="E9">
        <v>19</v>
      </c>
      <c r="F9">
        <v>90</v>
      </c>
    </row>
    <row r="10" spans="1:6" x14ac:dyDescent="0.3">
      <c r="A10" t="s">
        <v>28</v>
      </c>
      <c r="B10">
        <v>317</v>
      </c>
      <c r="C10">
        <v>54.32</v>
      </c>
      <c r="D10">
        <v>56</v>
      </c>
      <c r="E10">
        <v>18</v>
      </c>
      <c r="F10">
        <v>89</v>
      </c>
    </row>
    <row r="11" spans="1:6" x14ac:dyDescent="0.3">
      <c r="A11" t="s">
        <v>27</v>
      </c>
      <c r="B11">
        <v>300</v>
      </c>
      <c r="C11">
        <v>58.32</v>
      </c>
      <c r="D11">
        <v>61</v>
      </c>
      <c r="E11">
        <v>18</v>
      </c>
      <c r="F11">
        <v>96</v>
      </c>
    </row>
    <row r="12" spans="1:6" x14ac:dyDescent="0.3">
      <c r="A12" t="s">
        <v>41</v>
      </c>
      <c r="B12">
        <v>2038</v>
      </c>
      <c r="C12">
        <v>52.82</v>
      </c>
      <c r="D12">
        <v>54</v>
      </c>
      <c r="E12">
        <v>18</v>
      </c>
      <c r="F12">
        <v>96</v>
      </c>
    </row>
    <row r="14" spans="1:6" x14ac:dyDescent="0.3">
      <c r="A14" t="s">
        <v>42</v>
      </c>
    </row>
    <row r="15" spans="1:6" x14ac:dyDescent="0.3">
      <c r="A15" t="s">
        <v>36</v>
      </c>
      <c r="B15" t="s">
        <v>24</v>
      </c>
      <c r="C15" t="s">
        <v>43</v>
      </c>
      <c r="D15" t="s">
        <v>44</v>
      </c>
    </row>
    <row r="16" spans="1:6" x14ac:dyDescent="0.3">
      <c r="A16" t="s">
        <v>25</v>
      </c>
      <c r="B16">
        <v>414</v>
      </c>
      <c r="C16" t="s">
        <v>45</v>
      </c>
      <c r="D16" t="s">
        <v>46</v>
      </c>
    </row>
    <row r="17" spans="1:4" x14ac:dyDescent="0.3">
      <c r="A17" t="s">
        <v>26</v>
      </c>
      <c r="B17">
        <v>477</v>
      </c>
      <c r="C17" t="s">
        <v>47</v>
      </c>
      <c r="D17" t="s">
        <v>48</v>
      </c>
    </row>
    <row r="18" spans="1:4" x14ac:dyDescent="0.3">
      <c r="A18" t="s">
        <v>29</v>
      </c>
      <c r="B18">
        <v>530</v>
      </c>
      <c r="C18" t="s">
        <v>49</v>
      </c>
      <c r="D18" t="s">
        <v>50</v>
      </c>
    </row>
    <row r="19" spans="1:4" x14ac:dyDescent="0.3">
      <c r="A19" t="s">
        <v>28</v>
      </c>
      <c r="B19">
        <v>317</v>
      </c>
      <c r="C19" t="s">
        <v>51</v>
      </c>
      <c r="D19" t="s">
        <v>52</v>
      </c>
    </row>
    <row r="20" spans="1:4" x14ac:dyDescent="0.3">
      <c r="A20" t="s">
        <v>27</v>
      </c>
      <c r="B20">
        <v>300</v>
      </c>
      <c r="C20" t="s">
        <v>53</v>
      </c>
      <c r="D20" t="s">
        <v>54</v>
      </c>
    </row>
    <row r="21" spans="1:4" x14ac:dyDescent="0.3">
      <c r="A21" t="s">
        <v>41</v>
      </c>
      <c r="B21">
        <v>2038</v>
      </c>
      <c r="C21" t="s">
        <v>55</v>
      </c>
      <c r="D21" t="s">
        <v>56</v>
      </c>
    </row>
    <row r="23" spans="1:4" x14ac:dyDescent="0.3">
      <c r="A23" t="s">
        <v>57</v>
      </c>
    </row>
    <row r="24" spans="1:4" x14ac:dyDescent="0.3">
      <c r="A24" t="s">
        <v>36</v>
      </c>
      <c r="B24" t="s">
        <v>24</v>
      </c>
      <c r="C24" t="s">
        <v>58</v>
      </c>
      <c r="D24" t="s">
        <v>59</v>
      </c>
    </row>
    <row r="25" spans="1:4" x14ac:dyDescent="0.3">
      <c r="A25" t="s">
        <v>25</v>
      </c>
      <c r="B25">
        <v>414</v>
      </c>
      <c r="C25" t="s">
        <v>60</v>
      </c>
      <c r="D25" t="s">
        <v>61</v>
      </c>
    </row>
    <row r="26" spans="1:4" x14ac:dyDescent="0.3">
      <c r="A26" t="s">
        <v>26</v>
      </c>
      <c r="B26">
        <v>477</v>
      </c>
      <c r="C26" t="s">
        <v>62</v>
      </c>
      <c r="D26" t="s">
        <v>63</v>
      </c>
    </row>
    <row r="27" spans="1:4" x14ac:dyDescent="0.3">
      <c r="A27" t="s">
        <v>29</v>
      </c>
      <c r="B27">
        <v>530</v>
      </c>
      <c r="C27" t="s">
        <v>64</v>
      </c>
      <c r="D27" t="s">
        <v>65</v>
      </c>
    </row>
    <row r="28" spans="1:4" x14ac:dyDescent="0.3">
      <c r="A28" t="s">
        <v>28</v>
      </c>
      <c r="B28">
        <v>317</v>
      </c>
      <c r="C28" t="s">
        <v>66</v>
      </c>
      <c r="D28" t="s">
        <v>67</v>
      </c>
    </row>
    <row r="29" spans="1:4" x14ac:dyDescent="0.3">
      <c r="A29" t="s">
        <v>27</v>
      </c>
      <c r="B29">
        <v>300</v>
      </c>
      <c r="C29" t="s">
        <v>68</v>
      </c>
      <c r="D29" t="s">
        <v>69</v>
      </c>
    </row>
    <row r="30" spans="1:4" x14ac:dyDescent="0.3">
      <c r="A30" t="s">
        <v>41</v>
      </c>
      <c r="B30">
        <v>2038</v>
      </c>
      <c r="C30" t="s">
        <v>70</v>
      </c>
      <c r="D30" t="s">
        <v>71</v>
      </c>
    </row>
    <row r="32" spans="1:4" x14ac:dyDescent="0.3">
      <c r="A32" t="s">
        <v>72</v>
      </c>
    </row>
    <row r="33" spans="1:18" x14ac:dyDescent="0.3">
      <c r="A33" t="s">
        <v>36</v>
      </c>
      <c r="B33" t="s">
        <v>24</v>
      </c>
      <c r="C33" t="s">
        <v>37</v>
      </c>
      <c r="D33" t="s">
        <v>38</v>
      </c>
      <c r="E33" t="s">
        <v>39</v>
      </c>
      <c r="F33" t="s">
        <v>40</v>
      </c>
    </row>
    <row r="34" spans="1:18" x14ac:dyDescent="0.3">
      <c r="A34" t="s">
        <v>25</v>
      </c>
      <c r="B34">
        <v>414</v>
      </c>
      <c r="C34">
        <v>2.35</v>
      </c>
      <c r="D34">
        <v>2</v>
      </c>
      <c r="E34">
        <v>1</v>
      </c>
      <c r="F34">
        <v>11</v>
      </c>
    </row>
    <row r="35" spans="1:18" x14ac:dyDescent="0.3">
      <c r="A35" t="s">
        <v>26</v>
      </c>
      <c r="B35">
        <v>477</v>
      </c>
      <c r="C35">
        <v>2.4</v>
      </c>
      <c r="D35">
        <v>2</v>
      </c>
      <c r="E35">
        <v>1</v>
      </c>
      <c r="F35">
        <v>9</v>
      </c>
    </row>
    <row r="36" spans="1:18" x14ac:dyDescent="0.3">
      <c r="A36" t="s">
        <v>29</v>
      </c>
      <c r="B36">
        <v>530</v>
      </c>
      <c r="C36">
        <v>2.54</v>
      </c>
      <c r="D36">
        <v>2</v>
      </c>
      <c r="E36">
        <v>1</v>
      </c>
      <c r="F36">
        <v>16</v>
      </c>
    </row>
    <row r="37" spans="1:18" x14ac:dyDescent="0.3">
      <c r="A37" t="s">
        <v>28</v>
      </c>
      <c r="B37">
        <v>316</v>
      </c>
      <c r="C37">
        <v>1.91</v>
      </c>
      <c r="D37">
        <v>1</v>
      </c>
      <c r="E37">
        <v>1</v>
      </c>
      <c r="F37">
        <v>12</v>
      </c>
    </row>
    <row r="38" spans="1:18" x14ac:dyDescent="0.3">
      <c r="A38" t="s">
        <v>27</v>
      </c>
      <c r="B38">
        <v>300</v>
      </c>
      <c r="C38">
        <v>2.0299999999999998</v>
      </c>
      <c r="D38">
        <v>2</v>
      </c>
      <c r="E38">
        <v>1</v>
      </c>
      <c r="F38">
        <v>8</v>
      </c>
    </row>
    <row r="39" spans="1:18" x14ac:dyDescent="0.3">
      <c r="A39" t="s">
        <v>41</v>
      </c>
      <c r="B39">
        <v>2037</v>
      </c>
      <c r="C39">
        <v>2.41</v>
      </c>
      <c r="D39">
        <v>2</v>
      </c>
      <c r="E39">
        <v>1</v>
      </c>
      <c r="F39">
        <v>16</v>
      </c>
    </row>
    <row r="41" spans="1:18" x14ac:dyDescent="0.3">
      <c r="A41" t="s">
        <v>73</v>
      </c>
    </row>
    <row r="42" spans="1:18" x14ac:dyDescent="0.3">
      <c r="A42" t="s">
        <v>36</v>
      </c>
      <c r="B42" t="s">
        <v>24</v>
      </c>
      <c r="C42" t="s">
        <v>74</v>
      </c>
      <c r="D42" t="s">
        <v>75</v>
      </c>
      <c r="E42" t="s">
        <v>76</v>
      </c>
      <c r="F42" t="s">
        <v>77</v>
      </c>
      <c r="G42" t="s">
        <v>78</v>
      </c>
      <c r="H42" t="s">
        <v>79</v>
      </c>
      <c r="I42" t="s">
        <v>80</v>
      </c>
      <c r="J42" t="s">
        <v>81</v>
      </c>
      <c r="K42" t="s">
        <v>82</v>
      </c>
      <c r="L42" t="s">
        <v>83</v>
      </c>
      <c r="M42" t="s">
        <v>84</v>
      </c>
      <c r="N42" t="s">
        <v>85</v>
      </c>
      <c r="O42" t="s">
        <v>86</v>
      </c>
      <c r="P42" t="s">
        <v>87</v>
      </c>
      <c r="Q42" t="s">
        <v>88</v>
      </c>
      <c r="R42" t="s">
        <v>89</v>
      </c>
    </row>
    <row r="43" spans="1:18" x14ac:dyDescent="0.3">
      <c r="A43" t="s">
        <v>25</v>
      </c>
      <c r="B43">
        <v>803</v>
      </c>
      <c r="C43" t="s">
        <v>90</v>
      </c>
      <c r="D43" t="s">
        <v>91</v>
      </c>
      <c r="E43" t="s">
        <v>92</v>
      </c>
      <c r="F43" t="s">
        <v>93</v>
      </c>
      <c r="G43" t="s">
        <v>94</v>
      </c>
      <c r="H43" t="s">
        <v>95</v>
      </c>
      <c r="I43" t="s">
        <v>96</v>
      </c>
      <c r="J43" t="s">
        <v>97</v>
      </c>
      <c r="K43" t="s">
        <v>98</v>
      </c>
      <c r="L43" t="s">
        <v>99</v>
      </c>
      <c r="M43" t="s">
        <v>100</v>
      </c>
      <c r="N43" t="s">
        <v>101</v>
      </c>
      <c r="O43" t="s">
        <v>102</v>
      </c>
      <c r="P43" t="s">
        <v>103</v>
      </c>
      <c r="Q43" t="s">
        <v>103</v>
      </c>
      <c r="R43" t="s">
        <v>103</v>
      </c>
    </row>
    <row r="44" spans="1:18" x14ac:dyDescent="0.3">
      <c r="A44" t="s">
        <v>26</v>
      </c>
      <c r="B44">
        <v>907</v>
      </c>
      <c r="C44" t="s">
        <v>104</v>
      </c>
      <c r="D44" t="s">
        <v>105</v>
      </c>
      <c r="E44" t="s">
        <v>106</v>
      </c>
      <c r="F44" t="s">
        <v>107</v>
      </c>
      <c r="G44" t="s">
        <v>108</v>
      </c>
      <c r="H44" t="s">
        <v>98</v>
      </c>
      <c r="I44" t="s">
        <v>109</v>
      </c>
      <c r="J44" t="s">
        <v>91</v>
      </c>
      <c r="K44" t="s">
        <v>110</v>
      </c>
      <c r="L44" t="s">
        <v>111</v>
      </c>
      <c r="M44" t="s">
        <v>112</v>
      </c>
      <c r="N44" t="s">
        <v>113</v>
      </c>
      <c r="O44" t="s">
        <v>114</v>
      </c>
      <c r="P44" t="s">
        <v>91</v>
      </c>
      <c r="Q44" t="s">
        <v>66</v>
      </c>
      <c r="R44" t="s">
        <v>103</v>
      </c>
    </row>
    <row r="45" spans="1:18" x14ac:dyDescent="0.3">
      <c r="A45" t="s">
        <v>29</v>
      </c>
      <c r="B45">
        <v>1020</v>
      </c>
      <c r="C45" t="s">
        <v>115</v>
      </c>
      <c r="D45" t="s">
        <v>116</v>
      </c>
      <c r="E45" t="s">
        <v>117</v>
      </c>
      <c r="F45" t="s">
        <v>118</v>
      </c>
      <c r="G45" t="s">
        <v>119</v>
      </c>
      <c r="H45" t="s">
        <v>120</v>
      </c>
      <c r="I45" t="s">
        <v>121</v>
      </c>
      <c r="J45" t="s">
        <v>122</v>
      </c>
      <c r="K45" t="s">
        <v>122</v>
      </c>
      <c r="L45" t="s">
        <v>123</v>
      </c>
      <c r="M45" t="s">
        <v>108</v>
      </c>
      <c r="N45" t="s">
        <v>124</v>
      </c>
      <c r="O45" t="s">
        <v>125</v>
      </c>
      <c r="P45" t="s">
        <v>103</v>
      </c>
      <c r="Q45" t="s">
        <v>97</v>
      </c>
      <c r="R45" t="s">
        <v>103</v>
      </c>
    </row>
    <row r="46" spans="1:18" x14ac:dyDescent="0.3">
      <c r="A46" t="s">
        <v>28</v>
      </c>
      <c r="B46">
        <v>497</v>
      </c>
      <c r="C46" t="s">
        <v>126</v>
      </c>
      <c r="D46" t="s">
        <v>120</v>
      </c>
      <c r="E46" t="s">
        <v>127</v>
      </c>
      <c r="F46" t="s">
        <v>128</v>
      </c>
      <c r="G46" t="s">
        <v>94</v>
      </c>
      <c r="H46" t="s">
        <v>116</v>
      </c>
      <c r="I46" t="s">
        <v>129</v>
      </c>
      <c r="J46" t="s">
        <v>103</v>
      </c>
      <c r="K46" t="s">
        <v>116</v>
      </c>
      <c r="L46" t="s">
        <v>130</v>
      </c>
      <c r="M46" t="s">
        <v>130</v>
      </c>
      <c r="N46" t="s">
        <v>131</v>
      </c>
      <c r="O46" t="s">
        <v>107</v>
      </c>
      <c r="P46" t="s">
        <v>116</v>
      </c>
      <c r="Q46" t="s">
        <v>103</v>
      </c>
      <c r="R46" t="s">
        <v>66</v>
      </c>
    </row>
    <row r="47" spans="1:18" x14ac:dyDescent="0.3">
      <c r="A47" t="s">
        <v>27</v>
      </c>
      <c r="B47">
        <v>500</v>
      </c>
      <c r="C47" t="s">
        <v>113</v>
      </c>
      <c r="D47" t="s">
        <v>103</v>
      </c>
      <c r="E47" t="s">
        <v>132</v>
      </c>
      <c r="F47" t="s">
        <v>110</v>
      </c>
      <c r="G47" t="s">
        <v>133</v>
      </c>
      <c r="H47" t="s">
        <v>118</v>
      </c>
      <c r="I47" t="s">
        <v>134</v>
      </c>
      <c r="J47" t="s">
        <v>66</v>
      </c>
      <c r="K47" t="s">
        <v>122</v>
      </c>
      <c r="L47" t="s">
        <v>135</v>
      </c>
      <c r="M47" t="s">
        <v>136</v>
      </c>
      <c r="N47" t="s">
        <v>102</v>
      </c>
      <c r="O47" t="s">
        <v>110</v>
      </c>
      <c r="P47" t="s">
        <v>120</v>
      </c>
      <c r="Q47" t="s">
        <v>122</v>
      </c>
      <c r="R47" t="s">
        <v>103</v>
      </c>
    </row>
    <row r="48" spans="1:18" x14ac:dyDescent="0.3">
      <c r="A48" t="s">
        <v>41</v>
      </c>
      <c r="B48">
        <v>3727</v>
      </c>
      <c r="C48" t="s">
        <v>136</v>
      </c>
      <c r="D48" t="s">
        <v>120</v>
      </c>
      <c r="E48" t="s">
        <v>130</v>
      </c>
      <c r="F48" t="s">
        <v>64</v>
      </c>
      <c r="G48" t="s">
        <v>137</v>
      </c>
      <c r="H48" t="s">
        <v>95</v>
      </c>
      <c r="I48" t="s">
        <v>138</v>
      </c>
      <c r="J48" t="s">
        <v>116</v>
      </c>
      <c r="K48" t="s">
        <v>139</v>
      </c>
      <c r="L48" t="s">
        <v>117</v>
      </c>
      <c r="M48" t="s">
        <v>100</v>
      </c>
      <c r="N48" t="s">
        <v>140</v>
      </c>
      <c r="O48" t="s">
        <v>125</v>
      </c>
      <c r="P48" t="s">
        <v>91</v>
      </c>
      <c r="Q48" t="s">
        <v>116</v>
      </c>
      <c r="R48" t="s">
        <v>103</v>
      </c>
    </row>
    <row r="50" spans="1:4" x14ac:dyDescent="0.3">
      <c r="A50" t="s">
        <v>141</v>
      </c>
    </row>
    <row r="51" spans="1:4" x14ac:dyDescent="0.3">
      <c r="A51" t="s">
        <v>36</v>
      </c>
      <c r="B51" t="s">
        <v>24</v>
      </c>
      <c r="C51" t="s">
        <v>58</v>
      </c>
      <c r="D51" t="s">
        <v>59</v>
      </c>
    </row>
    <row r="52" spans="1:4" x14ac:dyDescent="0.3">
      <c r="A52" t="s">
        <v>25</v>
      </c>
      <c r="B52">
        <v>803</v>
      </c>
      <c r="C52" t="s">
        <v>142</v>
      </c>
      <c r="D52" t="s">
        <v>143</v>
      </c>
    </row>
    <row r="53" spans="1:4" x14ac:dyDescent="0.3">
      <c r="A53" t="s">
        <v>26</v>
      </c>
      <c r="B53">
        <v>907</v>
      </c>
      <c r="C53" t="s">
        <v>144</v>
      </c>
      <c r="D53" t="s">
        <v>145</v>
      </c>
    </row>
    <row r="54" spans="1:4" x14ac:dyDescent="0.3">
      <c r="A54" t="s">
        <v>29</v>
      </c>
      <c r="B54">
        <v>1020</v>
      </c>
      <c r="C54" t="s">
        <v>146</v>
      </c>
      <c r="D54" t="s">
        <v>147</v>
      </c>
    </row>
    <row r="55" spans="1:4" x14ac:dyDescent="0.3">
      <c r="A55" t="s">
        <v>28</v>
      </c>
      <c r="B55">
        <v>497</v>
      </c>
      <c r="C55" t="s">
        <v>148</v>
      </c>
      <c r="D55" t="s">
        <v>149</v>
      </c>
    </row>
    <row r="56" spans="1:4" x14ac:dyDescent="0.3">
      <c r="A56" t="s">
        <v>27</v>
      </c>
      <c r="B56">
        <v>500</v>
      </c>
      <c r="C56" t="s">
        <v>150</v>
      </c>
      <c r="D56" t="s">
        <v>151</v>
      </c>
    </row>
    <row r="57" spans="1:4" x14ac:dyDescent="0.3">
      <c r="A57" t="s">
        <v>41</v>
      </c>
      <c r="B57">
        <v>3727</v>
      </c>
      <c r="C57" t="s">
        <v>152</v>
      </c>
      <c r="D57" t="s">
        <v>153</v>
      </c>
    </row>
    <row r="59" spans="1:4" x14ac:dyDescent="0.3">
      <c r="A59" t="s">
        <v>154</v>
      </c>
    </row>
    <row r="60" spans="1:4" x14ac:dyDescent="0.3">
      <c r="A60" t="s">
        <v>36</v>
      </c>
      <c r="B60" t="s">
        <v>24</v>
      </c>
      <c r="C60" t="s">
        <v>58</v>
      </c>
      <c r="D60" t="s">
        <v>59</v>
      </c>
    </row>
    <row r="61" spans="1:4" x14ac:dyDescent="0.3">
      <c r="A61" t="s">
        <v>25</v>
      </c>
      <c r="B61">
        <v>803</v>
      </c>
      <c r="C61" t="s">
        <v>155</v>
      </c>
      <c r="D61" t="s">
        <v>156</v>
      </c>
    </row>
    <row r="62" spans="1:4" x14ac:dyDescent="0.3">
      <c r="A62" t="s">
        <v>26</v>
      </c>
      <c r="B62">
        <v>907</v>
      </c>
      <c r="C62" t="s">
        <v>157</v>
      </c>
      <c r="D62" t="s">
        <v>158</v>
      </c>
    </row>
    <row r="63" spans="1:4" x14ac:dyDescent="0.3">
      <c r="A63" t="s">
        <v>29</v>
      </c>
      <c r="B63">
        <v>1020</v>
      </c>
      <c r="C63" t="s">
        <v>117</v>
      </c>
      <c r="D63" t="s">
        <v>159</v>
      </c>
    </row>
    <row r="64" spans="1:4" x14ac:dyDescent="0.3">
      <c r="A64" t="s">
        <v>28</v>
      </c>
      <c r="B64">
        <v>497</v>
      </c>
      <c r="C64" t="s">
        <v>160</v>
      </c>
      <c r="D64" t="s">
        <v>161</v>
      </c>
    </row>
    <row r="65" spans="1:8" x14ac:dyDescent="0.3">
      <c r="A65" t="s">
        <v>27</v>
      </c>
      <c r="B65">
        <v>500</v>
      </c>
      <c r="C65" t="s">
        <v>162</v>
      </c>
      <c r="D65" t="s">
        <v>163</v>
      </c>
    </row>
    <row r="66" spans="1:8" x14ac:dyDescent="0.3">
      <c r="A66" t="s">
        <v>41</v>
      </c>
      <c r="B66">
        <v>3727</v>
      </c>
      <c r="C66" t="s">
        <v>164</v>
      </c>
      <c r="D66" t="s">
        <v>165</v>
      </c>
    </row>
    <row r="68" spans="1:8" x14ac:dyDescent="0.3">
      <c r="A68" t="s">
        <v>166</v>
      </c>
    </row>
    <row r="69" spans="1:8" x14ac:dyDescent="0.3">
      <c r="A69" t="s">
        <v>36</v>
      </c>
      <c r="B69" t="s">
        <v>24</v>
      </c>
      <c r="C69" t="s">
        <v>58</v>
      </c>
      <c r="D69" t="s">
        <v>59</v>
      </c>
    </row>
    <row r="70" spans="1:8" x14ac:dyDescent="0.3">
      <c r="A70" t="s">
        <v>25</v>
      </c>
      <c r="B70">
        <v>803</v>
      </c>
      <c r="C70" t="s">
        <v>155</v>
      </c>
      <c r="D70" t="s">
        <v>156</v>
      </c>
    </row>
    <row r="71" spans="1:8" x14ac:dyDescent="0.3">
      <c r="A71" t="s">
        <v>26</v>
      </c>
      <c r="B71">
        <v>907</v>
      </c>
      <c r="C71" t="s">
        <v>167</v>
      </c>
      <c r="D71" t="s">
        <v>168</v>
      </c>
    </row>
    <row r="72" spans="1:8" x14ac:dyDescent="0.3">
      <c r="A72" t="s">
        <v>29</v>
      </c>
      <c r="B72">
        <v>1020</v>
      </c>
      <c r="C72" t="s">
        <v>169</v>
      </c>
      <c r="D72" t="s">
        <v>170</v>
      </c>
    </row>
    <row r="73" spans="1:8" x14ac:dyDescent="0.3">
      <c r="A73" t="s">
        <v>28</v>
      </c>
      <c r="B73">
        <v>497</v>
      </c>
      <c r="C73" t="s">
        <v>171</v>
      </c>
      <c r="D73" t="s">
        <v>172</v>
      </c>
    </row>
    <row r="74" spans="1:8" x14ac:dyDescent="0.3">
      <c r="A74" t="s">
        <v>27</v>
      </c>
      <c r="B74">
        <v>500</v>
      </c>
      <c r="C74" t="s">
        <v>173</v>
      </c>
      <c r="D74" t="s">
        <v>174</v>
      </c>
    </row>
    <row r="75" spans="1:8" x14ac:dyDescent="0.3">
      <c r="A75" t="s">
        <v>41</v>
      </c>
      <c r="B75">
        <v>3727</v>
      </c>
      <c r="C75" t="s">
        <v>175</v>
      </c>
      <c r="D75" t="s">
        <v>176</v>
      </c>
    </row>
    <row r="77" spans="1:8" x14ac:dyDescent="0.3">
      <c r="A77" t="s">
        <v>177</v>
      </c>
    </row>
    <row r="78" spans="1:8" x14ac:dyDescent="0.3">
      <c r="A78" t="s">
        <v>36</v>
      </c>
      <c r="B78" t="s">
        <v>24</v>
      </c>
      <c r="C78" t="s">
        <v>178</v>
      </c>
      <c r="D78" t="s">
        <v>179</v>
      </c>
      <c r="E78" t="s">
        <v>180</v>
      </c>
      <c r="F78" t="s">
        <v>181</v>
      </c>
      <c r="G78" t="s">
        <v>182</v>
      </c>
      <c r="H78" t="s">
        <v>183</v>
      </c>
    </row>
    <row r="79" spans="1:8" s="3" customFormat="1" x14ac:dyDescent="0.3">
      <c r="A79" s="3" t="s">
        <v>25</v>
      </c>
      <c r="B79" s="3">
        <v>12</v>
      </c>
      <c r="C79" s="3" t="s">
        <v>184</v>
      </c>
      <c r="D79" s="3" t="s">
        <v>137</v>
      </c>
      <c r="E79" s="3" t="s">
        <v>103</v>
      </c>
      <c r="F79" s="3" t="s">
        <v>103</v>
      </c>
      <c r="G79" s="3" t="s">
        <v>103</v>
      </c>
      <c r="H79" s="3" t="s">
        <v>103</v>
      </c>
    </row>
    <row r="80" spans="1:8" s="3" customFormat="1" x14ac:dyDescent="0.3">
      <c r="A80" s="3" t="s">
        <v>26</v>
      </c>
      <c r="B80" s="3">
        <v>19</v>
      </c>
      <c r="C80" s="3" t="s">
        <v>185</v>
      </c>
      <c r="D80" s="3" t="s">
        <v>103</v>
      </c>
      <c r="E80" s="3" t="s">
        <v>186</v>
      </c>
      <c r="F80" s="3" t="s">
        <v>103</v>
      </c>
      <c r="G80" s="3" t="s">
        <v>103</v>
      </c>
      <c r="H80" s="3" t="s">
        <v>103</v>
      </c>
    </row>
    <row r="81" spans="1:9" s="3" customFormat="1" x14ac:dyDescent="0.3">
      <c r="A81" s="3" t="s">
        <v>29</v>
      </c>
      <c r="B81" s="3">
        <v>28</v>
      </c>
      <c r="C81" s="3" t="s">
        <v>187</v>
      </c>
      <c r="D81" s="3" t="s">
        <v>103</v>
      </c>
      <c r="E81" s="3" t="s">
        <v>102</v>
      </c>
      <c r="F81" s="3" t="s">
        <v>103</v>
      </c>
      <c r="G81" s="3" t="s">
        <v>70</v>
      </c>
      <c r="H81" s="3" t="s">
        <v>188</v>
      </c>
    </row>
    <row r="82" spans="1:9" s="3" customFormat="1" x14ac:dyDescent="0.3">
      <c r="A82" s="3" t="s">
        <v>28</v>
      </c>
      <c r="B82" s="3">
        <v>7</v>
      </c>
      <c r="C82" s="3" t="s">
        <v>189</v>
      </c>
      <c r="D82" s="3" t="s">
        <v>190</v>
      </c>
      <c r="E82" s="3" t="s">
        <v>103</v>
      </c>
      <c r="F82" s="3" t="s">
        <v>191</v>
      </c>
      <c r="G82" s="3" t="s">
        <v>103</v>
      </c>
      <c r="H82" s="3" t="s">
        <v>103</v>
      </c>
    </row>
    <row r="83" spans="1:9" s="3" customFormat="1" x14ac:dyDescent="0.3">
      <c r="A83" s="3" t="s">
        <v>27</v>
      </c>
      <c r="B83" s="3">
        <v>5</v>
      </c>
      <c r="C83" s="3" t="s">
        <v>192</v>
      </c>
      <c r="D83" s="3" t="s">
        <v>103</v>
      </c>
      <c r="E83" s="3" t="s">
        <v>103</v>
      </c>
      <c r="F83" s="3" t="s">
        <v>103</v>
      </c>
      <c r="G83" s="3" t="s">
        <v>103</v>
      </c>
      <c r="H83" s="3" t="s">
        <v>103</v>
      </c>
    </row>
    <row r="84" spans="1:9" x14ac:dyDescent="0.3">
      <c r="A84" t="s">
        <v>41</v>
      </c>
      <c r="B84">
        <v>71</v>
      </c>
      <c r="C84" t="s">
        <v>193</v>
      </c>
      <c r="D84" t="s">
        <v>194</v>
      </c>
      <c r="E84" t="s">
        <v>68</v>
      </c>
      <c r="F84" t="s">
        <v>66</v>
      </c>
      <c r="G84" t="s">
        <v>195</v>
      </c>
      <c r="H84" t="s">
        <v>93</v>
      </c>
    </row>
    <row r="86" spans="1:9" x14ac:dyDescent="0.3">
      <c r="A86" t="s">
        <v>196</v>
      </c>
    </row>
    <row r="87" spans="1:9" x14ac:dyDescent="0.3">
      <c r="A87" t="s">
        <v>36</v>
      </c>
      <c r="B87" t="s">
        <v>197</v>
      </c>
      <c r="C87" t="s">
        <v>24</v>
      </c>
      <c r="D87" t="s">
        <v>178</v>
      </c>
      <c r="E87" t="s">
        <v>179</v>
      </c>
      <c r="F87" t="s">
        <v>180</v>
      </c>
      <c r="G87" t="s">
        <v>181</v>
      </c>
      <c r="H87" t="s">
        <v>182</v>
      </c>
      <c r="I87" t="s">
        <v>183</v>
      </c>
    </row>
    <row r="88" spans="1:9" s="3" customFormat="1" x14ac:dyDescent="0.3">
      <c r="A88" s="3" t="s">
        <v>25</v>
      </c>
      <c r="B88" s="3" t="s">
        <v>198</v>
      </c>
      <c r="C88" s="3">
        <v>3</v>
      </c>
      <c r="D88" s="3" t="s">
        <v>192</v>
      </c>
      <c r="E88" s="3" t="s">
        <v>103</v>
      </c>
      <c r="F88" s="3" t="s">
        <v>103</v>
      </c>
      <c r="G88" s="3" t="s">
        <v>103</v>
      </c>
      <c r="H88" s="3" t="s">
        <v>103</v>
      </c>
      <c r="I88" s="3" t="s">
        <v>103</v>
      </c>
    </row>
    <row r="89" spans="1:9" s="3" customFormat="1" x14ac:dyDescent="0.3">
      <c r="A89" s="3" t="s">
        <v>25</v>
      </c>
      <c r="B89" s="3" t="s">
        <v>199</v>
      </c>
      <c r="C89" s="3">
        <v>9</v>
      </c>
      <c r="D89" s="3" t="s">
        <v>158</v>
      </c>
      <c r="E89" s="3" t="s">
        <v>157</v>
      </c>
      <c r="F89" s="3" t="s">
        <v>103</v>
      </c>
      <c r="G89" s="3" t="s">
        <v>103</v>
      </c>
      <c r="H89" s="3" t="s">
        <v>103</v>
      </c>
      <c r="I89" s="3" t="s">
        <v>103</v>
      </c>
    </row>
    <row r="90" spans="1:9" s="3" customFormat="1" x14ac:dyDescent="0.3">
      <c r="A90" s="3" t="s">
        <v>26</v>
      </c>
      <c r="B90" s="3" t="s">
        <v>198</v>
      </c>
      <c r="C90" s="3">
        <v>3</v>
      </c>
      <c r="D90" s="3" t="s">
        <v>192</v>
      </c>
      <c r="E90" s="3" t="s">
        <v>103</v>
      </c>
      <c r="F90" s="3" t="s">
        <v>103</v>
      </c>
      <c r="G90" s="3" t="s">
        <v>103</v>
      </c>
      <c r="H90" s="3" t="s">
        <v>103</v>
      </c>
      <c r="I90" s="3" t="s">
        <v>103</v>
      </c>
    </row>
    <row r="91" spans="1:9" s="3" customFormat="1" x14ac:dyDescent="0.3">
      <c r="A91" s="3" t="s">
        <v>26</v>
      </c>
      <c r="B91" s="3" t="s">
        <v>199</v>
      </c>
      <c r="C91" s="3">
        <v>16</v>
      </c>
      <c r="D91" s="3" t="s">
        <v>200</v>
      </c>
      <c r="E91" s="3" t="s">
        <v>103</v>
      </c>
      <c r="F91" s="3" t="s">
        <v>201</v>
      </c>
      <c r="G91" s="3" t="s">
        <v>103</v>
      </c>
      <c r="H91" s="3" t="s">
        <v>103</v>
      </c>
      <c r="I91" s="3" t="s">
        <v>103</v>
      </c>
    </row>
    <row r="92" spans="1:9" s="3" customFormat="1" x14ac:dyDescent="0.3">
      <c r="A92" s="3" t="s">
        <v>29</v>
      </c>
      <c r="B92" s="3" t="s">
        <v>198</v>
      </c>
      <c r="C92" s="3">
        <v>16</v>
      </c>
      <c r="D92" s="3" t="s">
        <v>202</v>
      </c>
      <c r="E92" s="3" t="s">
        <v>103</v>
      </c>
      <c r="F92" s="3" t="s">
        <v>103</v>
      </c>
      <c r="G92" s="3" t="s">
        <v>103</v>
      </c>
      <c r="H92" s="3" t="s">
        <v>135</v>
      </c>
      <c r="I92" s="3" t="s">
        <v>60</v>
      </c>
    </row>
    <row r="93" spans="1:9" s="3" customFormat="1" x14ac:dyDescent="0.3">
      <c r="A93" s="3" t="s">
        <v>29</v>
      </c>
      <c r="B93" s="3" t="s">
        <v>199</v>
      </c>
      <c r="C93" s="3">
        <v>12</v>
      </c>
      <c r="D93" s="3" t="s">
        <v>203</v>
      </c>
      <c r="E93" s="3" t="s">
        <v>103</v>
      </c>
      <c r="F93" s="3" t="s">
        <v>127</v>
      </c>
      <c r="G93" s="3" t="s">
        <v>103</v>
      </c>
      <c r="H93" s="3" t="s">
        <v>103</v>
      </c>
      <c r="I93" s="3" t="s">
        <v>103</v>
      </c>
    </row>
    <row r="94" spans="1:9" s="3" customFormat="1" x14ac:dyDescent="0.3">
      <c r="A94" s="3" t="s">
        <v>28</v>
      </c>
      <c r="B94" s="3" t="s">
        <v>198</v>
      </c>
      <c r="C94" s="3">
        <v>1</v>
      </c>
      <c r="D94" s="3" t="s">
        <v>192</v>
      </c>
      <c r="E94" s="3" t="s">
        <v>103</v>
      </c>
      <c r="F94" s="3" t="s">
        <v>103</v>
      </c>
      <c r="G94" s="3" t="s">
        <v>103</v>
      </c>
      <c r="H94" s="3" t="s">
        <v>103</v>
      </c>
      <c r="I94" s="3" t="s">
        <v>103</v>
      </c>
    </row>
    <row r="95" spans="1:9" s="3" customFormat="1" x14ac:dyDescent="0.3">
      <c r="A95" s="3" t="s">
        <v>28</v>
      </c>
      <c r="B95" s="3" t="s">
        <v>199</v>
      </c>
      <c r="C95" s="3">
        <v>6</v>
      </c>
      <c r="D95" s="3" t="s">
        <v>204</v>
      </c>
      <c r="E95" s="3" t="s">
        <v>137</v>
      </c>
      <c r="F95" s="3" t="s">
        <v>103</v>
      </c>
      <c r="G95" s="3" t="s">
        <v>115</v>
      </c>
      <c r="H95" s="3" t="s">
        <v>103</v>
      </c>
      <c r="I95" s="3" t="s">
        <v>103</v>
      </c>
    </row>
    <row r="96" spans="1:9" s="3" customFormat="1" x14ac:dyDescent="0.3">
      <c r="A96" s="3" t="s">
        <v>27</v>
      </c>
      <c r="B96" s="3" t="s">
        <v>198</v>
      </c>
      <c r="C96" s="3">
        <v>3</v>
      </c>
      <c r="D96" s="3" t="s">
        <v>192</v>
      </c>
      <c r="E96" s="3" t="s">
        <v>103</v>
      </c>
      <c r="F96" s="3" t="s">
        <v>103</v>
      </c>
      <c r="G96" s="3" t="s">
        <v>103</v>
      </c>
      <c r="H96" s="3" t="s">
        <v>103</v>
      </c>
      <c r="I96" s="3" t="s">
        <v>103</v>
      </c>
    </row>
    <row r="97" spans="1:9" s="3" customFormat="1" x14ac:dyDescent="0.3">
      <c r="A97" s="3" t="s">
        <v>27</v>
      </c>
      <c r="B97" s="3" t="s">
        <v>199</v>
      </c>
      <c r="C97" s="3">
        <v>2</v>
      </c>
      <c r="D97" s="3" t="s">
        <v>192</v>
      </c>
      <c r="E97" s="3" t="s">
        <v>103</v>
      </c>
      <c r="F97" s="3" t="s">
        <v>103</v>
      </c>
      <c r="G97" s="3" t="s">
        <v>103</v>
      </c>
      <c r="H97" s="3" t="s">
        <v>103</v>
      </c>
      <c r="I97" s="3" t="s">
        <v>103</v>
      </c>
    </row>
    <row r="98" spans="1:9" s="3" customFormat="1" x14ac:dyDescent="0.3">
      <c r="A98" s="3" t="s">
        <v>41</v>
      </c>
      <c r="B98" s="3" t="s">
        <v>198</v>
      </c>
      <c r="C98" s="3">
        <v>26</v>
      </c>
      <c r="D98" s="3" t="s">
        <v>163</v>
      </c>
      <c r="E98" s="3" t="s">
        <v>103</v>
      </c>
      <c r="F98" s="3" t="s">
        <v>103</v>
      </c>
      <c r="G98" s="3" t="s">
        <v>103</v>
      </c>
      <c r="H98" s="3" t="s">
        <v>205</v>
      </c>
      <c r="I98" s="3" t="s">
        <v>206</v>
      </c>
    </row>
    <row r="99" spans="1:9" x14ac:dyDescent="0.3">
      <c r="A99" t="s">
        <v>41</v>
      </c>
      <c r="B99" t="s">
        <v>199</v>
      </c>
      <c r="C99">
        <v>45</v>
      </c>
      <c r="D99" t="s">
        <v>207</v>
      </c>
      <c r="E99" t="s">
        <v>208</v>
      </c>
      <c r="F99" t="s">
        <v>33</v>
      </c>
      <c r="G99" t="s">
        <v>122</v>
      </c>
      <c r="H99" t="s">
        <v>103</v>
      </c>
      <c r="I99" t="s">
        <v>103</v>
      </c>
    </row>
    <row r="101" spans="1:9" x14ac:dyDescent="0.3">
      <c r="A101" t="s">
        <v>209</v>
      </c>
    </row>
    <row r="102" spans="1:9" x14ac:dyDescent="0.3">
      <c r="A102" t="s">
        <v>36</v>
      </c>
      <c r="B102" t="s">
        <v>210</v>
      </c>
      <c r="C102" t="s">
        <v>24</v>
      </c>
      <c r="D102" t="s">
        <v>178</v>
      </c>
      <c r="E102" t="s">
        <v>179</v>
      </c>
      <c r="F102" t="s">
        <v>180</v>
      </c>
      <c r="G102" t="s">
        <v>181</v>
      </c>
      <c r="H102" t="s">
        <v>182</v>
      </c>
      <c r="I102" t="s">
        <v>183</v>
      </c>
    </row>
    <row r="103" spans="1:9" s="3" customFormat="1" x14ac:dyDescent="0.3">
      <c r="A103" s="3" t="s">
        <v>25</v>
      </c>
      <c r="B103" s="3" t="s">
        <v>211</v>
      </c>
      <c r="C103" s="3">
        <v>12</v>
      </c>
      <c r="D103" s="3" t="s">
        <v>184</v>
      </c>
      <c r="E103" s="3" t="s">
        <v>137</v>
      </c>
      <c r="F103" s="3" t="s">
        <v>103</v>
      </c>
      <c r="G103" s="3" t="s">
        <v>103</v>
      </c>
      <c r="H103" s="3" t="s">
        <v>103</v>
      </c>
      <c r="I103" s="3" t="s">
        <v>103</v>
      </c>
    </row>
    <row r="104" spans="1:9" s="3" customFormat="1" x14ac:dyDescent="0.3">
      <c r="A104" s="3" t="s">
        <v>26</v>
      </c>
      <c r="B104" s="3" t="s">
        <v>211</v>
      </c>
      <c r="C104" s="3">
        <v>4</v>
      </c>
      <c r="D104" s="3" t="s">
        <v>192</v>
      </c>
      <c r="E104" s="3" t="s">
        <v>103</v>
      </c>
      <c r="F104" s="3" t="s">
        <v>103</v>
      </c>
      <c r="G104" s="3" t="s">
        <v>103</v>
      </c>
      <c r="H104" s="3" t="s">
        <v>103</v>
      </c>
      <c r="I104" s="3" t="s">
        <v>103</v>
      </c>
    </row>
    <row r="105" spans="1:9" s="3" customFormat="1" x14ac:dyDescent="0.3">
      <c r="A105" s="3" t="s">
        <v>26</v>
      </c>
      <c r="B105" s="3" t="s">
        <v>212</v>
      </c>
      <c r="C105" s="3">
        <v>15</v>
      </c>
      <c r="D105" s="3" t="s">
        <v>213</v>
      </c>
      <c r="E105" s="3" t="s">
        <v>103</v>
      </c>
      <c r="F105" s="3" t="s">
        <v>214</v>
      </c>
      <c r="G105" s="3" t="s">
        <v>103</v>
      </c>
      <c r="H105" s="3" t="s">
        <v>103</v>
      </c>
      <c r="I105" s="3" t="s">
        <v>103</v>
      </c>
    </row>
    <row r="106" spans="1:9" s="3" customFormat="1" x14ac:dyDescent="0.3">
      <c r="A106" s="3" t="s">
        <v>29</v>
      </c>
      <c r="B106" s="3" t="s">
        <v>211</v>
      </c>
      <c r="C106" s="3">
        <v>28</v>
      </c>
      <c r="D106" s="3" t="s">
        <v>187</v>
      </c>
      <c r="E106" s="3" t="s">
        <v>103</v>
      </c>
      <c r="F106" s="3" t="s">
        <v>102</v>
      </c>
      <c r="G106" s="3" t="s">
        <v>103</v>
      </c>
      <c r="H106" s="3" t="s">
        <v>70</v>
      </c>
      <c r="I106" s="3" t="s">
        <v>188</v>
      </c>
    </row>
    <row r="107" spans="1:9" s="3" customFormat="1" x14ac:dyDescent="0.3">
      <c r="A107" s="3" t="s">
        <v>28</v>
      </c>
      <c r="B107" s="3" t="s">
        <v>211</v>
      </c>
      <c r="C107" s="3">
        <v>7</v>
      </c>
      <c r="D107" s="3" t="s">
        <v>189</v>
      </c>
      <c r="E107" s="3" t="s">
        <v>190</v>
      </c>
      <c r="F107" s="3" t="s">
        <v>103</v>
      </c>
      <c r="G107" s="3" t="s">
        <v>191</v>
      </c>
      <c r="H107" s="3" t="s">
        <v>103</v>
      </c>
      <c r="I107" s="3" t="s">
        <v>103</v>
      </c>
    </row>
    <row r="108" spans="1:9" s="3" customFormat="1" x14ac:dyDescent="0.3">
      <c r="A108" s="3" t="s">
        <v>27</v>
      </c>
      <c r="B108" s="3" t="s">
        <v>211</v>
      </c>
      <c r="C108" s="3">
        <v>5</v>
      </c>
      <c r="D108" s="3" t="s">
        <v>192</v>
      </c>
      <c r="E108" s="3" t="s">
        <v>103</v>
      </c>
      <c r="F108" s="3" t="s">
        <v>103</v>
      </c>
      <c r="G108" s="3" t="s">
        <v>103</v>
      </c>
      <c r="H108" s="3" t="s">
        <v>103</v>
      </c>
      <c r="I108" s="3" t="s">
        <v>103</v>
      </c>
    </row>
    <row r="109" spans="1:9" x14ac:dyDescent="0.3">
      <c r="A109" t="s">
        <v>41</v>
      </c>
      <c r="B109" t="s">
        <v>211</v>
      </c>
      <c r="C109">
        <v>56</v>
      </c>
      <c r="D109" t="s">
        <v>215</v>
      </c>
      <c r="E109" t="s">
        <v>216</v>
      </c>
      <c r="F109" t="s">
        <v>217</v>
      </c>
      <c r="G109" t="s">
        <v>116</v>
      </c>
      <c r="H109" t="s">
        <v>114</v>
      </c>
      <c r="I109" t="s">
        <v>64</v>
      </c>
    </row>
    <row r="110" spans="1:9" s="3" customFormat="1" x14ac:dyDescent="0.3">
      <c r="A110" s="3" t="s">
        <v>41</v>
      </c>
      <c r="B110" s="3" t="s">
        <v>212</v>
      </c>
      <c r="C110" s="3">
        <v>15</v>
      </c>
      <c r="D110" s="3" t="s">
        <v>213</v>
      </c>
      <c r="E110" s="3" t="s">
        <v>103</v>
      </c>
      <c r="F110" s="3" t="s">
        <v>214</v>
      </c>
      <c r="G110" s="3" t="s">
        <v>103</v>
      </c>
      <c r="H110" s="3" t="s">
        <v>103</v>
      </c>
      <c r="I110" s="3" t="s">
        <v>103</v>
      </c>
    </row>
    <row r="112" spans="1:9" x14ac:dyDescent="0.3">
      <c r="A112" t="s">
        <v>218</v>
      </c>
    </row>
    <row r="113" spans="1:8" x14ac:dyDescent="0.3">
      <c r="A113" t="s">
        <v>36</v>
      </c>
      <c r="B113" t="s">
        <v>24</v>
      </c>
      <c r="C113" t="s">
        <v>219</v>
      </c>
      <c r="D113" t="s">
        <v>220</v>
      </c>
      <c r="E113" t="s">
        <v>221</v>
      </c>
      <c r="F113" t="s">
        <v>222</v>
      </c>
      <c r="G113" t="s">
        <v>223</v>
      </c>
      <c r="H113" t="s">
        <v>87</v>
      </c>
    </row>
    <row r="114" spans="1:8" x14ac:dyDescent="0.3">
      <c r="A114" t="s">
        <v>25</v>
      </c>
      <c r="B114">
        <v>923</v>
      </c>
      <c r="C114" t="s">
        <v>224</v>
      </c>
      <c r="D114" t="s">
        <v>91</v>
      </c>
      <c r="E114" t="s">
        <v>225</v>
      </c>
      <c r="F114" t="s">
        <v>226</v>
      </c>
      <c r="G114" t="s">
        <v>103</v>
      </c>
      <c r="H114" t="s">
        <v>103</v>
      </c>
    </row>
    <row r="115" spans="1:8" x14ac:dyDescent="0.3">
      <c r="A115" t="s">
        <v>26</v>
      </c>
      <c r="B115">
        <v>1071</v>
      </c>
      <c r="C115" t="s">
        <v>125</v>
      </c>
      <c r="D115" t="s">
        <v>91</v>
      </c>
      <c r="E115" t="s">
        <v>227</v>
      </c>
      <c r="F115" t="s">
        <v>228</v>
      </c>
      <c r="G115" t="s">
        <v>103</v>
      </c>
      <c r="H115" t="s">
        <v>103</v>
      </c>
    </row>
    <row r="116" spans="1:8" x14ac:dyDescent="0.3">
      <c r="A116" t="s">
        <v>29</v>
      </c>
      <c r="B116">
        <v>1249</v>
      </c>
      <c r="C116" t="s">
        <v>60</v>
      </c>
      <c r="D116" t="s">
        <v>116</v>
      </c>
      <c r="E116" t="s">
        <v>229</v>
      </c>
      <c r="F116" t="s">
        <v>230</v>
      </c>
      <c r="G116" t="s">
        <v>103</v>
      </c>
      <c r="H116" t="s">
        <v>91</v>
      </c>
    </row>
    <row r="117" spans="1:8" x14ac:dyDescent="0.3">
      <c r="A117" t="s">
        <v>28</v>
      </c>
      <c r="B117">
        <v>552</v>
      </c>
      <c r="C117" t="s">
        <v>144</v>
      </c>
      <c r="D117" t="s">
        <v>116</v>
      </c>
      <c r="E117" t="s">
        <v>231</v>
      </c>
      <c r="F117" t="s">
        <v>121</v>
      </c>
      <c r="G117" t="s">
        <v>91</v>
      </c>
      <c r="H117" t="s">
        <v>103</v>
      </c>
    </row>
    <row r="118" spans="1:8" x14ac:dyDescent="0.3">
      <c r="A118" t="s">
        <v>27</v>
      </c>
      <c r="B118">
        <v>541</v>
      </c>
      <c r="C118" t="s">
        <v>232</v>
      </c>
      <c r="D118" t="s">
        <v>103</v>
      </c>
      <c r="E118" t="s">
        <v>233</v>
      </c>
      <c r="F118" t="s">
        <v>234</v>
      </c>
      <c r="G118" t="s">
        <v>103</v>
      </c>
      <c r="H118" t="s">
        <v>103</v>
      </c>
    </row>
    <row r="119" spans="1:8" x14ac:dyDescent="0.3">
      <c r="A119" t="s">
        <v>41</v>
      </c>
      <c r="B119">
        <v>4336</v>
      </c>
      <c r="C119" t="s">
        <v>190</v>
      </c>
      <c r="D119" t="s">
        <v>66</v>
      </c>
      <c r="E119" t="s">
        <v>235</v>
      </c>
      <c r="F119" t="s">
        <v>236</v>
      </c>
      <c r="G119" t="s">
        <v>103</v>
      </c>
      <c r="H119" t="s">
        <v>103</v>
      </c>
    </row>
    <row r="121" spans="1:8" x14ac:dyDescent="0.3">
      <c r="A121" t="s">
        <v>237</v>
      </c>
    </row>
    <row r="122" spans="1:8" x14ac:dyDescent="0.3">
      <c r="A122" t="s">
        <v>36</v>
      </c>
      <c r="B122" t="s">
        <v>24</v>
      </c>
      <c r="C122" t="s">
        <v>219</v>
      </c>
      <c r="D122" t="s">
        <v>220</v>
      </c>
      <c r="E122" t="s">
        <v>221</v>
      </c>
      <c r="F122" t="s">
        <v>222</v>
      </c>
      <c r="G122" t="s">
        <v>223</v>
      </c>
      <c r="H122" t="s">
        <v>87</v>
      </c>
    </row>
    <row r="123" spans="1:8" x14ac:dyDescent="0.3">
      <c r="A123" t="s">
        <v>25</v>
      </c>
      <c r="B123">
        <v>923</v>
      </c>
      <c r="C123" t="s">
        <v>195</v>
      </c>
      <c r="D123" t="s">
        <v>91</v>
      </c>
      <c r="E123" t="s">
        <v>238</v>
      </c>
      <c r="F123" t="s">
        <v>167</v>
      </c>
      <c r="G123" t="s">
        <v>103</v>
      </c>
      <c r="H123" t="s">
        <v>103</v>
      </c>
    </row>
    <row r="124" spans="1:8" x14ac:dyDescent="0.3">
      <c r="A124" t="s">
        <v>26</v>
      </c>
      <c r="B124">
        <v>1071</v>
      </c>
      <c r="C124" t="s">
        <v>239</v>
      </c>
      <c r="D124" t="s">
        <v>91</v>
      </c>
      <c r="E124" t="s">
        <v>240</v>
      </c>
      <c r="F124" t="s">
        <v>126</v>
      </c>
      <c r="G124" t="s">
        <v>103</v>
      </c>
      <c r="H124" t="s">
        <v>103</v>
      </c>
    </row>
    <row r="125" spans="1:8" x14ac:dyDescent="0.3">
      <c r="A125" t="s">
        <v>29</v>
      </c>
      <c r="B125">
        <v>1249</v>
      </c>
      <c r="C125" t="s">
        <v>64</v>
      </c>
      <c r="D125" t="s">
        <v>116</v>
      </c>
      <c r="E125" t="s">
        <v>241</v>
      </c>
      <c r="F125" t="s">
        <v>242</v>
      </c>
      <c r="G125" t="s">
        <v>103</v>
      </c>
      <c r="H125" t="s">
        <v>91</v>
      </c>
    </row>
    <row r="126" spans="1:8" x14ac:dyDescent="0.3">
      <c r="A126" t="s">
        <v>28</v>
      </c>
      <c r="B126">
        <v>552</v>
      </c>
      <c r="C126" t="s">
        <v>33</v>
      </c>
      <c r="D126" t="s">
        <v>103</v>
      </c>
      <c r="E126" t="s">
        <v>243</v>
      </c>
      <c r="F126" t="s">
        <v>244</v>
      </c>
      <c r="G126" t="s">
        <v>91</v>
      </c>
      <c r="H126" t="s">
        <v>103</v>
      </c>
    </row>
    <row r="127" spans="1:8" x14ac:dyDescent="0.3">
      <c r="A127" t="s">
        <v>27</v>
      </c>
      <c r="B127">
        <v>541</v>
      </c>
      <c r="C127" t="s">
        <v>245</v>
      </c>
      <c r="D127" t="s">
        <v>95</v>
      </c>
      <c r="E127" t="s">
        <v>168</v>
      </c>
      <c r="F127" t="s">
        <v>117</v>
      </c>
      <c r="G127" t="s">
        <v>103</v>
      </c>
      <c r="H127" t="s">
        <v>103</v>
      </c>
    </row>
    <row r="128" spans="1:8" x14ac:dyDescent="0.3">
      <c r="A128" t="s">
        <v>41</v>
      </c>
      <c r="B128">
        <v>4336</v>
      </c>
      <c r="C128" t="s">
        <v>217</v>
      </c>
      <c r="D128" t="s">
        <v>66</v>
      </c>
      <c r="E128" t="s">
        <v>246</v>
      </c>
      <c r="F128" t="s">
        <v>247</v>
      </c>
      <c r="G128" t="s">
        <v>103</v>
      </c>
      <c r="H128" t="s">
        <v>103</v>
      </c>
    </row>
    <row r="130" spans="1:8" x14ac:dyDescent="0.3">
      <c r="A130" t="s">
        <v>248</v>
      </c>
    </row>
    <row r="131" spans="1:8" x14ac:dyDescent="0.3">
      <c r="A131" t="s">
        <v>36</v>
      </c>
      <c r="B131" t="s">
        <v>24</v>
      </c>
      <c r="C131" t="s">
        <v>219</v>
      </c>
      <c r="D131" t="s">
        <v>220</v>
      </c>
      <c r="E131" t="s">
        <v>221</v>
      </c>
      <c r="F131" t="s">
        <v>222</v>
      </c>
      <c r="G131" t="s">
        <v>223</v>
      </c>
      <c r="H131" t="s">
        <v>87</v>
      </c>
    </row>
    <row r="132" spans="1:8" x14ac:dyDescent="0.3">
      <c r="A132" t="s">
        <v>25</v>
      </c>
      <c r="B132">
        <v>923</v>
      </c>
      <c r="C132" t="s">
        <v>119</v>
      </c>
      <c r="D132" t="s">
        <v>194</v>
      </c>
      <c r="E132" t="s">
        <v>249</v>
      </c>
      <c r="F132" t="s">
        <v>250</v>
      </c>
      <c r="G132" t="s">
        <v>103</v>
      </c>
      <c r="H132" t="s">
        <v>103</v>
      </c>
    </row>
    <row r="133" spans="1:8" x14ac:dyDescent="0.3">
      <c r="A133" t="s">
        <v>26</v>
      </c>
      <c r="B133">
        <v>1071</v>
      </c>
      <c r="C133" t="s">
        <v>251</v>
      </c>
      <c r="D133" t="s">
        <v>194</v>
      </c>
      <c r="E133" t="s">
        <v>252</v>
      </c>
      <c r="F133" t="s">
        <v>253</v>
      </c>
      <c r="G133" t="s">
        <v>103</v>
      </c>
      <c r="H133" t="s">
        <v>103</v>
      </c>
    </row>
    <row r="134" spans="1:8" x14ac:dyDescent="0.3">
      <c r="A134" t="s">
        <v>29</v>
      </c>
      <c r="B134">
        <v>1249</v>
      </c>
      <c r="C134" t="s">
        <v>254</v>
      </c>
      <c r="D134" t="s">
        <v>194</v>
      </c>
      <c r="E134" t="s">
        <v>255</v>
      </c>
      <c r="F134" t="s">
        <v>256</v>
      </c>
      <c r="G134" t="s">
        <v>91</v>
      </c>
      <c r="H134" t="s">
        <v>91</v>
      </c>
    </row>
    <row r="135" spans="1:8" x14ac:dyDescent="0.3">
      <c r="A135" t="s">
        <v>28</v>
      </c>
      <c r="B135">
        <v>552</v>
      </c>
      <c r="C135" t="s">
        <v>111</v>
      </c>
      <c r="D135" t="s">
        <v>257</v>
      </c>
      <c r="E135" t="s">
        <v>258</v>
      </c>
      <c r="F135" t="s">
        <v>259</v>
      </c>
      <c r="G135" t="s">
        <v>91</v>
      </c>
      <c r="H135" t="s">
        <v>103</v>
      </c>
    </row>
    <row r="136" spans="1:8" x14ac:dyDescent="0.3">
      <c r="A136" t="s">
        <v>27</v>
      </c>
      <c r="B136">
        <v>541</v>
      </c>
      <c r="C136" t="s">
        <v>60</v>
      </c>
      <c r="D136" t="s">
        <v>216</v>
      </c>
      <c r="E136" t="s">
        <v>260</v>
      </c>
      <c r="F136" t="s">
        <v>261</v>
      </c>
      <c r="G136" t="s">
        <v>103</v>
      </c>
      <c r="H136" t="s">
        <v>103</v>
      </c>
    </row>
    <row r="137" spans="1:8" x14ac:dyDescent="0.3">
      <c r="A137" t="s">
        <v>41</v>
      </c>
      <c r="B137">
        <v>4336</v>
      </c>
      <c r="C137" t="s">
        <v>262</v>
      </c>
      <c r="D137" t="s">
        <v>110</v>
      </c>
      <c r="E137" t="s">
        <v>263</v>
      </c>
      <c r="F137" t="s">
        <v>264</v>
      </c>
      <c r="G137" t="s">
        <v>103</v>
      </c>
      <c r="H137" t="s">
        <v>103</v>
      </c>
    </row>
    <row r="139" spans="1:8" x14ac:dyDescent="0.3">
      <c r="A139" t="s">
        <v>265</v>
      </c>
    </row>
    <row r="140" spans="1:8" x14ac:dyDescent="0.3">
      <c r="A140" t="s">
        <v>36</v>
      </c>
      <c r="B140" t="s">
        <v>24</v>
      </c>
      <c r="C140" t="s">
        <v>219</v>
      </c>
      <c r="D140" t="s">
        <v>220</v>
      </c>
      <c r="E140" t="s">
        <v>221</v>
      </c>
      <c r="F140" t="s">
        <v>222</v>
      </c>
      <c r="G140" t="s">
        <v>223</v>
      </c>
      <c r="H140" t="s">
        <v>87</v>
      </c>
    </row>
    <row r="141" spans="1:8" x14ac:dyDescent="0.3">
      <c r="A141" t="s">
        <v>25</v>
      </c>
      <c r="B141">
        <v>923</v>
      </c>
      <c r="C141" t="s">
        <v>266</v>
      </c>
      <c r="D141" t="s">
        <v>116</v>
      </c>
      <c r="E141" t="s">
        <v>267</v>
      </c>
      <c r="F141" t="s">
        <v>268</v>
      </c>
      <c r="G141" t="s">
        <v>103</v>
      </c>
      <c r="H141" t="s">
        <v>103</v>
      </c>
    </row>
    <row r="142" spans="1:8" x14ac:dyDescent="0.3">
      <c r="A142" t="s">
        <v>26</v>
      </c>
      <c r="B142">
        <v>1071</v>
      </c>
      <c r="C142" t="s">
        <v>118</v>
      </c>
      <c r="D142" t="s">
        <v>103</v>
      </c>
      <c r="E142" t="s">
        <v>165</v>
      </c>
      <c r="F142" t="s">
        <v>269</v>
      </c>
      <c r="G142" t="s">
        <v>103</v>
      </c>
      <c r="H142" t="s">
        <v>103</v>
      </c>
    </row>
    <row r="143" spans="1:8" x14ac:dyDescent="0.3">
      <c r="A143" t="s">
        <v>29</v>
      </c>
      <c r="B143">
        <v>1249</v>
      </c>
      <c r="C143" t="s">
        <v>270</v>
      </c>
      <c r="D143" t="s">
        <v>66</v>
      </c>
      <c r="E143" t="s">
        <v>161</v>
      </c>
      <c r="F143" t="s">
        <v>271</v>
      </c>
      <c r="G143" t="s">
        <v>103</v>
      </c>
      <c r="H143" t="s">
        <v>91</v>
      </c>
    </row>
    <row r="144" spans="1:8" x14ac:dyDescent="0.3">
      <c r="A144" t="s">
        <v>28</v>
      </c>
      <c r="B144">
        <v>552</v>
      </c>
      <c r="C144" t="s">
        <v>272</v>
      </c>
      <c r="D144" t="s">
        <v>122</v>
      </c>
      <c r="E144" t="s">
        <v>49</v>
      </c>
      <c r="F144" t="s">
        <v>273</v>
      </c>
      <c r="G144" t="s">
        <v>91</v>
      </c>
      <c r="H144" t="s">
        <v>103</v>
      </c>
    </row>
    <row r="145" spans="1:8" x14ac:dyDescent="0.3">
      <c r="A145" t="s">
        <v>27</v>
      </c>
      <c r="B145">
        <v>541</v>
      </c>
      <c r="C145" t="s">
        <v>93</v>
      </c>
      <c r="D145" t="s">
        <v>103</v>
      </c>
      <c r="E145" t="s">
        <v>274</v>
      </c>
      <c r="F145" t="s">
        <v>275</v>
      </c>
      <c r="G145" t="s">
        <v>103</v>
      </c>
      <c r="H145" t="s">
        <v>103</v>
      </c>
    </row>
    <row r="146" spans="1:8" x14ac:dyDescent="0.3">
      <c r="A146" t="s">
        <v>41</v>
      </c>
      <c r="B146">
        <v>4336</v>
      </c>
      <c r="C146" t="s">
        <v>266</v>
      </c>
      <c r="D146" t="s">
        <v>91</v>
      </c>
      <c r="E146" t="s">
        <v>276</v>
      </c>
      <c r="F146" t="s">
        <v>167</v>
      </c>
      <c r="G146" t="s">
        <v>103</v>
      </c>
      <c r="H146" t="s">
        <v>103</v>
      </c>
    </row>
    <row r="148" spans="1:8" x14ac:dyDescent="0.3">
      <c r="A148" t="s">
        <v>277</v>
      </c>
    </row>
    <row r="149" spans="1:8" x14ac:dyDescent="0.3">
      <c r="A149" t="s">
        <v>36</v>
      </c>
      <c r="B149" t="s">
        <v>24</v>
      </c>
      <c r="C149" t="s">
        <v>219</v>
      </c>
      <c r="D149" t="s">
        <v>220</v>
      </c>
      <c r="E149" t="s">
        <v>221</v>
      </c>
      <c r="F149" t="s">
        <v>222</v>
      </c>
      <c r="G149" t="s">
        <v>223</v>
      </c>
      <c r="H149" t="s">
        <v>87</v>
      </c>
    </row>
    <row r="150" spans="1:8" x14ac:dyDescent="0.3">
      <c r="A150" t="s">
        <v>25</v>
      </c>
      <c r="B150">
        <v>923</v>
      </c>
      <c r="C150" t="s">
        <v>194</v>
      </c>
      <c r="D150" t="s">
        <v>98</v>
      </c>
      <c r="E150" t="s">
        <v>207</v>
      </c>
      <c r="F150" t="s">
        <v>278</v>
      </c>
      <c r="G150" t="s">
        <v>103</v>
      </c>
      <c r="H150" t="s">
        <v>103</v>
      </c>
    </row>
    <row r="151" spans="1:8" x14ac:dyDescent="0.3">
      <c r="A151" t="s">
        <v>26</v>
      </c>
      <c r="B151">
        <v>1071</v>
      </c>
      <c r="C151" t="s">
        <v>194</v>
      </c>
      <c r="D151" t="s">
        <v>120</v>
      </c>
      <c r="E151" t="s">
        <v>279</v>
      </c>
      <c r="F151" t="s">
        <v>270</v>
      </c>
      <c r="G151" t="s">
        <v>103</v>
      </c>
      <c r="H151" t="s">
        <v>103</v>
      </c>
    </row>
    <row r="152" spans="1:8" x14ac:dyDescent="0.3">
      <c r="A152" t="s">
        <v>29</v>
      </c>
      <c r="B152">
        <v>1249</v>
      </c>
      <c r="C152" t="s">
        <v>68</v>
      </c>
      <c r="D152" t="s">
        <v>97</v>
      </c>
      <c r="E152" t="s">
        <v>280</v>
      </c>
      <c r="F152" t="s">
        <v>281</v>
      </c>
      <c r="G152" t="s">
        <v>103</v>
      </c>
      <c r="H152" t="s">
        <v>91</v>
      </c>
    </row>
    <row r="153" spans="1:8" x14ac:dyDescent="0.3">
      <c r="A153" t="s">
        <v>28</v>
      </c>
      <c r="B153">
        <v>552</v>
      </c>
      <c r="C153" t="s">
        <v>194</v>
      </c>
      <c r="D153" t="s">
        <v>282</v>
      </c>
      <c r="E153" t="s">
        <v>176</v>
      </c>
      <c r="F153" t="s">
        <v>123</v>
      </c>
      <c r="G153" t="s">
        <v>91</v>
      </c>
      <c r="H153" t="s">
        <v>103</v>
      </c>
    </row>
    <row r="154" spans="1:8" x14ac:dyDescent="0.3">
      <c r="A154" t="s">
        <v>27</v>
      </c>
      <c r="B154">
        <v>541</v>
      </c>
      <c r="C154" t="s">
        <v>208</v>
      </c>
      <c r="D154" t="s">
        <v>66</v>
      </c>
      <c r="E154" t="s">
        <v>159</v>
      </c>
      <c r="F154" t="s">
        <v>224</v>
      </c>
      <c r="G154" t="s">
        <v>103</v>
      </c>
      <c r="H154" t="s">
        <v>103</v>
      </c>
    </row>
    <row r="155" spans="1:8" x14ac:dyDescent="0.3">
      <c r="A155" t="s">
        <v>41</v>
      </c>
      <c r="B155">
        <v>4336</v>
      </c>
      <c r="C155" t="s">
        <v>93</v>
      </c>
      <c r="D155" t="s">
        <v>120</v>
      </c>
      <c r="E155" t="s">
        <v>283</v>
      </c>
      <c r="F155" t="s">
        <v>284</v>
      </c>
      <c r="G155" t="s">
        <v>103</v>
      </c>
      <c r="H155" t="s">
        <v>103</v>
      </c>
    </row>
    <row r="157" spans="1:8" x14ac:dyDescent="0.3">
      <c r="A157" t="s">
        <v>285</v>
      </c>
    </row>
    <row r="158" spans="1:8" x14ac:dyDescent="0.3">
      <c r="A158" t="s">
        <v>36</v>
      </c>
      <c r="B158" t="s">
        <v>24</v>
      </c>
      <c r="C158" t="s">
        <v>219</v>
      </c>
      <c r="D158" t="s">
        <v>220</v>
      </c>
      <c r="E158" t="s">
        <v>221</v>
      </c>
      <c r="F158" t="s">
        <v>222</v>
      </c>
      <c r="G158" t="s">
        <v>223</v>
      </c>
      <c r="H158" t="s">
        <v>87</v>
      </c>
    </row>
    <row r="159" spans="1:8" x14ac:dyDescent="0.3">
      <c r="A159" t="s">
        <v>25</v>
      </c>
      <c r="B159">
        <v>923</v>
      </c>
      <c r="C159" t="s">
        <v>139</v>
      </c>
      <c r="D159" t="s">
        <v>116</v>
      </c>
      <c r="E159" t="s">
        <v>286</v>
      </c>
      <c r="F159" t="s">
        <v>217</v>
      </c>
      <c r="G159" t="s">
        <v>103</v>
      </c>
      <c r="H159" t="s">
        <v>103</v>
      </c>
    </row>
    <row r="160" spans="1:8" x14ac:dyDescent="0.3">
      <c r="A160" t="s">
        <v>26</v>
      </c>
      <c r="B160">
        <v>1071</v>
      </c>
      <c r="C160" t="s">
        <v>98</v>
      </c>
      <c r="D160" t="s">
        <v>103</v>
      </c>
      <c r="E160" t="s">
        <v>287</v>
      </c>
      <c r="F160" t="s">
        <v>68</v>
      </c>
      <c r="G160" t="s">
        <v>103</v>
      </c>
      <c r="H160" t="s">
        <v>103</v>
      </c>
    </row>
    <row r="161" spans="1:8" x14ac:dyDescent="0.3">
      <c r="A161" t="s">
        <v>29</v>
      </c>
      <c r="B161">
        <v>1249</v>
      </c>
      <c r="C161" t="s">
        <v>208</v>
      </c>
      <c r="D161" t="s">
        <v>91</v>
      </c>
      <c r="E161" t="s">
        <v>288</v>
      </c>
      <c r="F161" t="s">
        <v>188</v>
      </c>
      <c r="G161" t="s">
        <v>103</v>
      </c>
      <c r="H161" t="s">
        <v>91</v>
      </c>
    </row>
    <row r="162" spans="1:8" x14ac:dyDescent="0.3">
      <c r="A162" t="s">
        <v>28</v>
      </c>
      <c r="B162">
        <v>552</v>
      </c>
      <c r="C162" t="s">
        <v>98</v>
      </c>
      <c r="D162" t="s">
        <v>282</v>
      </c>
      <c r="E162" t="s">
        <v>184</v>
      </c>
      <c r="F162" t="s">
        <v>101</v>
      </c>
      <c r="G162" t="s">
        <v>91</v>
      </c>
      <c r="H162" t="s">
        <v>103</v>
      </c>
    </row>
    <row r="163" spans="1:8" x14ac:dyDescent="0.3">
      <c r="A163" t="s">
        <v>27</v>
      </c>
      <c r="B163">
        <v>541</v>
      </c>
      <c r="C163" t="s">
        <v>139</v>
      </c>
      <c r="D163" t="s">
        <v>103</v>
      </c>
      <c r="E163" t="s">
        <v>288</v>
      </c>
      <c r="F163" t="s">
        <v>281</v>
      </c>
      <c r="G163" t="s">
        <v>103</v>
      </c>
      <c r="H163" t="s">
        <v>103</v>
      </c>
    </row>
    <row r="164" spans="1:8" x14ac:dyDescent="0.3">
      <c r="A164" t="s">
        <v>41</v>
      </c>
      <c r="B164">
        <v>4336</v>
      </c>
      <c r="C164" t="s">
        <v>110</v>
      </c>
      <c r="D164" t="s">
        <v>91</v>
      </c>
      <c r="E164" t="s">
        <v>289</v>
      </c>
      <c r="F164" t="s">
        <v>125</v>
      </c>
      <c r="G164" t="s">
        <v>103</v>
      </c>
      <c r="H164" t="s">
        <v>103</v>
      </c>
    </row>
    <row r="166" spans="1:8" x14ac:dyDescent="0.3">
      <c r="A166" t="s">
        <v>290</v>
      </c>
    </row>
    <row r="167" spans="1:8" x14ac:dyDescent="0.3">
      <c r="A167" t="s">
        <v>36</v>
      </c>
      <c r="B167" t="s">
        <v>24</v>
      </c>
      <c r="C167" t="s">
        <v>291</v>
      </c>
      <c r="D167" t="s">
        <v>292</v>
      </c>
    </row>
    <row r="168" spans="1:8" x14ac:dyDescent="0.3">
      <c r="A168" t="s">
        <v>25</v>
      </c>
      <c r="B168">
        <v>410</v>
      </c>
      <c r="C168" t="s">
        <v>293</v>
      </c>
      <c r="D168" t="s">
        <v>294</v>
      </c>
    </row>
    <row r="169" spans="1:8" x14ac:dyDescent="0.3">
      <c r="A169" t="s">
        <v>26</v>
      </c>
      <c r="B169">
        <v>474</v>
      </c>
      <c r="C169" t="s">
        <v>295</v>
      </c>
      <c r="D169" t="s">
        <v>296</v>
      </c>
    </row>
    <row r="170" spans="1:8" x14ac:dyDescent="0.3">
      <c r="A170" t="s">
        <v>29</v>
      </c>
      <c r="B170">
        <v>530</v>
      </c>
      <c r="C170" t="s">
        <v>297</v>
      </c>
      <c r="D170" t="s">
        <v>298</v>
      </c>
    </row>
    <row r="171" spans="1:8" x14ac:dyDescent="0.3">
      <c r="A171" t="s">
        <v>28</v>
      </c>
      <c r="B171">
        <v>305</v>
      </c>
      <c r="C171" t="s">
        <v>299</v>
      </c>
      <c r="D171" t="s">
        <v>300</v>
      </c>
    </row>
    <row r="172" spans="1:8" x14ac:dyDescent="0.3">
      <c r="A172" t="s">
        <v>27</v>
      </c>
      <c r="B172">
        <v>293</v>
      </c>
      <c r="C172" t="s">
        <v>301</v>
      </c>
      <c r="D172" t="s">
        <v>302</v>
      </c>
    </row>
    <row r="173" spans="1:8" x14ac:dyDescent="0.3">
      <c r="A173" t="s">
        <v>41</v>
      </c>
      <c r="B173">
        <v>2012</v>
      </c>
      <c r="C173" t="s">
        <v>303</v>
      </c>
      <c r="D173" t="s">
        <v>304</v>
      </c>
    </row>
    <row r="175" spans="1:8" x14ac:dyDescent="0.3">
      <c r="A175" t="s">
        <v>305</v>
      </c>
    </row>
    <row r="176" spans="1:8" x14ac:dyDescent="0.3">
      <c r="A176" t="s">
        <v>36</v>
      </c>
      <c r="B176" t="s">
        <v>24</v>
      </c>
      <c r="C176" t="s">
        <v>58</v>
      </c>
    </row>
    <row r="177" spans="1:4" x14ac:dyDescent="0.3">
      <c r="A177" t="s">
        <v>25</v>
      </c>
      <c r="B177">
        <v>414</v>
      </c>
      <c r="C177" t="s">
        <v>192</v>
      </c>
    </row>
    <row r="178" spans="1:4" x14ac:dyDescent="0.3">
      <c r="A178" t="s">
        <v>26</v>
      </c>
      <c r="B178">
        <v>477</v>
      </c>
      <c r="C178" t="s">
        <v>192</v>
      </c>
    </row>
    <row r="179" spans="1:4" x14ac:dyDescent="0.3">
      <c r="A179" t="s">
        <v>29</v>
      </c>
      <c r="B179">
        <v>530</v>
      </c>
      <c r="C179" t="s">
        <v>192</v>
      </c>
    </row>
    <row r="180" spans="1:4" x14ac:dyDescent="0.3">
      <c r="A180" t="s">
        <v>28</v>
      </c>
      <c r="B180">
        <v>317</v>
      </c>
      <c r="C180" t="s">
        <v>192</v>
      </c>
    </row>
    <row r="181" spans="1:4" x14ac:dyDescent="0.3">
      <c r="A181" t="s">
        <v>27</v>
      </c>
      <c r="B181">
        <v>300</v>
      </c>
      <c r="C181" t="s">
        <v>192</v>
      </c>
    </row>
    <row r="182" spans="1:4" x14ac:dyDescent="0.3">
      <c r="A182" t="s">
        <v>41</v>
      </c>
      <c r="B182">
        <v>2038</v>
      </c>
      <c r="C182" t="s">
        <v>192</v>
      </c>
    </row>
    <row r="184" spans="1:4" x14ac:dyDescent="0.3">
      <c r="A184" t="s">
        <v>306</v>
      </c>
    </row>
    <row r="185" spans="1:4" x14ac:dyDescent="0.3">
      <c r="A185" t="s">
        <v>36</v>
      </c>
      <c r="B185" t="s">
        <v>307</v>
      </c>
      <c r="C185" t="s">
        <v>24</v>
      </c>
      <c r="D185" t="s">
        <v>58</v>
      </c>
    </row>
    <row r="186" spans="1:4" x14ac:dyDescent="0.3">
      <c r="A186" t="s">
        <v>25</v>
      </c>
      <c r="B186" t="s">
        <v>291</v>
      </c>
      <c r="C186">
        <v>156</v>
      </c>
      <c r="D186" t="s">
        <v>192</v>
      </c>
    </row>
    <row r="187" spans="1:4" x14ac:dyDescent="0.3">
      <c r="A187" t="s">
        <v>25</v>
      </c>
      <c r="B187" t="s">
        <v>292</v>
      </c>
      <c r="C187">
        <v>254</v>
      </c>
      <c r="D187" t="s">
        <v>192</v>
      </c>
    </row>
    <row r="188" spans="1:4" x14ac:dyDescent="0.3">
      <c r="A188" t="s">
        <v>25</v>
      </c>
      <c r="B188" t="s">
        <v>308</v>
      </c>
      <c r="C188">
        <v>4</v>
      </c>
      <c r="D188" t="s">
        <v>192</v>
      </c>
    </row>
    <row r="189" spans="1:4" x14ac:dyDescent="0.3">
      <c r="A189" t="s">
        <v>26</v>
      </c>
      <c r="B189" t="s">
        <v>291</v>
      </c>
      <c r="C189">
        <v>122</v>
      </c>
      <c r="D189" t="s">
        <v>192</v>
      </c>
    </row>
    <row r="190" spans="1:4" x14ac:dyDescent="0.3">
      <c r="A190" t="s">
        <v>26</v>
      </c>
      <c r="B190" t="s">
        <v>292</v>
      </c>
      <c r="C190">
        <v>352</v>
      </c>
      <c r="D190" t="s">
        <v>192</v>
      </c>
    </row>
    <row r="191" spans="1:4" x14ac:dyDescent="0.3">
      <c r="A191" t="s">
        <v>26</v>
      </c>
      <c r="B191" t="s">
        <v>308</v>
      </c>
      <c r="C191">
        <v>3</v>
      </c>
      <c r="D191" t="s">
        <v>192</v>
      </c>
    </row>
    <row r="192" spans="1:4" x14ac:dyDescent="0.3">
      <c r="A192" t="s">
        <v>29</v>
      </c>
      <c r="B192" t="s">
        <v>291</v>
      </c>
      <c r="C192">
        <v>205</v>
      </c>
      <c r="D192" t="s">
        <v>192</v>
      </c>
    </row>
    <row r="193" spans="1:4" x14ac:dyDescent="0.3">
      <c r="A193" t="s">
        <v>29</v>
      </c>
      <c r="B193" t="s">
        <v>292</v>
      </c>
      <c r="C193">
        <v>325</v>
      </c>
      <c r="D193" t="s">
        <v>192</v>
      </c>
    </row>
    <row r="194" spans="1:4" x14ac:dyDescent="0.3">
      <c r="A194" t="s">
        <v>28</v>
      </c>
      <c r="B194" t="s">
        <v>291</v>
      </c>
      <c r="C194">
        <v>114</v>
      </c>
      <c r="D194" t="s">
        <v>192</v>
      </c>
    </row>
    <row r="195" spans="1:4" x14ac:dyDescent="0.3">
      <c r="A195" t="s">
        <v>28</v>
      </c>
      <c r="B195" t="s">
        <v>292</v>
      </c>
      <c r="C195">
        <v>191</v>
      </c>
      <c r="D195" t="s">
        <v>192</v>
      </c>
    </row>
    <row r="196" spans="1:4" x14ac:dyDescent="0.3">
      <c r="A196" t="s">
        <v>28</v>
      </c>
      <c r="B196" t="s">
        <v>308</v>
      </c>
      <c r="C196">
        <v>12</v>
      </c>
      <c r="D196" t="s">
        <v>192</v>
      </c>
    </row>
    <row r="197" spans="1:4" x14ac:dyDescent="0.3">
      <c r="A197" t="s">
        <v>27</v>
      </c>
      <c r="B197" t="s">
        <v>291</v>
      </c>
      <c r="C197">
        <v>95</v>
      </c>
      <c r="D197" t="s">
        <v>192</v>
      </c>
    </row>
    <row r="198" spans="1:4" x14ac:dyDescent="0.3">
      <c r="A198" t="s">
        <v>27</v>
      </c>
      <c r="B198" t="s">
        <v>292</v>
      </c>
      <c r="C198">
        <v>198</v>
      </c>
      <c r="D198" t="s">
        <v>192</v>
      </c>
    </row>
    <row r="199" spans="1:4" x14ac:dyDescent="0.3">
      <c r="A199" t="s">
        <v>27</v>
      </c>
      <c r="B199" t="s">
        <v>308</v>
      </c>
      <c r="C199">
        <v>7</v>
      </c>
      <c r="D199" t="s">
        <v>192</v>
      </c>
    </row>
    <row r="200" spans="1:4" x14ac:dyDescent="0.3">
      <c r="A200" t="s">
        <v>41</v>
      </c>
      <c r="B200" t="s">
        <v>291</v>
      </c>
      <c r="C200">
        <v>692</v>
      </c>
      <c r="D200" t="s">
        <v>192</v>
      </c>
    </row>
    <row r="201" spans="1:4" x14ac:dyDescent="0.3">
      <c r="A201" t="s">
        <v>41</v>
      </c>
      <c r="B201" t="s">
        <v>292</v>
      </c>
      <c r="C201">
        <v>1320</v>
      </c>
      <c r="D201" t="s">
        <v>192</v>
      </c>
    </row>
    <row r="202" spans="1:4" x14ac:dyDescent="0.3">
      <c r="A202" t="s">
        <v>41</v>
      </c>
      <c r="B202" t="s">
        <v>308</v>
      </c>
      <c r="C202">
        <v>26</v>
      </c>
      <c r="D202" t="s">
        <v>192</v>
      </c>
    </row>
    <row r="204" spans="1:4" x14ac:dyDescent="0.3">
      <c r="A204" t="s">
        <v>309</v>
      </c>
    </row>
    <row r="205" spans="1:4" x14ac:dyDescent="0.3">
      <c r="A205" t="s">
        <v>36</v>
      </c>
      <c r="B205" t="s">
        <v>310</v>
      </c>
      <c r="C205" t="s">
        <v>24</v>
      </c>
      <c r="D205" t="s">
        <v>58</v>
      </c>
    </row>
    <row r="206" spans="1:4" x14ac:dyDescent="0.3">
      <c r="A206" t="s">
        <v>25</v>
      </c>
      <c r="B206" t="s">
        <v>311</v>
      </c>
      <c r="C206">
        <v>324</v>
      </c>
      <c r="D206" t="s">
        <v>192</v>
      </c>
    </row>
    <row r="207" spans="1:4" x14ac:dyDescent="0.3">
      <c r="A207" t="s">
        <v>25</v>
      </c>
      <c r="B207" t="s">
        <v>312</v>
      </c>
      <c r="C207">
        <v>80</v>
      </c>
      <c r="D207" t="s">
        <v>192</v>
      </c>
    </row>
    <row r="208" spans="1:4" x14ac:dyDescent="0.3">
      <c r="A208" t="s">
        <v>25</v>
      </c>
      <c r="B208" t="s">
        <v>308</v>
      </c>
      <c r="C208">
        <v>10</v>
      </c>
      <c r="D208" t="s">
        <v>192</v>
      </c>
    </row>
    <row r="209" spans="1:4" x14ac:dyDescent="0.3">
      <c r="A209" t="s">
        <v>26</v>
      </c>
      <c r="B209" t="s">
        <v>311</v>
      </c>
      <c r="C209">
        <v>343</v>
      </c>
      <c r="D209" t="s">
        <v>192</v>
      </c>
    </row>
    <row r="210" spans="1:4" x14ac:dyDescent="0.3">
      <c r="A210" t="s">
        <v>26</v>
      </c>
      <c r="B210" t="s">
        <v>312</v>
      </c>
      <c r="C210">
        <v>96</v>
      </c>
      <c r="D210" t="s">
        <v>192</v>
      </c>
    </row>
    <row r="211" spans="1:4" x14ac:dyDescent="0.3">
      <c r="A211" t="s">
        <v>26</v>
      </c>
      <c r="B211" t="s">
        <v>308</v>
      </c>
      <c r="C211">
        <v>38</v>
      </c>
      <c r="D211" t="s">
        <v>192</v>
      </c>
    </row>
    <row r="212" spans="1:4" x14ac:dyDescent="0.3">
      <c r="A212" t="s">
        <v>29</v>
      </c>
      <c r="B212" t="s">
        <v>311</v>
      </c>
      <c r="C212">
        <v>414</v>
      </c>
      <c r="D212" t="s">
        <v>192</v>
      </c>
    </row>
    <row r="213" spans="1:4" x14ac:dyDescent="0.3">
      <c r="A213" t="s">
        <v>29</v>
      </c>
      <c r="B213" t="s">
        <v>312</v>
      </c>
      <c r="C213">
        <v>103</v>
      </c>
      <c r="D213" t="s">
        <v>192</v>
      </c>
    </row>
    <row r="214" spans="1:4" x14ac:dyDescent="0.3">
      <c r="A214" t="s">
        <v>29</v>
      </c>
      <c r="B214" t="s">
        <v>308</v>
      </c>
      <c r="C214">
        <v>13</v>
      </c>
      <c r="D214" t="s">
        <v>192</v>
      </c>
    </row>
    <row r="215" spans="1:4" x14ac:dyDescent="0.3">
      <c r="A215" t="s">
        <v>28</v>
      </c>
      <c r="B215" t="s">
        <v>311</v>
      </c>
      <c r="C215">
        <v>223</v>
      </c>
      <c r="D215" t="s">
        <v>192</v>
      </c>
    </row>
    <row r="216" spans="1:4" x14ac:dyDescent="0.3">
      <c r="A216" t="s">
        <v>28</v>
      </c>
      <c r="B216" t="s">
        <v>312</v>
      </c>
      <c r="C216">
        <v>93</v>
      </c>
      <c r="D216" t="s">
        <v>192</v>
      </c>
    </row>
    <row r="217" spans="1:4" x14ac:dyDescent="0.3">
      <c r="A217" t="s">
        <v>28</v>
      </c>
      <c r="B217" t="s">
        <v>308</v>
      </c>
      <c r="C217">
        <v>1</v>
      </c>
      <c r="D217" t="s">
        <v>192</v>
      </c>
    </row>
    <row r="218" spans="1:4" x14ac:dyDescent="0.3">
      <c r="A218" t="s">
        <v>27</v>
      </c>
      <c r="B218" t="s">
        <v>311</v>
      </c>
      <c r="C218">
        <v>237</v>
      </c>
      <c r="D218" t="s">
        <v>192</v>
      </c>
    </row>
    <row r="219" spans="1:4" x14ac:dyDescent="0.3">
      <c r="A219" t="s">
        <v>27</v>
      </c>
      <c r="B219" t="s">
        <v>312</v>
      </c>
      <c r="C219">
        <v>60</v>
      </c>
      <c r="D219" t="s">
        <v>192</v>
      </c>
    </row>
    <row r="220" spans="1:4" x14ac:dyDescent="0.3">
      <c r="A220" t="s">
        <v>27</v>
      </c>
      <c r="B220" t="s">
        <v>308</v>
      </c>
      <c r="C220">
        <v>3</v>
      </c>
      <c r="D220" t="s">
        <v>192</v>
      </c>
    </row>
    <row r="221" spans="1:4" x14ac:dyDescent="0.3">
      <c r="A221" t="s">
        <v>41</v>
      </c>
      <c r="B221" t="s">
        <v>311</v>
      </c>
      <c r="C221">
        <v>1541</v>
      </c>
      <c r="D221" t="s">
        <v>192</v>
      </c>
    </row>
    <row r="222" spans="1:4" x14ac:dyDescent="0.3">
      <c r="A222" t="s">
        <v>41</v>
      </c>
      <c r="B222" t="s">
        <v>312</v>
      </c>
      <c r="C222">
        <v>432</v>
      </c>
      <c r="D222" t="s">
        <v>192</v>
      </c>
    </row>
    <row r="223" spans="1:4" x14ac:dyDescent="0.3">
      <c r="A223" t="s">
        <v>41</v>
      </c>
      <c r="B223" t="s">
        <v>308</v>
      </c>
      <c r="C223">
        <v>65</v>
      </c>
      <c r="D223" t="s">
        <v>192</v>
      </c>
    </row>
    <row r="225" spans="1:4" x14ac:dyDescent="0.3">
      <c r="A225" t="s">
        <v>313</v>
      </c>
    </row>
    <row r="226" spans="1:4" x14ac:dyDescent="0.3">
      <c r="A226" t="s">
        <v>36</v>
      </c>
      <c r="B226" t="s">
        <v>197</v>
      </c>
      <c r="C226" t="s">
        <v>24</v>
      </c>
      <c r="D226" t="s">
        <v>58</v>
      </c>
    </row>
    <row r="227" spans="1:4" x14ac:dyDescent="0.3">
      <c r="A227" t="s">
        <v>25</v>
      </c>
      <c r="B227" t="s">
        <v>198</v>
      </c>
      <c r="C227">
        <v>104</v>
      </c>
      <c r="D227" t="s">
        <v>192</v>
      </c>
    </row>
    <row r="228" spans="1:4" x14ac:dyDescent="0.3">
      <c r="A228" t="s">
        <v>25</v>
      </c>
      <c r="B228" t="s">
        <v>199</v>
      </c>
      <c r="C228">
        <v>310</v>
      </c>
      <c r="D228" t="s">
        <v>192</v>
      </c>
    </row>
    <row r="229" spans="1:4" x14ac:dyDescent="0.3">
      <c r="A229" t="s">
        <v>26</v>
      </c>
      <c r="B229" t="s">
        <v>198</v>
      </c>
      <c r="C229">
        <v>41</v>
      </c>
      <c r="D229" t="s">
        <v>192</v>
      </c>
    </row>
    <row r="230" spans="1:4" x14ac:dyDescent="0.3">
      <c r="A230" t="s">
        <v>26</v>
      </c>
      <c r="B230" t="s">
        <v>199</v>
      </c>
      <c r="C230">
        <v>436</v>
      </c>
      <c r="D230" t="s">
        <v>192</v>
      </c>
    </row>
    <row r="231" spans="1:4" x14ac:dyDescent="0.3">
      <c r="A231" t="s">
        <v>29</v>
      </c>
      <c r="B231" t="s">
        <v>198</v>
      </c>
      <c r="C231">
        <v>170</v>
      </c>
      <c r="D231" t="s">
        <v>192</v>
      </c>
    </row>
    <row r="232" spans="1:4" x14ac:dyDescent="0.3">
      <c r="A232" t="s">
        <v>29</v>
      </c>
      <c r="B232" t="s">
        <v>199</v>
      </c>
      <c r="C232">
        <v>360</v>
      </c>
      <c r="D232" t="s">
        <v>192</v>
      </c>
    </row>
    <row r="233" spans="1:4" x14ac:dyDescent="0.3">
      <c r="A233" t="s">
        <v>28</v>
      </c>
      <c r="B233" t="s">
        <v>198</v>
      </c>
      <c r="C233">
        <v>70</v>
      </c>
      <c r="D233" t="s">
        <v>192</v>
      </c>
    </row>
    <row r="234" spans="1:4" x14ac:dyDescent="0.3">
      <c r="A234" t="s">
        <v>28</v>
      </c>
      <c r="B234" t="s">
        <v>199</v>
      </c>
      <c r="C234">
        <v>247</v>
      </c>
      <c r="D234" t="s">
        <v>192</v>
      </c>
    </row>
    <row r="235" spans="1:4" x14ac:dyDescent="0.3">
      <c r="A235" t="s">
        <v>27</v>
      </c>
      <c r="B235" t="s">
        <v>198</v>
      </c>
      <c r="C235">
        <v>136</v>
      </c>
      <c r="D235" t="s">
        <v>192</v>
      </c>
    </row>
    <row r="236" spans="1:4" x14ac:dyDescent="0.3">
      <c r="A236" t="s">
        <v>27</v>
      </c>
      <c r="B236" t="s">
        <v>199</v>
      </c>
      <c r="C236">
        <v>164</v>
      </c>
      <c r="D236" t="s">
        <v>192</v>
      </c>
    </row>
    <row r="237" spans="1:4" x14ac:dyDescent="0.3">
      <c r="A237" t="s">
        <v>41</v>
      </c>
      <c r="B237" t="s">
        <v>198</v>
      </c>
      <c r="C237">
        <v>521</v>
      </c>
      <c r="D237" t="s">
        <v>192</v>
      </c>
    </row>
    <row r="238" spans="1:4" x14ac:dyDescent="0.3">
      <c r="A238" t="s">
        <v>41</v>
      </c>
      <c r="B238" t="s">
        <v>199</v>
      </c>
      <c r="C238">
        <v>1517</v>
      </c>
      <c r="D238" t="s">
        <v>192</v>
      </c>
    </row>
    <row r="240" spans="1:4" x14ac:dyDescent="0.3">
      <c r="A240" t="s">
        <v>314</v>
      </c>
    </row>
    <row r="241" spans="1:4" x14ac:dyDescent="0.3">
      <c r="A241" t="s">
        <v>36</v>
      </c>
      <c r="B241" t="s">
        <v>210</v>
      </c>
      <c r="C241" t="s">
        <v>24</v>
      </c>
      <c r="D241" t="s">
        <v>58</v>
      </c>
    </row>
    <row r="242" spans="1:4" x14ac:dyDescent="0.3">
      <c r="A242" t="s">
        <v>25</v>
      </c>
      <c r="B242" t="s">
        <v>211</v>
      </c>
      <c r="C242">
        <v>414</v>
      </c>
      <c r="D242" t="s">
        <v>192</v>
      </c>
    </row>
    <row r="243" spans="1:4" x14ac:dyDescent="0.3">
      <c r="A243" t="s">
        <v>26</v>
      </c>
      <c r="B243" t="s">
        <v>211</v>
      </c>
      <c r="C243">
        <v>223</v>
      </c>
      <c r="D243" t="s">
        <v>192</v>
      </c>
    </row>
    <row r="244" spans="1:4" x14ac:dyDescent="0.3">
      <c r="A244" t="s">
        <v>26</v>
      </c>
      <c r="B244" t="s">
        <v>212</v>
      </c>
      <c r="C244">
        <v>254</v>
      </c>
      <c r="D244" t="s">
        <v>192</v>
      </c>
    </row>
    <row r="245" spans="1:4" x14ac:dyDescent="0.3">
      <c r="A245" t="s">
        <v>29</v>
      </c>
      <c r="B245" t="s">
        <v>211</v>
      </c>
      <c r="C245">
        <v>530</v>
      </c>
      <c r="D245" t="s">
        <v>192</v>
      </c>
    </row>
    <row r="246" spans="1:4" x14ac:dyDescent="0.3">
      <c r="A246" t="s">
        <v>28</v>
      </c>
      <c r="B246" t="s">
        <v>211</v>
      </c>
      <c r="C246">
        <v>277</v>
      </c>
      <c r="D246" t="s">
        <v>192</v>
      </c>
    </row>
    <row r="247" spans="1:4" x14ac:dyDescent="0.3">
      <c r="A247" t="s">
        <v>28</v>
      </c>
      <c r="B247" t="s">
        <v>212</v>
      </c>
      <c r="C247">
        <v>40</v>
      </c>
      <c r="D247" t="s">
        <v>192</v>
      </c>
    </row>
    <row r="248" spans="1:4" x14ac:dyDescent="0.3">
      <c r="A248" t="s">
        <v>27</v>
      </c>
      <c r="B248" t="s">
        <v>211</v>
      </c>
      <c r="C248">
        <v>270</v>
      </c>
      <c r="D248" t="s">
        <v>192</v>
      </c>
    </row>
    <row r="249" spans="1:4" s="3" customFormat="1" x14ac:dyDescent="0.3">
      <c r="A249" s="3" t="s">
        <v>27</v>
      </c>
      <c r="B249" s="3" t="s">
        <v>212</v>
      </c>
      <c r="C249" s="3">
        <v>30</v>
      </c>
      <c r="D249" s="3" t="s">
        <v>192</v>
      </c>
    </row>
    <row r="250" spans="1:4" x14ac:dyDescent="0.3">
      <c r="A250" t="s">
        <v>41</v>
      </c>
      <c r="B250" t="s">
        <v>211</v>
      </c>
      <c r="C250">
        <v>1714</v>
      </c>
      <c r="D250" t="s">
        <v>192</v>
      </c>
    </row>
    <row r="251" spans="1:4" x14ac:dyDescent="0.3">
      <c r="A251" t="s">
        <v>41</v>
      </c>
      <c r="B251" t="s">
        <v>212</v>
      </c>
      <c r="C251">
        <v>324</v>
      </c>
      <c r="D251" t="s">
        <v>192</v>
      </c>
    </row>
    <row r="253" spans="1:4" x14ac:dyDescent="0.3">
      <c r="A253" t="s">
        <v>315</v>
      </c>
    </row>
    <row r="254" spans="1:4" x14ac:dyDescent="0.3">
      <c r="A254" t="s">
        <v>36</v>
      </c>
      <c r="B254" t="s">
        <v>24</v>
      </c>
      <c r="C254" t="s">
        <v>59</v>
      </c>
    </row>
    <row r="255" spans="1:4" x14ac:dyDescent="0.3">
      <c r="A255" t="s">
        <v>25</v>
      </c>
      <c r="B255">
        <v>414</v>
      </c>
      <c r="C255" t="s">
        <v>192</v>
      </c>
    </row>
    <row r="256" spans="1:4" x14ac:dyDescent="0.3">
      <c r="A256" t="s">
        <v>26</v>
      </c>
      <c r="B256">
        <v>477</v>
      </c>
      <c r="C256" t="s">
        <v>192</v>
      </c>
    </row>
    <row r="257" spans="1:4" x14ac:dyDescent="0.3">
      <c r="A257" t="s">
        <v>29</v>
      </c>
      <c r="B257">
        <v>530</v>
      </c>
      <c r="C257" t="s">
        <v>192</v>
      </c>
    </row>
    <row r="258" spans="1:4" x14ac:dyDescent="0.3">
      <c r="A258" t="s">
        <v>28</v>
      </c>
      <c r="B258">
        <v>317</v>
      </c>
      <c r="C258" t="s">
        <v>192</v>
      </c>
    </row>
    <row r="259" spans="1:4" x14ac:dyDescent="0.3">
      <c r="A259" t="s">
        <v>27</v>
      </c>
      <c r="B259">
        <v>300</v>
      </c>
      <c r="C259" t="s">
        <v>192</v>
      </c>
    </row>
    <row r="260" spans="1:4" x14ac:dyDescent="0.3">
      <c r="A260" t="s">
        <v>41</v>
      </c>
      <c r="B260">
        <v>2038</v>
      </c>
      <c r="C260" t="s">
        <v>192</v>
      </c>
    </row>
    <row r="262" spans="1:4" x14ac:dyDescent="0.3">
      <c r="A262" t="s">
        <v>316</v>
      </c>
    </row>
    <row r="263" spans="1:4" x14ac:dyDescent="0.3">
      <c r="A263" t="s">
        <v>36</v>
      </c>
      <c r="B263" t="s">
        <v>307</v>
      </c>
      <c r="C263" t="s">
        <v>24</v>
      </c>
      <c r="D263" t="s">
        <v>59</v>
      </c>
    </row>
    <row r="264" spans="1:4" x14ac:dyDescent="0.3">
      <c r="A264" t="s">
        <v>25</v>
      </c>
      <c r="B264" t="s">
        <v>291</v>
      </c>
      <c r="C264">
        <v>156</v>
      </c>
      <c r="D264" t="s">
        <v>192</v>
      </c>
    </row>
    <row r="265" spans="1:4" x14ac:dyDescent="0.3">
      <c r="A265" t="s">
        <v>25</v>
      </c>
      <c r="B265" t="s">
        <v>292</v>
      </c>
      <c r="C265">
        <v>254</v>
      </c>
      <c r="D265" t="s">
        <v>192</v>
      </c>
    </row>
    <row r="266" spans="1:4" x14ac:dyDescent="0.3">
      <c r="A266" t="s">
        <v>25</v>
      </c>
      <c r="B266" t="s">
        <v>308</v>
      </c>
      <c r="C266">
        <v>4</v>
      </c>
      <c r="D266" t="s">
        <v>192</v>
      </c>
    </row>
    <row r="267" spans="1:4" x14ac:dyDescent="0.3">
      <c r="A267" t="s">
        <v>26</v>
      </c>
      <c r="B267" t="s">
        <v>291</v>
      </c>
      <c r="C267">
        <v>122</v>
      </c>
      <c r="D267" t="s">
        <v>192</v>
      </c>
    </row>
    <row r="268" spans="1:4" x14ac:dyDescent="0.3">
      <c r="A268" t="s">
        <v>26</v>
      </c>
      <c r="B268" t="s">
        <v>292</v>
      </c>
      <c r="C268">
        <v>352</v>
      </c>
      <c r="D268" t="s">
        <v>192</v>
      </c>
    </row>
    <row r="269" spans="1:4" x14ac:dyDescent="0.3">
      <c r="A269" t="s">
        <v>26</v>
      </c>
      <c r="B269" t="s">
        <v>308</v>
      </c>
      <c r="C269">
        <v>3</v>
      </c>
      <c r="D269" t="s">
        <v>192</v>
      </c>
    </row>
    <row r="270" spans="1:4" x14ac:dyDescent="0.3">
      <c r="A270" t="s">
        <v>29</v>
      </c>
      <c r="B270" t="s">
        <v>291</v>
      </c>
      <c r="C270">
        <v>205</v>
      </c>
      <c r="D270" t="s">
        <v>192</v>
      </c>
    </row>
    <row r="271" spans="1:4" x14ac:dyDescent="0.3">
      <c r="A271" t="s">
        <v>29</v>
      </c>
      <c r="B271" t="s">
        <v>292</v>
      </c>
      <c r="C271">
        <v>325</v>
      </c>
      <c r="D271" t="s">
        <v>192</v>
      </c>
    </row>
    <row r="272" spans="1:4" x14ac:dyDescent="0.3">
      <c r="A272" t="s">
        <v>28</v>
      </c>
      <c r="B272" t="s">
        <v>291</v>
      </c>
      <c r="C272">
        <v>114</v>
      </c>
      <c r="D272" t="s">
        <v>192</v>
      </c>
    </row>
    <row r="273" spans="1:4" x14ac:dyDescent="0.3">
      <c r="A273" t="s">
        <v>28</v>
      </c>
      <c r="B273" t="s">
        <v>292</v>
      </c>
      <c r="C273">
        <v>191</v>
      </c>
      <c r="D273" t="s">
        <v>192</v>
      </c>
    </row>
    <row r="274" spans="1:4" x14ac:dyDescent="0.3">
      <c r="A274" t="s">
        <v>28</v>
      </c>
      <c r="B274" t="s">
        <v>308</v>
      </c>
      <c r="C274">
        <v>12</v>
      </c>
      <c r="D274" t="s">
        <v>192</v>
      </c>
    </row>
    <row r="275" spans="1:4" x14ac:dyDescent="0.3">
      <c r="A275" t="s">
        <v>27</v>
      </c>
      <c r="B275" t="s">
        <v>291</v>
      </c>
      <c r="C275">
        <v>95</v>
      </c>
      <c r="D275" t="s">
        <v>192</v>
      </c>
    </row>
    <row r="276" spans="1:4" x14ac:dyDescent="0.3">
      <c r="A276" t="s">
        <v>27</v>
      </c>
      <c r="B276" t="s">
        <v>292</v>
      </c>
      <c r="C276">
        <v>198</v>
      </c>
      <c r="D276" t="s">
        <v>192</v>
      </c>
    </row>
    <row r="277" spans="1:4" x14ac:dyDescent="0.3">
      <c r="A277" t="s">
        <v>27</v>
      </c>
      <c r="B277" t="s">
        <v>308</v>
      </c>
      <c r="C277">
        <v>7</v>
      </c>
      <c r="D277" t="s">
        <v>192</v>
      </c>
    </row>
    <row r="278" spans="1:4" x14ac:dyDescent="0.3">
      <c r="A278" t="s">
        <v>41</v>
      </c>
      <c r="B278" t="s">
        <v>291</v>
      </c>
      <c r="C278">
        <v>692</v>
      </c>
      <c r="D278" t="s">
        <v>192</v>
      </c>
    </row>
    <row r="279" spans="1:4" x14ac:dyDescent="0.3">
      <c r="A279" t="s">
        <v>41</v>
      </c>
      <c r="B279" t="s">
        <v>292</v>
      </c>
      <c r="C279">
        <v>1320</v>
      </c>
      <c r="D279" t="s">
        <v>192</v>
      </c>
    </row>
    <row r="280" spans="1:4" x14ac:dyDescent="0.3">
      <c r="A280" t="s">
        <v>41</v>
      </c>
      <c r="B280" t="s">
        <v>308</v>
      </c>
      <c r="C280">
        <v>26</v>
      </c>
      <c r="D280" t="s">
        <v>192</v>
      </c>
    </row>
    <row r="282" spans="1:4" x14ac:dyDescent="0.3">
      <c r="A282" t="s">
        <v>317</v>
      </c>
    </row>
    <row r="283" spans="1:4" x14ac:dyDescent="0.3">
      <c r="A283" t="s">
        <v>36</v>
      </c>
      <c r="B283" t="s">
        <v>310</v>
      </c>
      <c r="C283" t="s">
        <v>24</v>
      </c>
      <c r="D283" t="s">
        <v>59</v>
      </c>
    </row>
    <row r="284" spans="1:4" x14ac:dyDescent="0.3">
      <c r="A284" t="s">
        <v>25</v>
      </c>
      <c r="B284" t="s">
        <v>311</v>
      </c>
      <c r="C284">
        <v>324</v>
      </c>
      <c r="D284" t="s">
        <v>192</v>
      </c>
    </row>
    <row r="285" spans="1:4" x14ac:dyDescent="0.3">
      <c r="A285" t="s">
        <v>25</v>
      </c>
      <c r="B285" t="s">
        <v>312</v>
      </c>
      <c r="C285">
        <v>80</v>
      </c>
      <c r="D285" t="s">
        <v>192</v>
      </c>
    </row>
    <row r="286" spans="1:4" x14ac:dyDescent="0.3">
      <c r="A286" t="s">
        <v>25</v>
      </c>
      <c r="B286" t="s">
        <v>308</v>
      </c>
      <c r="C286">
        <v>10</v>
      </c>
      <c r="D286" t="s">
        <v>192</v>
      </c>
    </row>
    <row r="287" spans="1:4" x14ac:dyDescent="0.3">
      <c r="A287" t="s">
        <v>26</v>
      </c>
      <c r="B287" t="s">
        <v>311</v>
      </c>
      <c r="C287">
        <v>343</v>
      </c>
      <c r="D287" t="s">
        <v>192</v>
      </c>
    </row>
    <row r="288" spans="1:4" x14ac:dyDescent="0.3">
      <c r="A288" t="s">
        <v>26</v>
      </c>
      <c r="B288" t="s">
        <v>312</v>
      </c>
      <c r="C288">
        <v>96</v>
      </c>
      <c r="D288" t="s">
        <v>192</v>
      </c>
    </row>
    <row r="289" spans="1:4" x14ac:dyDescent="0.3">
      <c r="A289" t="s">
        <v>26</v>
      </c>
      <c r="B289" t="s">
        <v>308</v>
      </c>
      <c r="C289">
        <v>38</v>
      </c>
      <c r="D289" t="s">
        <v>192</v>
      </c>
    </row>
    <row r="290" spans="1:4" x14ac:dyDescent="0.3">
      <c r="A290" t="s">
        <v>29</v>
      </c>
      <c r="B290" t="s">
        <v>311</v>
      </c>
      <c r="C290">
        <v>414</v>
      </c>
      <c r="D290" t="s">
        <v>192</v>
      </c>
    </row>
    <row r="291" spans="1:4" x14ac:dyDescent="0.3">
      <c r="A291" t="s">
        <v>29</v>
      </c>
      <c r="B291" t="s">
        <v>312</v>
      </c>
      <c r="C291">
        <v>103</v>
      </c>
      <c r="D291" t="s">
        <v>192</v>
      </c>
    </row>
    <row r="292" spans="1:4" x14ac:dyDescent="0.3">
      <c r="A292" t="s">
        <v>29</v>
      </c>
      <c r="B292" t="s">
        <v>308</v>
      </c>
      <c r="C292">
        <v>13</v>
      </c>
      <c r="D292" t="s">
        <v>192</v>
      </c>
    </row>
    <row r="293" spans="1:4" x14ac:dyDescent="0.3">
      <c r="A293" t="s">
        <v>28</v>
      </c>
      <c r="B293" t="s">
        <v>311</v>
      </c>
      <c r="C293">
        <v>223</v>
      </c>
      <c r="D293" t="s">
        <v>192</v>
      </c>
    </row>
    <row r="294" spans="1:4" x14ac:dyDescent="0.3">
      <c r="A294" t="s">
        <v>28</v>
      </c>
      <c r="B294" t="s">
        <v>312</v>
      </c>
      <c r="C294">
        <v>93</v>
      </c>
      <c r="D294" t="s">
        <v>192</v>
      </c>
    </row>
    <row r="295" spans="1:4" x14ac:dyDescent="0.3">
      <c r="A295" t="s">
        <v>28</v>
      </c>
      <c r="B295" t="s">
        <v>308</v>
      </c>
      <c r="C295">
        <v>1</v>
      </c>
      <c r="D295" t="s">
        <v>192</v>
      </c>
    </row>
    <row r="296" spans="1:4" x14ac:dyDescent="0.3">
      <c r="A296" t="s">
        <v>27</v>
      </c>
      <c r="B296" t="s">
        <v>311</v>
      </c>
      <c r="C296">
        <v>237</v>
      </c>
      <c r="D296" t="s">
        <v>192</v>
      </c>
    </row>
    <row r="297" spans="1:4" x14ac:dyDescent="0.3">
      <c r="A297" t="s">
        <v>27</v>
      </c>
      <c r="B297" t="s">
        <v>312</v>
      </c>
      <c r="C297">
        <v>60</v>
      </c>
      <c r="D297" t="s">
        <v>192</v>
      </c>
    </row>
    <row r="298" spans="1:4" x14ac:dyDescent="0.3">
      <c r="A298" t="s">
        <v>27</v>
      </c>
      <c r="B298" t="s">
        <v>308</v>
      </c>
      <c r="C298">
        <v>3</v>
      </c>
      <c r="D298" t="s">
        <v>192</v>
      </c>
    </row>
    <row r="299" spans="1:4" x14ac:dyDescent="0.3">
      <c r="A299" t="s">
        <v>41</v>
      </c>
      <c r="B299" t="s">
        <v>311</v>
      </c>
      <c r="C299">
        <v>1541</v>
      </c>
      <c r="D299" t="s">
        <v>192</v>
      </c>
    </row>
    <row r="300" spans="1:4" x14ac:dyDescent="0.3">
      <c r="A300" t="s">
        <v>41</v>
      </c>
      <c r="B300" t="s">
        <v>312</v>
      </c>
      <c r="C300">
        <v>432</v>
      </c>
      <c r="D300" t="s">
        <v>192</v>
      </c>
    </row>
    <row r="301" spans="1:4" x14ac:dyDescent="0.3">
      <c r="A301" t="s">
        <v>41</v>
      </c>
      <c r="B301" t="s">
        <v>308</v>
      </c>
      <c r="C301">
        <v>65</v>
      </c>
      <c r="D301" t="s">
        <v>192</v>
      </c>
    </row>
    <row r="303" spans="1:4" x14ac:dyDescent="0.3">
      <c r="A303" t="s">
        <v>318</v>
      </c>
    </row>
    <row r="304" spans="1:4" x14ac:dyDescent="0.3">
      <c r="A304" t="s">
        <v>36</v>
      </c>
      <c r="B304" t="s">
        <v>197</v>
      </c>
      <c r="C304" t="s">
        <v>24</v>
      </c>
      <c r="D304" t="s">
        <v>59</v>
      </c>
    </row>
    <row r="305" spans="1:4" x14ac:dyDescent="0.3">
      <c r="A305" t="s">
        <v>25</v>
      </c>
      <c r="B305" t="s">
        <v>198</v>
      </c>
      <c r="C305">
        <v>104</v>
      </c>
      <c r="D305" t="s">
        <v>192</v>
      </c>
    </row>
    <row r="306" spans="1:4" x14ac:dyDescent="0.3">
      <c r="A306" t="s">
        <v>25</v>
      </c>
      <c r="B306" t="s">
        <v>199</v>
      </c>
      <c r="C306">
        <v>310</v>
      </c>
      <c r="D306" t="s">
        <v>192</v>
      </c>
    </row>
    <row r="307" spans="1:4" x14ac:dyDescent="0.3">
      <c r="A307" t="s">
        <v>26</v>
      </c>
      <c r="B307" t="s">
        <v>198</v>
      </c>
      <c r="C307">
        <v>41</v>
      </c>
      <c r="D307" t="s">
        <v>192</v>
      </c>
    </row>
    <row r="308" spans="1:4" x14ac:dyDescent="0.3">
      <c r="A308" t="s">
        <v>26</v>
      </c>
      <c r="B308" t="s">
        <v>199</v>
      </c>
      <c r="C308">
        <v>436</v>
      </c>
      <c r="D308" t="s">
        <v>192</v>
      </c>
    </row>
    <row r="309" spans="1:4" x14ac:dyDescent="0.3">
      <c r="A309" t="s">
        <v>29</v>
      </c>
      <c r="B309" t="s">
        <v>198</v>
      </c>
      <c r="C309">
        <v>170</v>
      </c>
      <c r="D309" t="s">
        <v>192</v>
      </c>
    </row>
    <row r="310" spans="1:4" x14ac:dyDescent="0.3">
      <c r="A310" t="s">
        <v>29</v>
      </c>
      <c r="B310" t="s">
        <v>199</v>
      </c>
      <c r="C310">
        <v>360</v>
      </c>
      <c r="D310" t="s">
        <v>192</v>
      </c>
    </row>
    <row r="311" spans="1:4" x14ac:dyDescent="0.3">
      <c r="A311" t="s">
        <v>28</v>
      </c>
      <c r="B311" t="s">
        <v>198</v>
      </c>
      <c r="C311">
        <v>70</v>
      </c>
      <c r="D311" t="s">
        <v>192</v>
      </c>
    </row>
    <row r="312" spans="1:4" x14ac:dyDescent="0.3">
      <c r="A312" t="s">
        <v>28</v>
      </c>
      <c r="B312" t="s">
        <v>199</v>
      </c>
      <c r="C312">
        <v>247</v>
      </c>
      <c r="D312" t="s">
        <v>192</v>
      </c>
    </row>
    <row r="313" spans="1:4" x14ac:dyDescent="0.3">
      <c r="A313" t="s">
        <v>27</v>
      </c>
      <c r="B313" t="s">
        <v>198</v>
      </c>
      <c r="C313">
        <v>136</v>
      </c>
      <c r="D313" t="s">
        <v>192</v>
      </c>
    </row>
    <row r="314" spans="1:4" x14ac:dyDescent="0.3">
      <c r="A314" t="s">
        <v>27</v>
      </c>
      <c r="B314" t="s">
        <v>199</v>
      </c>
      <c r="C314">
        <v>164</v>
      </c>
      <c r="D314" t="s">
        <v>192</v>
      </c>
    </row>
    <row r="315" spans="1:4" x14ac:dyDescent="0.3">
      <c r="A315" t="s">
        <v>41</v>
      </c>
      <c r="B315" t="s">
        <v>198</v>
      </c>
      <c r="C315">
        <v>521</v>
      </c>
      <c r="D315" t="s">
        <v>192</v>
      </c>
    </row>
    <row r="316" spans="1:4" x14ac:dyDescent="0.3">
      <c r="A316" t="s">
        <v>41</v>
      </c>
      <c r="B316" t="s">
        <v>199</v>
      </c>
      <c r="C316">
        <v>1517</v>
      </c>
      <c r="D316" t="s">
        <v>192</v>
      </c>
    </row>
    <row r="318" spans="1:4" x14ac:dyDescent="0.3">
      <c r="A318" t="s">
        <v>319</v>
      </c>
    </row>
    <row r="319" spans="1:4" x14ac:dyDescent="0.3">
      <c r="A319" t="s">
        <v>36</v>
      </c>
      <c r="B319" t="s">
        <v>210</v>
      </c>
      <c r="C319" t="s">
        <v>24</v>
      </c>
      <c r="D319" t="s">
        <v>59</v>
      </c>
    </row>
    <row r="320" spans="1:4" x14ac:dyDescent="0.3">
      <c r="A320" t="s">
        <v>25</v>
      </c>
      <c r="B320" t="s">
        <v>211</v>
      </c>
      <c r="C320">
        <v>414</v>
      </c>
      <c r="D320" t="s">
        <v>192</v>
      </c>
    </row>
    <row r="321" spans="1:4" x14ac:dyDescent="0.3">
      <c r="A321" t="s">
        <v>26</v>
      </c>
      <c r="B321" t="s">
        <v>211</v>
      </c>
      <c r="C321">
        <v>223</v>
      </c>
      <c r="D321" t="s">
        <v>192</v>
      </c>
    </row>
    <row r="322" spans="1:4" x14ac:dyDescent="0.3">
      <c r="A322" t="s">
        <v>26</v>
      </c>
      <c r="B322" t="s">
        <v>212</v>
      </c>
      <c r="C322">
        <v>254</v>
      </c>
      <c r="D322" t="s">
        <v>192</v>
      </c>
    </row>
    <row r="323" spans="1:4" x14ac:dyDescent="0.3">
      <c r="A323" t="s">
        <v>29</v>
      </c>
      <c r="B323" t="s">
        <v>211</v>
      </c>
      <c r="C323">
        <v>530</v>
      </c>
      <c r="D323" t="s">
        <v>192</v>
      </c>
    </row>
    <row r="324" spans="1:4" x14ac:dyDescent="0.3">
      <c r="A324" t="s">
        <v>28</v>
      </c>
      <c r="B324" t="s">
        <v>211</v>
      </c>
      <c r="C324">
        <v>277</v>
      </c>
      <c r="D324" t="s">
        <v>192</v>
      </c>
    </row>
    <row r="325" spans="1:4" x14ac:dyDescent="0.3">
      <c r="A325" t="s">
        <v>28</v>
      </c>
      <c r="B325" t="s">
        <v>212</v>
      </c>
      <c r="C325">
        <v>40</v>
      </c>
      <c r="D325" t="s">
        <v>192</v>
      </c>
    </row>
    <row r="326" spans="1:4" x14ac:dyDescent="0.3">
      <c r="A326" t="s">
        <v>27</v>
      </c>
      <c r="B326" t="s">
        <v>211</v>
      </c>
      <c r="C326">
        <v>270</v>
      </c>
      <c r="D326" t="s">
        <v>192</v>
      </c>
    </row>
    <row r="327" spans="1:4" s="3" customFormat="1" x14ac:dyDescent="0.3">
      <c r="A327" s="3" t="s">
        <v>27</v>
      </c>
      <c r="B327" s="3" t="s">
        <v>212</v>
      </c>
      <c r="C327" s="3">
        <v>30</v>
      </c>
      <c r="D327" s="3" t="s">
        <v>192</v>
      </c>
    </row>
    <row r="328" spans="1:4" x14ac:dyDescent="0.3">
      <c r="A328" t="s">
        <v>41</v>
      </c>
      <c r="B328" t="s">
        <v>211</v>
      </c>
      <c r="C328">
        <v>1714</v>
      </c>
      <c r="D328" t="s">
        <v>192</v>
      </c>
    </row>
    <row r="329" spans="1:4" x14ac:dyDescent="0.3">
      <c r="A329" t="s">
        <v>41</v>
      </c>
      <c r="B329" t="s">
        <v>212</v>
      </c>
      <c r="C329">
        <v>324</v>
      </c>
      <c r="D329" t="s">
        <v>192</v>
      </c>
    </row>
    <row r="331" spans="1:4" x14ac:dyDescent="0.3">
      <c r="A331" t="s">
        <v>320</v>
      </c>
    </row>
    <row r="332" spans="1:4" x14ac:dyDescent="0.3">
      <c r="A332" t="s">
        <v>36</v>
      </c>
      <c r="B332" t="s">
        <v>24</v>
      </c>
      <c r="C332" t="s">
        <v>58</v>
      </c>
      <c r="D332" t="s">
        <v>59</v>
      </c>
    </row>
    <row r="333" spans="1:4" x14ac:dyDescent="0.3">
      <c r="A333" t="s">
        <v>25</v>
      </c>
      <c r="B333">
        <v>411</v>
      </c>
      <c r="C333" t="s">
        <v>97</v>
      </c>
      <c r="D333" t="s">
        <v>321</v>
      </c>
    </row>
    <row r="334" spans="1:4" x14ac:dyDescent="0.3">
      <c r="A334" t="s">
        <v>26</v>
      </c>
      <c r="B334">
        <v>406</v>
      </c>
      <c r="C334" t="s">
        <v>97</v>
      </c>
      <c r="D334" t="s">
        <v>321</v>
      </c>
    </row>
    <row r="335" spans="1:4" x14ac:dyDescent="0.3">
      <c r="A335" t="s">
        <v>29</v>
      </c>
      <c r="B335">
        <v>470</v>
      </c>
      <c r="C335" t="s">
        <v>103</v>
      </c>
      <c r="D335" t="s">
        <v>192</v>
      </c>
    </row>
    <row r="336" spans="1:4" x14ac:dyDescent="0.3">
      <c r="A336" t="s">
        <v>28</v>
      </c>
      <c r="B336">
        <v>267</v>
      </c>
      <c r="C336" t="s">
        <v>66</v>
      </c>
      <c r="D336" t="s">
        <v>67</v>
      </c>
    </row>
    <row r="337" spans="1:5" x14ac:dyDescent="0.3">
      <c r="A337" t="s">
        <v>27</v>
      </c>
      <c r="B337">
        <v>192</v>
      </c>
      <c r="C337" t="s">
        <v>105</v>
      </c>
      <c r="D337" t="s">
        <v>322</v>
      </c>
    </row>
    <row r="338" spans="1:5" x14ac:dyDescent="0.3">
      <c r="A338" t="s">
        <v>41</v>
      </c>
      <c r="B338">
        <v>1746</v>
      </c>
      <c r="C338" t="s">
        <v>116</v>
      </c>
      <c r="D338" t="s">
        <v>323</v>
      </c>
    </row>
    <row r="340" spans="1:5" x14ac:dyDescent="0.3">
      <c r="A340" t="s">
        <v>324</v>
      </c>
    </row>
    <row r="341" spans="1:5" x14ac:dyDescent="0.3">
      <c r="A341" t="s">
        <v>36</v>
      </c>
      <c r="B341" t="s">
        <v>307</v>
      </c>
      <c r="C341" t="s">
        <v>24</v>
      </c>
      <c r="D341" t="s">
        <v>59</v>
      </c>
      <c r="E341" t="s">
        <v>58</v>
      </c>
    </row>
    <row r="342" spans="1:5" x14ac:dyDescent="0.3">
      <c r="A342" t="s">
        <v>25</v>
      </c>
      <c r="B342" t="s">
        <v>291</v>
      </c>
      <c r="C342">
        <v>154</v>
      </c>
      <c r="D342" t="s">
        <v>192</v>
      </c>
      <c r="E342" t="s">
        <v>103</v>
      </c>
    </row>
    <row r="343" spans="1:5" x14ac:dyDescent="0.3">
      <c r="A343" t="s">
        <v>25</v>
      </c>
      <c r="B343" t="s">
        <v>292</v>
      </c>
      <c r="C343">
        <v>253</v>
      </c>
      <c r="D343" t="s">
        <v>325</v>
      </c>
      <c r="E343" t="s">
        <v>139</v>
      </c>
    </row>
    <row r="344" spans="1:5" x14ac:dyDescent="0.3">
      <c r="A344" t="s">
        <v>25</v>
      </c>
      <c r="B344" t="s">
        <v>308</v>
      </c>
      <c r="C344">
        <v>4</v>
      </c>
      <c r="D344" t="s">
        <v>192</v>
      </c>
      <c r="E344" t="s">
        <v>103</v>
      </c>
    </row>
    <row r="345" spans="1:5" x14ac:dyDescent="0.3">
      <c r="A345" t="s">
        <v>26</v>
      </c>
      <c r="B345" t="s">
        <v>291</v>
      </c>
      <c r="C345">
        <v>96</v>
      </c>
      <c r="D345" t="s">
        <v>326</v>
      </c>
      <c r="E345" t="s">
        <v>194</v>
      </c>
    </row>
    <row r="346" spans="1:5" x14ac:dyDescent="0.3">
      <c r="A346" t="s">
        <v>26</v>
      </c>
      <c r="B346" t="s">
        <v>292</v>
      </c>
      <c r="C346">
        <v>307</v>
      </c>
      <c r="D346" t="s">
        <v>323</v>
      </c>
      <c r="E346" t="s">
        <v>116</v>
      </c>
    </row>
    <row r="347" spans="1:5" x14ac:dyDescent="0.3">
      <c r="A347" t="s">
        <v>26</v>
      </c>
      <c r="B347" t="s">
        <v>308</v>
      </c>
      <c r="C347">
        <v>3</v>
      </c>
      <c r="D347" t="s">
        <v>192</v>
      </c>
      <c r="E347" t="s">
        <v>103</v>
      </c>
    </row>
    <row r="348" spans="1:5" x14ac:dyDescent="0.3">
      <c r="A348" t="s">
        <v>29</v>
      </c>
      <c r="B348" t="s">
        <v>291</v>
      </c>
      <c r="C348">
        <v>187</v>
      </c>
      <c r="D348" t="s">
        <v>192</v>
      </c>
      <c r="E348" t="s">
        <v>103</v>
      </c>
    </row>
    <row r="349" spans="1:5" x14ac:dyDescent="0.3">
      <c r="A349" t="s">
        <v>29</v>
      </c>
      <c r="B349" t="s">
        <v>292</v>
      </c>
      <c r="C349">
        <v>283</v>
      </c>
      <c r="D349" t="s">
        <v>192</v>
      </c>
      <c r="E349" t="s">
        <v>103</v>
      </c>
    </row>
    <row r="350" spans="1:5" x14ac:dyDescent="0.3">
      <c r="A350" t="s">
        <v>28</v>
      </c>
      <c r="B350" t="s">
        <v>291</v>
      </c>
      <c r="C350">
        <v>93</v>
      </c>
      <c r="D350" t="s">
        <v>192</v>
      </c>
      <c r="E350" t="s">
        <v>103</v>
      </c>
    </row>
    <row r="351" spans="1:5" x14ac:dyDescent="0.3">
      <c r="A351" t="s">
        <v>28</v>
      </c>
      <c r="B351" t="s">
        <v>292</v>
      </c>
      <c r="C351">
        <v>163</v>
      </c>
      <c r="D351" t="s">
        <v>327</v>
      </c>
      <c r="E351" t="s">
        <v>122</v>
      </c>
    </row>
    <row r="352" spans="1:5" x14ac:dyDescent="0.3">
      <c r="A352" t="s">
        <v>28</v>
      </c>
      <c r="B352" t="s">
        <v>308</v>
      </c>
      <c r="C352">
        <v>11</v>
      </c>
      <c r="D352" t="s">
        <v>192</v>
      </c>
      <c r="E352" t="s">
        <v>103</v>
      </c>
    </row>
    <row r="353" spans="1:5" x14ac:dyDescent="0.3">
      <c r="A353" t="s">
        <v>27</v>
      </c>
      <c r="B353" t="s">
        <v>291</v>
      </c>
      <c r="C353">
        <v>65</v>
      </c>
      <c r="D353" t="s">
        <v>328</v>
      </c>
      <c r="E353" t="s">
        <v>329</v>
      </c>
    </row>
    <row r="354" spans="1:5" x14ac:dyDescent="0.3">
      <c r="A354" t="s">
        <v>27</v>
      </c>
      <c r="B354" t="s">
        <v>292</v>
      </c>
      <c r="C354">
        <v>121</v>
      </c>
      <c r="D354" t="s">
        <v>325</v>
      </c>
      <c r="E354" t="s">
        <v>139</v>
      </c>
    </row>
    <row r="355" spans="1:5" x14ac:dyDescent="0.3">
      <c r="A355" t="s">
        <v>27</v>
      </c>
      <c r="B355" t="s">
        <v>308</v>
      </c>
      <c r="C355">
        <v>6</v>
      </c>
      <c r="D355" t="s">
        <v>330</v>
      </c>
      <c r="E355" t="s">
        <v>331</v>
      </c>
    </row>
    <row r="356" spans="1:5" x14ac:dyDescent="0.3">
      <c r="A356" t="s">
        <v>41</v>
      </c>
      <c r="B356" t="s">
        <v>291</v>
      </c>
      <c r="C356">
        <v>595</v>
      </c>
      <c r="D356" t="s">
        <v>323</v>
      </c>
      <c r="E356" t="s">
        <v>116</v>
      </c>
    </row>
    <row r="357" spans="1:5" x14ac:dyDescent="0.3">
      <c r="A357" t="s">
        <v>41</v>
      </c>
      <c r="B357" t="s">
        <v>292</v>
      </c>
      <c r="C357">
        <v>1127</v>
      </c>
      <c r="D357" t="s">
        <v>323</v>
      </c>
      <c r="E357" t="s">
        <v>116</v>
      </c>
    </row>
    <row r="358" spans="1:5" x14ac:dyDescent="0.3">
      <c r="A358" t="s">
        <v>41</v>
      </c>
      <c r="B358" t="s">
        <v>308</v>
      </c>
      <c r="C358">
        <v>24</v>
      </c>
      <c r="D358" t="s">
        <v>332</v>
      </c>
      <c r="E358" t="s">
        <v>270</v>
      </c>
    </row>
    <row r="360" spans="1:5" x14ac:dyDescent="0.3">
      <c r="A360" t="s">
        <v>333</v>
      </c>
    </row>
    <row r="361" spans="1:5" x14ac:dyDescent="0.3">
      <c r="A361" t="s">
        <v>36</v>
      </c>
      <c r="B361" t="s">
        <v>310</v>
      </c>
      <c r="C361" t="s">
        <v>24</v>
      </c>
      <c r="D361" t="s">
        <v>58</v>
      </c>
      <c r="E361" t="s">
        <v>59</v>
      </c>
    </row>
    <row r="362" spans="1:5" x14ac:dyDescent="0.3">
      <c r="A362" t="s">
        <v>25</v>
      </c>
      <c r="B362" t="s">
        <v>311</v>
      </c>
      <c r="C362">
        <v>321</v>
      </c>
      <c r="D362" t="s">
        <v>95</v>
      </c>
      <c r="E362" t="s">
        <v>334</v>
      </c>
    </row>
    <row r="363" spans="1:5" x14ac:dyDescent="0.3">
      <c r="A363" t="s">
        <v>25</v>
      </c>
      <c r="B363" t="s">
        <v>312</v>
      </c>
      <c r="C363">
        <v>80</v>
      </c>
      <c r="D363" t="s">
        <v>103</v>
      </c>
      <c r="E363" t="s">
        <v>192</v>
      </c>
    </row>
    <row r="364" spans="1:5" x14ac:dyDescent="0.3">
      <c r="A364" t="s">
        <v>25</v>
      </c>
      <c r="B364" t="s">
        <v>308</v>
      </c>
      <c r="C364">
        <v>10</v>
      </c>
      <c r="D364" t="s">
        <v>103</v>
      </c>
      <c r="E364" t="s">
        <v>192</v>
      </c>
    </row>
    <row r="365" spans="1:5" x14ac:dyDescent="0.3">
      <c r="A365" t="s">
        <v>26</v>
      </c>
      <c r="B365" t="s">
        <v>311</v>
      </c>
      <c r="C365">
        <v>287</v>
      </c>
      <c r="D365" t="s">
        <v>95</v>
      </c>
      <c r="E365" t="s">
        <v>334</v>
      </c>
    </row>
    <row r="366" spans="1:5" x14ac:dyDescent="0.3">
      <c r="A366" t="s">
        <v>26</v>
      </c>
      <c r="B366" t="s">
        <v>312</v>
      </c>
      <c r="C366">
        <v>84</v>
      </c>
      <c r="D366" t="s">
        <v>103</v>
      </c>
      <c r="E366" t="s">
        <v>192</v>
      </c>
    </row>
    <row r="367" spans="1:5" x14ac:dyDescent="0.3">
      <c r="A367" t="s">
        <v>26</v>
      </c>
      <c r="B367" t="s">
        <v>308</v>
      </c>
      <c r="C367">
        <v>35</v>
      </c>
      <c r="D367" t="s">
        <v>103</v>
      </c>
      <c r="E367" t="s">
        <v>192</v>
      </c>
    </row>
    <row r="368" spans="1:5" x14ac:dyDescent="0.3">
      <c r="A368" t="s">
        <v>29</v>
      </c>
      <c r="B368" t="s">
        <v>311</v>
      </c>
      <c r="C368">
        <v>362</v>
      </c>
      <c r="D368" t="s">
        <v>103</v>
      </c>
      <c r="E368" t="s">
        <v>192</v>
      </c>
    </row>
    <row r="369" spans="1:5" x14ac:dyDescent="0.3">
      <c r="A369" t="s">
        <v>29</v>
      </c>
      <c r="B369" t="s">
        <v>312</v>
      </c>
      <c r="C369">
        <v>98</v>
      </c>
      <c r="D369" t="s">
        <v>103</v>
      </c>
      <c r="E369" t="s">
        <v>192</v>
      </c>
    </row>
    <row r="370" spans="1:5" x14ac:dyDescent="0.3">
      <c r="A370" t="s">
        <v>29</v>
      </c>
      <c r="B370" t="s">
        <v>308</v>
      </c>
      <c r="C370">
        <v>10</v>
      </c>
      <c r="D370" t="s">
        <v>103</v>
      </c>
      <c r="E370" t="s">
        <v>192</v>
      </c>
    </row>
    <row r="371" spans="1:5" x14ac:dyDescent="0.3">
      <c r="A371" t="s">
        <v>28</v>
      </c>
      <c r="B371" t="s">
        <v>311</v>
      </c>
      <c r="C371">
        <v>190</v>
      </c>
      <c r="D371" t="s">
        <v>116</v>
      </c>
      <c r="E371" t="s">
        <v>323</v>
      </c>
    </row>
    <row r="372" spans="1:5" x14ac:dyDescent="0.3">
      <c r="A372" t="s">
        <v>28</v>
      </c>
      <c r="B372" t="s">
        <v>312</v>
      </c>
      <c r="C372">
        <v>76</v>
      </c>
      <c r="D372" t="s">
        <v>103</v>
      </c>
      <c r="E372" t="s">
        <v>192</v>
      </c>
    </row>
    <row r="373" spans="1:5" x14ac:dyDescent="0.3">
      <c r="A373" t="s">
        <v>28</v>
      </c>
      <c r="B373" t="s">
        <v>308</v>
      </c>
      <c r="C373">
        <v>1</v>
      </c>
      <c r="D373" t="s">
        <v>103</v>
      </c>
      <c r="E373" t="s">
        <v>192</v>
      </c>
    </row>
    <row r="374" spans="1:5" x14ac:dyDescent="0.3">
      <c r="A374" t="s">
        <v>27</v>
      </c>
      <c r="B374" t="s">
        <v>311</v>
      </c>
      <c r="C374">
        <v>147</v>
      </c>
      <c r="D374" t="s">
        <v>239</v>
      </c>
      <c r="E374" t="s">
        <v>335</v>
      </c>
    </row>
    <row r="375" spans="1:5" x14ac:dyDescent="0.3">
      <c r="A375" t="s">
        <v>27</v>
      </c>
      <c r="B375" t="s">
        <v>312</v>
      </c>
      <c r="C375">
        <v>42</v>
      </c>
      <c r="D375" t="s">
        <v>272</v>
      </c>
      <c r="E375" t="s">
        <v>336</v>
      </c>
    </row>
    <row r="376" spans="1:5" x14ac:dyDescent="0.3">
      <c r="A376" t="s">
        <v>27</v>
      </c>
      <c r="B376" t="s">
        <v>308</v>
      </c>
      <c r="C376">
        <v>3</v>
      </c>
      <c r="D376" t="s">
        <v>103</v>
      </c>
      <c r="E376" t="s">
        <v>192</v>
      </c>
    </row>
    <row r="377" spans="1:5" x14ac:dyDescent="0.3">
      <c r="A377" t="s">
        <v>41</v>
      </c>
      <c r="B377" t="s">
        <v>311</v>
      </c>
      <c r="C377">
        <v>1307</v>
      </c>
      <c r="D377" t="s">
        <v>122</v>
      </c>
      <c r="E377" t="s">
        <v>327</v>
      </c>
    </row>
    <row r="378" spans="1:5" x14ac:dyDescent="0.3">
      <c r="A378" t="s">
        <v>41</v>
      </c>
      <c r="B378" t="s">
        <v>312</v>
      </c>
      <c r="C378">
        <v>380</v>
      </c>
      <c r="D378" t="s">
        <v>91</v>
      </c>
      <c r="E378" t="s">
        <v>337</v>
      </c>
    </row>
    <row r="379" spans="1:5" x14ac:dyDescent="0.3">
      <c r="A379" t="s">
        <v>41</v>
      </c>
      <c r="B379" t="s">
        <v>308</v>
      </c>
      <c r="C379">
        <v>59</v>
      </c>
      <c r="D379" t="s">
        <v>103</v>
      </c>
      <c r="E379" t="s">
        <v>192</v>
      </c>
    </row>
    <row r="381" spans="1:5" x14ac:dyDescent="0.3">
      <c r="A381" t="s">
        <v>338</v>
      </c>
    </row>
    <row r="382" spans="1:5" x14ac:dyDescent="0.3">
      <c r="A382" t="s">
        <v>36</v>
      </c>
      <c r="B382" t="s">
        <v>197</v>
      </c>
      <c r="C382" t="s">
        <v>24</v>
      </c>
      <c r="D382" t="s">
        <v>58</v>
      </c>
      <c r="E382" t="s">
        <v>59</v>
      </c>
    </row>
    <row r="383" spans="1:5" x14ac:dyDescent="0.3">
      <c r="A383" t="s">
        <v>25</v>
      </c>
      <c r="B383" t="s">
        <v>198</v>
      </c>
      <c r="C383">
        <v>104</v>
      </c>
      <c r="D383" t="s">
        <v>118</v>
      </c>
      <c r="E383" t="s">
        <v>339</v>
      </c>
    </row>
    <row r="384" spans="1:5" x14ac:dyDescent="0.3">
      <c r="A384" t="s">
        <v>25</v>
      </c>
      <c r="B384" t="s">
        <v>199</v>
      </c>
      <c r="C384">
        <v>307</v>
      </c>
      <c r="D384" t="s">
        <v>103</v>
      </c>
      <c r="E384" t="s">
        <v>192</v>
      </c>
    </row>
    <row r="385" spans="1:5" x14ac:dyDescent="0.3">
      <c r="A385" t="s">
        <v>26</v>
      </c>
      <c r="B385" t="s">
        <v>198</v>
      </c>
      <c r="C385">
        <v>40</v>
      </c>
      <c r="D385" t="s">
        <v>103</v>
      </c>
      <c r="E385" t="s">
        <v>192</v>
      </c>
    </row>
    <row r="386" spans="1:5" x14ac:dyDescent="0.3">
      <c r="A386" t="s">
        <v>26</v>
      </c>
      <c r="B386" t="s">
        <v>199</v>
      </c>
      <c r="C386">
        <v>366</v>
      </c>
      <c r="D386" t="s">
        <v>97</v>
      </c>
      <c r="E386" t="s">
        <v>321</v>
      </c>
    </row>
    <row r="387" spans="1:5" x14ac:dyDescent="0.3">
      <c r="A387" t="s">
        <v>29</v>
      </c>
      <c r="B387" t="s">
        <v>198</v>
      </c>
      <c r="C387">
        <v>147</v>
      </c>
      <c r="D387" t="s">
        <v>103</v>
      </c>
      <c r="E387" t="s">
        <v>192</v>
      </c>
    </row>
    <row r="388" spans="1:5" x14ac:dyDescent="0.3">
      <c r="A388" t="s">
        <v>29</v>
      </c>
      <c r="B388" t="s">
        <v>199</v>
      </c>
      <c r="C388">
        <v>323</v>
      </c>
      <c r="D388" t="s">
        <v>103</v>
      </c>
      <c r="E388" t="s">
        <v>192</v>
      </c>
    </row>
    <row r="389" spans="1:5" x14ac:dyDescent="0.3">
      <c r="A389" t="s">
        <v>28</v>
      </c>
      <c r="B389" t="s">
        <v>198</v>
      </c>
      <c r="C389">
        <v>69</v>
      </c>
      <c r="D389" t="s">
        <v>103</v>
      </c>
      <c r="E389" t="s">
        <v>192</v>
      </c>
    </row>
    <row r="390" spans="1:5" x14ac:dyDescent="0.3">
      <c r="A390" t="s">
        <v>28</v>
      </c>
      <c r="B390" t="s">
        <v>199</v>
      </c>
      <c r="C390">
        <v>198</v>
      </c>
      <c r="D390" t="s">
        <v>116</v>
      </c>
      <c r="E390" t="s">
        <v>323</v>
      </c>
    </row>
    <row r="391" spans="1:5" x14ac:dyDescent="0.3">
      <c r="A391" t="s">
        <v>27</v>
      </c>
      <c r="B391" t="s">
        <v>198</v>
      </c>
      <c r="C391">
        <v>61</v>
      </c>
      <c r="D391" t="s">
        <v>216</v>
      </c>
      <c r="E391" t="s">
        <v>340</v>
      </c>
    </row>
    <row r="392" spans="1:5" x14ac:dyDescent="0.3">
      <c r="A392" t="s">
        <v>27</v>
      </c>
      <c r="B392" t="s">
        <v>199</v>
      </c>
      <c r="C392">
        <v>131</v>
      </c>
      <c r="D392" t="s">
        <v>341</v>
      </c>
      <c r="E392" t="s">
        <v>342</v>
      </c>
    </row>
    <row r="393" spans="1:5" x14ac:dyDescent="0.3">
      <c r="A393" t="s">
        <v>41</v>
      </c>
      <c r="B393" t="s">
        <v>198</v>
      </c>
      <c r="C393">
        <v>421</v>
      </c>
      <c r="D393" t="s">
        <v>120</v>
      </c>
      <c r="E393" t="s">
        <v>343</v>
      </c>
    </row>
    <row r="394" spans="1:5" x14ac:dyDescent="0.3">
      <c r="A394" t="s">
        <v>41</v>
      </c>
      <c r="B394" t="s">
        <v>199</v>
      </c>
      <c r="C394">
        <v>1325</v>
      </c>
      <c r="D394" t="s">
        <v>66</v>
      </c>
      <c r="E394" t="s">
        <v>67</v>
      </c>
    </row>
    <row r="396" spans="1:5" x14ac:dyDescent="0.3">
      <c r="A396" t="s">
        <v>344</v>
      </c>
    </row>
    <row r="397" spans="1:5" x14ac:dyDescent="0.3">
      <c r="A397" t="s">
        <v>36</v>
      </c>
      <c r="B397" t="s">
        <v>210</v>
      </c>
      <c r="C397" t="s">
        <v>24</v>
      </c>
      <c r="D397" t="s">
        <v>58</v>
      </c>
      <c r="E397" t="s">
        <v>59</v>
      </c>
    </row>
    <row r="398" spans="1:5" x14ac:dyDescent="0.3">
      <c r="A398" t="s">
        <v>25</v>
      </c>
      <c r="B398" t="s">
        <v>211</v>
      </c>
      <c r="C398">
        <v>411</v>
      </c>
      <c r="D398" t="s">
        <v>97</v>
      </c>
      <c r="E398" t="s">
        <v>321</v>
      </c>
    </row>
    <row r="399" spans="1:5" x14ac:dyDescent="0.3">
      <c r="A399" t="s">
        <v>26</v>
      </c>
      <c r="B399" t="s">
        <v>211</v>
      </c>
      <c r="C399">
        <v>219</v>
      </c>
      <c r="D399" t="s">
        <v>103</v>
      </c>
      <c r="E399" t="s">
        <v>192</v>
      </c>
    </row>
    <row r="400" spans="1:5" x14ac:dyDescent="0.3">
      <c r="A400" t="s">
        <v>26</v>
      </c>
      <c r="B400" t="s">
        <v>212</v>
      </c>
      <c r="C400">
        <v>187</v>
      </c>
      <c r="D400" t="s">
        <v>345</v>
      </c>
      <c r="E400" t="s">
        <v>346</v>
      </c>
    </row>
    <row r="401" spans="1:6" x14ac:dyDescent="0.3">
      <c r="A401" t="s">
        <v>29</v>
      </c>
      <c r="B401" t="s">
        <v>211</v>
      </c>
      <c r="C401">
        <v>470</v>
      </c>
      <c r="D401" t="s">
        <v>103</v>
      </c>
      <c r="E401" t="s">
        <v>192</v>
      </c>
    </row>
    <row r="402" spans="1:6" x14ac:dyDescent="0.3">
      <c r="A402" t="s">
        <v>28</v>
      </c>
      <c r="B402" t="s">
        <v>211</v>
      </c>
      <c r="C402">
        <v>265</v>
      </c>
      <c r="D402" t="s">
        <v>66</v>
      </c>
      <c r="E402" t="s">
        <v>67</v>
      </c>
    </row>
    <row r="403" spans="1:6" s="3" customFormat="1" x14ac:dyDescent="0.3">
      <c r="A403" s="3" t="s">
        <v>28</v>
      </c>
      <c r="B403" s="3" t="s">
        <v>212</v>
      </c>
      <c r="C403" s="3">
        <v>2</v>
      </c>
      <c r="D403" s="3" t="s">
        <v>103</v>
      </c>
      <c r="E403" s="3" t="s">
        <v>192</v>
      </c>
    </row>
    <row r="404" spans="1:6" x14ac:dyDescent="0.3">
      <c r="A404" t="s">
        <v>27</v>
      </c>
      <c r="B404" t="s">
        <v>211</v>
      </c>
      <c r="C404">
        <v>163</v>
      </c>
      <c r="D404" t="s">
        <v>341</v>
      </c>
      <c r="E404" t="s">
        <v>342</v>
      </c>
    </row>
    <row r="405" spans="1:6" s="3" customFormat="1" x14ac:dyDescent="0.3">
      <c r="A405" s="3" t="s">
        <v>27</v>
      </c>
      <c r="B405" s="3" t="s">
        <v>212</v>
      </c>
      <c r="C405" s="3">
        <v>29</v>
      </c>
      <c r="D405" s="3" t="s">
        <v>103</v>
      </c>
      <c r="E405" s="3" t="s">
        <v>192</v>
      </c>
    </row>
    <row r="406" spans="1:6" x14ac:dyDescent="0.3">
      <c r="A406" t="s">
        <v>41</v>
      </c>
      <c r="B406" t="s">
        <v>211</v>
      </c>
      <c r="C406">
        <v>1528</v>
      </c>
      <c r="D406" t="s">
        <v>66</v>
      </c>
      <c r="E406" t="s">
        <v>67</v>
      </c>
    </row>
    <row r="407" spans="1:6" x14ac:dyDescent="0.3">
      <c r="A407" t="s">
        <v>41</v>
      </c>
      <c r="B407" t="s">
        <v>212</v>
      </c>
      <c r="C407">
        <v>218</v>
      </c>
      <c r="D407" t="s">
        <v>345</v>
      </c>
      <c r="E407" t="s">
        <v>346</v>
      </c>
    </row>
    <row r="409" spans="1:6" x14ac:dyDescent="0.3">
      <c r="A409" t="s">
        <v>347</v>
      </c>
    </row>
    <row r="410" spans="1:6" x14ac:dyDescent="0.3">
      <c r="A410" t="s">
        <v>36</v>
      </c>
      <c r="B410" t="s">
        <v>24</v>
      </c>
      <c r="C410" t="s">
        <v>58</v>
      </c>
      <c r="D410" t="s">
        <v>59</v>
      </c>
      <c r="E410" t="s">
        <v>181</v>
      </c>
      <c r="F410" t="s">
        <v>348</v>
      </c>
    </row>
    <row r="411" spans="1:6" x14ac:dyDescent="0.3">
      <c r="A411" t="s">
        <v>25</v>
      </c>
      <c r="B411">
        <v>412</v>
      </c>
      <c r="C411" t="s">
        <v>349</v>
      </c>
      <c r="D411" t="s">
        <v>350</v>
      </c>
      <c r="E411" t="s">
        <v>103</v>
      </c>
      <c r="F411" t="s">
        <v>103</v>
      </c>
    </row>
    <row r="412" spans="1:6" x14ac:dyDescent="0.3">
      <c r="A412" t="s">
        <v>26</v>
      </c>
      <c r="B412">
        <v>470</v>
      </c>
      <c r="C412" t="s">
        <v>351</v>
      </c>
      <c r="D412" t="s">
        <v>352</v>
      </c>
      <c r="E412" t="s">
        <v>116</v>
      </c>
      <c r="F412" t="s">
        <v>103</v>
      </c>
    </row>
    <row r="413" spans="1:6" x14ac:dyDescent="0.3">
      <c r="A413" t="s">
        <v>29</v>
      </c>
      <c r="B413">
        <v>529</v>
      </c>
      <c r="C413" t="s">
        <v>353</v>
      </c>
      <c r="D413" t="s">
        <v>354</v>
      </c>
      <c r="E413" t="s">
        <v>103</v>
      </c>
      <c r="F413" t="s">
        <v>103</v>
      </c>
    </row>
    <row r="414" spans="1:6" x14ac:dyDescent="0.3">
      <c r="A414" t="s">
        <v>28</v>
      </c>
      <c r="B414">
        <v>311</v>
      </c>
      <c r="C414" t="s">
        <v>231</v>
      </c>
      <c r="D414" t="s">
        <v>355</v>
      </c>
      <c r="E414" t="s">
        <v>122</v>
      </c>
      <c r="F414" t="s">
        <v>103</v>
      </c>
    </row>
    <row r="415" spans="1:6" x14ac:dyDescent="0.3">
      <c r="A415" t="s">
        <v>27</v>
      </c>
      <c r="B415">
        <v>285</v>
      </c>
      <c r="C415" t="s">
        <v>356</v>
      </c>
      <c r="D415" t="s">
        <v>357</v>
      </c>
      <c r="E415" t="s">
        <v>103</v>
      </c>
      <c r="F415" t="s">
        <v>91</v>
      </c>
    </row>
    <row r="416" spans="1:6" x14ac:dyDescent="0.3">
      <c r="A416" t="s">
        <v>41</v>
      </c>
      <c r="B416">
        <v>2007</v>
      </c>
      <c r="C416" t="s">
        <v>358</v>
      </c>
      <c r="D416" t="s">
        <v>359</v>
      </c>
      <c r="E416" t="s">
        <v>91</v>
      </c>
      <c r="F416" t="s">
        <v>103</v>
      </c>
    </row>
    <row r="418" spans="1:7" x14ac:dyDescent="0.3">
      <c r="A418" t="s">
        <v>360</v>
      </c>
    </row>
    <row r="419" spans="1:7" x14ac:dyDescent="0.3">
      <c r="A419" t="s">
        <v>36</v>
      </c>
      <c r="B419" t="s">
        <v>307</v>
      </c>
      <c r="C419" t="s">
        <v>24</v>
      </c>
      <c r="D419" t="s">
        <v>58</v>
      </c>
      <c r="E419" t="s">
        <v>59</v>
      </c>
      <c r="F419" t="s">
        <v>181</v>
      </c>
      <c r="G419" t="s">
        <v>348</v>
      </c>
    </row>
    <row r="420" spans="1:7" x14ac:dyDescent="0.3">
      <c r="A420" t="s">
        <v>25</v>
      </c>
      <c r="B420" t="s">
        <v>291</v>
      </c>
      <c r="C420">
        <v>156</v>
      </c>
      <c r="D420" t="s">
        <v>249</v>
      </c>
      <c r="E420" t="s">
        <v>361</v>
      </c>
      <c r="F420" t="s">
        <v>103</v>
      </c>
      <c r="G420" t="s">
        <v>103</v>
      </c>
    </row>
    <row r="421" spans="1:7" x14ac:dyDescent="0.3">
      <c r="A421" t="s">
        <v>25</v>
      </c>
      <c r="B421" t="s">
        <v>292</v>
      </c>
      <c r="C421">
        <v>252</v>
      </c>
      <c r="D421" t="s">
        <v>362</v>
      </c>
      <c r="E421" t="s">
        <v>363</v>
      </c>
      <c r="F421" t="s">
        <v>103</v>
      </c>
      <c r="G421" t="s">
        <v>103</v>
      </c>
    </row>
    <row r="422" spans="1:7" x14ac:dyDescent="0.3">
      <c r="A422" t="s">
        <v>25</v>
      </c>
      <c r="B422" t="s">
        <v>308</v>
      </c>
      <c r="C422">
        <v>4</v>
      </c>
      <c r="D422" t="s">
        <v>192</v>
      </c>
      <c r="E422" t="s">
        <v>103</v>
      </c>
      <c r="F422" t="s">
        <v>103</v>
      </c>
      <c r="G422" t="s">
        <v>103</v>
      </c>
    </row>
    <row r="423" spans="1:7" x14ac:dyDescent="0.3">
      <c r="A423" t="s">
        <v>26</v>
      </c>
      <c r="B423" t="s">
        <v>291</v>
      </c>
      <c r="C423">
        <v>119</v>
      </c>
      <c r="D423" t="s">
        <v>364</v>
      </c>
      <c r="E423" t="s">
        <v>365</v>
      </c>
      <c r="F423" t="s">
        <v>345</v>
      </c>
      <c r="G423" t="s">
        <v>103</v>
      </c>
    </row>
    <row r="424" spans="1:7" x14ac:dyDescent="0.3">
      <c r="A424" t="s">
        <v>26</v>
      </c>
      <c r="B424" t="s">
        <v>292</v>
      </c>
      <c r="C424">
        <v>348</v>
      </c>
      <c r="D424" t="s">
        <v>366</v>
      </c>
      <c r="E424" t="s">
        <v>367</v>
      </c>
      <c r="F424" t="s">
        <v>91</v>
      </c>
      <c r="G424" t="s">
        <v>103</v>
      </c>
    </row>
    <row r="425" spans="1:7" x14ac:dyDescent="0.3">
      <c r="A425" t="s">
        <v>26</v>
      </c>
      <c r="B425" t="s">
        <v>308</v>
      </c>
      <c r="C425">
        <v>3</v>
      </c>
      <c r="D425" t="s">
        <v>103</v>
      </c>
      <c r="E425" t="s">
        <v>192</v>
      </c>
      <c r="F425" t="s">
        <v>103</v>
      </c>
      <c r="G425" t="s">
        <v>103</v>
      </c>
    </row>
    <row r="426" spans="1:7" x14ac:dyDescent="0.3">
      <c r="A426" t="s">
        <v>29</v>
      </c>
      <c r="B426" t="s">
        <v>291</v>
      </c>
      <c r="C426">
        <v>204</v>
      </c>
      <c r="D426" t="s">
        <v>368</v>
      </c>
      <c r="E426" t="s">
        <v>369</v>
      </c>
      <c r="F426" t="s">
        <v>103</v>
      </c>
      <c r="G426" t="s">
        <v>103</v>
      </c>
    </row>
    <row r="427" spans="1:7" x14ac:dyDescent="0.3">
      <c r="A427" t="s">
        <v>29</v>
      </c>
      <c r="B427" t="s">
        <v>292</v>
      </c>
      <c r="C427">
        <v>325</v>
      </c>
      <c r="D427" t="s">
        <v>370</v>
      </c>
      <c r="E427" t="s">
        <v>371</v>
      </c>
      <c r="F427" t="s">
        <v>103</v>
      </c>
      <c r="G427" t="s">
        <v>103</v>
      </c>
    </row>
    <row r="428" spans="1:7" x14ac:dyDescent="0.3">
      <c r="A428" t="s">
        <v>28</v>
      </c>
      <c r="B428" t="s">
        <v>291</v>
      </c>
      <c r="C428">
        <v>111</v>
      </c>
      <c r="D428" t="s">
        <v>372</v>
      </c>
      <c r="E428" t="s">
        <v>373</v>
      </c>
      <c r="F428" t="s">
        <v>282</v>
      </c>
      <c r="G428" t="s">
        <v>103</v>
      </c>
    </row>
    <row r="429" spans="1:7" x14ac:dyDescent="0.3">
      <c r="A429" t="s">
        <v>28</v>
      </c>
      <c r="B429" t="s">
        <v>292</v>
      </c>
      <c r="C429">
        <v>188</v>
      </c>
      <c r="D429" t="s">
        <v>374</v>
      </c>
      <c r="E429" t="s">
        <v>375</v>
      </c>
      <c r="F429" t="s">
        <v>103</v>
      </c>
      <c r="G429" t="s">
        <v>103</v>
      </c>
    </row>
    <row r="430" spans="1:7" x14ac:dyDescent="0.3">
      <c r="A430" t="s">
        <v>28</v>
      </c>
      <c r="B430" t="s">
        <v>308</v>
      </c>
      <c r="C430">
        <v>12</v>
      </c>
      <c r="D430" t="s">
        <v>376</v>
      </c>
      <c r="E430" t="s">
        <v>377</v>
      </c>
      <c r="F430" t="s">
        <v>103</v>
      </c>
      <c r="G430" t="s">
        <v>103</v>
      </c>
    </row>
    <row r="431" spans="1:7" x14ac:dyDescent="0.3">
      <c r="A431" t="s">
        <v>27</v>
      </c>
      <c r="B431" t="s">
        <v>291</v>
      </c>
      <c r="C431">
        <v>91</v>
      </c>
      <c r="D431" t="s">
        <v>378</v>
      </c>
      <c r="E431" t="s">
        <v>376</v>
      </c>
      <c r="F431" t="s">
        <v>103</v>
      </c>
      <c r="G431" t="s">
        <v>116</v>
      </c>
    </row>
    <row r="432" spans="1:7" x14ac:dyDescent="0.3">
      <c r="A432" t="s">
        <v>27</v>
      </c>
      <c r="B432" t="s">
        <v>292</v>
      </c>
      <c r="C432">
        <v>188</v>
      </c>
      <c r="D432" t="s">
        <v>379</v>
      </c>
      <c r="E432" t="s">
        <v>380</v>
      </c>
      <c r="F432" t="s">
        <v>103</v>
      </c>
      <c r="G432" t="s">
        <v>103</v>
      </c>
    </row>
    <row r="433" spans="1:7" x14ac:dyDescent="0.3">
      <c r="A433" t="s">
        <v>27</v>
      </c>
      <c r="B433" t="s">
        <v>308</v>
      </c>
      <c r="C433">
        <v>6</v>
      </c>
      <c r="D433" t="s">
        <v>381</v>
      </c>
      <c r="E433" t="s">
        <v>382</v>
      </c>
      <c r="F433" t="s">
        <v>103</v>
      </c>
      <c r="G433" t="s">
        <v>103</v>
      </c>
    </row>
    <row r="434" spans="1:7" x14ac:dyDescent="0.3">
      <c r="A434" t="s">
        <v>41</v>
      </c>
      <c r="B434" t="s">
        <v>291</v>
      </c>
      <c r="C434">
        <v>681</v>
      </c>
      <c r="D434" t="s">
        <v>383</v>
      </c>
      <c r="E434" t="s">
        <v>226</v>
      </c>
      <c r="F434" t="s">
        <v>66</v>
      </c>
      <c r="G434" t="s">
        <v>103</v>
      </c>
    </row>
    <row r="435" spans="1:7" x14ac:dyDescent="0.3">
      <c r="A435" t="s">
        <v>41</v>
      </c>
      <c r="B435" t="s">
        <v>292</v>
      </c>
      <c r="C435">
        <v>1301</v>
      </c>
      <c r="D435" t="s">
        <v>384</v>
      </c>
      <c r="E435" t="s">
        <v>385</v>
      </c>
      <c r="F435" t="s">
        <v>103</v>
      </c>
      <c r="G435" t="s">
        <v>103</v>
      </c>
    </row>
    <row r="436" spans="1:7" x14ac:dyDescent="0.3">
      <c r="A436" t="s">
        <v>41</v>
      </c>
      <c r="B436" t="s">
        <v>308</v>
      </c>
      <c r="C436">
        <v>25</v>
      </c>
      <c r="D436" t="s">
        <v>386</v>
      </c>
      <c r="E436" t="s">
        <v>387</v>
      </c>
      <c r="F436" t="s">
        <v>103</v>
      </c>
      <c r="G436" t="s">
        <v>103</v>
      </c>
    </row>
    <row r="438" spans="1:7" x14ac:dyDescent="0.3">
      <c r="A438" t="s">
        <v>388</v>
      </c>
    </row>
    <row r="439" spans="1:7" x14ac:dyDescent="0.3">
      <c r="A439" t="s">
        <v>36</v>
      </c>
      <c r="B439" t="s">
        <v>310</v>
      </c>
      <c r="C439" t="s">
        <v>24</v>
      </c>
      <c r="D439" t="s">
        <v>58</v>
      </c>
      <c r="E439" t="s">
        <v>59</v>
      </c>
      <c r="F439" t="s">
        <v>181</v>
      </c>
      <c r="G439" t="s">
        <v>348</v>
      </c>
    </row>
    <row r="440" spans="1:7" x14ac:dyDescent="0.3">
      <c r="A440" t="s">
        <v>25</v>
      </c>
      <c r="B440" t="s">
        <v>311</v>
      </c>
      <c r="C440">
        <v>322</v>
      </c>
      <c r="D440" t="s">
        <v>389</v>
      </c>
      <c r="E440" t="s">
        <v>390</v>
      </c>
      <c r="F440" t="s">
        <v>103</v>
      </c>
      <c r="G440" t="s">
        <v>103</v>
      </c>
    </row>
    <row r="441" spans="1:7" x14ac:dyDescent="0.3">
      <c r="A441" t="s">
        <v>25</v>
      </c>
      <c r="B441" t="s">
        <v>312</v>
      </c>
      <c r="C441">
        <v>80</v>
      </c>
      <c r="D441" t="s">
        <v>391</v>
      </c>
      <c r="E441" t="s">
        <v>392</v>
      </c>
      <c r="F441" t="s">
        <v>103</v>
      </c>
      <c r="G441" t="s">
        <v>103</v>
      </c>
    </row>
    <row r="442" spans="1:7" x14ac:dyDescent="0.3">
      <c r="A442" t="s">
        <v>25</v>
      </c>
      <c r="B442" t="s">
        <v>308</v>
      </c>
      <c r="C442">
        <v>10</v>
      </c>
      <c r="D442" t="s">
        <v>393</v>
      </c>
      <c r="E442" t="s">
        <v>394</v>
      </c>
      <c r="F442" t="s">
        <v>103</v>
      </c>
      <c r="G442" t="s">
        <v>103</v>
      </c>
    </row>
    <row r="443" spans="1:7" x14ac:dyDescent="0.3">
      <c r="A443" t="s">
        <v>26</v>
      </c>
      <c r="B443" t="s">
        <v>311</v>
      </c>
      <c r="C443">
        <v>337</v>
      </c>
      <c r="D443" t="s">
        <v>249</v>
      </c>
      <c r="E443" t="s">
        <v>373</v>
      </c>
      <c r="F443" t="s">
        <v>122</v>
      </c>
      <c r="G443" t="s">
        <v>103</v>
      </c>
    </row>
    <row r="444" spans="1:7" x14ac:dyDescent="0.3">
      <c r="A444" t="s">
        <v>26</v>
      </c>
      <c r="B444" t="s">
        <v>312</v>
      </c>
      <c r="C444">
        <v>95</v>
      </c>
      <c r="D444" t="s">
        <v>395</v>
      </c>
      <c r="E444" t="s">
        <v>396</v>
      </c>
      <c r="F444" t="s">
        <v>66</v>
      </c>
      <c r="G444" t="s">
        <v>103</v>
      </c>
    </row>
    <row r="445" spans="1:7" x14ac:dyDescent="0.3">
      <c r="A445" t="s">
        <v>26</v>
      </c>
      <c r="B445" t="s">
        <v>308</v>
      </c>
      <c r="C445">
        <v>38</v>
      </c>
      <c r="D445" t="s">
        <v>397</v>
      </c>
      <c r="E445" t="s">
        <v>398</v>
      </c>
      <c r="F445" t="s">
        <v>103</v>
      </c>
      <c r="G445" t="s">
        <v>103</v>
      </c>
    </row>
    <row r="446" spans="1:7" x14ac:dyDescent="0.3">
      <c r="A446" t="s">
        <v>29</v>
      </c>
      <c r="B446" t="s">
        <v>311</v>
      </c>
      <c r="C446">
        <v>413</v>
      </c>
      <c r="D446" t="s">
        <v>399</v>
      </c>
      <c r="E446" t="s">
        <v>400</v>
      </c>
      <c r="F446" t="s">
        <v>103</v>
      </c>
      <c r="G446" t="s">
        <v>103</v>
      </c>
    </row>
    <row r="447" spans="1:7" x14ac:dyDescent="0.3">
      <c r="A447" t="s">
        <v>29</v>
      </c>
      <c r="B447" t="s">
        <v>312</v>
      </c>
      <c r="C447">
        <v>103</v>
      </c>
      <c r="D447" t="s">
        <v>225</v>
      </c>
      <c r="E447" t="s">
        <v>401</v>
      </c>
      <c r="F447" t="s">
        <v>103</v>
      </c>
      <c r="G447" t="s">
        <v>103</v>
      </c>
    </row>
    <row r="448" spans="1:7" x14ac:dyDescent="0.3">
      <c r="A448" t="s">
        <v>29</v>
      </c>
      <c r="B448" t="s">
        <v>308</v>
      </c>
      <c r="C448">
        <v>13</v>
      </c>
      <c r="D448" t="s">
        <v>402</v>
      </c>
      <c r="E448" t="s">
        <v>403</v>
      </c>
      <c r="F448" t="s">
        <v>103</v>
      </c>
      <c r="G448" t="s">
        <v>103</v>
      </c>
    </row>
    <row r="449" spans="1:7" x14ac:dyDescent="0.3">
      <c r="A449" t="s">
        <v>28</v>
      </c>
      <c r="B449" t="s">
        <v>311</v>
      </c>
      <c r="C449">
        <v>217</v>
      </c>
      <c r="D449" t="s">
        <v>383</v>
      </c>
      <c r="E449" t="s">
        <v>404</v>
      </c>
      <c r="F449" t="s">
        <v>97</v>
      </c>
      <c r="G449" t="s">
        <v>103</v>
      </c>
    </row>
    <row r="450" spans="1:7" x14ac:dyDescent="0.3">
      <c r="A450" t="s">
        <v>28</v>
      </c>
      <c r="B450" t="s">
        <v>312</v>
      </c>
      <c r="C450">
        <v>93</v>
      </c>
      <c r="D450" t="s">
        <v>358</v>
      </c>
      <c r="E450" t="s">
        <v>405</v>
      </c>
      <c r="F450" t="s">
        <v>103</v>
      </c>
      <c r="G450" t="s">
        <v>103</v>
      </c>
    </row>
    <row r="451" spans="1:7" x14ac:dyDescent="0.3">
      <c r="A451" t="s">
        <v>28</v>
      </c>
      <c r="B451" t="s">
        <v>308</v>
      </c>
      <c r="C451">
        <v>1</v>
      </c>
      <c r="D451" t="s">
        <v>103</v>
      </c>
      <c r="E451" t="s">
        <v>192</v>
      </c>
      <c r="F451" t="s">
        <v>103</v>
      </c>
      <c r="G451" t="s">
        <v>103</v>
      </c>
    </row>
    <row r="452" spans="1:7" x14ac:dyDescent="0.3">
      <c r="A452" t="s">
        <v>27</v>
      </c>
      <c r="B452" t="s">
        <v>311</v>
      </c>
      <c r="C452">
        <v>225</v>
      </c>
      <c r="D452" t="s">
        <v>406</v>
      </c>
      <c r="E452" t="s">
        <v>407</v>
      </c>
      <c r="F452" t="s">
        <v>103</v>
      </c>
      <c r="G452" t="s">
        <v>103</v>
      </c>
    </row>
    <row r="453" spans="1:7" x14ac:dyDescent="0.3">
      <c r="A453" t="s">
        <v>27</v>
      </c>
      <c r="B453" t="s">
        <v>312</v>
      </c>
      <c r="C453">
        <v>57</v>
      </c>
      <c r="D453" t="s">
        <v>408</v>
      </c>
      <c r="E453" t="s">
        <v>409</v>
      </c>
      <c r="F453" t="s">
        <v>103</v>
      </c>
      <c r="G453" t="s">
        <v>97</v>
      </c>
    </row>
    <row r="454" spans="1:7" x14ac:dyDescent="0.3">
      <c r="A454" t="s">
        <v>27</v>
      </c>
      <c r="B454" t="s">
        <v>308</v>
      </c>
      <c r="C454">
        <v>3</v>
      </c>
      <c r="D454" t="s">
        <v>192</v>
      </c>
      <c r="E454" t="s">
        <v>103</v>
      </c>
      <c r="F454" t="s">
        <v>103</v>
      </c>
      <c r="G454" t="s">
        <v>103</v>
      </c>
    </row>
    <row r="455" spans="1:7" x14ac:dyDescent="0.3">
      <c r="A455" t="s">
        <v>41</v>
      </c>
      <c r="B455" t="s">
        <v>311</v>
      </c>
      <c r="C455">
        <v>1514</v>
      </c>
      <c r="D455" t="s">
        <v>363</v>
      </c>
      <c r="E455" t="s">
        <v>405</v>
      </c>
      <c r="F455" t="s">
        <v>91</v>
      </c>
      <c r="G455" t="s">
        <v>103</v>
      </c>
    </row>
    <row r="456" spans="1:7" x14ac:dyDescent="0.3">
      <c r="A456" t="s">
        <v>41</v>
      </c>
      <c r="B456" t="s">
        <v>312</v>
      </c>
      <c r="C456">
        <v>428</v>
      </c>
      <c r="D456" t="s">
        <v>363</v>
      </c>
      <c r="E456" t="s">
        <v>362</v>
      </c>
      <c r="F456" t="s">
        <v>103</v>
      </c>
      <c r="G456" t="s">
        <v>103</v>
      </c>
    </row>
    <row r="457" spans="1:7" x14ac:dyDescent="0.3">
      <c r="A457" t="s">
        <v>41</v>
      </c>
      <c r="B457" t="s">
        <v>308</v>
      </c>
      <c r="C457">
        <v>65</v>
      </c>
      <c r="D457" t="s">
        <v>410</v>
      </c>
      <c r="E457" t="s">
        <v>411</v>
      </c>
      <c r="F457" t="s">
        <v>103</v>
      </c>
      <c r="G457" t="s">
        <v>103</v>
      </c>
    </row>
    <row r="459" spans="1:7" x14ac:dyDescent="0.3">
      <c r="A459" t="s">
        <v>412</v>
      </c>
    </row>
    <row r="460" spans="1:7" x14ac:dyDescent="0.3">
      <c r="A460" t="s">
        <v>36</v>
      </c>
      <c r="B460" t="s">
        <v>197</v>
      </c>
      <c r="C460" t="s">
        <v>24</v>
      </c>
      <c r="D460" t="s">
        <v>58</v>
      </c>
      <c r="E460" t="s">
        <v>59</v>
      </c>
      <c r="F460" t="s">
        <v>181</v>
      </c>
      <c r="G460" t="s">
        <v>348</v>
      </c>
    </row>
    <row r="461" spans="1:7" x14ac:dyDescent="0.3">
      <c r="A461" t="s">
        <v>25</v>
      </c>
      <c r="B461" t="s">
        <v>198</v>
      </c>
      <c r="C461">
        <v>102</v>
      </c>
      <c r="D461" t="s">
        <v>413</v>
      </c>
      <c r="E461" t="s">
        <v>414</v>
      </c>
      <c r="F461" t="s">
        <v>103</v>
      </c>
      <c r="G461" t="s">
        <v>103</v>
      </c>
    </row>
    <row r="462" spans="1:7" x14ac:dyDescent="0.3">
      <c r="A462" t="s">
        <v>25</v>
      </c>
      <c r="B462" t="s">
        <v>199</v>
      </c>
      <c r="C462">
        <v>310</v>
      </c>
      <c r="D462" t="s">
        <v>415</v>
      </c>
      <c r="E462" t="s">
        <v>416</v>
      </c>
      <c r="F462" t="s">
        <v>103</v>
      </c>
      <c r="G462" t="s">
        <v>103</v>
      </c>
    </row>
    <row r="463" spans="1:7" x14ac:dyDescent="0.3">
      <c r="A463" t="s">
        <v>26</v>
      </c>
      <c r="B463" t="s">
        <v>198</v>
      </c>
      <c r="C463">
        <v>41</v>
      </c>
      <c r="D463" t="s">
        <v>417</v>
      </c>
      <c r="E463" t="s">
        <v>418</v>
      </c>
      <c r="F463" t="s">
        <v>95</v>
      </c>
      <c r="G463" t="s">
        <v>103</v>
      </c>
    </row>
    <row r="464" spans="1:7" x14ac:dyDescent="0.3">
      <c r="A464" t="s">
        <v>26</v>
      </c>
      <c r="B464" t="s">
        <v>199</v>
      </c>
      <c r="C464">
        <v>429</v>
      </c>
      <c r="D464" t="s">
        <v>419</v>
      </c>
      <c r="E464" t="s">
        <v>420</v>
      </c>
      <c r="F464" t="s">
        <v>116</v>
      </c>
      <c r="G464" t="s">
        <v>103</v>
      </c>
    </row>
    <row r="465" spans="1:7" x14ac:dyDescent="0.3">
      <c r="A465" t="s">
        <v>29</v>
      </c>
      <c r="B465" t="s">
        <v>198</v>
      </c>
      <c r="C465">
        <v>170</v>
      </c>
      <c r="D465" t="s">
        <v>421</v>
      </c>
      <c r="E465" t="s">
        <v>351</v>
      </c>
      <c r="F465" t="s">
        <v>103</v>
      </c>
      <c r="G465" t="s">
        <v>103</v>
      </c>
    </row>
    <row r="466" spans="1:7" x14ac:dyDescent="0.3">
      <c r="A466" t="s">
        <v>29</v>
      </c>
      <c r="B466" t="s">
        <v>199</v>
      </c>
      <c r="C466">
        <v>359</v>
      </c>
      <c r="D466" t="s">
        <v>422</v>
      </c>
      <c r="E466" t="s">
        <v>423</v>
      </c>
      <c r="F466" t="s">
        <v>103</v>
      </c>
      <c r="G466" t="s">
        <v>103</v>
      </c>
    </row>
    <row r="467" spans="1:7" x14ac:dyDescent="0.3">
      <c r="A467" t="s">
        <v>28</v>
      </c>
      <c r="B467" t="s">
        <v>198</v>
      </c>
      <c r="C467">
        <v>70</v>
      </c>
      <c r="D467" t="s">
        <v>424</v>
      </c>
      <c r="E467" t="s">
        <v>425</v>
      </c>
      <c r="F467" t="s">
        <v>103</v>
      </c>
      <c r="G467" t="s">
        <v>103</v>
      </c>
    </row>
    <row r="468" spans="1:7" x14ac:dyDescent="0.3">
      <c r="A468" t="s">
        <v>28</v>
      </c>
      <c r="B468" t="s">
        <v>199</v>
      </c>
      <c r="C468">
        <v>241</v>
      </c>
      <c r="D468" t="s">
        <v>426</v>
      </c>
      <c r="E468" t="s">
        <v>427</v>
      </c>
      <c r="F468" t="s">
        <v>97</v>
      </c>
      <c r="G468" t="s">
        <v>103</v>
      </c>
    </row>
    <row r="469" spans="1:7" x14ac:dyDescent="0.3">
      <c r="A469" t="s">
        <v>27</v>
      </c>
      <c r="B469" t="s">
        <v>198</v>
      </c>
      <c r="C469">
        <v>126</v>
      </c>
      <c r="D469" t="s">
        <v>428</v>
      </c>
      <c r="E469" t="s">
        <v>429</v>
      </c>
      <c r="F469" t="s">
        <v>103</v>
      </c>
      <c r="G469" t="s">
        <v>103</v>
      </c>
    </row>
    <row r="470" spans="1:7" x14ac:dyDescent="0.3">
      <c r="A470" t="s">
        <v>27</v>
      </c>
      <c r="B470" t="s">
        <v>199</v>
      </c>
      <c r="C470">
        <v>159</v>
      </c>
      <c r="D470" t="s">
        <v>430</v>
      </c>
      <c r="E470" t="s">
        <v>299</v>
      </c>
      <c r="F470" t="s">
        <v>103</v>
      </c>
      <c r="G470" t="s">
        <v>66</v>
      </c>
    </row>
    <row r="471" spans="1:7" x14ac:dyDescent="0.3">
      <c r="A471" t="s">
        <v>41</v>
      </c>
      <c r="B471" t="s">
        <v>198</v>
      </c>
      <c r="C471">
        <v>509</v>
      </c>
      <c r="D471" t="s">
        <v>390</v>
      </c>
      <c r="E471" t="s">
        <v>389</v>
      </c>
      <c r="F471" t="s">
        <v>103</v>
      </c>
      <c r="G471" t="s">
        <v>103</v>
      </c>
    </row>
    <row r="472" spans="1:7" x14ac:dyDescent="0.3">
      <c r="A472" t="s">
        <v>41</v>
      </c>
      <c r="B472" t="s">
        <v>199</v>
      </c>
      <c r="C472">
        <v>1498</v>
      </c>
      <c r="D472" t="s">
        <v>431</v>
      </c>
      <c r="E472" t="s">
        <v>432</v>
      </c>
      <c r="F472" t="s">
        <v>91</v>
      </c>
      <c r="G472" t="s">
        <v>103</v>
      </c>
    </row>
    <row r="474" spans="1:7" x14ac:dyDescent="0.3">
      <c r="A474" t="s">
        <v>433</v>
      </c>
    </row>
    <row r="475" spans="1:7" x14ac:dyDescent="0.3">
      <c r="A475" t="s">
        <v>36</v>
      </c>
      <c r="B475" t="s">
        <v>210</v>
      </c>
      <c r="C475" t="s">
        <v>24</v>
      </c>
      <c r="D475" t="s">
        <v>58</v>
      </c>
      <c r="E475" t="s">
        <v>59</v>
      </c>
      <c r="F475" t="s">
        <v>181</v>
      </c>
      <c r="G475" t="s">
        <v>348</v>
      </c>
    </row>
    <row r="476" spans="1:7" x14ac:dyDescent="0.3">
      <c r="A476" t="s">
        <v>25</v>
      </c>
      <c r="B476" t="s">
        <v>211</v>
      </c>
      <c r="C476">
        <v>412</v>
      </c>
      <c r="D476" t="s">
        <v>349</v>
      </c>
      <c r="E476" t="s">
        <v>350</v>
      </c>
      <c r="F476" t="s">
        <v>103</v>
      </c>
      <c r="G476" t="s">
        <v>103</v>
      </c>
    </row>
    <row r="477" spans="1:7" x14ac:dyDescent="0.3">
      <c r="A477" t="s">
        <v>26</v>
      </c>
      <c r="B477" t="s">
        <v>211</v>
      </c>
      <c r="C477">
        <v>221</v>
      </c>
      <c r="D477" t="s">
        <v>434</v>
      </c>
      <c r="E477" t="s">
        <v>435</v>
      </c>
      <c r="F477" t="s">
        <v>103</v>
      </c>
      <c r="G477" t="s">
        <v>103</v>
      </c>
    </row>
    <row r="478" spans="1:7" x14ac:dyDescent="0.3">
      <c r="A478" t="s">
        <v>26</v>
      </c>
      <c r="B478" t="s">
        <v>212</v>
      </c>
      <c r="C478">
        <v>249</v>
      </c>
      <c r="D478" t="s">
        <v>354</v>
      </c>
      <c r="E478" t="s">
        <v>436</v>
      </c>
      <c r="F478" t="s">
        <v>120</v>
      </c>
      <c r="G478" t="s">
        <v>103</v>
      </c>
    </row>
    <row r="479" spans="1:7" x14ac:dyDescent="0.3">
      <c r="A479" t="s">
        <v>29</v>
      </c>
      <c r="B479" t="s">
        <v>211</v>
      </c>
      <c r="C479">
        <v>529</v>
      </c>
      <c r="D479" t="s">
        <v>353</v>
      </c>
      <c r="E479" t="s">
        <v>354</v>
      </c>
      <c r="F479" t="s">
        <v>103</v>
      </c>
      <c r="G479" t="s">
        <v>103</v>
      </c>
    </row>
    <row r="480" spans="1:7" x14ac:dyDescent="0.3">
      <c r="A480" t="s">
        <v>28</v>
      </c>
      <c r="B480" t="s">
        <v>211</v>
      </c>
      <c r="C480">
        <v>271</v>
      </c>
      <c r="D480" t="s">
        <v>368</v>
      </c>
      <c r="E480" t="s">
        <v>369</v>
      </c>
      <c r="F480" t="s">
        <v>103</v>
      </c>
      <c r="G480" t="s">
        <v>103</v>
      </c>
    </row>
    <row r="481" spans="1:11" x14ac:dyDescent="0.3">
      <c r="A481" t="s">
        <v>28</v>
      </c>
      <c r="B481" t="s">
        <v>212</v>
      </c>
      <c r="C481">
        <v>40</v>
      </c>
      <c r="D481" t="s">
        <v>437</v>
      </c>
      <c r="E481" t="s">
        <v>132</v>
      </c>
      <c r="F481" t="s">
        <v>438</v>
      </c>
      <c r="G481" t="s">
        <v>103</v>
      </c>
    </row>
    <row r="482" spans="1:11" x14ac:dyDescent="0.3">
      <c r="A482" t="s">
        <v>27</v>
      </c>
      <c r="B482" t="s">
        <v>211</v>
      </c>
      <c r="C482">
        <v>255</v>
      </c>
      <c r="D482" t="s">
        <v>439</v>
      </c>
      <c r="E482" t="s">
        <v>440</v>
      </c>
      <c r="F482" t="s">
        <v>103</v>
      </c>
      <c r="G482" t="s">
        <v>91</v>
      </c>
    </row>
    <row r="483" spans="1:11" s="3" customFormat="1" x14ac:dyDescent="0.3">
      <c r="A483" s="3" t="s">
        <v>27</v>
      </c>
      <c r="B483" s="3" t="s">
        <v>212</v>
      </c>
      <c r="C483" s="3">
        <v>30</v>
      </c>
      <c r="D483" s="3" t="s">
        <v>424</v>
      </c>
      <c r="E483" s="3" t="s">
        <v>425</v>
      </c>
      <c r="F483" s="3" t="s">
        <v>103</v>
      </c>
      <c r="G483" s="3" t="s">
        <v>103</v>
      </c>
    </row>
    <row r="484" spans="1:11" x14ac:dyDescent="0.3">
      <c r="A484" t="s">
        <v>41</v>
      </c>
      <c r="B484" t="s">
        <v>211</v>
      </c>
      <c r="C484">
        <v>1688</v>
      </c>
      <c r="D484" t="s">
        <v>441</v>
      </c>
      <c r="E484" t="s">
        <v>442</v>
      </c>
      <c r="F484" t="s">
        <v>103</v>
      </c>
      <c r="G484" t="s">
        <v>103</v>
      </c>
    </row>
    <row r="485" spans="1:11" x14ac:dyDescent="0.3">
      <c r="A485" t="s">
        <v>41</v>
      </c>
      <c r="B485" t="s">
        <v>212</v>
      </c>
      <c r="C485">
        <v>319</v>
      </c>
      <c r="D485" t="s">
        <v>431</v>
      </c>
      <c r="E485" t="s">
        <v>443</v>
      </c>
      <c r="F485" t="s">
        <v>95</v>
      </c>
      <c r="G485" t="s">
        <v>103</v>
      </c>
    </row>
    <row r="487" spans="1:11" x14ac:dyDescent="0.3">
      <c r="A487" t="s">
        <v>444</v>
      </c>
    </row>
    <row r="488" spans="1:11" x14ac:dyDescent="0.3">
      <c r="A488" t="s">
        <v>36</v>
      </c>
      <c r="B488" t="s">
        <v>307</v>
      </c>
      <c r="C488" t="s">
        <v>24</v>
      </c>
      <c r="D488" t="s">
        <v>445</v>
      </c>
      <c r="E488" t="s">
        <v>446</v>
      </c>
      <c r="F488" t="s">
        <v>447</v>
      </c>
      <c r="G488" t="s">
        <v>448</v>
      </c>
      <c r="H488" t="s">
        <v>449</v>
      </c>
      <c r="I488" t="s">
        <v>450</v>
      </c>
      <c r="J488" t="s">
        <v>451</v>
      </c>
      <c r="K488" t="s">
        <v>223</v>
      </c>
    </row>
    <row r="489" spans="1:11" x14ac:dyDescent="0.3">
      <c r="A489" t="s">
        <v>25</v>
      </c>
      <c r="B489" t="s">
        <v>291</v>
      </c>
      <c r="C489">
        <v>156</v>
      </c>
      <c r="D489" t="s">
        <v>95</v>
      </c>
      <c r="E489" t="s">
        <v>175</v>
      </c>
      <c r="F489" t="s">
        <v>390</v>
      </c>
      <c r="G489" t="s">
        <v>402</v>
      </c>
      <c r="H489" t="s">
        <v>452</v>
      </c>
      <c r="I489" t="s">
        <v>68</v>
      </c>
      <c r="J489" t="s">
        <v>139</v>
      </c>
      <c r="K489" t="s">
        <v>103</v>
      </c>
    </row>
    <row r="490" spans="1:11" x14ac:dyDescent="0.3">
      <c r="A490" t="s">
        <v>25</v>
      </c>
      <c r="B490" t="s">
        <v>292</v>
      </c>
      <c r="C490">
        <v>252</v>
      </c>
      <c r="D490" t="s">
        <v>103</v>
      </c>
      <c r="E490" t="s">
        <v>150</v>
      </c>
      <c r="F490" t="s">
        <v>453</v>
      </c>
      <c r="G490" t="s">
        <v>454</v>
      </c>
      <c r="H490" t="s">
        <v>186</v>
      </c>
      <c r="I490" t="s">
        <v>110</v>
      </c>
      <c r="J490" t="s">
        <v>95</v>
      </c>
      <c r="K490" t="s">
        <v>95</v>
      </c>
    </row>
    <row r="491" spans="1:11" x14ac:dyDescent="0.3">
      <c r="A491" t="s">
        <v>25</v>
      </c>
      <c r="B491" t="s">
        <v>308</v>
      </c>
      <c r="C491">
        <v>4</v>
      </c>
      <c r="D491" t="s">
        <v>103</v>
      </c>
      <c r="E491" t="s">
        <v>103</v>
      </c>
      <c r="F491" t="s">
        <v>421</v>
      </c>
      <c r="G491" t="s">
        <v>455</v>
      </c>
      <c r="H491" t="s">
        <v>456</v>
      </c>
      <c r="I491" t="s">
        <v>103</v>
      </c>
      <c r="J491" t="s">
        <v>103</v>
      </c>
      <c r="K491" t="s">
        <v>103</v>
      </c>
    </row>
    <row r="492" spans="1:11" x14ac:dyDescent="0.3">
      <c r="A492" t="s">
        <v>26</v>
      </c>
      <c r="B492" t="s">
        <v>291</v>
      </c>
      <c r="C492">
        <v>119</v>
      </c>
      <c r="D492" t="s">
        <v>122</v>
      </c>
      <c r="E492" t="s">
        <v>50</v>
      </c>
      <c r="F492" t="s">
        <v>457</v>
      </c>
      <c r="G492" t="s">
        <v>458</v>
      </c>
      <c r="H492" t="s">
        <v>459</v>
      </c>
      <c r="I492" t="s">
        <v>460</v>
      </c>
      <c r="J492" t="s">
        <v>239</v>
      </c>
      <c r="K492" t="s">
        <v>103</v>
      </c>
    </row>
    <row r="493" spans="1:11" x14ac:dyDescent="0.3">
      <c r="A493" t="s">
        <v>26</v>
      </c>
      <c r="B493" t="s">
        <v>292</v>
      </c>
      <c r="C493">
        <v>348</v>
      </c>
      <c r="D493" t="s">
        <v>139</v>
      </c>
      <c r="E493" t="s">
        <v>48</v>
      </c>
      <c r="F493" t="s">
        <v>461</v>
      </c>
      <c r="G493" t="s">
        <v>462</v>
      </c>
      <c r="H493" t="s">
        <v>133</v>
      </c>
      <c r="I493" t="s">
        <v>186</v>
      </c>
      <c r="J493" t="s">
        <v>105</v>
      </c>
      <c r="K493" t="s">
        <v>103</v>
      </c>
    </row>
    <row r="494" spans="1:11" x14ac:dyDescent="0.3">
      <c r="A494" t="s">
        <v>26</v>
      </c>
      <c r="B494" t="s">
        <v>308</v>
      </c>
      <c r="C494">
        <v>3</v>
      </c>
      <c r="D494" t="s">
        <v>103</v>
      </c>
      <c r="E494" t="s">
        <v>103</v>
      </c>
      <c r="F494" t="s">
        <v>103</v>
      </c>
      <c r="G494" t="s">
        <v>192</v>
      </c>
      <c r="H494" t="s">
        <v>103</v>
      </c>
      <c r="I494" t="s">
        <v>103</v>
      </c>
      <c r="J494" t="s">
        <v>103</v>
      </c>
      <c r="K494" t="s">
        <v>103</v>
      </c>
    </row>
    <row r="495" spans="1:11" x14ac:dyDescent="0.3">
      <c r="A495" t="s">
        <v>29</v>
      </c>
      <c r="B495" t="s">
        <v>291</v>
      </c>
      <c r="C495">
        <v>204</v>
      </c>
      <c r="D495" t="s">
        <v>103</v>
      </c>
      <c r="E495" t="s">
        <v>463</v>
      </c>
      <c r="F495" t="s">
        <v>376</v>
      </c>
      <c r="G495" t="s">
        <v>436</v>
      </c>
      <c r="H495" t="s">
        <v>186</v>
      </c>
      <c r="I495" t="s">
        <v>201</v>
      </c>
      <c r="J495" t="s">
        <v>282</v>
      </c>
      <c r="K495" t="s">
        <v>103</v>
      </c>
    </row>
    <row r="496" spans="1:11" x14ac:dyDescent="0.3">
      <c r="A496" t="s">
        <v>29</v>
      </c>
      <c r="B496" t="s">
        <v>292</v>
      </c>
      <c r="C496">
        <v>325</v>
      </c>
      <c r="D496" t="s">
        <v>98</v>
      </c>
      <c r="E496" t="s">
        <v>275</v>
      </c>
      <c r="F496" t="s">
        <v>464</v>
      </c>
      <c r="G496" t="s">
        <v>465</v>
      </c>
      <c r="H496" t="s">
        <v>466</v>
      </c>
      <c r="I496" t="s">
        <v>467</v>
      </c>
      <c r="J496" t="s">
        <v>468</v>
      </c>
      <c r="K496" t="s">
        <v>103</v>
      </c>
    </row>
    <row r="497" spans="1:11" x14ac:dyDescent="0.3">
      <c r="A497" t="s">
        <v>28</v>
      </c>
      <c r="B497" t="s">
        <v>291</v>
      </c>
      <c r="C497">
        <v>111</v>
      </c>
      <c r="D497" t="s">
        <v>136</v>
      </c>
      <c r="E497" t="s">
        <v>469</v>
      </c>
      <c r="F497" t="s">
        <v>470</v>
      </c>
      <c r="G497" t="s">
        <v>471</v>
      </c>
      <c r="H497" t="s">
        <v>142</v>
      </c>
      <c r="I497" t="s">
        <v>242</v>
      </c>
      <c r="J497" t="s">
        <v>130</v>
      </c>
      <c r="K497" t="s">
        <v>103</v>
      </c>
    </row>
    <row r="498" spans="1:11" x14ac:dyDescent="0.3">
      <c r="A498" t="s">
        <v>28</v>
      </c>
      <c r="B498" t="s">
        <v>292</v>
      </c>
      <c r="C498">
        <v>188</v>
      </c>
      <c r="D498" t="s">
        <v>472</v>
      </c>
      <c r="E498" t="s">
        <v>473</v>
      </c>
      <c r="F498" t="s">
        <v>146</v>
      </c>
      <c r="G498" t="s">
        <v>473</v>
      </c>
      <c r="H498" t="s">
        <v>108</v>
      </c>
      <c r="I498" t="s">
        <v>157</v>
      </c>
      <c r="J498" t="s">
        <v>474</v>
      </c>
      <c r="K498" t="s">
        <v>103</v>
      </c>
    </row>
    <row r="499" spans="1:11" x14ac:dyDescent="0.3">
      <c r="A499" t="s">
        <v>28</v>
      </c>
      <c r="B499" t="s">
        <v>308</v>
      </c>
      <c r="C499">
        <v>12</v>
      </c>
      <c r="D499" t="s">
        <v>475</v>
      </c>
      <c r="E499" t="s">
        <v>476</v>
      </c>
      <c r="F499" t="s">
        <v>157</v>
      </c>
      <c r="G499" t="s">
        <v>477</v>
      </c>
      <c r="H499" t="s">
        <v>256</v>
      </c>
      <c r="I499" t="s">
        <v>112</v>
      </c>
      <c r="J499" t="s">
        <v>103</v>
      </c>
      <c r="K499" t="s">
        <v>103</v>
      </c>
    </row>
    <row r="500" spans="1:11" x14ac:dyDescent="0.3">
      <c r="A500" t="s">
        <v>27</v>
      </c>
      <c r="B500" t="s">
        <v>291</v>
      </c>
      <c r="C500">
        <v>91</v>
      </c>
      <c r="D500" t="s">
        <v>118</v>
      </c>
      <c r="E500" t="s">
        <v>478</v>
      </c>
      <c r="F500" t="s">
        <v>479</v>
      </c>
      <c r="G500" t="s">
        <v>480</v>
      </c>
      <c r="H500" t="s">
        <v>481</v>
      </c>
      <c r="I500" t="s">
        <v>482</v>
      </c>
      <c r="J500" t="s">
        <v>188</v>
      </c>
      <c r="K500" t="s">
        <v>98</v>
      </c>
    </row>
    <row r="501" spans="1:11" x14ac:dyDescent="0.3">
      <c r="A501" t="s">
        <v>27</v>
      </c>
      <c r="B501" t="s">
        <v>292</v>
      </c>
      <c r="C501">
        <v>188</v>
      </c>
      <c r="D501" t="s">
        <v>270</v>
      </c>
      <c r="E501" t="s">
        <v>483</v>
      </c>
      <c r="F501" t="s">
        <v>484</v>
      </c>
      <c r="G501" t="s">
        <v>250</v>
      </c>
      <c r="H501" t="s">
        <v>485</v>
      </c>
      <c r="I501" t="s">
        <v>124</v>
      </c>
      <c r="J501" t="s">
        <v>239</v>
      </c>
      <c r="K501" t="s">
        <v>122</v>
      </c>
    </row>
    <row r="502" spans="1:11" x14ac:dyDescent="0.3">
      <c r="A502" t="s">
        <v>27</v>
      </c>
      <c r="B502" t="s">
        <v>308</v>
      </c>
      <c r="C502">
        <v>6</v>
      </c>
      <c r="D502" t="s">
        <v>486</v>
      </c>
      <c r="E502" t="s">
        <v>487</v>
      </c>
      <c r="F502" t="s">
        <v>103</v>
      </c>
      <c r="G502" t="s">
        <v>103</v>
      </c>
      <c r="H502" t="s">
        <v>103</v>
      </c>
      <c r="I502" t="s">
        <v>469</v>
      </c>
      <c r="J502" t="s">
        <v>470</v>
      </c>
      <c r="K502" t="s">
        <v>103</v>
      </c>
    </row>
    <row r="503" spans="1:11" x14ac:dyDescent="0.3">
      <c r="A503" t="s">
        <v>41</v>
      </c>
      <c r="B503" t="s">
        <v>291</v>
      </c>
      <c r="C503">
        <v>681</v>
      </c>
      <c r="D503" t="s">
        <v>98</v>
      </c>
      <c r="E503" t="s">
        <v>488</v>
      </c>
      <c r="F503" t="s">
        <v>489</v>
      </c>
      <c r="G503" t="s">
        <v>490</v>
      </c>
      <c r="H503" t="s">
        <v>251</v>
      </c>
      <c r="I503" t="s">
        <v>284</v>
      </c>
      <c r="J503" t="s">
        <v>105</v>
      </c>
      <c r="K503" t="s">
        <v>103</v>
      </c>
    </row>
    <row r="504" spans="1:11" x14ac:dyDescent="0.3">
      <c r="A504" t="s">
        <v>41</v>
      </c>
      <c r="B504" t="s">
        <v>292</v>
      </c>
      <c r="C504">
        <v>1301</v>
      </c>
      <c r="D504" t="s">
        <v>239</v>
      </c>
      <c r="E504" t="s">
        <v>470</v>
      </c>
      <c r="F504" t="s">
        <v>491</v>
      </c>
      <c r="G504" t="s">
        <v>492</v>
      </c>
      <c r="H504" t="s">
        <v>466</v>
      </c>
      <c r="I504" t="s">
        <v>493</v>
      </c>
      <c r="J504" t="s">
        <v>208</v>
      </c>
      <c r="K504" t="s">
        <v>66</v>
      </c>
    </row>
    <row r="505" spans="1:11" x14ac:dyDescent="0.3">
      <c r="A505" t="s">
        <v>41</v>
      </c>
      <c r="B505" t="s">
        <v>308</v>
      </c>
      <c r="C505">
        <v>25</v>
      </c>
      <c r="D505" t="s">
        <v>494</v>
      </c>
      <c r="E505" t="s">
        <v>495</v>
      </c>
      <c r="F505" t="s">
        <v>131</v>
      </c>
      <c r="G505" t="s">
        <v>496</v>
      </c>
      <c r="H505" t="s">
        <v>162</v>
      </c>
      <c r="I505" t="s">
        <v>107</v>
      </c>
      <c r="J505" t="s">
        <v>266</v>
      </c>
      <c r="K505" t="s">
        <v>103</v>
      </c>
    </row>
    <row r="507" spans="1:11" x14ac:dyDescent="0.3">
      <c r="A507" t="s">
        <v>497</v>
      </c>
    </row>
    <row r="508" spans="1:11" x14ac:dyDescent="0.3">
      <c r="A508" t="s">
        <v>36</v>
      </c>
      <c r="B508" t="s">
        <v>310</v>
      </c>
      <c r="C508" t="s">
        <v>24</v>
      </c>
      <c r="D508" t="s">
        <v>223</v>
      </c>
      <c r="E508" t="s">
        <v>446</v>
      </c>
      <c r="F508" t="s">
        <v>447</v>
      </c>
      <c r="G508" t="s">
        <v>448</v>
      </c>
      <c r="H508" t="s">
        <v>449</v>
      </c>
      <c r="I508" t="s">
        <v>450</v>
      </c>
      <c r="J508" t="s">
        <v>451</v>
      </c>
      <c r="K508" t="s">
        <v>445</v>
      </c>
    </row>
    <row r="509" spans="1:11" x14ac:dyDescent="0.3">
      <c r="A509" t="s">
        <v>25</v>
      </c>
      <c r="B509" t="s">
        <v>311</v>
      </c>
      <c r="C509">
        <v>322</v>
      </c>
      <c r="D509" t="s">
        <v>120</v>
      </c>
      <c r="E509" t="s">
        <v>469</v>
      </c>
      <c r="F509" t="s">
        <v>498</v>
      </c>
      <c r="G509" t="s">
        <v>499</v>
      </c>
      <c r="H509" t="s">
        <v>70</v>
      </c>
      <c r="I509" t="s">
        <v>239</v>
      </c>
      <c r="J509" t="s">
        <v>122</v>
      </c>
      <c r="K509" t="s">
        <v>103</v>
      </c>
    </row>
    <row r="510" spans="1:11" x14ac:dyDescent="0.3">
      <c r="A510" t="s">
        <v>25</v>
      </c>
      <c r="B510" t="s">
        <v>312</v>
      </c>
      <c r="C510">
        <v>80</v>
      </c>
      <c r="D510" t="s">
        <v>103</v>
      </c>
      <c r="E510" t="s">
        <v>493</v>
      </c>
      <c r="F510" t="s">
        <v>500</v>
      </c>
      <c r="G510" t="s">
        <v>501</v>
      </c>
      <c r="H510" t="s">
        <v>284</v>
      </c>
      <c r="I510" t="s">
        <v>214</v>
      </c>
      <c r="J510" t="s">
        <v>217</v>
      </c>
      <c r="K510" t="s">
        <v>110</v>
      </c>
    </row>
    <row r="511" spans="1:11" x14ac:dyDescent="0.3">
      <c r="A511" t="s">
        <v>25</v>
      </c>
      <c r="B511" t="s">
        <v>308</v>
      </c>
      <c r="C511">
        <v>10</v>
      </c>
      <c r="D511" t="s">
        <v>103</v>
      </c>
      <c r="E511" t="s">
        <v>108</v>
      </c>
      <c r="F511" t="s">
        <v>502</v>
      </c>
      <c r="G511" t="s">
        <v>503</v>
      </c>
      <c r="H511" t="s">
        <v>103</v>
      </c>
      <c r="I511" t="s">
        <v>103</v>
      </c>
      <c r="J511" t="s">
        <v>103</v>
      </c>
      <c r="K511" t="s">
        <v>103</v>
      </c>
    </row>
    <row r="512" spans="1:11" x14ac:dyDescent="0.3">
      <c r="A512" t="s">
        <v>26</v>
      </c>
      <c r="B512" t="s">
        <v>311</v>
      </c>
      <c r="C512">
        <v>337</v>
      </c>
      <c r="D512" t="s">
        <v>103</v>
      </c>
      <c r="E512" t="s">
        <v>50</v>
      </c>
      <c r="F512" t="s">
        <v>504</v>
      </c>
      <c r="G512" t="s">
        <v>453</v>
      </c>
      <c r="H512" t="s">
        <v>60</v>
      </c>
      <c r="I512" t="s">
        <v>214</v>
      </c>
      <c r="J512" t="s">
        <v>245</v>
      </c>
      <c r="K512" t="s">
        <v>98</v>
      </c>
    </row>
    <row r="513" spans="1:11" x14ac:dyDescent="0.3">
      <c r="A513" t="s">
        <v>26</v>
      </c>
      <c r="B513" t="s">
        <v>312</v>
      </c>
      <c r="C513">
        <v>95</v>
      </c>
      <c r="D513" t="s">
        <v>103</v>
      </c>
      <c r="E513" t="s">
        <v>505</v>
      </c>
      <c r="F513" t="s">
        <v>506</v>
      </c>
      <c r="G513" t="s">
        <v>370</v>
      </c>
      <c r="H513" t="s">
        <v>206</v>
      </c>
      <c r="I513" t="s">
        <v>251</v>
      </c>
      <c r="J513" t="s">
        <v>128</v>
      </c>
      <c r="K513" t="s">
        <v>103</v>
      </c>
    </row>
    <row r="514" spans="1:11" x14ac:dyDescent="0.3">
      <c r="A514" t="s">
        <v>26</v>
      </c>
      <c r="B514" t="s">
        <v>308</v>
      </c>
      <c r="C514">
        <v>38</v>
      </c>
      <c r="D514" t="s">
        <v>103</v>
      </c>
      <c r="E514" t="s">
        <v>133</v>
      </c>
      <c r="F514" t="s">
        <v>507</v>
      </c>
      <c r="G514" t="s">
        <v>508</v>
      </c>
      <c r="H514" t="s">
        <v>270</v>
      </c>
      <c r="I514" t="s">
        <v>208</v>
      </c>
      <c r="J514" t="s">
        <v>103</v>
      </c>
      <c r="K514" t="s">
        <v>103</v>
      </c>
    </row>
    <row r="515" spans="1:11" x14ac:dyDescent="0.3">
      <c r="A515" t="s">
        <v>29</v>
      </c>
      <c r="B515" t="s">
        <v>311</v>
      </c>
      <c r="C515">
        <v>413</v>
      </c>
      <c r="D515" t="s">
        <v>103</v>
      </c>
      <c r="E515" t="s">
        <v>488</v>
      </c>
      <c r="F515" t="s">
        <v>458</v>
      </c>
      <c r="G515" t="s">
        <v>509</v>
      </c>
      <c r="H515" t="s">
        <v>281</v>
      </c>
      <c r="I515" t="s">
        <v>467</v>
      </c>
      <c r="J515" t="s">
        <v>110</v>
      </c>
      <c r="K515" t="s">
        <v>95</v>
      </c>
    </row>
    <row r="516" spans="1:11" x14ac:dyDescent="0.3">
      <c r="A516" t="s">
        <v>29</v>
      </c>
      <c r="B516" t="s">
        <v>312</v>
      </c>
      <c r="C516">
        <v>103</v>
      </c>
      <c r="D516" t="s">
        <v>103</v>
      </c>
      <c r="E516" t="s">
        <v>106</v>
      </c>
      <c r="F516" t="s">
        <v>499</v>
      </c>
      <c r="G516" t="s">
        <v>510</v>
      </c>
      <c r="H516" t="s">
        <v>206</v>
      </c>
      <c r="I516" t="s">
        <v>206</v>
      </c>
      <c r="J516" t="s">
        <v>103</v>
      </c>
      <c r="K516" t="s">
        <v>103</v>
      </c>
    </row>
    <row r="517" spans="1:11" x14ac:dyDescent="0.3">
      <c r="A517" t="s">
        <v>29</v>
      </c>
      <c r="B517" t="s">
        <v>308</v>
      </c>
      <c r="C517">
        <v>13</v>
      </c>
      <c r="D517" t="s">
        <v>103</v>
      </c>
      <c r="E517" t="s">
        <v>511</v>
      </c>
      <c r="F517" t="s">
        <v>512</v>
      </c>
      <c r="G517" t="s">
        <v>513</v>
      </c>
      <c r="H517" t="s">
        <v>482</v>
      </c>
      <c r="I517" t="s">
        <v>103</v>
      </c>
      <c r="J517" t="s">
        <v>103</v>
      </c>
      <c r="K517" t="s">
        <v>103</v>
      </c>
    </row>
    <row r="518" spans="1:11" x14ac:dyDescent="0.3">
      <c r="A518" t="s">
        <v>28</v>
      </c>
      <c r="B518" t="s">
        <v>311</v>
      </c>
      <c r="C518">
        <v>217</v>
      </c>
      <c r="D518" t="s">
        <v>103</v>
      </c>
      <c r="E518" t="s">
        <v>514</v>
      </c>
      <c r="F518" t="s">
        <v>481</v>
      </c>
      <c r="G518" t="s">
        <v>515</v>
      </c>
      <c r="H518" t="s">
        <v>516</v>
      </c>
      <c r="I518" t="s">
        <v>517</v>
      </c>
      <c r="J518" t="s">
        <v>162</v>
      </c>
      <c r="K518" t="s">
        <v>518</v>
      </c>
    </row>
    <row r="519" spans="1:11" x14ac:dyDescent="0.3">
      <c r="A519" t="s">
        <v>28</v>
      </c>
      <c r="B519" t="s">
        <v>312</v>
      </c>
      <c r="C519">
        <v>93</v>
      </c>
      <c r="D519" t="s">
        <v>103</v>
      </c>
      <c r="E519" t="s">
        <v>115</v>
      </c>
      <c r="F519" t="s">
        <v>519</v>
      </c>
      <c r="G519" t="s">
        <v>520</v>
      </c>
      <c r="H519" t="s">
        <v>94</v>
      </c>
      <c r="I519" t="s">
        <v>101</v>
      </c>
      <c r="J519" t="s">
        <v>142</v>
      </c>
      <c r="K519" t="s">
        <v>521</v>
      </c>
    </row>
    <row r="520" spans="1:11" x14ac:dyDescent="0.3">
      <c r="A520" t="s">
        <v>28</v>
      </c>
      <c r="B520" t="s">
        <v>308</v>
      </c>
      <c r="C520">
        <v>1</v>
      </c>
      <c r="D520" t="s">
        <v>103</v>
      </c>
      <c r="E520" t="s">
        <v>103</v>
      </c>
      <c r="F520" t="s">
        <v>103</v>
      </c>
      <c r="G520" t="s">
        <v>192</v>
      </c>
      <c r="H520" t="s">
        <v>103</v>
      </c>
      <c r="I520" t="s">
        <v>103</v>
      </c>
      <c r="J520" t="s">
        <v>103</v>
      </c>
      <c r="K520" t="s">
        <v>103</v>
      </c>
    </row>
    <row r="521" spans="1:11" x14ac:dyDescent="0.3">
      <c r="A521" t="s">
        <v>27</v>
      </c>
      <c r="B521" t="s">
        <v>311</v>
      </c>
      <c r="C521">
        <v>225</v>
      </c>
      <c r="D521" t="s">
        <v>95</v>
      </c>
      <c r="E521" t="s">
        <v>506</v>
      </c>
      <c r="F521" t="s">
        <v>522</v>
      </c>
      <c r="G521" t="s">
        <v>523</v>
      </c>
      <c r="H521" t="s">
        <v>524</v>
      </c>
      <c r="I521" t="s">
        <v>224</v>
      </c>
      <c r="J521" t="s">
        <v>128</v>
      </c>
      <c r="K521" t="s">
        <v>270</v>
      </c>
    </row>
    <row r="522" spans="1:11" x14ac:dyDescent="0.3">
      <c r="A522" t="s">
        <v>27</v>
      </c>
      <c r="B522" t="s">
        <v>312</v>
      </c>
      <c r="C522">
        <v>57</v>
      </c>
      <c r="D522" t="s">
        <v>103</v>
      </c>
      <c r="E522" t="s">
        <v>470</v>
      </c>
      <c r="F522" t="s">
        <v>234</v>
      </c>
      <c r="G522" t="s">
        <v>525</v>
      </c>
      <c r="H522" t="s">
        <v>526</v>
      </c>
      <c r="I522" t="s">
        <v>206</v>
      </c>
      <c r="J522" t="s">
        <v>195</v>
      </c>
      <c r="K522" t="s">
        <v>113</v>
      </c>
    </row>
    <row r="523" spans="1:11" x14ac:dyDescent="0.3">
      <c r="A523" t="s">
        <v>27</v>
      </c>
      <c r="B523" t="s">
        <v>308</v>
      </c>
      <c r="C523">
        <v>3</v>
      </c>
      <c r="D523" t="s">
        <v>103</v>
      </c>
      <c r="E523" t="s">
        <v>103</v>
      </c>
      <c r="F523" t="s">
        <v>103</v>
      </c>
      <c r="G523" t="s">
        <v>407</v>
      </c>
      <c r="H523" t="s">
        <v>527</v>
      </c>
      <c r="I523" t="s">
        <v>103</v>
      </c>
      <c r="J523" t="s">
        <v>119</v>
      </c>
      <c r="K523" t="s">
        <v>103</v>
      </c>
    </row>
    <row r="524" spans="1:11" x14ac:dyDescent="0.3">
      <c r="A524" t="s">
        <v>41</v>
      </c>
      <c r="B524" t="s">
        <v>311</v>
      </c>
      <c r="C524">
        <v>1514</v>
      </c>
      <c r="D524" t="s">
        <v>91</v>
      </c>
      <c r="E524" t="s">
        <v>515</v>
      </c>
      <c r="F524" t="s">
        <v>491</v>
      </c>
      <c r="G524" t="s">
        <v>367</v>
      </c>
      <c r="H524" t="s">
        <v>251</v>
      </c>
      <c r="I524" t="s">
        <v>114</v>
      </c>
      <c r="J524" t="s">
        <v>341</v>
      </c>
      <c r="K524" t="s">
        <v>110</v>
      </c>
    </row>
    <row r="525" spans="1:11" x14ac:dyDescent="0.3">
      <c r="A525" t="s">
        <v>41</v>
      </c>
      <c r="B525" t="s">
        <v>312</v>
      </c>
      <c r="C525">
        <v>428</v>
      </c>
      <c r="D525" t="s">
        <v>103</v>
      </c>
      <c r="E525" t="s">
        <v>528</v>
      </c>
      <c r="F525" t="s">
        <v>529</v>
      </c>
      <c r="G525" t="s">
        <v>530</v>
      </c>
      <c r="H525" t="s">
        <v>94</v>
      </c>
      <c r="I525" t="s">
        <v>206</v>
      </c>
      <c r="J525" t="s">
        <v>118</v>
      </c>
      <c r="K525" t="s">
        <v>216</v>
      </c>
    </row>
    <row r="526" spans="1:11" x14ac:dyDescent="0.3">
      <c r="A526" t="s">
        <v>41</v>
      </c>
      <c r="B526" t="s">
        <v>308</v>
      </c>
      <c r="C526">
        <v>65</v>
      </c>
      <c r="D526" t="s">
        <v>103</v>
      </c>
      <c r="E526" t="s">
        <v>531</v>
      </c>
      <c r="F526" t="s">
        <v>352</v>
      </c>
      <c r="G526" t="s">
        <v>385</v>
      </c>
      <c r="H526" t="s">
        <v>532</v>
      </c>
      <c r="I526" t="s">
        <v>345</v>
      </c>
      <c r="J526" t="s">
        <v>91</v>
      </c>
      <c r="K526" t="s">
        <v>103</v>
      </c>
    </row>
    <row r="528" spans="1:11" x14ac:dyDescent="0.3">
      <c r="A528" t="s">
        <v>533</v>
      </c>
    </row>
    <row r="529" spans="1:11" x14ac:dyDescent="0.3">
      <c r="A529" t="s">
        <v>36</v>
      </c>
      <c r="B529" t="s">
        <v>197</v>
      </c>
      <c r="C529" t="s">
        <v>24</v>
      </c>
      <c r="D529" t="s">
        <v>446</v>
      </c>
      <c r="E529" t="s">
        <v>447</v>
      </c>
      <c r="F529" t="s">
        <v>448</v>
      </c>
      <c r="G529" t="s">
        <v>449</v>
      </c>
      <c r="H529" t="s">
        <v>450</v>
      </c>
      <c r="I529" t="s">
        <v>451</v>
      </c>
      <c r="J529" t="s">
        <v>445</v>
      </c>
      <c r="K529" t="s">
        <v>223</v>
      </c>
    </row>
    <row r="530" spans="1:11" x14ac:dyDescent="0.3">
      <c r="A530" t="s">
        <v>25</v>
      </c>
      <c r="B530" t="s">
        <v>198</v>
      </c>
      <c r="C530">
        <v>102</v>
      </c>
      <c r="D530" t="s">
        <v>132</v>
      </c>
      <c r="E530" t="s">
        <v>534</v>
      </c>
      <c r="F530" t="s">
        <v>535</v>
      </c>
      <c r="G530" t="s">
        <v>124</v>
      </c>
      <c r="H530" t="s">
        <v>122</v>
      </c>
      <c r="I530" t="s">
        <v>329</v>
      </c>
      <c r="J530" t="s">
        <v>103</v>
      </c>
      <c r="K530" t="s">
        <v>103</v>
      </c>
    </row>
    <row r="531" spans="1:11" x14ac:dyDescent="0.3">
      <c r="A531" t="s">
        <v>25</v>
      </c>
      <c r="B531" t="s">
        <v>199</v>
      </c>
      <c r="C531">
        <v>310</v>
      </c>
      <c r="D531" t="s">
        <v>536</v>
      </c>
      <c r="E531" t="s">
        <v>413</v>
      </c>
      <c r="F531" t="s">
        <v>537</v>
      </c>
      <c r="G531" t="s">
        <v>532</v>
      </c>
      <c r="H531" t="s">
        <v>118</v>
      </c>
      <c r="I531" t="s">
        <v>122</v>
      </c>
      <c r="J531" t="s">
        <v>116</v>
      </c>
      <c r="K531" t="s">
        <v>120</v>
      </c>
    </row>
    <row r="532" spans="1:11" x14ac:dyDescent="0.3">
      <c r="A532" t="s">
        <v>26</v>
      </c>
      <c r="B532" t="s">
        <v>198</v>
      </c>
      <c r="C532">
        <v>41</v>
      </c>
      <c r="D532" t="s">
        <v>253</v>
      </c>
      <c r="E532" t="s">
        <v>538</v>
      </c>
      <c r="F532" t="s">
        <v>261</v>
      </c>
      <c r="G532" t="s">
        <v>214</v>
      </c>
      <c r="H532" t="s">
        <v>103</v>
      </c>
      <c r="I532" t="s">
        <v>33</v>
      </c>
      <c r="J532" t="s">
        <v>103</v>
      </c>
      <c r="K532" t="s">
        <v>103</v>
      </c>
    </row>
    <row r="533" spans="1:11" x14ac:dyDescent="0.3">
      <c r="A533" t="s">
        <v>26</v>
      </c>
      <c r="B533" t="s">
        <v>199</v>
      </c>
      <c r="C533">
        <v>429</v>
      </c>
      <c r="D533" t="s">
        <v>56</v>
      </c>
      <c r="E533" t="s">
        <v>539</v>
      </c>
      <c r="F533" t="s">
        <v>540</v>
      </c>
      <c r="G533" t="s">
        <v>140</v>
      </c>
      <c r="H533" t="s">
        <v>278</v>
      </c>
      <c r="I533" t="s">
        <v>239</v>
      </c>
      <c r="J533" t="s">
        <v>95</v>
      </c>
      <c r="K533" t="s">
        <v>103</v>
      </c>
    </row>
    <row r="534" spans="1:11" x14ac:dyDescent="0.3">
      <c r="A534" t="s">
        <v>29</v>
      </c>
      <c r="B534" t="s">
        <v>198</v>
      </c>
      <c r="C534">
        <v>170</v>
      </c>
      <c r="D534" t="s">
        <v>485</v>
      </c>
      <c r="E534" t="s">
        <v>541</v>
      </c>
      <c r="F534" t="s">
        <v>542</v>
      </c>
      <c r="G534" t="s">
        <v>543</v>
      </c>
      <c r="H534" t="s">
        <v>494</v>
      </c>
      <c r="I534" t="s">
        <v>97</v>
      </c>
      <c r="J534" t="s">
        <v>103</v>
      </c>
      <c r="K534" t="s">
        <v>103</v>
      </c>
    </row>
    <row r="535" spans="1:11" x14ac:dyDescent="0.3">
      <c r="A535" t="s">
        <v>29</v>
      </c>
      <c r="B535" t="s">
        <v>199</v>
      </c>
      <c r="C535">
        <v>359</v>
      </c>
      <c r="D535" t="s">
        <v>544</v>
      </c>
      <c r="E535" t="s">
        <v>545</v>
      </c>
      <c r="F535" t="s">
        <v>546</v>
      </c>
      <c r="G535" t="s">
        <v>272</v>
      </c>
      <c r="H535" t="s">
        <v>329</v>
      </c>
      <c r="I535" t="s">
        <v>110</v>
      </c>
      <c r="J535" t="s">
        <v>139</v>
      </c>
      <c r="K535" t="s">
        <v>103</v>
      </c>
    </row>
    <row r="536" spans="1:11" x14ac:dyDescent="0.3">
      <c r="A536" t="s">
        <v>28</v>
      </c>
      <c r="B536" t="s">
        <v>198</v>
      </c>
      <c r="C536">
        <v>70</v>
      </c>
      <c r="D536" t="s">
        <v>547</v>
      </c>
      <c r="E536" t="s">
        <v>228</v>
      </c>
      <c r="F536" t="s">
        <v>539</v>
      </c>
      <c r="G536" t="s">
        <v>548</v>
      </c>
      <c r="H536" t="s">
        <v>101</v>
      </c>
      <c r="I536" t="s">
        <v>549</v>
      </c>
      <c r="J536" t="s">
        <v>103</v>
      </c>
      <c r="K536" t="s">
        <v>103</v>
      </c>
    </row>
    <row r="537" spans="1:11" x14ac:dyDescent="0.3">
      <c r="A537" t="s">
        <v>28</v>
      </c>
      <c r="B537" t="s">
        <v>199</v>
      </c>
      <c r="C537">
        <v>241</v>
      </c>
      <c r="D537" t="s">
        <v>528</v>
      </c>
      <c r="E537" t="s">
        <v>117</v>
      </c>
      <c r="F537" t="s">
        <v>550</v>
      </c>
      <c r="G537" t="s">
        <v>135</v>
      </c>
      <c r="H537" t="s">
        <v>136</v>
      </c>
      <c r="I537" t="s">
        <v>551</v>
      </c>
      <c r="J537" t="s">
        <v>552</v>
      </c>
      <c r="K537" t="s">
        <v>103</v>
      </c>
    </row>
    <row r="538" spans="1:11" x14ac:dyDescent="0.3">
      <c r="A538" t="s">
        <v>27</v>
      </c>
      <c r="B538" t="s">
        <v>198</v>
      </c>
      <c r="C538">
        <v>126</v>
      </c>
      <c r="D538" t="s">
        <v>473</v>
      </c>
      <c r="E538" t="s">
        <v>553</v>
      </c>
      <c r="F538" t="s">
        <v>234</v>
      </c>
      <c r="G538" t="s">
        <v>100</v>
      </c>
      <c r="H538" t="s">
        <v>169</v>
      </c>
      <c r="I538" t="s">
        <v>93</v>
      </c>
      <c r="J538" t="s">
        <v>133</v>
      </c>
      <c r="K538" t="s">
        <v>468</v>
      </c>
    </row>
    <row r="539" spans="1:11" x14ac:dyDescent="0.3">
      <c r="A539" t="s">
        <v>27</v>
      </c>
      <c r="B539" t="s">
        <v>199</v>
      </c>
      <c r="C539">
        <v>159</v>
      </c>
      <c r="D539" t="s">
        <v>554</v>
      </c>
      <c r="E539" t="s">
        <v>555</v>
      </c>
      <c r="F539" t="s">
        <v>556</v>
      </c>
      <c r="G539" t="s">
        <v>557</v>
      </c>
      <c r="H539" t="s">
        <v>558</v>
      </c>
      <c r="I539" t="s">
        <v>64</v>
      </c>
      <c r="J539" t="s">
        <v>282</v>
      </c>
      <c r="K539" t="s">
        <v>103</v>
      </c>
    </row>
    <row r="540" spans="1:11" x14ac:dyDescent="0.3">
      <c r="A540" t="s">
        <v>41</v>
      </c>
      <c r="B540" t="s">
        <v>198</v>
      </c>
      <c r="C540">
        <v>509</v>
      </c>
      <c r="D540" t="s">
        <v>142</v>
      </c>
      <c r="E540" t="s">
        <v>559</v>
      </c>
      <c r="F540" t="s">
        <v>560</v>
      </c>
      <c r="G540" t="s">
        <v>191</v>
      </c>
      <c r="H540" t="s">
        <v>452</v>
      </c>
      <c r="I540" t="s">
        <v>216</v>
      </c>
      <c r="J540" t="s">
        <v>97</v>
      </c>
      <c r="K540" t="s">
        <v>91</v>
      </c>
    </row>
    <row r="541" spans="1:11" x14ac:dyDescent="0.3">
      <c r="A541" t="s">
        <v>41</v>
      </c>
      <c r="B541" t="s">
        <v>199</v>
      </c>
      <c r="C541">
        <v>1498</v>
      </c>
      <c r="D541" t="s">
        <v>524</v>
      </c>
      <c r="E541" t="s">
        <v>561</v>
      </c>
      <c r="F541" t="s">
        <v>562</v>
      </c>
      <c r="G541" t="s">
        <v>133</v>
      </c>
      <c r="H541" t="s">
        <v>125</v>
      </c>
      <c r="I541" t="s">
        <v>208</v>
      </c>
      <c r="J541" t="s">
        <v>216</v>
      </c>
      <c r="K541" t="s">
        <v>91</v>
      </c>
    </row>
    <row r="543" spans="1:11" x14ac:dyDescent="0.3">
      <c r="A543" t="s">
        <v>563</v>
      </c>
    </row>
    <row r="544" spans="1:11" x14ac:dyDescent="0.3">
      <c r="A544" t="s">
        <v>36</v>
      </c>
      <c r="B544" t="s">
        <v>210</v>
      </c>
      <c r="C544" t="s">
        <v>24</v>
      </c>
      <c r="D544" t="s">
        <v>445</v>
      </c>
      <c r="E544" t="s">
        <v>223</v>
      </c>
      <c r="F544" t="s">
        <v>446</v>
      </c>
      <c r="G544" t="s">
        <v>447</v>
      </c>
      <c r="H544" t="s">
        <v>448</v>
      </c>
      <c r="I544" t="s">
        <v>449</v>
      </c>
      <c r="J544" t="s">
        <v>450</v>
      </c>
      <c r="K544" t="s">
        <v>451</v>
      </c>
    </row>
    <row r="545" spans="1:11" x14ac:dyDescent="0.3">
      <c r="A545" t="s">
        <v>25</v>
      </c>
      <c r="B545" t="s">
        <v>211</v>
      </c>
      <c r="C545">
        <v>412</v>
      </c>
      <c r="D545" t="s">
        <v>116</v>
      </c>
      <c r="E545" t="s">
        <v>122</v>
      </c>
      <c r="F545" t="s">
        <v>175</v>
      </c>
      <c r="G545" t="s">
        <v>513</v>
      </c>
      <c r="H545" t="s">
        <v>564</v>
      </c>
      <c r="I545" t="s">
        <v>278</v>
      </c>
      <c r="J545" t="s">
        <v>208</v>
      </c>
      <c r="K545" t="s">
        <v>139</v>
      </c>
    </row>
    <row r="546" spans="1:11" x14ac:dyDescent="0.3">
      <c r="A546" t="s">
        <v>26</v>
      </c>
      <c r="B546" t="s">
        <v>211</v>
      </c>
      <c r="C546">
        <v>221</v>
      </c>
      <c r="D546" t="s">
        <v>98</v>
      </c>
      <c r="E546" t="s">
        <v>103</v>
      </c>
      <c r="F546" t="s">
        <v>136</v>
      </c>
      <c r="G546" t="s">
        <v>565</v>
      </c>
      <c r="H546" t="s">
        <v>414</v>
      </c>
      <c r="I546" t="s">
        <v>70</v>
      </c>
      <c r="J546" t="s">
        <v>110</v>
      </c>
      <c r="K546" t="s">
        <v>282</v>
      </c>
    </row>
    <row r="547" spans="1:11" x14ac:dyDescent="0.3">
      <c r="A547" t="s">
        <v>26</v>
      </c>
      <c r="B547" t="s">
        <v>212</v>
      </c>
      <c r="C547">
        <v>249</v>
      </c>
      <c r="D547" t="s">
        <v>122</v>
      </c>
      <c r="E547" t="s">
        <v>103</v>
      </c>
      <c r="F547" t="s">
        <v>461</v>
      </c>
      <c r="G547" t="s">
        <v>556</v>
      </c>
      <c r="H547" t="s">
        <v>456</v>
      </c>
      <c r="I547" t="s">
        <v>100</v>
      </c>
      <c r="J547" t="s">
        <v>242</v>
      </c>
      <c r="K547" t="s">
        <v>128</v>
      </c>
    </row>
    <row r="548" spans="1:11" x14ac:dyDescent="0.3">
      <c r="A548" t="s">
        <v>29</v>
      </c>
      <c r="B548" t="s">
        <v>211</v>
      </c>
      <c r="C548">
        <v>529</v>
      </c>
      <c r="D548" t="s">
        <v>120</v>
      </c>
      <c r="E548" t="s">
        <v>103</v>
      </c>
      <c r="F548" t="s">
        <v>566</v>
      </c>
      <c r="G548" t="s">
        <v>567</v>
      </c>
      <c r="H548" t="s">
        <v>562</v>
      </c>
      <c r="I548" t="s">
        <v>133</v>
      </c>
      <c r="J548" t="s">
        <v>493</v>
      </c>
      <c r="K548" t="s">
        <v>345</v>
      </c>
    </row>
    <row r="549" spans="1:11" x14ac:dyDescent="0.3">
      <c r="A549" t="s">
        <v>28</v>
      </c>
      <c r="B549" t="s">
        <v>211</v>
      </c>
      <c r="C549">
        <v>271</v>
      </c>
      <c r="D549" t="s">
        <v>550</v>
      </c>
      <c r="E549" t="s">
        <v>103</v>
      </c>
      <c r="F549" t="s">
        <v>56</v>
      </c>
      <c r="G549" t="s">
        <v>92</v>
      </c>
      <c r="H549" t="s">
        <v>568</v>
      </c>
      <c r="I549" t="s">
        <v>148</v>
      </c>
      <c r="J549" t="s">
        <v>117</v>
      </c>
      <c r="K549" t="s">
        <v>101</v>
      </c>
    </row>
    <row r="550" spans="1:11" x14ac:dyDescent="0.3">
      <c r="A550" t="s">
        <v>28</v>
      </c>
      <c r="B550" t="s">
        <v>212</v>
      </c>
      <c r="C550">
        <v>40</v>
      </c>
      <c r="D550" t="s">
        <v>101</v>
      </c>
      <c r="E550" t="s">
        <v>103</v>
      </c>
      <c r="F550" t="s">
        <v>103</v>
      </c>
      <c r="G550" t="s">
        <v>103</v>
      </c>
      <c r="H550" t="s">
        <v>103</v>
      </c>
      <c r="I550" t="s">
        <v>511</v>
      </c>
      <c r="J550" t="s">
        <v>438</v>
      </c>
      <c r="K550" t="s">
        <v>45</v>
      </c>
    </row>
    <row r="551" spans="1:11" x14ac:dyDescent="0.3">
      <c r="A551" t="s">
        <v>27</v>
      </c>
      <c r="B551" t="s">
        <v>211</v>
      </c>
      <c r="C551">
        <v>255</v>
      </c>
      <c r="D551" t="s">
        <v>68</v>
      </c>
      <c r="E551" t="s">
        <v>120</v>
      </c>
      <c r="F551" t="s">
        <v>483</v>
      </c>
      <c r="G551" t="s">
        <v>569</v>
      </c>
      <c r="H551" t="s">
        <v>250</v>
      </c>
      <c r="I551" t="s">
        <v>570</v>
      </c>
      <c r="J551" t="s">
        <v>571</v>
      </c>
      <c r="K551" t="s">
        <v>217</v>
      </c>
    </row>
    <row r="552" spans="1:11" s="3" customFormat="1" x14ac:dyDescent="0.3">
      <c r="A552" s="3" t="s">
        <v>27</v>
      </c>
      <c r="B552" s="3" t="s">
        <v>212</v>
      </c>
      <c r="C552" s="3">
        <v>30</v>
      </c>
      <c r="D552" s="3" t="s">
        <v>64</v>
      </c>
      <c r="E552" s="3" t="s">
        <v>103</v>
      </c>
      <c r="F552" s="3" t="s">
        <v>572</v>
      </c>
      <c r="G552" s="3" t="s">
        <v>113</v>
      </c>
      <c r="H552" s="3" t="s">
        <v>357</v>
      </c>
      <c r="I552" s="3" t="s">
        <v>64</v>
      </c>
      <c r="J552" s="3" t="s">
        <v>118</v>
      </c>
      <c r="K552" s="3" t="s">
        <v>110</v>
      </c>
    </row>
    <row r="553" spans="1:11" x14ac:dyDescent="0.3">
      <c r="A553" t="s">
        <v>41</v>
      </c>
      <c r="B553" t="s">
        <v>211</v>
      </c>
      <c r="C553">
        <v>1688</v>
      </c>
      <c r="D553" t="s">
        <v>110</v>
      </c>
      <c r="E553" t="s">
        <v>91</v>
      </c>
      <c r="F553" t="s">
        <v>488</v>
      </c>
      <c r="G553" t="s">
        <v>440</v>
      </c>
      <c r="H553" t="s">
        <v>573</v>
      </c>
      <c r="I553" t="s">
        <v>466</v>
      </c>
      <c r="J553" t="s">
        <v>125</v>
      </c>
      <c r="K553" t="s">
        <v>110</v>
      </c>
    </row>
    <row r="554" spans="1:11" x14ac:dyDescent="0.3">
      <c r="A554" t="s">
        <v>41</v>
      </c>
      <c r="B554" t="s">
        <v>212</v>
      </c>
      <c r="C554">
        <v>319</v>
      </c>
      <c r="D554" t="s">
        <v>95</v>
      </c>
      <c r="E554" t="s">
        <v>103</v>
      </c>
      <c r="F554" t="s">
        <v>484</v>
      </c>
      <c r="G554" t="s">
        <v>565</v>
      </c>
      <c r="H554" t="s">
        <v>574</v>
      </c>
      <c r="I554" t="s">
        <v>494</v>
      </c>
      <c r="J554" t="s">
        <v>575</v>
      </c>
      <c r="K554" t="s">
        <v>133</v>
      </c>
    </row>
    <row r="556" spans="1:11" x14ac:dyDescent="0.3">
      <c r="A556" t="s">
        <v>576</v>
      </c>
    </row>
    <row r="557" spans="1:11" x14ac:dyDescent="0.3">
      <c r="A557" t="s">
        <v>36</v>
      </c>
      <c r="B557" t="s">
        <v>24</v>
      </c>
      <c r="C557" t="s">
        <v>445</v>
      </c>
      <c r="D557" t="s">
        <v>223</v>
      </c>
      <c r="E557" t="s">
        <v>446</v>
      </c>
      <c r="F557" t="s">
        <v>447</v>
      </c>
      <c r="G557" t="s">
        <v>448</v>
      </c>
      <c r="H557" t="s">
        <v>449</v>
      </c>
      <c r="I557" t="s">
        <v>450</v>
      </c>
      <c r="J557" t="s">
        <v>451</v>
      </c>
    </row>
    <row r="558" spans="1:11" x14ac:dyDescent="0.3">
      <c r="A558" t="s">
        <v>25</v>
      </c>
      <c r="B558">
        <v>412</v>
      </c>
      <c r="C558" t="s">
        <v>116</v>
      </c>
      <c r="D558" t="s">
        <v>122</v>
      </c>
      <c r="E558" t="s">
        <v>175</v>
      </c>
      <c r="F558" t="s">
        <v>513</v>
      </c>
      <c r="G558" t="s">
        <v>564</v>
      </c>
      <c r="H558" t="s">
        <v>278</v>
      </c>
      <c r="I558" t="s">
        <v>208</v>
      </c>
      <c r="J558" t="s">
        <v>139</v>
      </c>
    </row>
    <row r="559" spans="1:11" x14ac:dyDescent="0.3">
      <c r="A559" t="s">
        <v>26</v>
      </c>
      <c r="B559">
        <v>470</v>
      </c>
      <c r="C559" t="s">
        <v>95</v>
      </c>
      <c r="D559" t="s">
        <v>103</v>
      </c>
      <c r="E559" t="s">
        <v>48</v>
      </c>
      <c r="F559" t="s">
        <v>577</v>
      </c>
      <c r="G559" t="s">
        <v>404</v>
      </c>
      <c r="H559" t="s">
        <v>251</v>
      </c>
      <c r="I559" t="s">
        <v>32</v>
      </c>
      <c r="J559" t="s">
        <v>245</v>
      </c>
    </row>
    <row r="560" spans="1:11" x14ac:dyDescent="0.3">
      <c r="A560" t="s">
        <v>29</v>
      </c>
      <c r="B560">
        <v>529</v>
      </c>
      <c r="C560" t="s">
        <v>120</v>
      </c>
      <c r="D560" t="s">
        <v>103</v>
      </c>
      <c r="E560" t="s">
        <v>566</v>
      </c>
      <c r="F560" t="s">
        <v>567</v>
      </c>
      <c r="G560" t="s">
        <v>562</v>
      </c>
      <c r="H560" t="s">
        <v>133</v>
      </c>
      <c r="I560" t="s">
        <v>493</v>
      </c>
      <c r="J560" t="s">
        <v>345</v>
      </c>
    </row>
    <row r="561" spans="1:10" x14ac:dyDescent="0.3">
      <c r="A561" t="s">
        <v>28</v>
      </c>
      <c r="B561">
        <v>311</v>
      </c>
      <c r="C561" t="s">
        <v>106</v>
      </c>
      <c r="D561" t="s">
        <v>103</v>
      </c>
      <c r="E561" t="s">
        <v>578</v>
      </c>
      <c r="F561" t="s">
        <v>271</v>
      </c>
      <c r="G561" t="s">
        <v>579</v>
      </c>
      <c r="H561" t="s">
        <v>144</v>
      </c>
      <c r="I561" t="s">
        <v>459</v>
      </c>
      <c r="J561" t="s">
        <v>475</v>
      </c>
    </row>
    <row r="562" spans="1:10" x14ac:dyDescent="0.3">
      <c r="A562" t="s">
        <v>27</v>
      </c>
      <c r="B562">
        <v>285</v>
      </c>
      <c r="C562" t="s">
        <v>68</v>
      </c>
      <c r="D562" t="s">
        <v>120</v>
      </c>
      <c r="E562" t="s">
        <v>580</v>
      </c>
      <c r="F562" t="s">
        <v>581</v>
      </c>
      <c r="G562" t="s">
        <v>582</v>
      </c>
      <c r="H562" t="s">
        <v>160</v>
      </c>
      <c r="I562" t="s">
        <v>242</v>
      </c>
      <c r="J562" t="s">
        <v>257</v>
      </c>
    </row>
    <row r="563" spans="1:10" x14ac:dyDescent="0.3">
      <c r="A563" t="s">
        <v>41</v>
      </c>
      <c r="B563">
        <v>2007</v>
      </c>
      <c r="C563" t="s">
        <v>194</v>
      </c>
      <c r="D563" t="s">
        <v>91</v>
      </c>
      <c r="E563" t="s">
        <v>273</v>
      </c>
      <c r="F563" t="s">
        <v>583</v>
      </c>
      <c r="G563" t="s">
        <v>367</v>
      </c>
      <c r="H563" t="s">
        <v>94</v>
      </c>
      <c r="I563" t="s">
        <v>186</v>
      </c>
      <c r="J563" t="s">
        <v>341</v>
      </c>
    </row>
    <row r="565" spans="1:10" x14ac:dyDescent="0.3">
      <c r="A565" t="s">
        <v>584</v>
      </c>
    </row>
    <row r="566" spans="1:10" x14ac:dyDescent="0.3">
      <c r="A566" t="s">
        <v>36</v>
      </c>
      <c r="B566" t="s">
        <v>24</v>
      </c>
      <c r="C566" t="s">
        <v>87</v>
      </c>
      <c r="D566" t="s">
        <v>585</v>
      </c>
      <c r="E566" t="s">
        <v>586</v>
      </c>
      <c r="F566" t="s">
        <v>587</v>
      </c>
      <c r="G566" t="s">
        <v>588</v>
      </c>
      <c r="H566" t="s">
        <v>589</v>
      </c>
    </row>
    <row r="567" spans="1:10" x14ac:dyDescent="0.3">
      <c r="A567" t="s">
        <v>25</v>
      </c>
      <c r="B567">
        <v>414</v>
      </c>
      <c r="C567" t="s">
        <v>532</v>
      </c>
      <c r="D567" t="s">
        <v>95</v>
      </c>
      <c r="E567" t="s">
        <v>195</v>
      </c>
      <c r="F567" t="s">
        <v>122</v>
      </c>
      <c r="G567" t="s">
        <v>33</v>
      </c>
      <c r="H567" t="s">
        <v>172</v>
      </c>
    </row>
    <row r="568" spans="1:10" x14ac:dyDescent="0.3">
      <c r="A568" t="s">
        <v>26</v>
      </c>
      <c r="B568">
        <v>477</v>
      </c>
      <c r="C568" t="s">
        <v>33</v>
      </c>
      <c r="D568" t="s">
        <v>103</v>
      </c>
      <c r="E568" t="s">
        <v>139</v>
      </c>
      <c r="F568" t="s">
        <v>239</v>
      </c>
      <c r="G568" t="s">
        <v>120</v>
      </c>
      <c r="H568" t="s">
        <v>590</v>
      </c>
    </row>
    <row r="569" spans="1:10" x14ac:dyDescent="0.3">
      <c r="A569" t="s">
        <v>29</v>
      </c>
      <c r="B569">
        <v>530</v>
      </c>
      <c r="C569" t="s">
        <v>133</v>
      </c>
      <c r="D569" t="s">
        <v>139</v>
      </c>
      <c r="E569" t="s">
        <v>110</v>
      </c>
      <c r="F569" t="s">
        <v>122</v>
      </c>
      <c r="G569" t="s">
        <v>266</v>
      </c>
      <c r="H569" t="s">
        <v>159</v>
      </c>
    </row>
    <row r="570" spans="1:10" x14ac:dyDescent="0.3">
      <c r="A570" t="s">
        <v>28</v>
      </c>
      <c r="B570">
        <v>317</v>
      </c>
      <c r="C570" t="s">
        <v>110</v>
      </c>
      <c r="D570" t="s">
        <v>266</v>
      </c>
      <c r="E570" t="s">
        <v>329</v>
      </c>
      <c r="F570" t="s">
        <v>591</v>
      </c>
      <c r="G570" t="s">
        <v>224</v>
      </c>
      <c r="H570" t="s">
        <v>592</v>
      </c>
    </row>
    <row r="571" spans="1:10" x14ac:dyDescent="0.3">
      <c r="A571" t="s">
        <v>27</v>
      </c>
      <c r="B571">
        <v>300</v>
      </c>
      <c r="C571" t="s">
        <v>510</v>
      </c>
      <c r="D571" t="s">
        <v>66</v>
      </c>
      <c r="E571" t="s">
        <v>122</v>
      </c>
      <c r="F571" t="s">
        <v>103</v>
      </c>
      <c r="G571" t="s">
        <v>139</v>
      </c>
      <c r="H571" t="s">
        <v>593</v>
      </c>
    </row>
    <row r="572" spans="1:10" x14ac:dyDescent="0.3">
      <c r="A572" t="s">
        <v>41</v>
      </c>
      <c r="B572">
        <v>2038</v>
      </c>
      <c r="C572" t="s">
        <v>594</v>
      </c>
      <c r="D572" t="s">
        <v>95</v>
      </c>
      <c r="E572" t="s">
        <v>239</v>
      </c>
      <c r="F572" t="s">
        <v>139</v>
      </c>
      <c r="G572" t="s">
        <v>64</v>
      </c>
      <c r="H572" t="s">
        <v>145</v>
      </c>
    </row>
    <row r="574" spans="1:10" x14ac:dyDescent="0.3">
      <c r="A574" t="s">
        <v>595</v>
      </c>
    </row>
    <row r="575" spans="1:10" x14ac:dyDescent="0.3">
      <c r="A575" t="s">
        <v>36</v>
      </c>
      <c r="B575" t="s">
        <v>307</v>
      </c>
      <c r="C575" t="s">
        <v>24</v>
      </c>
      <c r="D575" t="s">
        <v>87</v>
      </c>
      <c r="E575" t="s">
        <v>585</v>
      </c>
      <c r="F575" t="s">
        <v>586</v>
      </c>
      <c r="G575" t="s">
        <v>587</v>
      </c>
      <c r="H575" t="s">
        <v>588</v>
      </c>
      <c r="I575" t="s">
        <v>589</v>
      </c>
    </row>
    <row r="576" spans="1:10" x14ac:dyDescent="0.3">
      <c r="A576" t="s">
        <v>25</v>
      </c>
      <c r="B576" t="s">
        <v>291</v>
      </c>
      <c r="C576">
        <v>156</v>
      </c>
      <c r="D576" t="s">
        <v>531</v>
      </c>
      <c r="E576" t="s">
        <v>116</v>
      </c>
      <c r="F576" t="s">
        <v>278</v>
      </c>
      <c r="G576" t="s">
        <v>116</v>
      </c>
      <c r="H576" t="s">
        <v>216</v>
      </c>
      <c r="I576" t="s">
        <v>151</v>
      </c>
    </row>
    <row r="577" spans="1:9" x14ac:dyDescent="0.3">
      <c r="A577" t="s">
        <v>25</v>
      </c>
      <c r="B577" t="s">
        <v>292</v>
      </c>
      <c r="C577">
        <v>254</v>
      </c>
      <c r="D577" t="s">
        <v>102</v>
      </c>
      <c r="E577" t="s">
        <v>98</v>
      </c>
      <c r="F577" t="s">
        <v>105</v>
      </c>
      <c r="G577" t="s">
        <v>97</v>
      </c>
      <c r="H577" t="s">
        <v>101</v>
      </c>
      <c r="I577" t="s">
        <v>596</v>
      </c>
    </row>
    <row r="578" spans="1:9" x14ac:dyDescent="0.3">
      <c r="A578" t="s">
        <v>25</v>
      </c>
      <c r="B578" t="s">
        <v>308</v>
      </c>
      <c r="C578">
        <v>4</v>
      </c>
      <c r="D578" t="s">
        <v>103</v>
      </c>
      <c r="E578" t="s">
        <v>103</v>
      </c>
      <c r="F578" t="s">
        <v>103</v>
      </c>
      <c r="G578" t="s">
        <v>103</v>
      </c>
      <c r="H578" t="s">
        <v>103</v>
      </c>
      <c r="I578" t="s">
        <v>192</v>
      </c>
    </row>
    <row r="579" spans="1:9" x14ac:dyDescent="0.3">
      <c r="A579" t="s">
        <v>26</v>
      </c>
      <c r="B579" t="s">
        <v>291</v>
      </c>
      <c r="C579">
        <v>122</v>
      </c>
      <c r="D579" t="s">
        <v>105</v>
      </c>
      <c r="E579" t="s">
        <v>103</v>
      </c>
      <c r="F579" t="s">
        <v>282</v>
      </c>
      <c r="G579" t="s">
        <v>98</v>
      </c>
      <c r="H579" t="s">
        <v>110</v>
      </c>
      <c r="I579" t="s">
        <v>597</v>
      </c>
    </row>
    <row r="580" spans="1:9" x14ac:dyDescent="0.3">
      <c r="A580" t="s">
        <v>26</v>
      </c>
      <c r="B580" t="s">
        <v>292</v>
      </c>
      <c r="C580">
        <v>352</v>
      </c>
      <c r="D580" t="s">
        <v>206</v>
      </c>
      <c r="E580" t="s">
        <v>103</v>
      </c>
      <c r="F580" t="s">
        <v>139</v>
      </c>
      <c r="G580" t="s">
        <v>245</v>
      </c>
      <c r="H580" t="s">
        <v>116</v>
      </c>
      <c r="I580" t="s">
        <v>598</v>
      </c>
    </row>
    <row r="581" spans="1:9" x14ac:dyDescent="0.3">
      <c r="A581" t="s">
        <v>26</v>
      </c>
      <c r="B581" t="s">
        <v>308</v>
      </c>
      <c r="C581">
        <v>3</v>
      </c>
      <c r="D581" t="s">
        <v>103</v>
      </c>
      <c r="E581" t="s">
        <v>103</v>
      </c>
      <c r="F581" t="s">
        <v>103</v>
      </c>
      <c r="G581" t="s">
        <v>103</v>
      </c>
      <c r="H581" t="s">
        <v>103</v>
      </c>
      <c r="I581" t="s">
        <v>192</v>
      </c>
    </row>
    <row r="582" spans="1:9" x14ac:dyDescent="0.3">
      <c r="A582" t="s">
        <v>29</v>
      </c>
      <c r="B582" t="s">
        <v>291</v>
      </c>
      <c r="C582">
        <v>205</v>
      </c>
      <c r="D582" t="s">
        <v>186</v>
      </c>
      <c r="E582" t="s">
        <v>116</v>
      </c>
      <c r="F582" t="s">
        <v>194</v>
      </c>
      <c r="G582" t="s">
        <v>91</v>
      </c>
      <c r="H582" t="s">
        <v>208</v>
      </c>
      <c r="I582" t="s">
        <v>283</v>
      </c>
    </row>
    <row r="583" spans="1:9" x14ac:dyDescent="0.3">
      <c r="A583" t="s">
        <v>29</v>
      </c>
      <c r="B583" t="s">
        <v>292</v>
      </c>
      <c r="C583">
        <v>325</v>
      </c>
      <c r="D583" t="s">
        <v>466</v>
      </c>
      <c r="E583" t="s">
        <v>468</v>
      </c>
      <c r="F583" t="s">
        <v>110</v>
      </c>
      <c r="G583" t="s">
        <v>97</v>
      </c>
      <c r="H583" t="s">
        <v>272</v>
      </c>
      <c r="I583" t="s">
        <v>599</v>
      </c>
    </row>
    <row r="584" spans="1:9" x14ac:dyDescent="0.3">
      <c r="A584" t="s">
        <v>28</v>
      </c>
      <c r="B584" t="s">
        <v>291</v>
      </c>
      <c r="C584">
        <v>114</v>
      </c>
      <c r="D584" t="s">
        <v>245</v>
      </c>
      <c r="E584" t="s">
        <v>245</v>
      </c>
      <c r="F584" t="s">
        <v>329</v>
      </c>
      <c r="G584" t="s">
        <v>282</v>
      </c>
      <c r="H584" t="s">
        <v>108</v>
      </c>
      <c r="I584" t="s">
        <v>600</v>
      </c>
    </row>
    <row r="585" spans="1:9" x14ac:dyDescent="0.3">
      <c r="A585" t="s">
        <v>28</v>
      </c>
      <c r="B585" t="s">
        <v>292</v>
      </c>
      <c r="C585">
        <v>191</v>
      </c>
      <c r="D585" t="s">
        <v>282</v>
      </c>
      <c r="E585" t="s">
        <v>102</v>
      </c>
      <c r="F585" t="s">
        <v>93</v>
      </c>
      <c r="G585" t="s">
        <v>232</v>
      </c>
      <c r="H585" t="s">
        <v>601</v>
      </c>
      <c r="I585" t="s">
        <v>602</v>
      </c>
    </row>
    <row r="586" spans="1:9" x14ac:dyDescent="0.3">
      <c r="A586" t="s">
        <v>28</v>
      </c>
      <c r="B586" t="s">
        <v>308</v>
      </c>
      <c r="C586">
        <v>12</v>
      </c>
      <c r="D586" t="s">
        <v>112</v>
      </c>
      <c r="E586" t="s">
        <v>103</v>
      </c>
      <c r="F586" t="s">
        <v>103</v>
      </c>
      <c r="G586" t="s">
        <v>124</v>
      </c>
      <c r="H586" t="s">
        <v>575</v>
      </c>
      <c r="I586" t="s">
        <v>603</v>
      </c>
    </row>
    <row r="587" spans="1:9" x14ac:dyDescent="0.3">
      <c r="A587" t="s">
        <v>27</v>
      </c>
      <c r="B587" t="s">
        <v>291</v>
      </c>
      <c r="C587">
        <v>95</v>
      </c>
      <c r="D587" t="s">
        <v>530</v>
      </c>
      <c r="E587" t="s">
        <v>139</v>
      </c>
      <c r="F587" t="s">
        <v>103</v>
      </c>
      <c r="G587" t="s">
        <v>103</v>
      </c>
      <c r="H587" t="s">
        <v>120</v>
      </c>
      <c r="I587" t="s">
        <v>406</v>
      </c>
    </row>
    <row r="588" spans="1:9" x14ac:dyDescent="0.3">
      <c r="A588" t="s">
        <v>27</v>
      </c>
      <c r="B588" t="s">
        <v>292</v>
      </c>
      <c r="C588">
        <v>198</v>
      </c>
      <c r="D588" t="s">
        <v>604</v>
      </c>
      <c r="E588" t="s">
        <v>103</v>
      </c>
      <c r="F588" t="s">
        <v>97</v>
      </c>
      <c r="G588" t="s">
        <v>103</v>
      </c>
      <c r="H588" t="s">
        <v>98</v>
      </c>
      <c r="I588" t="s">
        <v>502</v>
      </c>
    </row>
    <row r="589" spans="1:9" x14ac:dyDescent="0.3">
      <c r="A589" t="s">
        <v>27</v>
      </c>
      <c r="B589" t="s">
        <v>308</v>
      </c>
      <c r="C589">
        <v>7</v>
      </c>
      <c r="D589" t="s">
        <v>605</v>
      </c>
      <c r="E589" t="s">
        <v>103</v>
      </c>
      <c r="F589" t="s">
        <v>103</v>
      </c>
      <c r="G589" t="s">
        <v>103</v>
      </c>
      <c r="H589" t="s">
        <v>103</v>
      </c>
      <c r="I589" t="s">
        <v>488</v>
      </c>
    </row>
    <row r="590" spans="1:9" x14ac:dyDescent="0.3">
      <c r="A590" t="s">
        <v>41</v>
      </c>
      <c r="B590" t="s">
        <v>291</v>
      </c>
      <c r="C590">
        <v>692</v>
      </c>
      <c r="D590" t="s">
        <v>70</v>
      </c>
      <c r="E590" t="s">
        <v>116</v>
      </c>
      <c r="F590" t="s">
        <v>329</v>
      </c>
      <c r="G590" t="s">
        <v>116</v>
      </c>
      <c r="H590" t="s">
        <v>329</v>
      </c>
      <c r="I590" t="s">
        <v>606</v>
      </c>
    </row>
    <row r="591" spans="1:9" x14ac:dyDescent="0.3">
      <c r="A591" t="s">
        <v>41</v>
      </c>
      <c r="B591" t="s">
        <v>292</v>
      </c>
      <c r="C591">
        <v>1320</v>
      </c>
      <c r="D591" t="s">
        <v>607</v>
      </c>
      <c r="E591" t="s">
        <v>98</v>
      </c>
      <c r="F591" t="s">
        <v>194</v>
      </c>
      <c r="G591" t="s">
        <v>282</v>
      </c>
      <c r="H591" t="s">
        <v>272</v>
      </c>
      <c r="I591" t="s">
        <v>176</v>
      </c>
    </row>
    <row r="592" spans="1:9" x14ac:dyDescent="0.3">
      <c r="A592" t="s">
        <v>41</v>
      </c>
      <c r="B592" t="s">
        <v>308</v>
      </c>
      <c r="C592">
        <v>26</v>
      </c>
      <c r="D592" t="s">
        <v>142</v>
      </c>
      <c r="E592" t="s">
        <v>103</v>
      </c>
      <c r="F592" t="s">
        <v>103</v>
      </c>
      <c r="G592" t="s">
        <v>329</v>
      </c>
      <c r="H592" t="s">
        <v>93</v>
      </c>
      <c r="I592" t="s">
        <v>608</v>
      </c>
    </row>
    <row r="594" spans="1:9" x14ac:dyDescent="0.3">
      <c r="A594" t="s">
        <v>609</v>
      </c>
    </row>
    <row r="595" spans="1:9" x14ac:dyDescent="0.3">
      <c r="A595" t="s">
        <v>36</v>
      </c>
      <c r="B595" t="s">
        <v>310</v>
      </c>
      <c r="C595" t="s">
        <v>24</v>
      </c>
      <c r="D595" t="s">
        <v>87</v>
      </c>
      <c r="E595" t="s">
        <v>585</v>
      </c>
      <c r="F595" t="s">
        <v>586</v>
      </c>
      <c r="G595" t="s">
        <v>587</v>
      </c>
      <c r="H595" t="s">
        <v>588</v>
      </c>
      <c r="I595" t="s">
        <v>589</v>
      </c>
    </row>
    <row r="596" spans="1:9" x14ac:dyDescent="0.3">
      <c r="A596" t="s">
        <v>25</v>
      </c>
      <c r="B596" t="s">
        <v>311</v>
      </c>
      <c r="C596">
        <v>324</v>
      </c>
      <c r="D596" t="s">
        <v>591</v>
      </c>
      <c r="E596" t="s">
        <v>116</v>
      </c>
      <c r="F596" t="s">
        <v>195</v>
      </c>
      <c r="G596" t="s">
        <v>97</v>
      </c>
      <c r="H596" t="s">
        <v>107</v>
      </c>
      <c r="I596" t="s">
        <v>246</v>
      </c>
    </row>
    <row r="597" spans="1:9" x14ac:dyDescent="0.3">
      <c r="A597" t="s">
        <v>25</v>
      </c>
      <c r="B597" t="s">
        <v>312</v>
      </c>
      <c r="C597">
        <v>80</v>
      </c>
      <c r="D597" t="s">
        <v>460</v>
      </c>
      <c r="E597" t="s">
        <v>128</v>
      </c>
      <c r="F597" t="s">
        <v>493</v>
      </c>
      <c r="G597" t="s">
        <v>103</v>
      </c>
      <c r="H597" t="s">
        <v>601</v>
      </c>
      <c r="I597" t="s">
        <v>610</v>
      </c>
    </row>
    <row r="598" spans="1:9" x14ac:dyDescent="0.3">
      <c r="A598" t="s">
        <v>25</v>
      </c>
      <c r="B598" t="s">
        <v>308</v>
      </c>
      <c r="C598">
        <v>10</v>
      </c>
      <c r="D598" t="s">
        <v>103</v>
      </c>
      <c r="E598" t="s">
        <v>103</v>
      </c>
      <c r="F598" t="s">
        <v>103</v>
      </c>
      <c r="G598" t="s">
        <v>103</v>
      </c>
      <c r="H598" t="s">
        <v>103</v>
      </c>
      <c r="I598" t="s">
        <v>192</v>
      </c>
    </row>
    <row r="599" spans="1:9" x14ac:dyDescent="0.3">
      <c r="A599" t="s">
        <v>26</v>
      </c>
      <c r="B599" t="s">
        <v>311</v>
      </c>
      <c r="C599">
        <v>343</v>
      </c>
      <c r="D599" t="s">
        <v>467</v>
      </c>
      <c r="E599" t="s">
        <v>103</v>
      </c>
      <c r="F599" t="s">
        <v>116</v>
      </c>
      <c r="G599" t="s">
        <v>110</v>
      </c>
      <c r="H599" t="s">
        <v>120</v>
      </c>
      <c r="I599" t="s">
        <v>611</v>
      </c>
    </row>
    <row r="600" spans="1:9" x14ac:dyDescent="0.3">
      <c r="A600" t="s">
        <v>26</v>
      </c>
      <c r="B600" t="s">
        <v>312</v>
      </c>
      <c r="C600">
        <v>96</v>
      </c>
      <c r="D600" t="s">
        <v>459</v>
      </c>
      <c r="E600" t="s">
        <v>103</v>
      </c>
      <c r="F600" t="s">
        <v>208</v>
      </c>
      <c r="G600" t="s">
        <v>217</v>
      </c>
      <c r="H600" t="s">
        <v>103</v>
      </c>
      <c r="I600" t="s">
        <v>612</v>
      </c>
    </row>
    <row r="601" spans="1:9" x14ac:dyDescent="0.3">
      <c r="A601" t="s">
        <v>26</v>
      </c>
      <c r="B601" t="s">
        <v>308</v>
      </c>
      <c r="C601">
        <v>38</v>
      </c>
      <c r="D601" t="s">
        <v>60</v>
      </c>
      <c r="E601" t="s">
        <v>103</v>
      </c>
      <c r="F601" t="s">
        <v>270</v>
      </c>
      <c r="G601" t="s">
        <v>103</v>
      </c>
      <c r="H601" t="s">
        <v>208</v>
      </c>
      <c r="I601" t="s">
        <v>613</v>
      </c>
    </row>
    <row r="602" spans="1:9" x14ac:dyDescent="0.3">
      <c r="A602" t="s">
        <v>29</v>
      </c>
      <c r="B602" t="s">
        <v>311</v>
      </c>
      <c r="C602">
        <v>414</v>
      </c>
      <c r="D602" t="s">
        <v>112</v>
      </c>
      <c r="E602" t="s">
        <v>95</v>
      </c>
      <c r="F602" t="s">
        <v>345</v>
      </c>
      <c r="G602" t="s">
        <v>122</v>
      </c>
      <c r="H602" t="s">
        <v>270</v>
      </c>
      <c r="I602" t="s">
        <v>614</v>
      </c>
    </row>
    <row r="603" spans="1:9" x14ac:dyDescent="0.3">
      <c r="A603" t="s">
        <v>29</v>
      </c>
      <c r="B603" t="s">
        <v>312</v>
      </c>
      <c r="C603">
        <v>103</v>
      </c>
      <c r="D603" t="s">
        <v>615</v>
      </c>
      <c r="E603" t="s">
        <v>282</v>
      </c>
      <c r="F603" t="s">
        <v>266</v>
      </c>
      <c r="G603" t="s">
        <v>66</v>
      </c>
      <c r="H603" t="s">
        <v>93</v>
      </c>
      <c r="I603" t="s">
        <v>616</v>
      </c>
    </row>
    <row r="604" spans="1:9" x14ac:dyDescent="0.3">
      <c r="A604" t="s">
        <v>29</v>
      </c>
      <c r="B604" t="s">
        <v>308</v>
      </c>
      <c r="C604">
        <v>13</v>
      </c>
      <c r="D604" t="s">
        <v>254</v>
      </c>
      <c r="E604" t="s">
        <v>278</v>
      </c>
      <c r="F604" t="s">
        <v>103</v>
      </c>
      <c r="G604" t="s">
        <v>103</v>
      </c>
      <c r="H604" t="s">
        <v>103</v>
      </c>
      <c r="I604" t="s">
        <v>617</v>
      </c>
    </row>
    <row r="605" spans="1:9" x14ac:dyDescent="0.3">
      <c r="A605" t="s">
        <v>28</v>
      </c>
      <c r="B605" t="s">
        <v>311</v>
      </c>
      <c r="C605">
        <v>223</v>
      </c>
      <c r="D605" t="s">
        <v>341</v>
      </c>
      <c r="E605" t="s">
        <v>195</v>
      </c>
      <c r="F605" t="s">
        <v>118</v>
      </c>
      <c r="G605" t="s">
        <v>102</v>
      </c>
      <c r="H605" t="s">
        <v>452</v>
      </c>
      <c r="I605" t="s">
        <v>202</v>
      </c>
    </row>
    <row r="606" spans="1:9" x14ac:dyDescent="0.3">
      <c r="A606" t="s">
        <v>28</v>
      </c>
      <c r="B606" t="s">
        <v>312</v>
      </c>
      <c r="C606">
        <v>93</v>
      </c>
      <c r="D606" t="s">
        <v>103</v>
      </c>
      <c r="E606" t="s">
        <v>341</v>
      </c>
      <c r="F606" t="s">
        <v>345</v>
      </c>
      <c r="G606" t="s">
        <v>112</v>
      </c>
      <c r="H606" t="s">
        <v>273</v>
      </c>
      <c r="I606" t="s">
        <v>618</v>
      </c>
    </row>
    <row r="607" spans="1:9" x14ac:dyDescent="0.3">
      <c r="A607" t="s">
        <v>28</v>
      </c>
      <c r="B607" t="s">
        <v>308</v>
      </c>
      <c r="C607">
        <v>1</v>
      </c>
      <c r="D607" t="s">
        <v>103</v>
      </c>
      <c r="E607" t="s">
        <v>103</v>
      </c>
      <c r="F607" t="s">
        <v>103</v>
      </c>
      <c r="G607" t="s">
        <v>103</v>
      </c>
      <c r="H607" t="s">
        <v>103</v>
      </c>
      <c r="I607" t="s">
        <v>192</v>
      </c>
    </row>
    <row r="608" spans="1:9" x14ac:dyDescent="0.3">
      <c r="A608" t="s">
        <v>27</v>
      </c>
      <c r="B608" t="s">
        <v>311</v>
      </c>
      <c r="C608">
        <v>237</v>
      </c>
      <c r="D608" t="s">
        <v>619</v>
      </c>
      <c r="E608" t="s">
        <v>103</v>
      </c>
      <c r="F608" t="s">
        <v>122</v>
      </c>
      <c r="G608" t="s">
        <v>103</v>
      </c>
      <c r="H608" t="s">
        <v>95</v>
      </c>
      <c r="I608" t="s">
        <v>620</v>
      </c>
    </row>
    <row r="609" spans="1:9" x14ac:dyDescent="0.3">
      <c r="A609" t="s">
        <v>27</v>
      </c>
      <c r="B609" t="s">
        <v>312</v>
      </c>
      <c r="C609">
        <v>60</v>
      </c>
      <c r="D609" t="s">
        <v>361</v>
      </c>
      <c r="E609" t="s">
        <v>194</v>
      </c>
      <c r="F609" t="s">
        <v>103</v>
      </c>
      <c r="G609" t="s">
        <v>103</v>
      </c>
      <c r="H609" t="s">
        <v>103</v>
      </c>
      <c r="I609" t="s">
        <v>621</v>
      </c>
    </row>
    <row r="610" spans="1:9" x14ac:dyDescent="0.3">
      <c r="A610" t="s">
        <v>27</v>
      </c>
      <c r="B610" t="s">
        <v>308</v>
      </c>
      <c r="C610">
        <v>3</v>
      </c>
      <c r="D610" t="s">
        <v>103</v>
      </c>
      <c r="E610" t="s">
        <v>103</v>
      </c>
      <c r="F610" t="s">
        <v>103</v>
      </c>
      <c r="G610" t="s">
        <v>103</v>
      </c>
      <c r="H610" t="s">
        <v>407</v>
      </c>
      <c r="I610" t="s">
        <v>406</v>
      </c>
    </row>
    <row r="611" spans="1:9" x14ac:dyDescent="0.3">
      <c r="A611" t="s">
        <v>41</v>
      </c>
      <c r="B611" t="s">
        <v>311</v>
      </c>
      <c r="C611">
        <v>1541</v>
      </c>
      <c r="D611" t="s">
        <v>452</v>
      </c>
      <c r="E611" t="s">
        <v>97</v>
      </c>
      <c r="F611" t="s">
        <v>194</v>
      </c>
      <c r="G611" t="s">
        <v>139</v>
      </c>
      <c r="H611" t="s">
        <v>266</v>
      </c>
      <c r="I611" t="s">
        <v>241</v>
      </c>
    </row>
    <row r="612" spans="1:9" x14ac:dyDescent="0.3">
      <c r="A612" t="s">
        <v>41</v>
      </c>
      <c r="B612" t="s">
        <v>312</v>
      </c>
      <c r="C612">
        <v>432</v>
      </c>
      <c r="D612" t="s">
        <v>100</v>
      </c>
      <c r="E612" t="s">
        <v>345</v>
      </c>
      <c r="F612" t="s">
        <v>257</v>
      </c>
      <c r="G612" t="s">
        <v>345</v>
      </c>
      <c r="H612" t="s">
        <v>493</v>
      </c>
      <c r="I612" t="s">
        <v>622</v>
      </c>
    </row>
    <row r="613" spans="1:9" x14ac:dyDescent="0.3">
      <c r="A613" t="s">
        <v>41</v>
      </c>
      <c r="B613" t="s">
        <v>308</v>
      </c>
      <c r="C613">
        <v>65</v>
      </c>
      <c r="D613" t="s">
        <v>594</v>
      </c>
      <c r="E613" t="s">
        <v>110</v>
      </c>
      <c r="F613" t="s">
        <v>216</v>
      </c>
      <c r="G613" t="s">
        <v>103</v>
      </c>
      <c r="H613" t="s">
        <v>239</v>
      </c>
      <c r="I613" t="s">
        <v>616</v>
      </c>
    </row>
    <row r="615" spans="1:9" x14ac:dyDescent="0.3">
      <c r="A615" t="s">
        <v>623</v>
      </c>
    </row>
    <row r="616" spans="1:9" x14ac:dyDescent="0.3">
      <c r="A616" t="s">
        <v>36</v>
      </c>
      <c r="B616" t="s">
        <v>197</v>
      </c>
      <c r="C616" t="s">
        <v>24</v>
      </c>
      <c r="D616" t="s">
        <v>87</v>
      </c>
      <c r="E616" t="s">
        <v>586</v>
      </c>
      <c r="F616" t="s">
        <v>588</v>
      </c>
      <c r="G616" t="s">
        <v>589</v>
      </c>
      <c r="H616" t="s">
        <v>585</v>
      </c>
      <c r="I616" t="s">
        <v>587</v>
      </c>
    </row>
    <row r="617" spans="1:9" x14ac:dyDescent="0.3">
      <c r="A617" t="s">
        <v>25</v>
      </c>
      <c r="B617" t="s">
        <v>198</v>
      </c>
      <c r="C617">
        <v>104</v>
      </c>
      <c r="D617" t="s">
        <v>558</v>
      </c>
      <c r="E617" t="s">
        <v>188</v>
      </c>
      <c r="F617" t="s">
        <v>195</v>
      </c>
      <c r="G617" t="s">
        <v>153</v>
      </c>
      <c r="H617" t="s">
        <v>103</v>
      </c>
      <c r="I617" t="s">
        <v>103</v>
      </c>
    </row>
    <row r="618" spans="1:9" x14ac:dyDescent="0.3">
      <c r="A618" t="s">
        <v>25</v>
      </c>
      <c r="B618" t="s">
        <v>199</v>
      </c>
      <c r="C618">
        <v>310</v>
      </c>
      <c r="D618" t="s">
        <v>186</v>
      </c>
      <c r="E618" t="s">
        <v>64</v>
      </c>
      <c r="F618" t="s">
        <v>133</v>
      </c>
      <c r="G618" t="s">
        <v>605</v>
      </c>
      <c r="H618" t="s">
        <v>98</v>
      </c>
      <c r="I618" t="s">
        <v>97</v>
      </c>
    </row>
    <row r="619" spans="1:9" x14ac:dyDescent="0.3">
      <c r="A619" t="s">
        <v>26</v>
      </c>
      <c r="B619" t="s">
        <v>198</v>
      </c>
      <c r="C619">
        <v>41</v>
      </c>
      <c r="D619" t="s">
        <v>118</v>
      </c>
      <c r="E619" t="s">
        <v>95</v>
      </c>
      <c r="F619" t="s">
        <v>118</v>
      </c>
      <c r="G619" t="s">
        <v>624</v>
      </c>
      <c r="H619" t="s">
        <v>103</v>
      </c>
      <c r="I619" t="s">
        <v>341</v>
      </c>
    </row>
    <row r="620" spans="1:9" x14ac:dyDescent="0.3">
      <c r="A620" t="s">
        <v>26</v>
      </c>
      <c r="B620" t="s">
        <v>199</v>
      </c>
      <c r="C620">
        <v>436</v>
      </c>
      <c r="D620" t="s">
        <v>284</v>
      </c>
      <c r="E620" t="s">
        <v>139</v>
      </c>
      <c r="F620" t="s">
        <v>97</v>
      </c>
      <c r="G620" t="s">
        <v>590</v>
      </c>
      <c r="H620" t="s">
        <v>103</v>
      </c>
      <c r="I620" t="s">
        <v>239</v>
      </c>
    </row>
    <row r="621" spans="1:9" x14ac:dyDescent="0.3">
      <c r="A621" t="s">
        <v>29</v>
      </c>
      <c r="B621" t="s">
        <v>198</v>
      </c>
      <c r="C621">
        <v>170</v>
      </c>
      <c r="D621" t="s">
        <v>205</v>
      </c>
      <c r="E621" t="s">
        <v>98</v>
      </c>
      <c r="F621" t="s">
        <v>188</v>
      </c>
      <c r="G621" t="s">
        <v>600</v>
      </c>
      <c r="H621" t="s">
        <v>97</v>
      </c>
      <c r="I621" t="s">
        <v>282</v>
      </c>
    </row>
    <row r="622" spans="1:9" x14ac:dyDescent="0.3">
      <c r="A622" t="s">
        <v>29</v>
      </c>
      <c r="B622" t="s">
        <v>199</v>
      </c>
      <c r="C622">
        <v>360</v>
      </c>
      <c r="D622" t="s">
        <v>107</v>
      </c>
      <c r="E622" t="s">
        <v>216</v>
      </c>
      <c r="F622" t="s">
        <v>93</v>
      </c>
      <c r="G622" t="s">
        <v>184</v>
      </c>
      <c r="H622" t="s">
        <v>282</v>
      </c>
      <c r="I622" t="s">
        <v>91</v>
      </c>
    </row>
    <row r="623" spans="1:9" x14ac:dyDescent="0.3">
      <c r="A623" t="s">
        <v>28</v>
      </c>
      <c r="B623" t="s">
        <v>198</v>
      </c>
      <c r="C623">
        <v>70</v>
      </c>
      <c r="D623" t="s">
        <v>103</v>
      </c>
      <c r="E623" t="s">
        <v>329</v>
      </c>
      <c r="F623" t="s">
        <v>201</v>
      </c>
      <c r="G623" t="s">
        <v>625</v>
      </c>
      <c r="H623" t="s">
        <v>103</v>
      </c>
      <c r="I623" t="s">
        <v>468</v>
      </c>
    </row>
    <row r="624" spans="1:9" x14ac:dyDescent="0.3">
      <c r="A624" t="s">
        <v>28</v>
      </c>
      <c r="B624" t="s">
        <v>199</v>
      </c>
      <c r="C624">
        <v>247</v>
      </c>
      <c r="D624" t="s">
        <v>341</v>
      </c>
      <c r="E624" t="s">
        <v>208</v>
      </c>
      <c r="F624" t="s">
        <v>135</v>
      </c>
      <c r="G624" t="s">
        <v>610</v>
      </c>
      <c r="H624" t="s">
        <v>125</v>
      </c>
      <c r="I624" t="s">
        <v>33</v>
      </c>
    </row>
    <row r="625" spans="1:9" x14ac:dyDescent="0.3">
      <c r="A625" t="s">
        <v>27</v>
      </c>
      <c r="B625" t="s">
        <v>198</v>
      </c>
      <c r="C625">
        <v>136</v>
      </c>
      <c r="D625" t="s">
        <v>626</v>
      </c>
      <c r="E625" t="s">
        <v>103</v>
      </c>
      <c r="F625" t="s">
        <v>245</v>
      </c>
      <c r="G625" t="s">
        <v>439</v>
      </c>
      <c r="H625" t="s">
        <v>122</v>
      </c>
      <c r="I625" t="s">
        <v>103</v>
      </c>
    </row>
    <row r="626" spans="1:9" x14ac:dyDescent="0.3">
      <c r="A626" t="s">
        <v>27</v>
      </c>
      <c r="B626" t="s">
        <v>199</v>
      </c>
      <c r="C626">
        <v>164</v>
      </c>
      <c r="D626" t="s">
        <v>627</v>
      </c>
      <c r="E626" t="s">
        <v>95</v>
      </c>
      <c r="F626" t="s">
        <v>103</v>
      </c>
      <c r="G626" t="s">
        <v>628</v>
      </c>
      <c r="H626" t="s">
        <v>103</v>
      </c>
      <c r="I626" t="s">
        <v>103</v>
      </c>
    </row>
    <row r="627" spans="1:9" x14ac:dyDescent="0.3">
      <c r="A627" t="s">
        <v>41</v>
      </c>
      <c r="B627" t="s">
        <v>198</v>
      </c>
      <c r="C627">
        <v>521</v>
      </c>
      <c r="D627" t="s">
        <v>629</v>
      </c>
      <c r="E627" t="s">
        <v>110</v>
      </c>
      <c r="F627" t="s">
        <v>438</v>
      </c>
      <c r="G627" t="s">
        <v>630</v>
      </c>
      <c r="H627" t="s">
        <v>122</v>
      </c>
      <c r="I627" t="s">
        <v>139</v>
      </c>
    </row>
    <row r="628" spans="1:9" x14ac:dyDescent="0.3">
      <c r="A628" t="s">
        <v>41</v>
      </c>
      <c r="B628" t="s">
        <v>199</v>
      </c>
      <c r="C628">
        <v>1517</v>
      </c>
      <c r="D628" t="s">
        <v>133</v>
      </c>
      <c r="E628" t="s">
        <v>216</v>
      </c>
      <c r="F628" t="s">
        <v>217</v>
      </c>
      <c r="G628" t="s">
        <v>215</v>
      </c>
      <c r="H628" t="s">
        <v>139</v>
      </c>
      <c r="I628" t="s">
        <v>139</v>
      </c>
    </row>
    <row r="630" spans="1:9" x14ac:dyDescent="0.3">
      <c r="A630" t="s">
        <v>631</v>
      </c>
    </row>
    <row r="631" spans="1:9" x14ac:dyDescent="0.3">
      <c r="A631" t="s">
        <v>36</v>
      </c>
      <c r="B631" t="s">
        <v>210</v>
      </c>
      <c r="C631" t="s">
        <v>24</v>
      </c>
      <c r="D631" t="s">
        <v>87</v>
      </c>
      <c r="E631" t="s">
        <v>585</v>
      </c>
      <c r="F631" t="s">
        <v>586</v>
      </c>
      <c r="G631" t="s">
        <v>587</v>
      </c>
      <c r="H631" t="s">
        <v>588</v>
      </c>
      <c r="I631" t="s">
        <v>589</v>
      </c>
    </row>
    <row r="632" spans="1:9" x14ac:dyDescent="0.3">
      <c r="A632" t="s">
        <v>25</v>
      </c>
      <c r="B632" t="s">
        <v>211</v>
      </c>
      <c r="C632">
        <v>414</v>
      </c>
      <c r="D632" t="s">
        <v>532</v>
      </c>
      <c r="E632" t="s">
        <v>95</v>
      </c>
      <c r="F632" t="s">
        <v>195</v>
      </c>
      <c r="G632" t="s">
        <v>122</v>
      </c>
      <c r="H632" t="s">
        <v>33</v>
      </c>
      <c r="I632" t="s">
        <v>172</v>
      </c>
    </row>
    <row r="633" spans="1:9" x14ac:dyDescent="0.3">
      <c r="A633" t="s">
        <v>26</v>
      </c>
      <c r="B633" t="s">
        <v>211</v>
      </c>
      <c r="C633">
        <v>223</v>
      </c>
      <c r="D633" t="s">
        <v>494</v>
      </c>
      <c r="E633" t="s">
        <v>103</v>
      </c>
      <c r="F633" t="s">
        <v>468</v>
      </c>
      <c r="G633" t="s">
        <v>120</v>
      </c>
      <c r="H633" t="s">
        <v>116</v>
      </c>
      <c r="I633" t="s">
        <v>632</v>
      </c>
    </row>
    <row r="634" spans="1:9" x14ac:dyDescent="0.3">
      <c r="A634" t="s">
        <v>26</v>
      </c>
      <c r="B634" t="s">
        <v>212</v>
      </c>
      <c r="C634">
        <v>254</v>
      </c>
      <c r="D634" t="s">
        <v>257</v>
      </c>
      <c r="E634" t="s">
        <v>103</v>
      </c>
      <c r="F634" t="s">
        <v>97</v>
      </c>
      <c r="G634" t="s">
        <v>128</v>
      </c>
      <c r="H634" t="s">
        <v>98</v>
      </c>
      <c r="I634" t="s">
        <v>633</v>
      </c>
    </row>
    <row r="635" spans="1:9" x14ac:dyDescent="0.3">
      <c r="A635" t="s">
        <v>29</v>
      </c>
      <c r="B635" t="s">
        <v>211</v>
      </c>
      <c r="C635">
        <v>530</v>
      </c>
      <c r="D635" t="s">
        <v>133</v>
      </c>
      <c r="E635" t="s">
        <v>139</v>
      </c>
      <c r="F635" t="s">
        <v>110</v>
      </c>
      <c r="G635" t="s">
        <v>122</v>
      </c>
      <c r="H635" t="s">
        <v>266</v>
      </c>
      <c r="I635" t="s">
        <v>159</v>
      </c>
    </row>
    <row r="636" spans="1:9" x14ac:dyDescent="0.3">
      <c r="A636" t="s">
        <v>28</v>
      </c>
      <c r="B636" t="s">
        <v>211</v>
      </c>
      <c r="C636">
        <v>277</v>
      </c>
      <c r="D636" t="s">
        <v>216</v>
      </c>
      <c r="E636" t="s">
        <v>195</v>
      </c>
      <c r="F636" t="s">
        <v>128</v>
      </c>
      <c r="G636" t="s">
        <v>532</v>
      </c>
      <c r="H636" t="s">
        <v>224</v>
      </c>
      <c r="I636" t="s">
        <v>634</v>
      </c>
    </row>
    <row r="637" spans="1:9" x14ac:dyDescent="0.3">
      <c r="A637" t="s">
        <v>28</v>
      </c>
      <c r="B637" t="s">
        <v>212</v>
      </c>
      <c r="C637">
        <v>40</v>
      </c>
      <c r="D637" t="s">
        <v>103</v>
      </c>
      <c r="E637" t="s">
        <v>103</v>
      </c>
      <c r="F637" t="s">
        <v>103</v>
      </c>
      <c r="G637" t="s">
        <v>103</v>
      </c>
      <c r="H637" t="s">
        <v>126</v>
      </c>
      <c r="I637" t="s">
        <v>590</v>
      </c>
    </row>
    <row r="638" spans="1:9" x14ac:dyDescent="0.3">
      <c r="A638" t="s">
        <v>27</v>
      </c>
      <c r="B638" t="s">
        <v>211</v>
      </c>
      <c r="C638">
        <v>270</v>
      </c>
      <c r="D638" t="s">
        <v>635</v>
      </c>
      <c r="E638" t="s">
        <v>66</v>
      </c>
      <c r="F638" t="s">
        <v>122</v>
      </c>
      <c r="G638" t="s">
        <v>103</v>
      </c>
      <c r="H638" t="s">
        <v>139</v>
      </c>
      <c r="I638" t="s">
        <v>249</v>
      </c>
    </row>
    <row r="639" spans="1:9" s="3" customFormat="1" x14ac:dyDescent="0.3">
      <c r="A639" s="3" t="s">
        <v>27</v>
      </c>
      <c r="B639" s="3" t="s">
        <v>212</v>
      </c>
      <c r="C639" s="3">
        <v>30</v>
      </c>
      <c r="D639" s="3" t="s">
        <v>103</v>
      </c>
      <c r="E639" s="3" t="s">
        <v>103</v>
      </c>
      <c r="F639" s="3" t="s">
        <v>103</v>
      </c>
      <c r="G639" s="3" t="s">
        <v>103</v>
      </c>
      <c r="H639" s="3" t="s">
        <v>103</v>
      </c>
      <c r="I639" s="3" t="s">
        <v>192</v>
      </c>
    </row>
    <row r="640" spans="1:9" x14ac:dyDescent="0.3">
      <c r="A640" t="s">
        <v>41</v>
      </c>
      <c r="B640" t="s">
        <v>211</v>
      </c>
      <c r="C640">
        <v>1714</v>
      </c>
      <c r="D640" t="s">
        <v>511</v>
      </c>
      <c r="E640" t="s">
        <v>139</v>
      </c>
      <c r="F640" t="s">
        <v>245</v>
      </c>
      <c r="G640" t="s">
        <v>120</v>
      </c>
      <c r="H640" t="s">
        <v>68</v>
      </c>
      <c r="I640" t="s">
        <v>168</v>
      </c>
    </row>
    <row r="641" spans="1:9" x14ac:dyDescent="0.3">
      <c r="A641" t="s">
        <v>41</v>
      </c>
      <c r="B641" t="s">
        <v>212</v>
      </c>
      <c r="C641">
        <v>324</v>
      </c>
      <c r="D641" t="s">
        <v>118</v>
      </c>
      <c r="E641" t="s">
        <v>103</v>
      </c>
      <c r="F641" t="s">
        <v>97</v>
      </c>
      <c r="G641" t="s">
        <v>93</v>
      </c>
      <c r="H641" t="s">
        <v>345</v>
      </c>
      <c r="I641" t="s">
        <v>636</v>
      </c>
    </row>
    <row r="643" spans="1:9" x14ac:dyDescent="0.3">
      <c r="A643" t="s">
        <v>637</v>
      </c>
    </row>
    <row r="644" spans="1:9" x14ac:dyDescent="0.3">
      <c r="A644" t="s">
        <v>36</v>
      </c>
      <c r="B644" t="s">
        <v>24</v>
      </c>
      <c r="C644" t="s">
        <v>638</v>
      </c>
      <c r="D644" t="s">
        <v>639</v>
      </c>
      <c r="E644" t="s">
        <v>640</v>
      </c>
      <c r="F644" t="s">
        <v>87</v>
      </c>
      <c r="G644" t="s">
        <v>641</v>
      </c>
      <c r="H644" t="s">
        <v>642</v>
      </c>
    </row>
    <row r="645" spans="1:9" x14ac:dyDescent="0.3">
      <c r="A645" t="s">
        <v>25</v>
      </c>
      <c r="B645">
        <v>44</v>
      </c>
      <c r="C645" t="s">
        <v>100</v>
      </c>
      <c r="D645" t="s">
        <v>643</v>
      </c>
      <c r="E645" t="s">
        <v>644</v>
      </c>
      <c r="F645" t="s">
        <v>217</v>
      </c>
      <c r="G645" t="s">
        <v>175</v>
      </c>
      <c r="H645" t="s">
        <v>46</v>
      </c>
    </row>
    <row r="646" spans="1:9" s="3" customFormat="1" x14ac:dyDescent="0.3">
      <c r="A646" s="3" t="s">
        <v>26</v>
      </c>
      <c r="B646" s="3">
        <v>16</v>
      </c>
      <c r="C646" s="3" t="s">
        <v>103</v>
      </c>
      <c r="D646" s="3" t="s">
        <v>500</v>
      </c>
      <c r="E646" s="3" t="s">
        <v>171</v>
      </c>
      <c r="F646" s="3" t="s">
        <v>103</v>
      </c>
      <c r="G646" s="3" t="s">
        <v>645</v>
      </c>
      <c r="H646" s="3" t="s">
        <v>123</v>
      </c>
    </row>
    <row r="647" spans="1:9" x14ac:dyDescent="0.3">
      <c r="A647" t="s">
        <v>29</v>
      </c>
      <c r="B647">
        <v>36</v>
      </c>
      <c r="C647" t="s">
        <v>111</v>
      </c>
      <c r="D647" t="s">
        <v>146</v>
      </c>
      <c r="E647" t="s">
        <v>301</v>
      </c>
      <c r="F647" t="s">
        <v>526</v>
      </c>
      <c r="G647" t="s">
        <v>646</v>
      </c>
      <c r="H647" t="s">
        <v>607</v>
      </c>
    </row>
    <row r="648" spans="1:9" x14ac:dyDescent="0.3">
      <c r="A648" t="s">
        <v>28</v>
      </c>
      <c r="B648">
        <v>58</v>
      </c>
      <c r="C648" t="s">
        <v>46</v>
      </c>
      <c r="D648" t="s">
        <v>559</v>
      </c>
      <c r="E648" t="s">
        <v>647</v>
      </c>
      <c r="F648" t="s">
        <v>257</v>
      </c>
      <c r="G648" t="s">
        <v>54</v>
      </c>
      <c r="H648" t="s">
        <v>114</v>
      </c>
    </row>
    <row r="649" spans="1:9" s="3" customFormat="1" x14ac:dyDescent="0.3">
      <c r="A649" s="3" t="s">
        <v>27</v>
      </c>
      <c r="B649" s="3">
        <v>5</v>
      </c>
      <c r="C649" s="3" t="s">
        <v>469</v>
      </c>
      <c r="D649" s="3" t="s">
        <v>483</v>
      </c>
      <c r="E649" s="3" t="s">
        <v>152</v>
      </c>
      <c r="F649" s="3" t="s">
        <v>261</v>
      </c>
      <c r="G649" s="3" t="s">
        <v>648</v>
      </c>
      <c r="H649" s="3" t="s">
        <v>103</v>
      </c>
    </row>
    <row r="650" spans="1:9" x14ac:dyDescent="0.3">
      <c r="A650" t="s">
        <v>41</v>
      </c>
      <c r="B650">
        <v>159</v>
      </c>
      <c r="C650" t="s">
        <v>649</v>
      </c>
      <c r="D650" t="s">
        <v>650</v>
      </c>
      <c r="E650" t="s">
        <v>651</v>
      </c>
      <c r="F650" t="s">
        <v>459</v>
      </c>
      <c r="G650" t="s">
        <v>256</v>
      </c>
      <c r="H650" t="s">
        <v>652</v>
      </c>
    </row>
    <row r="652" spans="1:9" x14ac:dyDescent="0.3">
      <c r="A652" t="s">
        <v>653</v>
      </c>
    </row>
    <row r="653" spans="1:9" x14ac:dyDescent="0.3">
      <c r="A653" t="s">
        <v>36</v>
      </c>
      <c r="B653" t="s">
        <v>307</v>
      </c>
      <c r="C653" t="s">
        <v>24</v>
      </c>
      <c r="D653" t="s">
        <v>638</v>
      </c>
      <c r="E653" t="s">
        <v>639</v>
      </c>
      <c r="F653" t="s">
        <v>640</v>
      </c>
      <c r="G653" t="s">
        <v>87</v>
      </c>
      <c r="H653" t="s">
        <v>641</v>
      </c>
      <c r="I653" t="s">
        <v>642</v>
      </c>
    </row>
    <row r="654" spans="1:9" s="3" customFormat="1" x14ac:dyDescent="0.3">
      <c r="A654" s="3" t="s">
        <v>25</v>
      </c>
      <c r="B654" s="3" t="s">
        <v>291</v>
      </c>
      <c r="C654" s="3">
        <v>15</v>
      </c>
      <c r="D654" s="3" t="s">
        <v>493</v>
      </c>
      <c r="E654" s="3" t="s">
        <v>654</v>
      </c>
      <c r="F654" s="3" t="s">
        <v>655</v>
      </c>
      <c r="G654" s="3" t="s">
        <v>105</v>
      </c>
      <c r="H654" s="3" t="s">
        <v>656</v>
      </c>
      <c r="I654" s="3" t="s">
        <v>493</v>
      </c>
    </row>
    <row r="655" spans="1:9" s="3" customFormat="1" x14ac:dyDescent="0.3">
      <c r="A655" s="3" t="s">
        <v>25</v>
      </c>
      <c r="B655" s="3" t="s">
        <v>292</v>
      </c>
      <c r="C655" s="3">
        <v>29</v>
      </c>
      <c r="D655" s="3" t="s">
        <v>482</v>
      </c>
      <c r="E655" s="3" t="s">
        <v>512</v>
      </c>
      <c r="F655" s="3" t="s">
        <v>578</v>
      </c>
      <c r="G655" s="3" t="s">
        <v>195</v>
      </c>
      <c r="H655" s="3" t="s">
        <v>281</v>
      </c>
      <c r="I655" s="3" t="s">
        <v>581</v>
      </c>
    </row>
    <row r="656" spans="1:9" s="3" customFormat="1" x14ac:dyDescent="0.3">
      <c r="A656" s="3" t="s">
        <v>26</v>
      </c>
      <c r="B656" s="3" t="s">
        <v>291</v>
      </c>
      <c r="C656" s="3">
        <v>5</v>
      </c>
      <c r="D656" s="3" t="s">
        <v>103</v>
      </c>
      <c r="E656" s="3" t="s">
        <v>457</v>
      </c>
      <c r="F656" s="3" t="s">
        <v>362</v>
      </c>
      <c r="G656" s="3" t="s">
        <v>103</v>
      </c>
      <c r="H656" s="3" t="s">
        <v>565</v>
      </c>
      <c r="I656" s="3" t="s">
        <v>103</v>
      </c>
    </row>
    <row r="657" spans="1:9" s="3" customFormat="1" x14ac:dyDescent="0.3">
      <c r="A657" s="3" t="s">
        <v>26</v>
      </c>
      <c r="B657" s="3" t="s">
        <v>292</v>
      </c>
      <c r="C657" s="3">
        <v>11</v>
      </c>
      <c r="D657" s="3" t="s">
        <v>103</v>
      </c>
      <c r="E657" s="3" t="s">
        <v>657</v>
      </c>
      <c r="F657" s="3" t="s">
        <v>103</v>
      </c>
      <c r="G657" s="3" t="s">
        <v>103</v>
      </c>
      <c r="H657" s="3" t="s">
        <v>402</v>
      </c>
      <c r="I657" s="3" t="s">
        <v>54</v>
      </c>
    </row>
    <row r="658" spans="1:9" s="3" customFormat="1" x14ac:dyDescent="0.3">
      <c r="A658" s="3" t="s">
        <v>29</v>
      </c>
      <c r="B658" s="3" t="s">
        <v>291</v>
      </c>
      <c r="C658" s="3">
        <v>12</v>
      </c>
      <c r="D658" s="3" t="s">
        <v>217</v>
      </c>
      <c r="E658" s="3" t="s">
        <v>658</v>
      </c>
      <c r="F658" s="3" t="s">
        <v>483</v>
      </c>
      <c r="G658" s="3" t="s">
        <v>100</v>
      </c>
      <c r="H658" s="3" t="s">
        <v>659</v>
      </c>
      <c r="I658" s="3" t="s">
        <v>463</v>
      </c>
    </row>
    <row r="659" spans="1:9" s="3" customFormat="1" x14ac:dyDescent="0.3">
      <c r="A659" s="3" t="s">
        <v>29</v>
      </c>
      <c r="B659" s="3" t="s">
        <v>292</v>
      </c>
      <c r="C659" s="3">
        <v>24</v>
      </c>
      <c r="D659" s="3" t="s">
        <v>519</v>
      </c>
      <c r="E659" s="3" t="s">
        <v>232</v>
      </c>
      <c r="F659" s="3" t="s">
        <v>541</v>
      </c>
      <c r="G659" s="3" t="s">
        <v>660</v>
      </c>
      <c r="H659" s="3" t="s">
        <v>521</v>
      </c>
      <c r="I659" s="3" t="s">
        <v>278</v>
      </c>
    </row>
    <row r="660" spans="1:9" s="3" customFormat="1" x14ac:dyDescent="0.3">
      <c r="A660" s="3" t="s">
        <v>28</v>
      </c>
      <c r="B660" s="3" t="s">
        <v>291</v>
      </c>
      <c r="C660" s="3">
        <v>17</v>
      </c>
      <c r="D660" s="3" t="s">
        <v>175</v>
      </c>
      <c r="E660" s="3" t="s">
        <v>111</v>
      </c>
      <c r="F660" s="3" t="s">
        <v>661</v>
      </c>
      <c r="G660" s="3" t="s">
        <v>662</v>
      </c>
      <c r="H660" s="3" t="s">
        <v>457</v>
      </c>
      <c r="I660" s="3" t="s">
        <v>103</v>
      </c>
    </row>
    <row r="661" spans="1:9" x14ac:dyDescent="0.3">
      <c r="A661" t="s">
        <v>28</v>
      </c>
      <c r="B661" t="s">
        <v>292</v>
      </c>
      <c r="C661">
        <v>39</v>
      </c>
      <c r="D661" t="s">
        <v>479</v>
      </c>
      <c r="E661" t="s">
        <v>663</v>
      </c>
      <c r="F661" t="s">
        <v>557</v>
      </c>
      <c r="G661" t="s">
        <v>110</v>
      </c>
      <c r="H661" t="s">
        <v>136</v>
      </c>
      <c r="I661" t="s">
        <v>558</v>
      </c>
    </row>
    <row r="662" spans="1:9" x14ac:dyDescent="0.3">
      <c r="A662" t="s">
        <v>28</v>
      </c>
      <c r="B662" t="s">
        <v>308</v>
      </c>
      <c r="C662">
        <v>2</v>
      </c>
      <c r="D662" t="s">
        <v>103</v>
      </c>
      <c r="E662" t="s">
        <v>664</v>
      </c>
      <c r="F662" t="s">
        <v>665</v>
      </c>
      <c r="G662" t="s">
        <v>103</v>
      </c>
      <c r="H662" t="s">
        <v>103</v>
      </c>
      <c r="I662" t="s">
        <v>103</v>
      </c>
    </row>
    <row r="663" spans="1:9" s="3" customFormat="1" x14ac:dyDescent="0.3">
      <c r="A663" s="3" t="s">
        <v>27</v>
      </c>
      <c r="B663" s="3" t="s">
        <v>291</v>
      </c>
      <c r="C663" s="3">
        <v>2</v>
      </c>
      <c r="D663" s="3" t="s">
        <v>392</v>
      </c>
      <c r="E663" s="3" t="s">
        <v>103</v>
      </c>
      <c r="F663" s="3" t="s">
        <v>391</v>
      </c>
      <c r="G663" s="3" t="s">
        <v>103</v>
      </c>
      <c r="H663" s="3" t="s">
        <v>103</v>
      </c>
      <c r="I663" s="3" t="s">
        <v>103</v>
      </c>
    </row>
    <row r="664" spans="1:9" s="3" customFormat="1" x14ac:dyDescent="0.3">
      <c r="A664" s="3" t="s">
        <v>27</v>
      </c>
      <c r="B664" s="3" t="s">
        <v>292</v>
      </c>
      <c r="C664" s="3">
        <v>3</v>
      </c>
      <c r="D664" s="3" t="s">
        <v>103</v>
      </c>
      <c r="E664" s="3" t="s">
        <v>660</v>
      </c>
      <c r="F664" s="3" t="s">
        <v>103</v>
      </c>
      <c r="G664" s="3" t="s">
        <v>421</v>
      </c>
      <c r="H664" s="3" t="s">
        <v>666</v>
      </c>
      <c r="I664" s="3" t="s">
        <v>103</v>
      </c>
    </row>
    <row r="665" spans="1:9" x14ac:dyDescent="0.3">
      <c r="A665" t="s">
        <v>41</v>
      </c>
      <c r="B665" t="s">
        <v>291</v>
      </c>
      <c r="C665">
        <v>51</v>
      </c>
      <c r="D665" t="s">
        <v>214</v>
      </c>
      <c r="E665" t="s">
        <v>506</v>
      </c>
      <c r="F665" t="s">
        <v>559</v>
      </c>
      <c r="G665" t="s">
        <v>201</v>
      </c>
      <c r="H665" t="s">
        <v>541</v>
      </c>
      <c r="I665" t="s">
        <v>558</v>
      </c>
    </row>
    <row r="666" spans="1:9" x14ac:dyDescent="0.3">
      <c r="A666" t="s">
        <v>41</v>
      </c>
      <c r="B666" t="s">
        <v>292</v>
      </c>
      <c r="C666">
        <v>106</v>
      </c>
      <c r="D666" t="s">
        <v>244</v>
      </c>
      <c r="E666" t="s">
        <v>261</v>
      </c>
      <c r="F666" t="s">
        <v>667</v>
      </c>
      <c r="G666" t="s">
        <v>144</v>
      </c>
      <c r="H666" t="s">
        <v>173</v>
      </c>
      <c r="I666" t="s">
        <v>536</v>
      </c>
    </row>
    <row r="667" spans="1:9" x14ac:dyDescent="0.3">
      <c r="A667" t="s">
        <v>41</v>
      </c>
      <c r="B667" t="s">
        <v>308</v>
      </c>
      <c r="C667">
        <v>2</v>
      </c>
      <c r="D667" t="s">
        <v>103</v>
      </c>
      <c r="E667" t="s">
        <v>664</v>
      </c>
      <c r="F667" t="s">
        <v>665</v>
      </c>
      <c r="G667" t="s">
        <v>103</v>
      </c>
      <c r="H667" t="s">
        <v>103</v>
      </c>
      <c r="I667" t="s">
        <v>103</v>
      </c>
    </row>
    <row r="669" spans="1:9" x14ac:dyDescent="0.3">
      <c r="A669" t="s">
        <v>668</v>
      </c>
    </row>
    <row r="670" spans="1:9" x14ac:dyDescent="0.3">
      <c r="A670" t="s">
        <v>36</v>
      </c>
      <c r="B670" t="s">
        <v>310</v>
      </c>
      <c r="C670" t="s">
        <v>24</v>
      </c>
      <c r="D670" t="s">
        <v>638</v>
      </c>
      <c r="E670" t="s">
        <v>639</v>
      </c>
      <c r="F670" t="s">
        <v>640</v>
      </c>
      <c r="G670" t="s">
        <v>87</v>
      </c>
      <c r="H670" t="s">
        <v>641</v>
      </c>
      <c r="I670" t="s">
        <v>642</v>
      </c>
    </row>
    <row r="671" spans="1:9" x14ac:dyDescent="0.3">
      <c r="A671" t="s">
        <v>25</v>
      </c>
      <c r="B671" t="s">
        <v>311</v>
      </c>
      <c r="C671">
        <v>31</v>
      </c>
      <c r="D671" t="s">
        <v>591</v>
      </c>
      <c r="E671" t="s">
        <v>669</v>
      </c>
      <c r="F671" t="s">
        <v>670</v>
      </c>
      <c r="G671" t="s">
        <v>493</v>
      </c>
      <c r="H671" t="s">
        <v>543</v>
      </c>
      <c r="I671" t="s">
        <v>146</v>
      </c>
    </row>
    <row r="672" spans="1:9" s="3" customFormat="1" x14ac:dyDescent="0.3">
      <c r="A672" s="3" t="s">
        <v>25</v>
      </c>
      <c r="B672" s="3" t="s">
        <v>312</v>
      </c>
      <c r="C672" s="3">
        <v>13</v>
      </c>
      <c r="D672" s="3" t="s">
        <v>160</v>
      </c>
      <c r="E672" s="3" t="s">
        <v>671</v>
      </c>
      <c r="F672" s="3" t="s">
        <v>206</v>
      </c>
      <c r="G672" s="3" t="s">
        <v>103</v>
      </c>
      <c r="H672" s="3" t="s">
        <v>672</v>
      </c>
      <c r="I672" s="3" t="s">
        <v>376</v>
      </c>
    </row>
    <row r="673" spans="1:9" s="3" customFormat="1" x14ac:dyDescent="0.3">
      <c r="A673" s="3" t="s">
        <v>26</v>
      </c>
      <c r="B673" s="3" t="s">
        <v>311</v>
      </c>
      <c r="C673" s="3">
        <v>9</v>
      </c>
      <c r="D673" s="3" t="s">
        <v>103</v>
      </c>
      <c r="E673" s="3" t="s">
        <v>673</v>
      </c>
      <c r="F673" s="3" t="s">
        <v>150</v>
      </c>
      <c r="G673" s="3" t="s">
        <v>103</v>
      </c>
      <c r="H673" s="3" t="s">
        <v>674</v>
      </c>
      <c r="I673" s="3" t="s">
        <v>591</v>
      </c>
    </row>
    <row r="674" spans="1:9" s="3" customFormat="1" x14ac:dyDescent="0.3">
      <c r="A674" s="3" t="s">
        <v>26</v>
      </c>
      <c r="B674" s="3" t="s">
        <v>312</v>
      </c>
      <c r="C674" s="3">
        <v>5</v>
      </c>
      <c r="D674" s="3" t="s">
        <v>103</v>
      </c>
      <c r="E674" s="3" t="s">
        <v>675</v>
      </c>
      <c r="F674" s="3" t="s">
        <v>103</v>
      </c>
      <c r="G674" s="3" t="s">
        <v>103</v>
      </c>
      <c r="H674" s="3" t="s">
        <v>676</v>
      </c>
      <c r="I674" s="3" t="s">
        <v>103</v>
      </c>
    </row>
    <row r="675" spans="1:9" x14ac:dyDescent="0.3">
      <c r="A675" t="s">
        <v>26</v>
      </c>
      <c r="B675" t="s">
        <v>308</v>
      </c>
      <c r="C675">
        <v>2</v>
      </c>
      <c r="D675" t="s">
        <v>103</v>
      </c>
      <c r="E675" t="s">
        <v>103</v>
      </c>
      <c r="F675" t="s">
        <v>677</v>
      </c>
      <c r="G675" t="s">
        <v>103</v>
      </c>
      <c r="H675" t="s">
        <v>103</v>
      </c>
      <c r="I675" t="s">
        <v>678</v>
      </c>
    </row>
    <row r="676" spans="1:9" s="3" customFormat="1" x14ac:dyDescent="0.3">
      <c r="A676" s="3" t="s">
        <v>29</v>
      </c>
      <c r="B676" s="3" t="s">
        <v>311</v>
      </c>
      <c r="C676" s="3">
        <v>26</v>
      </c>
      <c r="D676" s="3" t="s">
        <v>99</v>
      </c>
      <c r="E676" s="3" t="s">
        <v>262</v>
      </c>
      <c r="F676" s="3" t="s">
        <v>679</v>
      </c>
      <c r="G676" s="3" t="s">
        <v>680</v>
      </c>
      <c r="H676" s="3" t="s">
        <v>264</v>
      </c>
      <c r="I676" s="3" t="s">
        <v>601</v>
      </c>
    </row>
    <row r="677" spans="1:9" s="3" customFormat="1" x14ac:dyDescent="0.3">
      <c r="A677" s="3" t="s">
        <v>29</v>
      </c>
      <c r="B677" s="3" t="s">
        <v>312</v>
      </c>
      <c r="C677" s="3">
        <v>9</v>
      </c>
      <c r="D677" s="3" t="s">
        <v>681</v>
      </c>
      <c r="E677" s="3" t="s">
        <v>682</v>
      </c>
      <c r="F677" s="3" t="s">
        <v>54</v>
      </c>
      <c r="G677" s="3" t="s">
        <v>579</v>
      </c>
      <c r="H677" s="3" t="s">
        <v>542</v>
      </c>
      <c r="I677" s="3" t="s">
        <v>103</v>
      </c>
    </row>
    <row r="678" spans="1:9" x14ac:dyDescent="0.3">
      <c r="A678" t="s">
        <v>29</v>
      </c>
      <c r="B678" t="s">
        <v>308</v>
      </c>
      <c r="C678">
        <v>1</v>
      </c>
      <c r="D678" t="s">
        <v>103</v>
      </c>
      <c r="E678" t="s">
        <v>103</v>
      </c>
      <c r="F678" t="s">
        <v>103</v>
      </c>
      <c r="G678" t="s">
        <v>192</v>
      </c>
      <c r="H678" t="s">
        <v>103</v>
      </c>
      <c r="I678" t="s">
        <v>103</v>
      </c>
    </row>
    <row r="679" spans="1:9" x14ac:dyDescent="0.3">
      <c r="A679" t="s">
        <v>28</v>
      </c>
      <c r="B679" t="s">
        <v>311</v>
      </c>
      <c r="C679">
        <v>38</v>
      </c>
      <c r="D679" t="s">
        <v>525</v>
      </c>
      <c r="E679" t="s">
        <v>583</v>
      </c>
      <c r="F679" t="s">
        <v>552</v>
      </c>
      <c r="G679" t="s">
        <v>591</v>
      </c>
      <c r="H679" t="s">
        <v>524</v>
      </c>
      <c r="I679" t="s">
        <v>531</v>
      </c>
    </row>
    <row r="680" spans="1:9" s="3" customFormat="1" x14ac:dyDescent="0.3">
      <c r="A680" s="3" t="s">
        <v>28</v>
      </c>
      <c r="B680" s="3" t="s">
        <v>312</v>
      </c>
      <c r="C680" s="3">
        <v>20</v>
      </c>
      <c r="D680" s="3" t="s">
        <v>205</v>
      </c>
      <c r="E680" s="3" t="s">
        <v>683</v>
      </c>
      <c r="F680" s="3" t="s">
        <v>500</v>
      </c>
      <c r="G680" s="3" t="s">
        <v>103</v>
      </c>
      <c r="H680" s="3" t="s">
        <v>570</v>
      </c>
      <c r="I680" s="3" t="s">
        <v>103</v>
      </c>
    </row>
    <row r="681" spans="1:9" s="3" customFormat="1" x14ac:dyDescent="0.3">
      <c r="A681" s="3" t="s">
        <v>27</v>
      </c>
      <c r="B681" s="3" t="s">
        <v>311</v>
      </c>
      <c r="C681" s="3">
        <v>3</v>
      </c>
      <c r="D681" s="3" t="s">
        <v>103</v>
      </c>
      <c r="E681" s="3" t="s">
        <v>103</v>
      </c>
      <c r="F681" s="3" t="s">
        <v>471</v>
      </c>
      <c r="G681" s="3" t="s">
        <v>427</v>
      </c>
      <c r="H681" s="3" t="s">
        <v>299</v>
      </c>
      <c r="I681" s="3" t="s">
        <v>103</v>
      </c>
    </row>
    <row r="682" spans="1:9" s="3" customFormat="1" x14ac:dyDescent="0.3">
      <c r="A682" s="3" t="s">
        <v>27</v>
      </c>
      <c r="B682" s="3" t="s">
        <v>312</v>
      </c>
      <c r="C682" s="3">
        <v>1</v>
      </c>
      <c r="D682" s="3" t="s">
        <v>192</v>
      </c>
      <c r="E682" s="3" t="s">
        <v>103</v>
      </c>
      <c r="F682" s="3" t="s">
        <v>103</v>
      </c>
      <c r="G682" s="3" t="s">
        <v>103</v>
      </c>
      <c r="H682" s="3" t="s">
        <v>103</v>
      </c>
      <c r="I682" s="3" t="s">
        <v>103</v>
      </c>
    </row>
    <row r="683" spans="1:9" x14ac:dyDescent="0.3">
      <c r="A683" t="s">
        <v>27</v>
      </c>
      <c r="B683" t="s">
        <v>308</v>
      </c>
      <c r="C683">
        <v>1</v>
      </c>
      <c r="D683" t="s">
        <v>103</v>
      </c>
      <c r="E683" t="s">
        <v>192</v>
      </c>
      <c r="F683" t="s">
        <v>103</v>
      </c>
      <c r="G683" t="s">
        <v>103</v>
      </c>
      <c r="H683" t="s">
        <v>103</v>
      </c>
      <c r="I683" t="s">
        <v>103</v>
      </c>
    </row>
    <row r="684" spans="1:9" x14ac:dyDescent="0.3">
      <c r="A684" t="s">
        <v>41</v>
      </c>
      <c r="B684" t="s">
        <v>311</v>
      </c>
      <c r="C684">
        <v>107</v>
      </c>
      <c r="D684" t="s">
        <v>224</v>
      </c>
      <c r="E684" t="s">
        <v>684</v>
      </c>
      <c r="F684" t="s">
        <v>685</v>
      </c>
      <c r="G684" t="s">
        <v>169</v>
      </c>
      <c r="H684" t="s">
        <v>142</v>
      </c>
      <c r="I684" t="s">
        <v>571</v>
      </c>
    </row>
    <row r="685" spans="1:9" x14ac:dyDescent="0.3">
      <c r="A685" t="s">
        <v>41</v>
      </c>
      <c r="B685" t="s">
        <v>312</v>
      </c>
      <c r="C685">
        <v>48</v>
      </c>
      <c r="D685" t="s">
        <v>92</v>
      </c>
      <c r="E685" t="s">
        <v>686</v>
      </c>
      <c r="F685" t="s">
        <v>687</v>
      </c>
      <c r="G685" t="s">
        <v>466</v>
      </c>
      <c r="H685" t="s">
        <v>688</v>
      </c>
      <c r="I685" t="s">
        <v>111</v>
      </c>
    </row>
    <row r="686" spans="1:9" x14ac:dyDescent="0.3">
      <c r="A686" t="s">
        <v>41</v>
      </c>
      <c r="B686" t="s">
        <v>308</v>
      </c>
      <c r="C686">
        <v>4</v>
      </c>
      <c r="D686" t="s">
        <v>103</v>
      </c>
      <c r="E686" t="s">
        <v>460</v>
      </c>
      <c r="F686" t="s">
        <v>650</v>
      </c>
      <c r="G686" t="s">
        <v>480</v>
      </c>
      <c r="H686" t="s">
        <v>103</v>
      </c>
      <c r="I686" t="s">
        <v>418</v>
      </c>
    </row>
    <row r="688" spans="1:9" x14ac:dyDescent="0.3">
      <c r="A688" t="s">
        <v>689</v>
      </c>
    </row>
    <row r="689" spans="1:9" x14ac:dyDescent="0.3">
      <c r="A689" t="s">
        <v>36</v>
      </c>
      <c r="B689" t="s">
        <v>197</v>
      </c>
      <c r="C689" t="s">
        <v>24</v>
      </c>
      <c r="D689" t="s">
        <v>639</v>
      </c>
      <c r="E689" t="s">
        <v>640</v>
      </c>
      <c r="F689" t="s">
        <v>87</v>
      </c>
      <c r="G689" t="s">
        <v>641</v>
      </c>
      <c r="H689" t="s">
        <v>642</v>
      </c>
      <c r="I689" t="s">
        <v>638</v>
      </c>
    </row>
    <row r="690" spans="1:9" s="3" customFormat="1" x14ac:dyDescent="0.3">
      <c r="A690" s="3" t="s">
        <v>25</v>
      </c>
      <c r="B690" s="3" t="s">
        <v>198</v>
      </c>
      <c r="C690" s="3">
        <v>11</v>
      </c>
      <c r="D690" s="3" t="s">
        <v>646</v>
      </c>
      <c r="E690" s="3" t="s">
        <v>273</v>
      </c>
      <c r="F690" s="3" t="s">
        <v>467</v>
      </c>
      <c r="G690" s="3" t="s">
        <v>134</v>
      </c>
      <c r="H690" s="3" t="s">
        <v>483</v>
      </c>
      <c r="I690" s="3" t="s">
        <v>103</v>
      </c>
    </row>
    <row r="691" spans="1:9" x14ac:dyDescent="0.3">
      <c r="A691" t="s">
        <v>25</v>
      </c>
      <c r="B691" t="s">
        <v>199</v>
      </c>
      <c r="C691">
        <v>33</v>
      </c>
      <c r="D691" t="s">
        <v>361</v>
      </c>
      <c r="E691" t="s">
        <v>671</v>
      </c>
      <c r="F691" t="s">
        <v>257</v>
      </c>
      <c r="G691" t="s">
        <v>108</v>
      </c>
      <c r="H691" t="s">
        <v>331</v>
      </c>
      <c r="I691" t="s">
        <v>601</v>
      </c>
    </row>
    <row r="692" spans="1:9" s="3" customFormat="1" x14ac:dyDescent="0.3">
      <c r="A692" s="3" t="s">
        <v>26</v>
      </c>
      <c r="B692" s="3" t="s">
        <v>198</v>
      </c>
      <c r="C692" s="3">
        <v>4</v>
      </c>
      <c r="D692" s="3" t="s">
        <v>566</v>
      </c>
      <c r="E692" s="3" t="s">
        <v>103</v>
      </c>
      <c r="F692" s="3" t="s">
        <v>103</v>
      </c>
      <c r="G692" s="3" t="s">
        <v>690</v>
      </c>
      <c r="H692" s="3" t="s">
        <v>691</v>
      </c>
      <c r="I692" s="3" t="s">
        <v>103</v>
      </c>
    </row>
    <row r="693" spans="1:9" s="3" customFormat="1" x14ac:dyDescent="0.3">
      <c r="A693" s="3" t="s">
        <v>26</v>
      </c>
      <c r="B693" s="3" t="s">
        <v>199</v>
      </c>
      <c r="C693" s="3">
        <v>12</v>
      </c>
      <c r="D693" s="3" t="s">
        <v>692</v>
      </c>
      <c r="E693" s="3" t="s">
        <v>528</v>
      </c>
      <c r="F693" s="3" t="s">
        <v>103</v>
      </c>
      <c r="G693" s="3" t="s">
        <v>556</v>
      </c>
      <c r="H693" s="3" t="s">
        <v>693</v>
      </c>
      <c r="I693" s="3" t="s">
        <v>103</v>
      </c>
    </row>
    <row r="694" spans="1:9" s="3" customFormat="1" x14ac:dyDescent="0.3">
      <c r="A694" s="3" t="s">
        <v>29</v>
      </c>
      <c r="B694" s="3" t="s">
        <v>198</v>
      </c>
      <c r="C694" s="3">
        <v>10</v>
      </c>
      <c r="D694" s="3" t="s">
        <v>103</v>
      </c>
      <c r="E694" s="3" t="s">
        <v>694</v>
      </c>
      <c r="F694" s="3" t="s">
        <v>155</v>
      </c>
      <c r="G694" s="3" t="s">
        <v>230</v>
      </c>
      <c r="H694" s="3" t="s">
        <v>652</v>
      </c>
      <c r="I694" s="3" t="s">
        <v>103</v>
      </c>
    </row>
    <row r="695" spans="1:9" s="3" customFormat="1" x14ac:dyDescent="0.3">
      <c r="A695" s="3" t="s">
        <v>29</v>
      </c>
      <c r="B695" s="3" t="s">
        <v>199</v>
      </c>
      <c r="C695" s="3">
        <v>26</v>
      </c>
      <c r="D695" s="3" t="s">
        <v>470</v>
      </c>
      <c r="E695" s="3" t="s">
        <v>476</v>
      </c>
      <c r="F695" s="3" t="s">
        <v>695</v>
      </c>
      <c r="G695" s="3" t="s">
        <v>155</v>
      </c>
      <c r="H695" s="3" t="s">
        <v>33</v>
      </c>
      <c r="I695" s="3" t="s">
        <v>486</v>
      </c>
    </row>
    <row r="696" spans="1:9" s="3" customFormat="1" x14ac:dyDescent="0.3">
      <c r="A696" s="3" t="s">
        <v>28</v>
      </c>
      <c r="B696" s="3" t="s">
        <v>198</v>
      </c>
      <c r="C696" s="3">
        <v>4</v>
      </c>
      <c r="D696" s="3" t="s">
        <v>435</v>
      </c>
      <c r="E696" s="3" t="s">
        <v>103</v>
      </c>
      <c r="F696" s="3" t="s">
        <v>103</v>
      </c>
      <c r="G696" s="3" t="s">
        <v>696</v>
      </c>
      <c r="H696" s="3" t="s">
        <v>103</v>
      </c>
      <c r="I696" s="3" t="s">
        <v>515</v>
      </c>
    </row>
    <row r="697" spans="1:9" x14ac:dyDescent="0.3">
      <c r="A697" t="s">
        <v>28</v>
      </c>
      <c r="B697" t="s">
        <v>199</v>
      </c>
      <c r="C697">
        <v>54</v>
      </c>
      <c r="D697" t="s">
        <v>109</v>
      </c>
      <c r="E697" t="s">
        <v>529</v>
      </c>
      <c r="F697" t="s">
        <v>270</v>
      </c>
      <c r="G697" t="s">
        <v>543</v>
      </c>
      <c r="H697" t="s">
        <v>201</v>
      </c>
      <c r="I697" t="s">
        <v>228</v>
      </c>
    </row>
    <row r="698" spans="1:9" s="3" customFormat="1" x14ac:dyDescent="0.3">
      <c r="A698" s="3" t="s">
        <v>27</v>
      </c>
      <c r="B698" s="3" t="s">
        <v>198</v>
      </c>
      <c r="C698" s="3">
        <v>4</v>
      </c>
      <c r="D698" s="3" t="s">
        <v>520</v>
      </c>
      <c r="E698" s="3" t="s">
        <v>551</v>
      </c>
      <c r="F698" s="3" t="s">
        <v>499</v>
      </c>
      <c r="G698" s="3" t="s">
        <v>103</v>
      </c>
      <c r="H698" s="3" t="s">
        <v>103</v>
      </c>
      <c r="I698" s="3" t="s">
        <v>697</v>
      </c>
    </row>
    <row r="699" spans="1:9" s="3" customFormat="1" x14ac:dyDescent="0.3">
      <c r="A699" s="3" t="s">
        <v>27</v>
      </c>
      <c r="B699" s="3" t="s">
        <v>199</v>
      </c>
      <c r="C699" s="3">
        <v>1</v>
      </c>
      <c r="D699" s="3" t="s">
        <v>103</v>
      </c>
      <c r="E699" s="3" t="s">
        <v>103</v>
      </c>
      <c r="F699" s="3" t="s">
        <v>103</v>
      </c>
      <c r="G699" s="3" t="s">
        <v>192</v>
      </c>
      <c r="H699" s="3" t="s">
        <v>103</v>
      </c>
      <c r="I699" s="3" t="s">
        <v>103</v>
      </c>
    </row>
    <row r="700" spans="1:9" x14ac:dyDescent="0.3">
      <c r="A700" t="s">
        <v>41</v>
      </c>
      <c r="B700" t="s">
        <v>198</v>
      </c>
      <c r="C700">
        <v>33</v>
      </c>
      <c r="D700" t="s">
        <v>205</v>
      </c>
      <c r="E700" t="s">
        <v>698</v>
      </c>
      <c r="F700" t="s">
        <v>495</v>
      </c>
      <c r="G700" t="s">
        <v>699</v>
      </c>
      <c r="H700" t="s">
        <v>463</v>
      </c>
      <c r="I700" t="s">
        <v>105</v>
      </c>
    </row>
    <row r="701" spans="1:9" x14ac:dyDescent="0.3">
      <c r="A701" t="s">
        <v>41</v>
      </c>
      <c r="B701" t="s">
        <v>199</v>
      </c>
      <c r="C701">
        <v>126</v>
      </c>
      <c r="D701" t="s">
        <v>698</v>
      </c>
      <c r="E701" t="s">
        <v>581</v>
      </c>
      <c r="F701" t="s">
        <v>224</v>
      </c>
      <c r="G701" t="s">
        <v>275</v>
      </c>
      <c r="H701" t="s">
        <v>99</v>
      </c>
      <c r="I701" t="s">
        <v>700</v>
      </c>
    </row>
    <row r="703" spans="1:9" x14ac:dyDescent="0.3">
      <c r="A703" t="s">
        <v>701</v>
      </c>
    </row>
    <row r="704" spans="1:9" x14ac:dyDescent="0.3">
      <c r="A704" t="s">
        <v>36</v>
      </c>
      <c r="B704" t="s">
        <v>210</v>
      </c>
      <c r="C704" t="s">
        <v>24</v>
      </c>
      <c r="D704" t="s">
        <v>638</v>
      </c>
      <c r="E704" t="s">
        <v>639</v>
      </c>
      <c r="F704" t="s">
        <v>640</v>
      </c>
      <c r="G704" t="s">
        <v>87</v>
      </c>
      <c r="H704" t="s">
        <v>641</v>
      </c>
      <c r="I704" t="s">
        <v>642</v>
      </c>
    </row>
    <row r="705" spans="1:9" x14ac:dyDescent="0.3">
      <c r="A705" t="s">
        <v>25</v>
      </c>
      <c r="B705" t="s">
        <v>211</v>
      </c>
      <c r="C705">
        <v>44</v>
      </c>
      <c r="D705" t="s">
        <v>100</v>
      </c>
      <c r="E705" t="s">
        <v>643</v>
      </c>
      <c r="F705" t="s">
        <v>644</v>
      </c>
      <c r="G705" t="s">
        <v>217</v>
      </c>
      <c r="H705" t="s">
        <v>175</v>
      </c>
      <c r="I705" t="s">
        <v>46</v>
      </c>
    </row>
    <row r="706" spans="1:9" s="3" customFormat="1" x14ac:dyDescent="0.3">
      <c r="A706" s="3" t="s">
        <v>26</v>
      </c>
      <c r="B706" s="3" t="s">
        <v>211</v>
      </c>
      <c r="C706" s="3">
        <v>5</v>
      </c>
      <c r="D706" s="3" t="s">
        <v>103</v>
      </c>
      <c r="E706" s="3" t="s">
        <v>103</v>
      </c>
      <c r="F706" s="3" t="s">
        <v>702</v>
      </c>
      <c r="G706" s="3" t="s">
        <v>103</v>
      </c>
      <c r="H706" s="3" t="s">
        <v>703</v>
      </c>
      <c r="I706" s="3" t="s">
        <v>101</v>
      </c>
    </row>
    <row r="707" spans="1:9" s="3" customFormat="1" x14ac:dyDescent="0.3">
      <c r="A707" s="3" t="s">
        <v>26</v>
      </c>
      <c r="B707" s="3" t="s">
        <v>212</v>
      </c>
      <c r="C707" s="3">
        <v>11</v>
      </c>
      <c r="D707" s="3" t="s">
        <v>103</v>
      </c>
      <c r="E707" s="3" t="s">
        <v>704</v>
      </c>
      <c r="F707" s="3" t="s">
        <v>254</v>
      </c>
      <c r="G707" s="3" t="s">
        <v>103</v>
      </c>
      <c r="H707" s="3" t="s">
        <v>169</v>
      </c>
      <c r="I707" s="3" t="s">
        <v>115</v>
      </c>
    </row>
    <row r="708" spans="1:9" x14ac:dyDescent="0.3">
      <c r="A708" t="s">
        <v>29</v>
      </c>
      <c r="B708" t="s">
        <v>211</v>
      </c>
      <c r="C708">
        <v>36</v>
      </c>
      <c r="D708" t="s">
        <v>111</v>
      </c>
      <c r="E708" t="s">
        <v>146</v>
      </c>
      <c r="F708" t="s">
        <v>301</v>
      </c>
      <c r="G708" t="s">
        <v>526</v>
      </c>
      <c r="H708" t="s">
        <v>646</v>
      </c>
      <c r="I708" t="s">
        <v>607</v>
      </c>
    </row>
    <row r="709" spans="1:9" x14ac:dyDescent="0.3">
      <c r="A709" t="s">
        <v>28</v>
      </c>
      <c r="B709" t="s">
        <v>211</v>
      </c>
      <c r="C709">
        <v>54</v>
      </c>
      <c r="D709" t="s">
        <v>486</v>
      </c>
      <c r="E709" t="s">
        <v>705</v>
      </c>
      <c r="F709" t="s">
        <v>435</v>
      </c>
      <c r="G709" t="s">
        <v>282</v>
      </c>
      <c r="H709" t="s">
        <v>687</v>
      </c>
      <c r="I709" t="s">
        <v>186</v>
      </c>
    </row>
    <row r="710" spans="1:9" s="3" customFormat="1" x14ac:dyDescent="0.3">
      <c r="A710" s="3" t="s">
        <v>28</v>
      </c>
      <c r="B710" s="3" t="s">
        <v>212</v>
      </c>
      <c r="C710" s="3">
        <v>4</v>
      </c>
      <c r="D710" s="3" t="s">
        <v>103</v>
      </c>
      <c r="E710" s="3" t="s">
        <v>443</v>
      </c>
      <c r="F710" s="3" t="s">
        <v>706</v>
      </c>
      <c r="G710" s="3" t="s">
        <v>604</v>
      </c>
      <c r="H710" s="3" t="s">
        <v>103</v>
      </c>
      <c r="I710" s="3" t="s">
        <v>103</v>
      </c>
    </row>
    <row r="711" spans="1:9" s="3" customFormat="1" x14ac:dyDescent="0.3">
      <c r="A711" s="3" t="s">
        <v>27</v>
      </c>
      <c r="B711" s="3" t="s">
        <v>211</v>
      </c>
      <c r="C711" s="3">
        <v>5</v>
      </c>
      <c r="D711" s="3" t="s">
        <v>469</v>
      </c>
      <c r="E711" s="3" t="s">
        <v>483</v>
      </c>
      <c r="F711" s="3" t="s">
        <v>152</v>
      </c>
      <c r="G711" s="3" t="s">
        <v>261</v>
      </c>
      <c r="H711" s="3" t="s">
        <v>648</v>
      </c>
      <c r="I711" s="3" t="s">
        <v>103</v>
      </c>
    </row>
    <row r="712" spans="1:9" x14ac:dyDescent="0.3">
      <c r="A712" t="s">
        <v>41</v>
      </c>
      <c r="B712" t="s">
        <v>211</v>
      </c>
      <c r="C712">
        <v>144</v>
      </c>
      <c r="D712" t="s">
        <v>117</v>
      </c>
      <c r="E712" t="s">
        <v>707</v>
      </c>
      <c r="F712" t="s">
        <v>648</v>
      </c>
      <c r="G712" t="s">
        <v>117</v>
      </c>
      <c r="H712" t="s">
        <v>506</v>
      </c>
      <c r="I712" t="s">
        <v>135</v>
      </c>
    </row>
    <row r="713" spans="1:9" s="3" customFormat="1" x14ac:dyDescent="0.3">
      <c r="A713" s="3" t="s">
        <v>41</v>
      </c>
      <c r="B713" s="3" t="s">
        <v>212</v>
      </c>
      <c r="C713" s="3">
        <v>15</v>
      </c>
      <c r="D713" s="3" t="s">
        <v>103</v>
      </c>
      <c r="E713" s="3" t="s">
        <v>439</v>
      </c>
      <c r="F713" s="3" t="s">
        <v>135</v>
      </c>
      <c r="G713" s="3" t="s">
        <v>217</v>
      </c>
      <c r="H713" s="3" t="s">
        <v>135</v>
      </c>
      <c r="I713" s="3" t="s">
        <v>536</v>
      </c>
    </row>
    <row r="715" spans="1:9" x14ac:dyDescent="0.3">
      <c r="A715" t="s">
        <v>708</v>
      </c>
    </row>
    <row r="716" spans="1:9" x14ac:dyDescent="0.3">
      <c r="A716" t="s">
        <v>36</v>
      </c>
      <c r="B716" t="s">
        <v>24</v>
      </c>
      <c r="C716" t="s">
        <v>58</v>
      </c>
      <c r="D716" t="s">
        <v>59</v>
      </c>
    </row>
    <row r="717" spans="1:9" x14ac:dyDescent="0.3">
      <c r="A717" t="s">
        <v>25</v>
      </c>
      <c r="B717">
        <v>190</v>
      </c>
      <c r="C717" t="s">
        <v>473</v>
      </c>
      <c r="D717" t="s">
        <v>709</v>
      </c>
    </row>
    <row r="718" spans="1:9" x14ac:dyDescent="0.3">
      <c r="A718" t="s">
        <v>26</v>
      </c>
      <c r="B718">
        <v>243</v>
      </c>
      <c r="C718" t="s">
        <v>173</v>
      </c>
      <c r="D718" t="s">
        <v>174</v>
      </c>
    </row>
    <row r="719" spans="1:9" x14ac:dyDescent="0.3">
      <c r="A719" t="s">
        <v>29</v>
      </c>
      <c r="B719">
        <v>338</v>
      </c>
      <c r="C719" t="s">
        <v>242</v>
      </c>
      <c r="D719" t="s">
        <v>710</v>
      </c>
    </row>
    <row r="720" spans="1:9" x14ac:dyDescent="0.3">
      <c r="A720" t="s">
        <v>28</v>
      </c>
      <c r="B720">
        <v>135</v>
      </c>
      <c r="C720" t="s">
        <v>570</v>
      </c>
      <c r="D720" t="s">
        <v>711</v>
      </c>
    </row>
    <row r="721" spans="1:5" x14ac:dyDescent="0.3">
      <c r="A721" t="s">
        <v>27</v>
      </c>
      <c r="B721">
        <v>92</v>
      </c>
      <c r="C721" t="s">
        <v>479</v>
      </c>
      <c r="D721" t="s">
        <v>634</v>
      </c>
    </row>
    <row r="722" spans="1:5" x14ac:dyDescent="0.3">
      <c r="A722" t="s">
        <v>41</v>
      </c>
      <c r="B722">
        <v>998</v>
      </c>
      <c r="C722" t="s">
        <v>244</v>
      </c>
      <c r="D722" t="s">
        <v>712</v>
      </c>
    </row>
    <row r="724" spans="1:5" x14ac:dyDescent="0.3">
      <c r="A724" t="s">
        <v>713</v>
      </c>
    </row>
    <row r="725" spans="1:5" x14ac:dyDescent="0.3">
      <c r="A725" t="s">
        <v>36</v>
      </c>
      <c r="B725" t="s">
        <v>714</v>
      </c>
      <c r="C725" t="s">
        <v>24</v>
      </c>
      <c r="D725" t="s">
        <v>58</v>
      </c>
      <c r="E725" t="s">
        <v>59</v>
      </c>
    </row>
    <row r="726" spans="1:5" s="3" customFormat="1" x14ac:dyDescent="0.3">
      <c r="A726" s="3" t="s">
        <v>25</v>
      </c>
      <c r="B726" s="3" t="s">
        <v>715</v>
      </c>
      <c r="C726" s="3">
        <v>1</v>
      </c>
      <c r="D726" s="3" t="s">
        <v>192</v>
      </c>
      <c r="E726" s="3" t="s">
        <v>103</v>
      </c>
    </row>
    <row r="727" spans="1:5" s="3" customFormat="1" x14ac:dyDescent="0.3">
      <c r="A727" s="3" t="s">
        <v>25</v>
      </c>
      <c r="B727" s="3" t="s">
        <v>716</v>
      </c>
      <c r="C727" s="3">
        <v>5</v>
      </c>
      <c r="D727" s="3" t="s">
        <v>109</v>
      </c>
      <c r="E727" s="3" t="s">
        <v>717</v>
      </c>
    </row>
    <row r="728" spans="1:5" s="3" customFormat="1" x14ac:dyDescent="0.3">
      <c r="A728" s="3" t="s">
        <v>25</v>
      </c>
      <c r="B728" s="3" t="s">
        <v>718</v>
      </c>
      <c r="C728" s="3">
        <v>1</v>
      </c>
      <c r="D728" s="3" t="s">
        <v>103</v>
      </c>
      <c r="E728" s="3" t="s">
        <v>192</v>
      </c>
    </row>
    <row r="729" spans="1:5" s="3" customFormat="1" x14ac:dyDescent="0.3">
      <c r="A729" s="3" t="s">
        <v>25</v>
      </c>
      <c r="B729" s="3" t="s">
        <v>719</v>
      </c>
      <c r="C729" s="3">
        <v>3</v>
      </c>
      <c r="D729" s="3" t="s">
        <v>103</v>
      </c>
      <c r="E729" s="3" t="s">
        <v>192</v>
      </c>
    </row>
    <row r="730" spans="1:5" x14ac:dyDescent="0.3">
      <c r="A730" t="s">
        <v>25</v>
      </c>
      <c r="B730" t="s">
        <v>308</v>
      </c>
      <c r="C730">
        <v>180</v>
      </c>
      <c r="D730" t="s">
        <v>268</v>
      </c>
      <c r="E730" t="s">
        <v>720</v>
      </c>
    </row>
    <row r="731" spans="1:5" s="3" customFormat="1" x14ac:dyDescent="0.3">
      <c r="A731" s="3" t="s">
        <v>26</v>
      </c>
      <c r="B731" s="3" t="s">
        <v>715</v>
      </c>
      <c r="C731" s="3">
        <v>2</v>
      </c>
      <c r="D731" s="3" t="s">
        <v>103</v>
      </c>
      <c r="E731" s="3" t="s">
        <v>192</v>
      </c>
    </row>
    <row r="732" spans="1:5" s="3" customFormat="1" x14ac:dyDescent="0.3">
      <c r="A732" s="3" t="s">
        <v>26</v>
      </c>
      <c r="B732" s="3" t="s">
        <v>716</v>
      </c>
      <c r="C732" s="3">
        <v>2</v>
      </c>
      <c r="D732" s="3" t="s">
        <v>103</v>
      </c>
      <c r="E732" s="3" t="s">
        <v>192</v>
      </c>
    </row>
    <row r="733" spans="1:5" s="3" customFormat="1" x14ac:dyDescent="0.3">
      <c r="A733" s="3" t="s">
        <v>26</v>
      </c>
      <c r="B733" s="3" t="s">
        <v>719</v>
      </c>
      <c r="C733" s="3">
        <v>1</v>
      </c>
      <c r="D733" s="3" t="s">
        <v>103</v>
      </c>
      <c r="E733" s="3" t="s">
        <v>192</v>
      </c>
    </row>
    <row r="734" spans="1:5" x14ac:dyDescent="0.3">
      <c r="A734" t="s">
        <v>26</v>
      </c>
      <c r="B734" t="s">
        <v>308</v>
      </c>
      <c r="C734">
        <v>238</v>
      </c>
      <c r="D734" t="s">
        <v>528</v>
      </c>
      <c r="E734" t="s">
        <v>721</v>
      </c>
    </row>
    <row r="735" spans="1:5" s="3" customFormat="1" x14ac:dyDescent="0.3">
      <c r="A735" s="3" t="s">
        <v>29</v>
      </c>
      <c r="B735" s="3" t="s">
        <v>715</v>
      </c>
      <c r="C735" s="3">
        <v>3</v>
      </c>
      <c r="D735" s="3" t="s">
        <v>103</v>
      </c>
      <c r="E735" s="3" t="s">
        <v>192</v>
      </c>
    </row>
    <row r="736" spans="1:5" s="3" customFormat="1" x14ac:dyDescent="0.3">
      <c r="A736" s="3" t="s">
        <v>29</v>
      </c>
      <c r="B736" s="3" t="s">
        <v>716</v>
      </c>
      <c r="C736" s="3">
        <v>7</v>
      </c>
      <c r="D736" s="3" t="s">
        <v>96</v>
      </c>
      <c r="E736" s="3" t="s">
        <v>722</v>
      </c>
    </row>
    <row r="737" spans="1:5" s="3" customFormat="1" x14ac:dyDescent="0.3">
      <c r="A737" s="3" t="s">
        <v>29</v>
      </c>
      <c r="B737" s="3" t="s">
        <v>718</v>
      </c>
      <c r="C737" s="3">
        <v>3</v>
      </c>
      <c r="D737" s="3" t="s">
        <v>103</v>
      </c>
      <c r="E737" s="3" t="s">
        <v>192</v>
      </c>
    </row>
    <row r="738" spans="1:5" s="3" customFormat="1" x14ac:dyDescent="0.3">
      <c r="A738" s="3" t="s">
        <v>29</v>
      </c>
      <c r="B738" s="3" t="s">
        <v>723</v>
      </c>
      <c r="C738" s="3">
        <v>1</v>
      </c>
      <c r="D738" s="3" t="s">
        <v>103</v>
      </c>
      <c r="E738" s="3" t="s">
        <v>192</v>
      </c>
    </row>
    <row r="739" spans="1:5" s="3" customFormat="1" x14ac:dyDescent="0.3">
      <c r="A739" s="3" t="s">
        <v>29</v>
      </c>
      <c r="B739" s="3" t="s">
        <v>719</v>
      </c>
      <c r="C739" s="3">
        <v>1</v>
      </c>
      <c r="D739" s="3" t="s">
        <v>103</v>
      </c>
      <c r="E739" s="3" t="s">
        <v>192</v>
      </c>
    </row>
    <row r="740" spans="1:5" x14ac:dyDescent="0.3">
      <c r="A740" t="s">
        <v>29</v>
      </c>
      <c r="B740" t="s">
        <v>308</v>
      </c>
      <c r="C740">
        <v>323</v>
      </c>
      <c r="D740" t="s">
        <v>60</v>
      </c>
      <c r="E740" t="s">
        <v>61</v>
      </c>
    </row>
    <row r="741" spans="1:5" s="3" customFormat="1" x14ac:dyDescent="0.3">
      <c r="A741" s="3" t="s">
        <v>28</v>
      </c>
      <c r="B741" s="3" t="s">
        <v>715</v>
      </c>
      <c r="C741" s="3">
        <v>2</v>
      </c>
      <c r="D741" s="3" t="s">
        <v>547</v>
      </c>
      <c r="E741" s="3" t="s">
        <v>724</v>
      </c>
    </row>
    <row r="742" spans="1:5" s="3" customFormat="1" x14ac:dyDescent="0.3">
      <c r="A742" s="3" t="s">
        <v>28</v>
      </c>
      <c r="B742" s="3" t="s">
        <v>716</v>
      </c>
      <c r="C742" s="3">
        <v>1</v>
      </c>
      <c r="D742" s="3" t="s">
        <v>192</v>
      </c>
      <c r="E742" s="3" t="s">
        <v>103</v>
      </c>
    </row>
    <row r="743" spans="1:5" s="3" customFormat="1" x14ac:dyDescent="0.3">
      <c r="A743" s="3" t="s">
        <v>28</v>
      </c>
      <c r="B743" s="3" t="s">
        <v>718</v>
      </c>
      <c r="C743" s="3">
        <v>1</v>
      </c>
      <c r="D743" s="3" t="s">
        <v>103</v>
      </c>
      <c r="E743" s="3" t="s">
        <v>192</v>
      </c>
    </row>
    <row r="744" spans="1:5" s="3" customFormat="1" x14ac:dyDescent="0.3">
      <c r="A744" s="3" t="s">
        <v>28</v>
      </c>
      <c r="B744" s="3" t="s">
        <v>719</v>
      </c>
      <c r="C744" s="3">
        <v>1</v>
      </c>
      <c r="D744" s="3" t="s">
        <v>103</v>
      </c>
      <c r="E744" s="3" t="s">
        <v>192</v>
      </c>
    </row>
    <row r="745" spans="1:5" x14ac:dyDescent="0.3">
      <c r="A745" t="s">
        <v>28</v>
      </c>
      <c r="B745" t="s">
        <v>308</v>
      </c>
      <c r="C745">
        <v>130</v>
      </c>
      <c r="D745" t="s">
        <v>469</v>
      </c>
      <c r="E745" t="s">
        <v>725</v>
      </c>
    </row>
    <row r="746" spans="1:5" s="3" customFormat="1" x14ac:dyDescent="0.3">
      <c r="A746" s="3" t="s">
        <v>27</v>
      </c>
      <c r="B746" s="3" t="s">
        <v>715</v>
      </c>
      <c r="C746" s="3">
        <v>1</v>
      </c>
      <c r="D746" s="3" t="s">
        <v>103</v>
      </c>
      <c r="E746" s="3" t="s">
        <v>192</v>
      </c>
    </row>
    <row r="747" spans="1:5" s="3" customFormat="1" x14ac:dyDescent="0.3">
      <c r="A747" s="3" t="s">
        <v>27</v>
      </c>
      <c r="B747" s="3" t="s">
        <v>718</v>
      </c>
      <c r="C747" s="3">
        <v>3</v>
      </c>
      <c r="D747" s="3" t="s">
        <v>357</v>
      </c>
      <c r="E747" s="3" t="s">
        <v>726</v>
      </c>
    </row>
    <row r="748" spans="1:5" x14ac:dyDescent="0.3">
      <c r="A748" t="s">
        <v>27</v>
      </c>
      <c r="B748" t="s">
        <v>308</v>
      </c>
      <c r="C748">
        <v>88</v>
      </c>
      <c r="D748" t="s">
        <v>727</v>
      </c>
      <c r="E748" t="s">
        <v>728</v>
      </c>
    </row>
    <row r="749" spans="1:5" s="3" customFormat="1" x14ac:dyDescent="0.3">
      <c r="A749" s="3" t="s">
        <v>41</v>
      </c>
      <c r="B749" s="3" t="s">
        <v>715</v>
      </c>
      <c r="C749" s="3">
        <v>9</v>
      </c>
      <c r="D749" s="3" t="s">
        <v>575</v>
      </c>
      <c r="E749" s="3" t="s">
        <v>625</v>
      </c>
    </row>
    <row r="750" spans="1:5" s="3" customFormat="1" x14ac:dyDescent="0.3">
      <c r="A750" s="3" t="s">
        <v>41</v>
      </c>
      <c r="B750" s="3" t="s">
        <v>716</v>
      </c>
      <c r="C750" s="3">
        <v>15</v>
      </c>
      <c r="D750" s="3" t="s">
        <v>729</v>
      </c>
      <c r="E750" s="3" t="s">
        <v>730</v>
      </c>
    </row>
    <row r="751" spans="1:5" s="3" customFormat="1" x14ac:dyDescent="0.3">
      <c r="A751" s="3" t="s">
        <v>41</v>
      </c>
      <c r="B751" s="3" t="s">
        <v>718</v>
      </c>
      <c r="C751" s="3">
        <v>8</v>
      </c>
      <c r="D751" s="3" t="s">
        <v>281</v>
      </c>
      <c r="E751" s="3" t="s">
        <v>289</v>
      </c>
    </row>
    <row r="752" spans="1:5" s="3" customFormat="1" x14ac:dyDescent="0.3">
      <c r="A752" s="3" t="s">
        <v>41</v>
      </c>
      <c r="B752" s="3" t="s">
        <v>723</v>
      </c>
      <c r="C752" s="3">
        <v>1</v>
      </c>
      <c r="D752" s="3" t="s">
        <v>103</v>
      </c>
      <c r="E752" s="3" t="s">
        <v>192</v>
      </c>
    </row>
    <row r="753" spans="1:5" s="3" customFormat="1" x14ac:dyDescent="0.3">
      <c r="A753" s="3" t="s">
        <v>41</v>
      </c>
      <c r="B753" s="3" t="s">
        <v>719</v>
      </c>
      <c r="C753" s="3">
        <v>6</v>
      </c>
      <c r="D753" s="3" t="s">
        <v>103</v>
      </c>
      <c r="E753" s="3" t="s">
        <v>192</v>
      </c>
    </row>
    <row r="754" spans="1:5" x14ac:dyDescent="0.3">
      <c r="A754" t="s">
        <v>41</v>
      </c>
      <c r="B754" t="s">
        <v>308</v>
      </c>
      <c r="C754">
        <v>959</v>
      </c>
      <c r="D754" t="s">
        <v>463</v>
      </c>
      <c r="E754" t="s">
        <v>241</v>
      </c>
    </row>
    <row r="756" spans="1:5" x14ac:dyDescent="0.3">
      <c r="A756" t="s">
        <v>731</v>
      </c>
    </row>
    <row r="757" spans="1:5" x14ac:dyDescent="0.3">
      <c r="A757" t="s">
        <v>36</v>
      </c>
      <c r="B757" t="s">
        <v>197</v>
      </c>
      <c r="C757" t="s">
        <v>24</v>
      </c>
      <c r="D757" t="s">
        <v>58</v>
      </c>
      <c r="E757" t="s">
        <v>59</v>
      </c>
    </row>
    <row r="758" spans="1:5" x14ac:dyDescent="0.3">
      <c r="A758" t="s">
        <v>25</v>
      </c>
      <c r="B758" t="s">
        <v>198</v>
      </c>
      <c r="C758">
        <v>42</v>
      </c>
      <c r="D758" t="s">
        <v>732</v>
      </c>
      <c r="E758" t="s">
        <v>733</v>
      </c>
    </row>
    <row r="759" spans="1:5" x14ac:dyDescent="0.3">
      <c r="A759" t="s">
        <v>25</v>
      </c>
      <c r="B759" t="s">
        <v>199</v>
      </c>
      <c r="C759">
        <v>148</v>
      </c>
      <c r="D759" t="s">
        <v>734</v>
      </c>
      <c r="E759" t="s">
        <v>735</v>
      </c>
    </row>
    <row r="760" spans="1:5" s="3" customFormat="1" x14ac:dyDescent="0.3">
      <c r="A760" s="3" t="s">
        <v>26</v>
      </c>
      <c r="B760" s="3" t="s">
        <v>198</v>
      </c>
      <c r="C760" s="3">
        <v>12</v>
      </c>
      <c r="D760" s="3" t="s">
        <v>559</v>
      </c>
      <c r="E760" s="3" t="s">
        <v>736</v>
      </c>
    </row>
    <row r="761" spans="1:5" x14ac:dyDescent="0.3">
      <c r="A761" t="s">
        <v>26</v>
      </c>
      <c r="B761" t="s">
        <v>199</v>
      </c>
      <c r="C761">
        <v>231</v>
      </c>
      <c r="D761" t="s">
        <v>162</v>
      </c>
      <c r="E761" t="s">
        <v>163</v>
      </c>
    </row>
    <row r="762" spans="1:5" x14ac:dyDescent="0.3">
      <c r="A762" t="s">
        <v>29</v>
      </c>
      <c r="B762" t="s">
        <v>198</v>
      </c>
      <c r="C762">
        <v>118</v>
      </c>
      <c r="D762" t="s">
        <v>737</v>
      </c>
      <c r="E762" t="s">
        <v>738</v>
      </c>
    </row>
    <row r="763" spans="1:5" x14ac:dyDescent="0.3">
      <c r="A763" t="s">
        <v>29</v>
      </c>
      <c r="B763" t="s">
        <v>199</v>
      </c>
      <c r="C763">
        <v>220</v>
      </c>
      <c r="D763" t="s">
        <v>126</v>
      </c>
      <c r="E763" t="s">
        <v>590</v>
      </c>
    </row>
    <row r="764" spans="1:5" x14ac:dyDescent="0.3">
      <c r="A764" t="s">
        <v>28</v>
      </c>
      <c r="B764" t="s">
        <v>198</v>
      </c>
      <c r="C764">
        <v>46</v>
      </c>
      <c r="D764" t="s">
        <v>566</v>
      </c>
      <c r="E764" t="s">
        <v>596</v>
      </c>
    </row>
    <row r="765" spans="1:5" x14ac:dyDescent="0.3">
      <c r="A765" t="s">
        <v>28</v>
      </c>
      <c r="B765" t="s">
        <v>199</v>
      </c>
      <c r="C765">
        <v>89</v>
      </c>
      <c r="D765" t="s">
        <v>485</v>
      </c>
      <c r="E765" t="s">
        <v>739</v>
      </c>
    </row>
    <row r="766" spans="1:5" x14ac:dyDescent="0.3">
      <c r="A766" t="s">
        <v>27</v>
      </c>
      <c r="B766" t="s">
        <v>198</v>
      </c>
      <c r="C766">
        <v>49</v>
      </c>
      <c r="D766" t="s">
        <v>115</v>
      </c>
      <c r="E766" t="s">
        <v>740</v>
      </c>
    </row>
    <row r="767" spans="1:5" x14ac:dyDescent="0.3">
      <c r="A767" t="s">
        <v>27</v>
      </c>
      <c r="B767" t="s">
        <v>199</v>
      </c>
      <c r="C767">
        <v>43</v>
      </c>
      <c r="D767" t="s">
        <v>582</v>
      </c>
      <c r="E767" t="s">
        <v>741</v>
      </c>
    </row>
    <row r="768" spans="1:5" x14ac:dyDescent="0.3">
      <c r="A768" t="s">
        <v>41</v>
      </c>
      <c r="B768" t="s">
        <v>198</v>
      </c>
      <c r="C768">
        <v>267</v>
      </c>
      <c r="D768" t="s">
        <v>111</v>
      </c>
      <c r="E768" t="s">
        <v>742</v>
      </c>
    </row>
    <row r="769" spans="1:5" x14ac:dyDescent="0.3">
      <c r="A769" t="s">
        <v>41</v>
      </c>
      <c r="B769" t="s">
        <v>199</v>
      </c>
      <c r="C769">
        <v>731</v>
      </c>
      <c r="D769" t="s">
        <v>743</v>
      </c>
      <c r="E769" t="s">
        <v>744</v>
      </c>
    </row>
    <row r="771" spans="1:5" x14ac:dyDescent="0.3">
      <c r="A771" t="s">
        <v>745</v>
      </c>
    </row>
    <row r="772" spans="1:5" x14ac:dyDescent="0.3">
      <c r="A772" t="s">
        <v>36</v>
      </c>
      <c r="B772" t="s">
        <v>310</v>
      </c>
      <c r="C772" t="s">
        <v>24</v>
      </c>
      <c r="D772" t="s">
        <v>58</v>
      </c>
      <c r="E772" t="s">
        <v>59</v>
      </c>
    </row>
    <row r="773" spans="1:5" x14ac:dyDescent="0.3">
      <c r="A773" t="s">
        <v>25</v>
      </c>
      <c r="B773" t="s">
        <v>311</v>
      </c>
      <c r="C773">
        <v>163</v>
      </c>
      <c r="D773" t="s">
        <v>160</v>
      </c>
      <c r="E773" t="s">
        <v>161</v>
      </c>
    </row>
    <row r="774" spans="1:5" s="3" customFormat="1" x14ac:dyDescent="0.3">
      <c r="A774" s="3" t="s">
        <v>25</v>
      </c>
      <c r="B774" s="3" t="s">
        <v>312</v>
      </c>
      <c r="C774" s="3">
        <v>21</v>
      </c>
      <c r="D774" s="3" t="s">
        <v>746</v>
      </c>
      <c r="E774" s="3" t="s">
        <v>747</v>
      </c>
    </row>
    <row r="775" spans="1:5" x14ac:dyDescent="0.3">
      <c r="A775" t="s">
        <v>25</v>
      </c>
      <c r="B775" t="s">
        <v>308</v>
      </c>
      <c r="C775">
        <v>6</v>
      </c>
      <c r="D775" t="s">
        <v>535</v>
      </c>
      <c r="E775" t="s">
        <v>748</v>
      </c>
    </row>
    <row r="776" spans="1:5" x14ac:dyDescent="0.3">
      <c r="A776" t="s">
        <v>26</v>
      </c>
      <c r="B776" t="s">
        <v>311</v>
      </c>
      <c r="C776">
        <v>185</v>
      </c>
      <c r="D776" t="s">
        <v>54</v>
      </c>
      <c r="E776" t="s">
        <v>53</v>
      </c>
    </row>
    <row r="777" spans="1:5" x14ac:dyDescent="0.3">
      <c r="A777" t="s">
        <v>26</v>
      </c>
      <c r="B777" t="s">
        <v>312</v>
      </c>
      <c r="C777">
        <v>33</v>
      </c>
      <c r="D777" t="s">
        <v>536</v>
      </c>
      <c r="E777" t="s">
        <v>749</v>
      </c>
    </row>
    <row r="778" spans="1:5" x14ac:dyDescent="0.3">
      <c r="A778" t="s">
        <v>26</v>
      </c>
      <c r="B778" t="s">
        <v>308</v>
      </c>
      <c r="C778">
        <v>25</v>
      </c>
      <c r="D778" t="s">
        <v>750</v>
      </c>
      <c r="E778" t="s">
        <v>751</v>
      </c>
    </row>
    <row r="779" spans="1:5" x14ac:dyDescent="0.3">
      <c r="A779" t="s">
        <v>29</v>
      </c>
      <c r="B779" t="s">
        <v>311</v>
      </c>
      <c r="C779">
        <v>283</v>
      </c>
      <c r="D779" t="s">
        <v>558</v>
      </c>
      <c r="E779" t="s">
        <v>752</v>
      </c>
    </row>
    <row r="780" spans="1:5" x14ac:dyDescent="0.3">
      <c r="A780" t="s">
        <v>29</v>
      </c>
      <c r="B780" t="s">
        <v>312</v>
      </c>
      <c r="C780">
        <v>32</v>
      </c>
      <c r="D780" t="s">
        <v>727</v>
      </c>
      <c r="E780" t="s">
        <v>728</v>
      </c>
    </row>
    <row r="781" spans="1:5" x14ac:dyDescent="0.3">
      <c r="A781" t="s">
        <v>29</v>
      </c>
      <c r="B781" t="s">
        <v>308</v>
      </c>
      <c r="C781">
        <v>23</v>
      </c>
      <c r="D781" t="s">
        <v>264</v>
      </c>
      <c r="E781" t="s">
        <v>753</v>
      </c>
    </row>
    <row r="782" spans="1:5" x14ac:dyDescent="0.3">
      <c r="A782" t="s">
        <v>28</v>
      </c>
      <c r="B782" t="s">
        <v>311</v>
      </c>
      <c r="C782">
        <v>102</v>
      </c>
      <c r="D782" t="s">
        <v>524</v>
      </c>
      <c r="E782" t="s">
        <v>600</v>
      </c>
    </row>
    <row r="783" spans="1:5" x14ac:dyDescent="0.3">
      <c r="A783" t="s">
        <v>28</v>
      </c>
      <c r="B783" t="s">
        <v>312</v>
      </c>
      <c r="C783">
        <v>33</v>
      </c>
      <c r="D783" t="s">
        <v>754</v>
      </c>
      <c r="E783" t="s">
        <v>755</v>
      </c>
    </row>
    <row r="784" spans="1:5" x14ac:dyDescent="0.3">
      <c r="A784" t="s">
        <v>27</v>
      </c>
      <c r="B784" t="s">
        <v>311</v>
      </c>
      <c r="C784">
        <v>79</v>
      </c>
      <c r="D784" t="s">
        <v>756</v>
      </c>
      <c r="E784" t="s">
        <v>757</v>
      </c>
    </row>
    <row r="785" spans="1:5" s="3" customFormat="1" x14ac:dyDescent="0.3">
      <c r="A785" s="3" t="s">
        <v>27</v>
      </c>
      <c r="B785" s="3" t="s">
        <v>312</v>
      </c>
      <c r="C785" s="3">
        <v>13</v>
      </c>
      <c r="D785" s="3" t="s">
        <v>228</v>
      </c>
      <c r="E785" s="3" t="s">
        <v>758</v>
      </c>
    </row>
    <row r="786" spans="1:5" x14ac:dyDescent="0.3">
      <c r="A786" t="s">
        <v>41</v>
      </c>
      <c r="B786" t="s">
        <v>311</v>
      </c>
      <c r="C786">
        <v>812</v>
      </c>
      <c r="D786" t="s">
        <v>543</v>
      </c>
      <c r="E786" t="s">
        <v>759</v>
      </c>
    </row>
    <row r="787" spans="1:5" x14ac:dyDescent="0.3">
      <c r="A787" t="s">
        <v>41</v>
      </c>
      <c r="B787" t="s">
        <v>312</v>
      </c>
      <c r="C787">
        <v>132</v>
      </c>
      <c r="D787" t="s">
        <v>486</v>
      </c>
      <c r="E787" t="s">
        <v>760</v>
      </c>
    </row>
    <row r="788" spans="1:5" x14ac:dyDescent="0.3">
      <c r="A788" t="s">
        <v>41</v>
      </c>
      <c r="B788" t="s">
        <v>308</v>
      </c>
      <c r="C788">
        <v>54</v>
      </c>
      <c r="D788" t="s">
        <v>695</v>
      </c>
      <c r="E788" t="s">
        <v>761</v>
      </c>
    </row>
    <row r="790" spans="1:5" x14ac:dyDescent="0.3">
      <c r="A790" t="s">
        <v>762</v>
      </c>
    </row>
    <row r="791" spans="1:5" x14ac:dyDescent="0.3">
      <c r="A791" t="s">
        <v>36</v>
      </c>
      <c r="B791" t="s">
        <v>763</v>
      </c>
      <c r="C791" t="s">
        <v>24</v>
      </c>
      <c r="D791" t="s">
        <v>58</v>
      </c>
      <c r="E791" t="s">
        <v>59</v>
      </c>
    </row>
    <row r="792" spans="1:5" s="3" customFormat="1" x14ac:dyDescent="0.3">
      <c r="A792" s="3" t="s">
        <v>25</v>
      </c>
      <c r="B792" s="3" t="s">
        <v>764</v>
      </c>
      <c r="C792" s="3">
        <v>2</v>
      </c>
      <c r="D792" s="3" t="s">
        <v>192</v>
      </c>
      <c r="E792" s="3" t="s">
        <v>103</v>
      </c>
    </row>
    <row r="793" spans="1:5" x14ac:dyDescent="0.3">
      <c r="A793" t="s">
        <v>25</v>
      </c>
      <c r="B793" t="s">
        <v>765</v>
      </c>
      <c r="C793">
        <v>105</v>
      </c>
      <c r="D793" t="s">
        <v>516</v>
      </c>
      <c r="E793" t="s">
        <v>766</v>
      </c>
    </row>
    <row r="794" spans="1:5" x14ac:dyDescent="0.3">
      <c r="A794" t="s">
        <v>25</v>
      </c>
      <c r="B794" t="s">
        <v>767</v>
      </c>
      <c r="C794">
        <v>83</v>
      </c>
      <c r="D794" t="s">
        <v>48</v>
      </c>
      <c r="E794" t="s">
        <v>47</v>
      </c>
    </row>
    <row r="795" spans="1:5" s="3" customFormat="1" x14ac:dyDescent="0.3">
      <c r="A795" s="3" t="s">
        <v>26</v>
      </c>
      <c r="B795" s="3" t="s">
        <v>764</v>
      </c>
      <c r="C795" s="3">
        <v>1</v>
      </c>
      <c r="D795" s="3" t="s">
        <v>103</v>
      </c>
      <c r="E795" s="3" t="s">
        <v>192</v>
      </c>
    </row>
    <row r="796" spans="1:5" x14ac:dyDescent="0.3">
      <c r="A796" t="s">
        <v>26</v>
      </c>
      <c r="B796" t="s">
        <v>765</v>
      </c>
      <c r="C796">
        <v>107</v>
      </c>
      <c r="D796" t="s">
        <v>479</v>
      </c>
      <c r="E796" t="s">
        <v>634</v>
      </c>
    </row>
    <row r="797" spans="1:5" x14ac:dyDescent="0.3">
      <c r="A797" t="s">
        <v>26</v>
      </c>
      <c r="B797" t="s">
        <v>767</v>
      </c>
      <c r="C797">
        <v>135</v>
      </c>
      <c r="D797" t="s">
        <v>543</v>
      </c>
      <c r="E797" t="s">
        <v>759</v>
      </c>
    </row>
    <row r="798" spans="1:5" x14ac:dyDescent="0.3">
      <c r="A798" t="s">
        <v>29</v>
      </c>
      <c r="B798" t="s">
        <v>765</v>
      </c>
      <c r="C798">
        <v>186</v>
      </c>
      <c r="D798" t="s">
        <v>281</v>
      </c>
      <c r="E798" t="s">
        <v>289</v>
      </c>
    </row>
    <row r="799" spans="1:5" x14ac:dyDescent="0.3">
      <c r="A799" t="s">
        <v>29</v>
      </c>
      <c r="B799" t="s">
        <v>767</v>
      </c>
      <c r="C799">
        <v>152</v>
      </c>
      <c r="D799" t="s">
        <v>463</v>
      </c>
      <c r="E799" t="s">
        <v>241</v>
      </c>
    </row>
    <row r="800" spans="1:5" s="3" customFormat="1" x14ac:dyDescent="0.3">
      <c r="A800" s="3" t="s">
        <v>28</v>
      </c>
      <c r="B800" s="3" t="s">
        <v>764</v>
      </c>
      <c r="C800" s="3">
        <v>1</v>
      </c>
      <c r="D800" s="3" t="s">
        <v>192</v>
      </c>
      <c r="E800" s="3" t="s">
        <v>103</v>
      </c>
    </row>
    <row r="801" spans="1:5" x14ac:dyDescent="0.3">
      <c r="A801" t="s">
        <v>28</v>
      </c>
      <c r="B801" t="s">
        <v>765</v>
      </c>
      <c r="C801">
        <v>99</v>
      </c>
      <c r="D801" t="s">
        <v>568</v>
      </c>
      <c r="E801" t="s">
        <v>603</v>
      </c>
    </row>
    <row r="802" spans="1:5" x14ac:dyDescent="0.3">
      <c r="A802" t="s">
        <v>28</v>
      </c>
      <c r="B802" t="s">
        <v>767</v>
      </c>
      <c r="C802">
        <v>35</v>
      </c>
      <c r="D802" t="s">
        <v>217</v>
      </c>
      <c r="E802" t="s">
        <v>768</v>
      </c>
    </row>
    <row r="803" spans="1:5" x14ac:dyDescent="0.3">
      <c r="A803" t="s">
        <v>27</v>
      </c>
      <c r="B803" t="s">
        <v>765</v>
      </c>
      <c r="C803">
        <v>52</v>
      </c>
      <c r="D803" t="s">
        <v>142</v>
      </c>
      <c r="E803" t="s">
        <v>143</v>
      </c>
    </row>
    <row r="804" spans="1:5" x14ac:dyDescent="0.3">
      <c r="A804" t="s">
        <v>27</v>
      </c>
      <c r="B804" t="s">
        <v>767</v>
      </c>
      <c r="C804">
        <v>40</v>
      </c>
      <c r="D804" t="s">
        <v>478</v>
      </c>
      <c r="E804" t="s">
        <v>769</v>
      </c>
    </row>
    <row r="805" spans="1:5" s="3" customFormat="1" x14ac:dyDescent="0.3">
      <c r="A805" s="3" t="s">
        <v>41</v>
      </c>
      <c r="B805" s="3" t="s">
        <v>764</v>
      </c>
      <c r="C805" s="3">
        <v>4</v>
      </c>
      <c r="D805" s="3" t="s">
        <v>696</v>
      </c>
      <c r="E805" s="3" t="s">
        <v>770</v>
      </c>
    </row>
    <row r="806" spans="1:5" x14ac:dyDescent="0.3">
      <c r="A806" t="s">
        <v>41</v>
      </c>
      <c r="B806" t="s">
        <v>765</v>
      </c>
      <c r="C806">
        <v>549</v>
      </c>
      <c r="D806" t="s">
        <v>136</v>
      </c>
      <c r="E806" t="s">
        <v>771</v>
      </c>
    </row>
    <row r="807" spans="1:5" x14ac:dyDescent="0.3">
      <c r="A807" t="s">
        <v>41</v>
      </c>
      <c r="B807" t="s">
        <v>767</v>
      </c>
      <c r="C807">
        <v>445</v>
      </c>
      <c r="D807" t="s">
        <v>700</v>
      </c>
      <c r="E807" t="s">
        <v>772</v>
      </c>
    </row>
    <row r="809" spans="1:5" x14ac:dyDescent="0.3">
      <c r="A809" t="s">
        <v>773</v>
      </c>
    </row>
    <row r="810" spans="1:5" x14ac:dyDescent="0.3">
      <c r="A810" t="s">
        <v>36</v>
      </c>
      <c r="B810" t="s">
        <v>210</v>
      </c>
      <c r="C810" t="s">
        <v>24</v>
      </c>
      <c r="D810" t="s">
        <v>58</v>
      </c>
      <c r="E810" t="s">
        <v>59</v>
      </c>
    </row>
    <row r="811" spans="1:5" x14ac:dyDescent="0.3">
      <c r="A811" t="s">
        <v>25</v>
      </c>
      <c r="B811" t="s">
        <v>211</v>
      </c>
      <c r="C811">
        <v>190</v>
      </c>
      <c r="D811" t="s">
        <v>473</v>
      </c>
      <c r="E811" t="s">
        <v>709</v>
      </c>
    </row>
    <row r="812" spans="1:5" x14ac:dyDescent="0.3">
      <c r="A812" t="s">
        <v>26</v>
      </c>
      <c r="B812" t="s">
        <v>211</v>
      </c>
      <c r="C812">
        <v>77</v>
      </c>
      <c r="D812" t="s">
        <v>148</v>
      </c>
      <c r="E812" t="s">
        <v>149</v>
      </c>
    </row>
    <row r="813" spans="1:5" x14ac:dyDescent="0.3">
      <c r="A813" t="s">
        <v>26</v>
      </c>
      <c r="B813" t="s">
        <v>212</v>
      </c>
      <c r="C813">
        <v>166</v>
      </c>
      <c r="D813" t="s">
        <v>273</v>
      </c>
      <c r="E813" t="s">
        <v>774</v>
      </c>
    </row>
    <row r="814" spans="1:5" x14ac:dyDescent="0.3">
      <c r="A814" t="s">
        <v>29</v>
      </c>
      <c r="B814" t="s">
        <v>211</v>
      </c>
      <c r="C814">
        <v>338</v>
      </c>
      <c r="D814" t="s">
        <v>242</v>
      </c>
      <c r="E814" t="s">
        <v>710</v>
      </c>
    </row>
    <row r="815" spans="1:5" x14ac:dyDescent="0.3">
      <c r="A815" t="s">
        <v>28</v>
      </c>
      <c r="B815" t="s">
        <v>211</v>
      </c>
      <c r="C815">
        <v>132</v>
      </c>
      <c r="D815" t="s">
        <v>521</v>
      </c>
      <c r="E815" t="s">
        <v>775</v>
      </c>
    </row>
    <row r="816" spans="1:5" s="3" customFormat="1" x14ac:dyDescent="0.3">
      <c r="A816" s="3" t="s">
        <v>28</v>
      </c>
      <c r="B816" s="3" t="s">
        <v>212</v>
      </c>
      <c r="C816" s="3">
        <v>3</v>
      </c>
      <c r="D816" s="3" t="s">
        <v>103</v>
      </c>
      <c r="E816" s="3" t="s">
        <v>192</v>
      </c>
    </row>
    <row r="817" spans="1:7" x14ac:dyDescent="0.3">
      <c r="A817" t="s">
        <v>27</v>
      </c>
      <c r="B817" t="s">
        <v>211</v>
      </c>
      <c r="C817">
        <v>85</v>
      </c>
      <c r="D817" t="s">
        <v>479</v>
      </c>
      <c r="E817" t="s">
        <v>634</v>
      </c>
    </row>
    <row r="818" spans="1:7" s="3" customFormat="1" x14ac:dyDescent="0.3">
      <c r="A818" s="3" t="s">
        <v>27</v>
      </c>
      <c r="B818" s="3" t="s">
        <v>212</v>
      </c>
      <c r="C818" s="3">
        <v>7</v>
      </c>
      <c r="D818" s="3" t="s">
        <v>50</v>
      </c>
      <c r="E818" s="3" t="s">
        <v>49</v>
      </c>
    </row>
    <row r="819" spans="1:7" x14ac:dyDescent="0.3">
      <c r="A819" t="s">
        <v>41</v>
      </c>
      <c r="B819" t="s">
        <v>211</v>
      </c>
      <c r="C819">
        <v>822</v>
      </c>
      <c r="D819" t="s">
        <v>517</v>
      </c>
      <c r="E819" t="s">
        <v>776</v>
      </c>
    </row>
    <row r="820" spans="1:7" x14ac:dyDescent="0.3">
      <c r="A820" t="s">
        <v>41</v>
      </c>
      <c r="B820" t="s">
        <v>212</v>
      </c>
      <c r="C820">
        <v>176</v>
      </c>
      <c r="D820" t="s">
        <v>273</v>
      </c>
      <c r="E820" t="s">
        <v>774</v>
      </c>
    </row>
    <row r="822" spans="1:7" x14ac:dyDescent="0.3">
      <c r="A822" t="s">
        <v>777</v>
      </c>
    </row>
    <row r="823" spans="1:7" x14ac:dyDescent="0.3">
      <c r="A823" t="s">
        <v>36</v>
      </c>
      <c r="B823" t="s">
        <v>24</v>
      </c>
      <c r="C823" t="s">
        <v>778</v>
      </c>
      <c r="D823" t="s">
        <v>779</v>
      </c>
      <c r="E823" t="s">
        <v>780</v>
      </c>
      <c r="F823" t="s">
        <v>87</v>
      </c>
    </row>
    <row r="824" spans="1:7" x14ac:dyDescent="0.3">
      <c r="A824" t="s">
        <v>25</v>
      </c>
      <c r="B824">
        <v>157</v>
      </c>
      <c r="C824" t="s">
        <v>732</v>
      </c>
      <c r="D824" t="s">
        <v>578</v>
      </c>
      <c r="E824" t="s">
        <v>406</v>
      </c>
      <c r="F824" t="s">
        <v>103</v>
      </c>
    </row>
    <row r="825" spans="1:7" x14ac:dyDescent="0.3">
      <c r="A825" t="s">
        <v>26</v>
      </c>
      <c r="B825">
        <v>209</v>
      </c>
      <c r="C825" t="s">
        <v>68</v>
      </c>
      <c r="D825" t="s">
        <v>341</v>
      </c>
      <c r="E825" t="s">
        <v>781</v>
      </c>
      <c r="F825" t="s">
        <v>103</v>
      </c>
    </row>
    <row r="826" spans="1:7" x14ac:dyDescent="0.3">
      <c r="A826" t="s">
        <v>29</v>
      </c>
      <c r="B826">
        <v>313</v>
      </c>
      <c r="C826" t="s">
        <v>515</v>
      </c>
      <c r="D826" t="s">
        <v>504</v>
      </c>
      <c r="E826" t="s">
        <v>782</v>
      </c>
      <c r="F826" t="s">
        <v>103</v>
      </c>
    </row>
    <row r="827" spans="1:7" x14ac:dyDescent="0.3">
      <c r="A827" t="s">
        <v>28</v>
      </c>
      <c r="B827">
        <v>109</v>
      </c>
      <c r="C827" t="s">
        <v>239</v>
      </c>
      <c r="D827" t="s">
        <v>146</v>
      </c>
      <c r="E827" t="s">
        <v>783</v>
      </c>
      <c r="F827" t="s">
        <v>103</v>
      </c>
    </row>
    <row r="828" spans="1:7" x14ac:dyDescent="0.3">
      <c r="A828" t="s">
        <v>27</v>
      </c>
      <c r="B828">
        <v>78</v>
      </c>
      <c r="C828" t="s">
        <v>150</v>
      </c>
      <c r="D828" t="s">
        <v>48</v>
      </c>
      <c r="E828" t="s">
        <v>784</v>
      </c>
      <c r="F828" t="s">
        <v>194</v>
      </c>
    </row>
    <row r="829" spans="1:7" x14ac:dyDescent="0.3">
      <c r="A829" t="s">
        <v>41</v>
      </c>
      <c r="B829">
        <v>866</v>
      </c>
      <c r="C829" t="s">
        <v>164</v>
      </c>
      <c r="D829" t="s">
        <v>56</v>
      </c>
      <c r="E829" t="s">
        <v>785</v>
      </c>
      <c r="F829" t="s">
        <v>103</v>
      </c>
    </row>
    <row r="831" spans="1:7" x14ac:dyDescent="0.3">
      <c r="A831" t="s">
        <v>786</v>
      </c>
    </row>
    <row r="832" spans="1:7" x14ac:dyDescent="0.3">
      <c r="A832" t="s">
        <v>36</v>
      </c>
      <c r="B832" t="s">
        <v>714</v>
      </c>
      <c r="C832" t="s">
        <v>24</v>
      </c>
      <c r="D832" t="s">
        <v>780</v>
      </c>
      <c r="E832" t="s">
        <v>779</v>
      </c>
      <c r="F832" t="s">
        <v>778</v>
      </c>
      <c r="G832" t="s">
        <v>87</v>
      </c>
    </row>
    <row r="833" spans="1:7" s="3" customFormat="1" x14ac:dyDescent="0.3">
      <c r="A833" s="3" t="s">
        <v>25</v>
      </c>
      <c r="B833" s="3" t="s">
        <v>716</v>
      </c>
      <c r="C833" s="3">
        <v>3</v>
      </c>
      <c r="D833" s="3" t="s">
        <v>192</v>
      </c>
      <c r="E833" s="3" t="s">
        <v>103</v>
      </c>
      <c r="F833" s="3" t="s">
        <v>103</v>
      </c>
      <c r="G833" s="3" t="s">
        <v>103</v>
      </c>
    </row>
    <row r="834" spans="1:7" s="3" customFormat="1" x14ac:dyDescent="0.3">
      <c r="A834" s="3" t="s">
        <v>25</v>
      </c>
      <c r="B834" s="3" t="s">
        <v>718</v>
      </c>
      <c r="C834" s="3">
        <v>1</v>
      </c>
      <c r="D834" s="3" t="s">
        <v>192</v>
      </c>
      <c r="E834" s="3" t="s">
        <v>103</v>
      </c>
      <c r="F834" s="3" t="s">
        <v>103</v>
      </c>
      <c r="G834" s="3" t="s">
        <v>103</v>
      </c>
    </row>
    <row r="835" spans="1:7" s="3" customFormat="1" x14ac:dyDescent="0.3">
      <c r="A835" s="3" t="s">
        <v>25</v>
      </c>
      <c r="B835" s="3" t="s">
        <v>719</v>
      </c>
      <c r="C835" s="3">
        <v>3</v>
      </c>
      <c r="D835" s="3" t="s">
        <v>787</v>
      </c>
      <c r="E835" s="3" t="s">
        <v>788</v>
      </c>
      <c r="F835" s="3" t="s">
        <v>103</v>
      </c>
      <c r="G835" s="3" t="s">
        <v>103</v>
      </c>
    </row>
    <row r="836" spans="1:7" x14ac:dyDescent="0.3">
      <c r="A836" t="s">
        <v>25</v>
      </c>
      <c r="B836" t="s">
        <v>308</v>
      </c>
      <c r="C836">
        <v>150</v>
      </c>
      <c r="D836" t="s">
        <v>298</v>
      </c>
      <c r="E836" t="s">
        <v>551</v>
      </c>
      <c r="F836" t="s">
        <v>789</v>
      </c>
      <c r="G836" t="s">
        <v>103</v>
      </c>
    </row>
    <row r="837" spans="1:7" s="3" customFormat="1" x14ac:dyDescent="0.3">
      <c r="A837" s="3" t="s">
        <v>26</v>
      </c>
      <c r="B837" s="3" t="s">
        <v>715</v>
      </c>
      <c r="C837" s="3">
        <v>2</v>
      </c>
      <c r="D837" s="3" t="s">
        <v>192</v>
      </c>
      <c r="E837" s="3" t="s">
        <v>103</v>
      </c>
      <c r="F837" s="3" t="s">
        <v>103</v>
      </c>
      <c r="G837" s="3" t="s">
        <v>103</v>
      </c>
    </row>
    <row r="838" spans="1:7" s="3" customFormat="1" x14ac:dyDescent="0.3">
      <c r="A838" s="3" t="s">
        <v>26</v>
      </c>
      <c r="B838" s="3" t="s">
        <v>716</v>
      </c>
      <c r="C838" s="3">
        <v>2</v>
      </c>
      <c r="D838" s="3" t="s">
        <v>192</v>
      </c>
      <c r="E838" s="3" t="s">
        <v>103</v>
      </c>
      <c r="F838" s="3" t="s">
        <v>103</v>
      </c>
      <c r="G838" s="3" t="s">
        <v>103</v>
      </c>
    </row>
    <row r="839" spans="1:7" s="3" customFormat="1" x14ac:dyDescent="0.3">
      <c r="A839" s="3" t="s">
        <v>26</v>
      </c>
      <c r="B839" s="3" t="s">
        <v>719</v>
      </c>
      <c r="C839" s="3">
        <v>1</v>
      </c>
      <c r="D839" s="3" t="s">
        <v>192</v>
      </c>
      <c r="E839" s="3" t="s">
        <v>103</v>
      </c>
      <c r="F839" s="3" t="s">
        <v>103</v>
      </c>
      <c r="G839" s="3" t="s">
        <v>103</v>
      </c>
    </row>
    <row r="840" spans="1:7" x14ac:dyDescent="0.3">
      <c r="A840" t="s">
        <v>26</v>
      </c>
      <c r="B840" t="s">
        <v>308</v>
      </c>
      <c r="C840">
        <v>204</v>
      </c>
      <c r="D840" t="s">
        <v>597</v>
      </c>
      <c r="E840" t="s">
        <v>341</v>
      </c>
      <c r="F840" t="s">
        <v>272</v>
      </c>
      <c r="G840" t="s">
        <v>103</v>
      </c>
    </row>
    <row r="841" spans="1:7" s="3" customFormat="1" x14ac:dyDescent="0.3">
      <c r="A841" s="3" t="s">
        <v>29</v>
      </c>
      <c r="B841" s="3" t="s">
        <v>715</v>
      </c>
      <c r="C841" s="3">
        <v>3</v>
      </c>
      <c r="D841" s="3" t="s">
        <v>656</v>
      </c>
      <c r="E841" s="3" t="s">
        <v>790</v>
      </c>
      <c r="F841" s="3" t="s">
        <v>103</v>
      </c>
      <c r="G841" s="3" t="s">
        <v>103</v>
      </c>
    </row>
    <row r="842" spans="1:7" s="3" customFormat="1" x14ac:dyDescent="0.3">
      <c r="A842" s="3" t="s">
        <v>29</v>
      </c>
      <c r="B842" s="3" t="s">
        <v>716</v>
      </c>
      <c r="C842" s="3">
        <v>6</v>
      </c>
      <c r="D842" s="3" t="s">
        <v>791</v>
      </c>
      <c r="E842" s="3" t="s">
        <v>357</v>
      </c>
      <c r="F842" s="3" t="s">
        <v>271</v>
      </c>
      <c r="G842" s="3" t="s">
        <v>103</v>
      </c>
    </row>
    <row r="843" spans="1:7" s="3" customFormat="1" x14ac:dyDescent="0.3">
      <c r="A843" s="3" t="s">
        <v>29</v>
      </c>
      <c r="B843" s="3" t="s">
        <v>718</v>
      </c>
      <c r="C843" s="3">
        <v>3</v>
      </c>
      <c r="D843" s="3" t="s">
        <v>103</v>
      </c>
      <c r="E843" s="3" t="s">
        <v>792</v>
      </c>
      <c r="F843" s="3" t="s">
        <v>430</v>
      </c>
      <c r="G843" s="3" t="s">
        <v>103</v>
      </c>
    </row>
    <row r="844" spans="1:7" s="3" customFormat="1" x14ac:dyDescent="0.3">
      <c r="A844" s="3" t="s">
        <v>29</v>
      </c>
      <c r="B844" s="3" t="s">
        <v>723</v>
      </c>
      <c r="C844" s="3">
        <v>1</v>
      </c>
      <c r="D844" s="3" t="s">
        <v>192</v>
      </c>
      <c r="E844" s="3" t="s">
        <v>103</v>
      </c>
      <c r="F844" s="3" t="s">
        <v>103</v>
      </c>
      <c r="G844" s="3" t="s">
        <v>103</v>
      </c>
    </row>
    <row r="845" spans="1:7" s="3" customFormat="1" x14ac:dyDescent="0.3">
      <c r="A845" s="3" t="s">
        <v>29</v>
      </c>
      <c r="B845" s="3" t="s">
        <v>719</v>
      </c>
      <c r="C845" s="3">
        <v>1</v>
      </c>
      <c r="D845" s="3" t="s">
        <v>103</v>
      </c>
      <c r="E845" s="3" t="s">
        <v>192</v>
      </c>
      <c r="F845" s="3" t="s">
        <v>103</v>
      </c>
      <c r="G845" s="3" t="s">
        <v>103</v>
      </c>
    </row>
    <row r="846" spans="1:7" x14ac:dyDescent="0.3">
      <c r="A846" t="s">
        <v>29</v>
      </c>
      <c r="B846" t="s">
        <v>308</v>
      </c>
      <c r="C846">
        <v>299</v>
      </c>
      <c r="D846" t="s">
        <v>793</v>
      </c>
      <c r="E846" t="s">
        <v>577</v>
      </c>
      <c r="F846" t="s">
        <v>515</v>
      </c>
      <c r="G846" t="s">
        <v>103</v>
      </c>
    </row>
    <row r="847" spans="1:7" s="3" customFormat="1" x14ac:dyDescent="0.3">
      <c r="A847" s="3" t="s">
        <v>28</v>
      </c>
      <c r="B847" s="3" t="s">
        <v>715</v>
      </c>
      <c r="C847" s="3">
        <v>1</v>
      </c>
      <c r="D847" s="3" t="s">
        <v>192</v>
      </c>
      <c r="E847" s="3" t="s">
        <v>103</v>
      </c>
      <c r="F847" s="3" t="s">
        <v>103</v>
      </c>
      <c r="G847" s="3" t="s">
        <v>103</v>
      </c>
    </row>
    <row r="848" spans="1:7" s="3" customFormat="1" x14ac:dyDescent="0.3">
      <c r="A848" s="3" t="s">
        <v>28</v>
      </c>
      <c r="B848" s="3" t="s">
        <v>718</v>
      </c>
      <c r="C848" s="3">
        <v>1</v>
      </c>
      <c r="D848" s="3" t="s">
        <v>192</v>
      </c>
      <c r="E848" s="3" t="s">
        <v>103</v>
      </c>
      <c r="F848" s="3" t="s">
        <v>103</v>
      </c>
      <c r="G848" s="3" t="s">
        <v>103</v>
      </c>
    </row>
    <row r="849" spans="1:7" s="3" customFormat="1" x14ac:dyDescent="0.3">
      <c r="A849" s="3" t="s">
        <v>28</v>
      </c>
      <c r="B849" s="3" t="s">
        <v>719</v>
      </c>
      <c r="C849" s="3">
        <v>1</v>
      </c>
      <c r="D849" s="3" t="s">
        <v>192</v>
      </c>
      <c r="E849" s="3" t="s">
        <v>103</v>
      </c>
      <c r="F849" s="3" t="s">
        <v>103</v>
      </c>
      <c r="G849" s="3" t="s">
        <v>103</v>
      </c>
    </row>
    <row r="850" spans="1:7" x14ac:dyDescent="0.3">
      <c r="A850" t="s">
        <v>28</v>
      </c>
      <c r="B850" t="s">
        <v>308</v>
      </c>
      <c r="C850">
        <v>106</v>
      </c>
      <c r="D850" t="s">
        <v>246</v>
      </c>
      <c r="E850" t="s">
        <v>269</v>
      </c>
      <c r="F850" t="s">
        <v>239</v>
      </c>
      <c r="G850" t="s">
        <v>103</v>
      </c>
    </row>
    <row r="851" spans="1:7" s="3" customFormat="1" x14ac:dyDescent="0.3">
      <c r="A851" s="3" t="s">
        <v>27</v>
      </c>
      <c r="B851" s="3" t="s">
        <v>715</v>
      </c>
      <c r="C851" s="3">
        <v>1</v>
      </c>
      <c r="D851" s="3" t="s">
        <v>103</v>
      </c>
      <c r="E851" s="3" t="s">
        <v>103</v>
      </c>
      <c r="F851" s="3" t="s">
        <v>192</v>
      </c>
      <c r="G851" s="3" t="s">
        <v>103</v>
      </c>
    </row>
    <row r="852" spans="1:7" s="3" customFormat="1" x14ac:dyDescent="0.3">
      <c r="A852" s="3" t="s">
        <v>27</v>
      </c>
      <c r="B852" s="3" t="s">
        <v>718</v>
      </c>
      <c r="C852" s="3">
        <v>2</v>
      </c>
      <c r="D852" s="3" t="s">
        <v>192</v>
      </c>
      <c r="E852" s="3" t="s">
        <v>103</v>
      </c>
      <c r="F852" s="3" t="s">
        <v>103</v>
      </c>
      <c r="G852" s="3" t="s">
        <v>103</v>
      </c>
    </row>
    <row r="853" spans="1:7" x14ac:dyDescent="0.3">
      <c r="A853" t="s">
        <v>27</v>
      </c>
      <c r="B853" t="s">
        <v>308</v>
      </c>
      <c r="C853">
        <v>75</v>
      </c>
      <c r="D853" t="s">
        <v>794</v>
      </c>
      <c r="E853" t="s">
        <v>681</v>
      </c>
      <c r="F853" t="s">
        <v>167</v>
      </c>
      <c r="G853" t="s">
        <v>194</v>
      </c>
    </row>
    <row r="854" spans="1:7" s="3" customFormat="1" x14ac:dyDescent="0.3">
      <c r="A854" s="3" t="s">
        <v>41</v>
      </c>
      <c r="B854" s="3" t="s">
        <v>715</v>
      </c>
      <c r="C854" s="3">
        <v>7</v>
      </c>
      <c r="D854" s="3" t="s">
        <v>795</v>
      </c>
      <c r="E854" s="3" t="s">
        <v>454</v>
      </c>
      <c r="F854" s="3" t="s">
        <v>216</v>
      </c>
      <c r="G854" s="3" t="s">
        <v>103</v>
      </c>
    </row>
    <row r="855" spans="1:7" s="3" customFormat="1" x14ac:dyDescent="0.3">
      <c r="A855" s="3" t="s">
        <v>41</v>
      </c>
      <c r="B855" s="3" t="s">
        <v>716</v>
      </c>
      <c r="C855" s="3">
        <v>11</v>
      </c>
      <c r="D855" s="3" t="s">
        <v>796</v>
      </c>
      <c r="E855" s="3" t="s">
        <v>691</v>
      </c>
      <c r="F855" s="3" t="s">
        <v>549</v>
      </c>
      <c r="G855" s="3" t="s">
        <v>103</v>
      </c>
    </row>
    <row r="856" spans="1:7" s="3" customFormat="1" x14ac:dyDescent="0.3">
      <c r="A856" s="3" t="s">
        <v>41</v>
      </c>
      <c r="B856" s="3" t="s">
        <v>718</v>
      </c>
      <c r="C856" s="3">
        <v>7</v>
      </c>
      <c r="D856" s="3" t="s">
        <v>480</v>
      </c>
      <c r="E856" s="3" t="s">
        <v>234</v>
      </c>
      <c r="F856" s="3" t="s">
        <v>797</v>
      </c>
      <c r="G856" s="3" t="s">
        <v>103</v>
      </c>
    </row>
    <row r="857" spans="1:7" s="3" customFormat="1" x14ac:dyDescent="0.3">
      <c r="A857" s="3" t="s">
        <v>41</v>
      </c>
      <c r="B857" s="3" t="s">
        <v>723</v>
      </c>
      <c r="C857" s="3">
        <v>1</v>
      </c>
      <c r="D857" s="3" t="s">
        <v>192</v>
      </c>
      <c r="E857" s="3" t="s">
        <v>103</v>
      </c>
      <c r="F857" s="3" t="s">
        <v>103</v>
      </c>
      <c r="G857" s="3" t="s">
        <v>103</v>
      </c>
    </row>
    <row r="858" spans="1:7" s="3" customFormat="1" x14ac:dyDescent="0.3">
      <c r="A858" s="3" t="s">
        <v>41</v>
      </c>
      <c r="B858" s="3" t="s">
        <v>719</v>
      </c>
      <c r="C858" s="3">
        <v>6</v>
      </c>
      <c r="D858" s="3" t="s">
        <v>798</v>
      </c>
      <c r="E858" s="3" t="s">
        <v>359</v>
      </c>
      <c r="F858" s="3" t="s">
        <v>103</v>
      </c>
      <c r="G858" s="3" t="s">
        <v>103</v>
      </c>
    </row>
    <row r="859" spans="1:7" x14ac:dyDescent="0.3">
      <c r="A859" t="s">
        <v>41</v>
      </c>
      <c r="B859" t="s">
        <v>308</v>
      </c>
      <c r="C859">
        <v>834</v>
      </c>
      <c r="D859" t="s">
        <v>799</v>
      </c>
      <c r="E859" t="s">
        <v>579</v>
      </c>
      <c r="F859" t="s">
        <v>167</v>
      </c>
      <c r="G859" t="s">
        <v>103</v>
      </c>
    </row>
    <row r="861" spans="1:7" x14ac:dyDescent="0.3">
      <c r="A861" t="s">
        <v>800</v>
      </c>
    </row>
    <row r="862" spans="1:7" x14ac:dyDescent="0.3">
      <c r="A862" t="s">
        <v>36</v>
      </c>
      <c r="B862" t="s">
        <v>197</v>
      </c>
      <c r="C862" t="s">
        <v>24</v>
      </c>
      <c r="D862" t="s">
        <v>778</v>
      </c>
      <c r="E862" t="s">
        <v>779</v>
      </c>
      <c r="F862" t="s">
        <v>780</v>
      </c>
      <c r="G862" t="s">
        <v>87</v>
      </c>
    </row>
    <row r="863" spans="1:7" x14ac:dyDescent="0.3">
      <c r="A863" t="s">
        <v>25</v>
      </c>
      <c r="B863" t="s">
        <v>198</v>
      </c>
      <c r="C863">
        <v>36</v>
      </c>
      <c r="D863" t="s">
        <v>667</v>
      </c>
      <c r="E863" t="s">
        <v>504</v>
      </c>
      <c r="F863" t="s">
        <v>423</v>
      </c>
      <c r="G863" t="s">
        <v>103</v>
      </c>
    </row>
    <row r="864" spans="1:7" x14ac:dyDescent="0.3">
      <c r="A864" t="s">
        <v>25</v>
      </c>
      <c r="B864" t="s">
        <v>199</v>
      </c>
      <c r="C864">
        <v>121</v>
      </c>
      <c r="D864" t="s">
        <v>580</v>
      </c>
      <c r="E864" t="s">
        <v>131</v>
      </c>
      <c r="F864" t="s">
        <v>801</v>
      </c>
      <c r="G864" t="s">
        <v>103</v>
      </c>
    </row>
    <row r="865" spans="1:7" s="3" customFormat="1" x14ac:dyDescent="0.3">
      <c r="A865" s="3" t="s">
        <v>26</v>
      </c>
      <c r="B865" s="3" t="s">
        <v>198</v>
      </c>
      <c r="C865" s="3">
        <v>9</v>
      </c>
      <c r="D865" s="3" t="s">
        <v>669</v>
      </c>
      <c r="E865" s="3" t="s">
        <v>103</v>
      </c>
      <c r="F865" s="3" t="s">
        <v>802</v>
      </c>
      <c r="G865" s="3" t="s">
        <v>103</v>
      </c>
    </row>
    <row r="866" spans="1:7" x14ac:dyDescent="0.3">
      <c r="A866" t="s">
        <v>26</v>
      </c>
      <c r="B866" t="s">
        <v>199</v>
      </c>
      <c r="C866">
        <v>200</v>
      </c>
      <c r="D866" t="s">
        <v>208</v>
      </c>
      <c r="E866" t="s">
        <v>341</v>
      </c>
      <c r="F866" t="s">
        <v>803</v>
      </c>
      <c r="G866" t="s">
        <v>103</v>
      </c>
    </row>
    <row r="867" spans="1:7" x14ac:dyDescent="0.3">
      <c r="A867" t="s">
        <v>29</v>
      </c>
      <c r="B867" t="s">
        <v>198</v>
      </c>
      <c r="C867">
        <v>108</v>
      </c>
      <c r="D867" t="s">
        <v>157</v>
      </c>
      <c r="E867" t="s">
        <v>545</v>
      </c>
      <c r="F867" t="s">
        <v>804</v>
      </c>
      <c r="G867" t="s">
        <v>103</v>
      </c>
    </row>
    <row r="868" spans="1:7" x14ac:dyDescent="0.3">
      <c r="A868" t="s">
        <v>29</v>
      </c>
      <c r="B868" t="s">
        <v>199</v>
      </c>
      <c r="C868">
        <v>205</v>
      </c>
      <c r="D868" t="s">
        <v>142</v>
      </c>
      <c r="E868" t="s">
        <v>805</v>
      </c>
      <c r="F868" t="s">
        <v>430</v>
      </c>
      <c r="G868" t="s">
        <v>103</v>
      </c>
    </row>
    <row r="869" spans="1:7" x14ac:dyDescent="0.3">
      <c r="A869" t="s">
        <v>28</v>
      </c>
      <c r="B869" t="s">
        <v>198</v>
      </c>
      <c r="C869">
        <v>39</v>
      </c>
      <c r="D869" t="s">
        <v>103</v>
      </c>
      <c r="E869" t="s">
        <v>548</v>
      </c>
      <c r="F869" t="s">
        <v>806</v>
      </c>
      <c r="G869" t="s">
        <v>103</v>
      </c>
    </row>
    <row r="870" spans="1:7" x14ac:dyDescent="0.3">
      <c r="A870" t="s">
        <v>28</v>
      </c>
      <c r="B870" t="s">
        <v>199</v>
      </c>
      <c r="C870">
        <v>70</v>
      </c>
      <c r="D870" t="s">
        <v>128</v>
      </c>
      <c r="E870" t="s">
        <v>284</v>
      </c>
      <c r="F870" t="s">
        <v>207</v>
      </c>
      <c r="G870" t="s">
        <v>103</v>
      </c>
    </row>
    <row r="871" spans="1:7" x14ac:dyDescent="0.3">
      <c r="A871" t="s">
        <v>27</v>
      </c>
      <c r="B871" t="s">
        <v>198</v>
      </c>
      <c r="C871">
        <v>43</v>
      </c>
      <c r="D871" t="s">
        <v>807</v>
      </c>
      <c r="E871" t="s">
        <v>555</v>
      </c>
      <c r="F871" t="s">
        <v>394</v>
      </c>
      <c r="G871" t="s">
        <v>128</v>
      </c>
    </row>
    <row r="872" spans="1:7" x14ac:dyDescent="0.3">
      <c r="A872" t="s">
        <v>27</v>
      </c>
      <c r="B872" t="s">
        <v>199</v>
      </c>
      <c r="C872">
        <v>35</v>
      </c>
      <c r="D872" t="s">
        <v>191</v>
      </c>
      <c r="E872" t="s">
        <v>472</v>
      </c>
      <c r="F872" t="s">
        <v>808</v>
      </c>
      <c r="G872" t="s">
        <v>103</v>
      </c>
    </row>
    <row r="873" spans="1:7" x14ac:dyDescent="0.3">
      <c r="A873" t="s">
        <v>41</v>
      </c>
      <c r="B873" t="s">
        <v>198</v>
      </c>
      <c r="C873">
        <v>235</v>
      </c>
      <c r="D873" t="s">
        <v>809</v>
      </c>
      <c r="E873" t="s">
        <v>560</v>
      </c>
      <c r="F873" t="s">
        <v>810</v>
      </c>
      <c r="G873" t="s">
        <v>91</v>
      </c>
    </row>
    <row r="874" spans="1:7" x14ac:dyDescent="0.3">
      <c r="A874" t="s">
        <v>41</v>
      </c>
      <c r="B874" t="s">
        <v>199</v>
      </c>
      <c r="C874">
        <v>631</v>
      </c>
      <c r="D874" t="s">
        <v>148</v>
      </c>
      <c r="E874" t="s">
        <v>750</v>
      </c>
      <c r="F874" t="s">
        <v>811</v>
      </c>
      <c r="G874" t="s">
        <v>103</v>
      </c>
    </row>
    <row r="876" spans="1:7" x14ac:dyDescent="0.3">
      <c r="A876" t="s">
        <v>812</v>
      </c>
    </row>
    <row r="877" spans="1:7" x14ac:dyDescent="0.3">
      <c r="A877" t="s">
        <v>36</v>
      </c>
      <c r="B877" t="s">
        <v>310</v>
      </c>
      <c r="C877" t="s">
        <v>24</v>
      </c>
      <c r="D877" t="s">
        <v>778</v>
      </c>
      <c r="E877" t="s">
        <v>779</v>
      </c>
      <c r="F877" t="s">
        <v>780</v>
      </c>
      <c r="G877" t="s">
        <v>87</v>
      </c>
    </row>
    <row r="878" spans="1:7" x14ac:dyDescent="0.3">
      <c r="A878" t="s">
        <v>25</v>
      </c>
      <c r="B878" t="s">
        <v>311</v>
      </c>
      <c r="C878">
        <v>136</v>
      </c>
      <c r="D878" t="s">
        <v>707</v>
      </c>
      <c r="E878" t="s">
        <v>518</v>
      </c>
      <c r="F878" t="s">
        <v>730</v>
      </c>
      <c r="G878" t="s">
        <v>103</v>
      </c>
    </row>
    <row r="879" spans="1:7" s="3" customFormat="1" x14ac:dyDescent="0.3">
      <c r="A879" s="3" t="s">
        <v>25</v>
      </c>
      <c r="B879" s="3" t="s">
        <v>312</v>
      </c>
      <c r="C879" s="3">
        <v>16</v>
      </c>
      <c r="D879" s="3" t="s">
        <v>813</v>
      </c>
      <c r="E879" s="3" t="s">
        <v>695</v>
      </c>
      <c r="F879" s="3" t="s">
        <v>814</v>
      </c>
      <c r="G879" s="3" t="s">
        <v>103</v>
      </c>
    </row>
    <row r="880" spans="1:7" x14ac:dyDescent="0.3">
      <c r="A880" t="s">
        <v>25</v>
      </c>
      <c r="B880" t="s">
        <v>308</v>
      </c>
      <c r="C880">
        <v>5</v>
      </c>
      <c r="D880" t="s">
        <v>103</v>
      </c>
      <c r="E880" t="s">
        <v>397</v>
      </c>
      <c r="F880" t="s">
        <v>398</v>
      </c>
      <c r="G880" t="s">
        <v>103</v>
      </c>
    </row>
    <row r="881" spans="1:7" x14ac:dyDescent="0.3">
      <c r="A881" t="s">
        <v>26</v>
      </c>
      <c r="B881" t="s">
        <v>311</v>
      </c>
      <c r="C881">
        <v>160</v>
      </c>
      <c r="D881" t="s">
        <v>217</v>
      </c>
      <c r="E881" t="s">
        <v>105</v>
      </c>
      <c r="F881" t="s">
        <v>200</v>
      </c>
      <c r="G881" t="s">
        <v>103</v>
      </c>
    </row>
    <row r="882" spans="1:7" s="3" customFormat="1" x14ac:dyDescent="0.3">
      <c r="A882" s="3" t="s">
        <v>26</v>
      </c>
      <c r="B882" s="3" t="s">
        <v>312</v>
      </c>
      <c r="C882" s="3">
        <v>28</v>
      </c>
      <c r="D882" s="3" t="s">
        <v>217</v>
      </c>
      <c r="E882" s="3" t="s">
        <v>103</v>
      </c>
      <c r="F882" s="3" t="s">
        <v>768</v>
      </c>
      <c r="G882" s="3" t="s">
        <v>103</v>
      </c>
    </row>
    <row r="883" spans="1:7" x14ac:dyDescent="0.3">
      <c r="A883" t="s">
        <v>26</v>
      </c>
      <c r="B883" t="s">
        <v>308</v>
      </c>
      <c r="C883">
        <v>21</v>
      </c>
      <c r="D883" t="s">
        <v>575</v>
      </c>
      <c r="E883" t="s">
        <v>133</v>
      </c>
      <c r="F883" t="s">
        <v>176</v>
      </c>
      <c r="G883" t="s">
        <v>103</v>
      </c>
    </row>
    <row r="884" spans="1:7" x14ac:dyDescent="0.3">
      <c r="A884" t="s">
        <v>29</v>
      </c>
      <c r="B884" t="s">
        <v>311</v>
      </c>
      <c r="C884">
        <v>265</v>
      </c>
      <c r="D884" t="s">
        <v>524</v>
      </c>
      <c r="E884" t="s">
        <v>686</v>
      </c>
      <c r="F884" t="s">
        <v>371</v>
      </c>
      <c r="G884" t="s">
        <v>103</v>
      </c>
    </row>
    <row r="885" spans="1:7" s="3" customFormat="1" x14ac:dyDescent="0.3">
      <c r="A885" s="3" t="s">
        <v>29</v>
      </c>
      <c r="B885" s="3" t="s">
        <v>312</v>
      </c>
      <c r="C885" s="3">
        <v>29</v>
      </c>
      <c r="D885" s="3" t="s">
        <v>537</v>
      </c>
      <c r="E885" s="3" t="s">
        <v>815</v>
      </c>
      <c r="F885" s="3" t="s">
        <v>816</v>
      </c>
      <c r="G885" s="3" t="s">
        <v>103</v>
      </c>
    </row>
    <row r="886" spans="1:7" x14ac:dyDescent="0.3">
      <c r="A886" t="s">
        <v>29</v>
      </c>
      <c r="B886" t="s">
        <v>308</v>
      </c>
      <c r="C886">
        <v>19</v>
      </c>
      <c r="D886" t="s">
        <v>94</v>
      </c>
      <c r="E886" t="s">
        <v>645</v>
      </c>
      <c r="F886" t="s">
        <v>817</v>
      </c>
      <c r="G886" t="s">
        <v>103</v>
      </c>
    </row>
    <row r="887" spans="1:7" x14ac:dyDescent="0.3">
      <c r="A887" t="s">
        <v>28</v>
      </c>
      <c r="B887" t="s">
        <v>311</v>
      </c>
      <c r="C887">
        <v>85</v>
      </c>
      <c r="D887" t="s">
        <v>103</v>
      </c>
      <c r="E887" t="s">
        <v>459</v>
      </c>
      <c r="F887" t="s">
        <v>818</v>
      </c>
      <c r="G887" t="s">
        <v>103</v>
      </c>
    </row>
    <row r="888" spans="1:7" s="3" customFormat="1" ht="15.6" customHeight="1" x14ac:dyDescent="0.3">
      <c r="A888" s="3" t="s">
        <v>28</v>
      </c>
      <c r="B888" s="3" t="s">
        <v>312</v>
      </c>
      <c r="C888" s="3">
        <v>24</v>
      </c>
      <c r="D888" s="3" t="s">
        <v>494</v>
      </c>
      <c r="E888" s="3" t="s">
        <v>104</v>
      </c>
      <c r="F888" s="3" t="s">
        <v>592</v>
      </c>
      <c r="G888" s="3" t="s">
        <v>103</v>
      </c>
    </row>
    <row r="889" spans="1:7" x14ac:dyDescent="0.3">
      <c r="A889" t="s">
        <v>27</v>
      </c>
      <c r="B889" t="s">
        <v>311</v>
      </c>
      <c r="C889">
        <v>67</v>
      </c>
      <c r="D889" t="s">
        <v>518</v>
      </c>
      <c r="E889" t="s">
        <v>819</v>
      </c>
      <c r="F889" t="s">
        <v>377</v>
      </c>
      <c r="G889" t="s">
        <v>239</v>
      </c>
    </row>
    <row r="890" spans="1:7" s="3" customFormat="1" x14ac:dyDescent="0.3">
      <c r="A890" s="3" t="s">
        <v>27</v>
      </c>
      <c r="B890" s="3" t="s">
        <v>312</v>
      </c>
      <c r="C890" s="3">
        <v>11</v>
      </c>
      <c r="D890" s="3" t="s">
        <v>125</v>
      </c>
      <c r="E890" s="3" t="s">
        <v>820</v>
      </c>
      <c r="F890" s="3" t="s">
        <v>821</v>
      </c>
      <c r="G890" s="3" t="s">
        <v>103</v>
      </c>
    </row>
    <row r="891" spans="1:7" x14ac:dyDescent="0.3">
      <c r="A891" t="s">
        <v>41</v>
      </c>
      <c r="B891" t="s">
        <v>311</v>
      </c>
      <c r="C891">
        <v>713</v>
      </c>
      <c r="D891" t="s">
        <v>130</v>
      </c>
      <c r="E891" t="s">
        <v>132</v>
      </c>
      <c r="F891" t="s">
        <v>822</v>
      </c>
      <c r="G891" t="s">
        <v>103</v>
      </c>
    </row>
    <row r="892" spans="1:7" x14ac:dyDescent="0.3">
      <c r="A892" t="s">
        <v>41</v>
      </c>
      <c r="B892" t="s">
        <v>312</v>
      </c>
      <c r="C892">
        <v>108</v>
      </c>
      <c r="D892" t="s">
        <v>256</v>
      </c>
      <c r="E892" t="s">
        <v>579</v>
      </c>
      <c r="F892" t="s">
        <v>690</v>
      </c>
      <c r="G892" t="s">
        <v>103</v>
      </c>
    </row>
    <row r="893" spans="1:7" x14ac:dyDescent="0.3">
      <c r="A893" t="s">
        <v>41</v>
      </c>
      <c r="B893" t="s">
        <v>308</v>
      </c>
      <c r="C893">
        <v>45</v>
      </c>
      <c r="D893" t="s">
        <v>251</v>
      </c>
      <c r="E893" t="s">
        <v>702</v>
      </c>
      <c r="F893" t="s">
        <v>823</v>
      </c>
      <c r="G893" t="s">
        <v>103</v>
      </c>
    </row>
    <row r="895" spans="1:7" x14ac:dyDescent="0.3">
      <c r="A895" t="s">
        <v>824</v>
      </c>
    </row>
    <row r="896" spans="1:7" x14ac:dyDescent="0.3">
      <c r="A896" t="s">
        <v>36</v>
      </c>
      <c r="B896" t="s">
        <v>763</v>
      </c>
      <c r="C896" t="s">
        <v>24</v>
      </c>
      <c r="D896" t="s">
        <v>778</v>
      </c>
      <c r="E896" t="s">
        <v>779</v>
      </c>
      <c r="F896" t="s">
        <v>780</v>
      </c>
      <c r="G896" t="s">
        <v>87</v>
      </c>
    </row>
    <row r="897" spans="1:7" x14ac:dyDescent="0.3">
      <c r="A897" t="s">
        <v>25</v>
      </c>
      <c r="B897" t="s">
        <v>765</v>
      </c>
      <c r="C897">
        <v>90</v>
      </c>
      <c r="D897" t="s">
        <v>485</v>
      </c>
      <c r="E897" t="s">
        <v>264</v>
      </c>
      <c r="F897" t="s">
        <v>298</v>
      </c>
      <c r="G897" t="s">
        <v>103</v>
      </c>
    </row>
    <row r="898" spans="1:7" x14ac:dyDescent="0.3">
      <c r="A898" t="s">
        <v>25</v>
      </c>
      <c r="B898" t="s">
        <v>767</v>
      </c>
      <c r="C898">
        <v>67</v>
      </c>
      <c r="D898" t="s">
        <v>825</v>
      </c>
      <c r="E898" t="s">
        <v>111</v>
      </c>
      <c r="F898" t="s">
        <v>826</v>
      </c>
      <c r="G898" t="s">
        <v>103</v>
      </c>
    </row>
    <row r="899" spans="1:7" s="3" customFormat="1" x14ac:dyDescent="0.3">
      <c r="A899" s="3" t="s">
        <v>26</v>
      </c>
      <c r="B899" s="3" t="s">
        <v>764</v>
      </c>
      <c r="C899" s="3">
        <v>1</v>
      </c>
      <c r="D899" s="3" t="s">
        <v>103</v>
      </c>
      <c r="E899" s="3" t="s">
        <v>103</v>
      </c>
      <c r="F899" s="3" t="s">
        <v>192</v>
      </c>
      <c r="G899" s="3" t="s">
        <v>103</v>
      </c>
    </row>
    <row r="900" spans="1:7" x14ac:dyDescent="0.3">
      <c r="A900" t="s">
        <v>26</v>
      </c>
      <c r="B900" t="s">
        <v>765</v>
      </c>
      <c r="C900">
        <v>88</v>
      </c>
      <c r="D900" t="s">
        <v>66</v>
      </c>
      <c r="E900" t="s">
        <v>103</v>
      </c>
      <c r="F900" t="s">
        <v>67</v>
      </c>
      <c r="G900" t="s">
        <v>103</v>
      </c>
    </row>
    <row r="901" spans="1:7" x14ac:dyDescent="0.3">
      <c r="A901" t="s">
        <v>26</v>
      </c>
      <c r="B901" t="s">
        <v>767</v>
      </c>
      <c r="C901">
        <v>120</v>
      </c>
      <c r="D901" t="s">
        <v>133</v>
      </c>
      <c r="E901" t="s">
        <v>467</v>
      </c>
      <c r="F901" t="s">
        <v>827</v>
      </c>
      <c r="G901" t="s">
        <v>103</v>
      </c>
    </row>
    <row r="902" spans="1:7" x14ac:dyDescent="0.3">
      <c r="A902" t="s">
        <v>29</v>
      </c>
      <c r="B902" t="s">
        <v>765</v>
      </c>
      <c r="C902">
        <v>175</v>
      </c>
      <c r="D902" t="s">
        <v>167</v>
      </c>
      <c r="E902" t="s">
        <v>648</v>
      </c>
      <c r="F902" t="s">
        <v>372</v>
      </c>
      <c r="G902" t="s">
        <v>103</v>
      </c>
    </row>
    <row r="903" spans="1:7" x14ac:dyDescent="0.3">
      <c r="A903" t="s">
        <v>29</v>
      </c>
      <c r="B903" t="s">
        <v>767</v>
      </c>
      <c r="C903">
        <v>138</v>
      </c>
      <c r="D903" t="s">
        <v>548</v>
      </c>
      <c r="E903" t="s">
        <v>261</v>
      </c>
      <c r="F903" t="s">
        <v>349</v>
      </c>
      <c r="G903" t="s">
        <v>103</v>
      </c>
    </row>
    <row r="904" spans="1:7" x14ac:dyDescent="0.3">
      <c r="A904" t="s">
        <v>28</v>
      </c>
      <c r="B904" t="s">
        <v>765</v>
      </c>
      <c r="C904">
        <v>75</v>
      </c>
      <c r="D904" t="s">
        <v>282</v>
      </c>
      <c r="E904" t="s">
        <v>262</v>
      </c>
      <c r="F904" t="s">
        <v>828</v>
      </c>
      <c r="G904" t="s">
        <v>103</v>
      </c>
    </row>
    <row r="905" spans="1:7" x14ac:dyDescent="0.3">
      <c r="A905" t="s">
        <v>28</v>
      </c>
      <c r="B905" t="s">
        <v>767</v>
      </c>
      <c r="C905">
        <v>34</v>
      </c>
      <c r="D905" t="s">
        <v>217</v>
      </c>
      <c r="E905" t="s">
        <v>488</v>
      </c>
      <c r="F905" t="s">
        <v>189</v>
      </c>
      <c r="G905" t="s">
        <v>103</v>
      </c>
    </row>
    <row r="906" spans="1:7" x14ac:dyDescent="0.3">
      <c r="A906" t="s">
        <v>27</v>
      </c>
      <c r="B906" t="s">
        <v>765</v>
      </c>
      <c r="C906">
        <v>44</v>
      </c>
      <c r="D906" t="s">
        <v>649</v>
      </c>
      <c r="E906" t="s">
        <v>695</v>
      </c>
      <c r="F906" t="s">
        <v>796</v>
      </c>
      <c r="G906" t="s">
        <v>118</v>
      </c>
    </row>
    <row r="907" spans="1:7" x14ac:dyDescent="0.3">
      <c r="A907" t="s">
        <v>27</v>
      </c>
      <c r="B907" t="s">
        <v>767</v>
      </c>
      <c r="C907">
        <v>34</v>
      </c>
      <c r="D907" t="s">
        <v>331</v>
      </c>
      <c r="E907" t="s">
        <v>829</v>
      </c>
      <c r="F907" t="s">
        <v>233</v>
      </c>
      <c r="G907" t="s">
        <v>103</v>
      </c>
    </row>
    <row r="908" spans="1:7" s="3" customFormat="1" x14ac:dyDescent="0.3">
      <c r="A908" s="3" t="s">
        <v>41</v>
      </c>
      <c r="B908" s="3" t="s">
        <v>764</v>
      </c>
      <c r="C908" s="3">
        <v>1</v>
      </c>
      <c r="D908" s="3" t="s">
        <v>103</v>
      </c>
      <c r="E908" s="3" t="s">
        <v>103</v>
      </c>
      <c r="F908" s="3" t="s">
        <v>192</v>
      </c>
      <c r="G908" s="3" t="s">
        <v>103</v>
      </c>
    </row>
    <row r="909" spans="1:7" x14ac:dyDescent="0.3">
      <c r="A909" t="s">
        <v>41</v>
      </c>
      <c r="B909" t="s">
        <v>765</v>
      </c>
      <c r="C909">
        <v>472</v>
      </c>
      <c r="D909" t="s">
        <v>123</v>
      </c>
      <c r="E909" t="s">
        <v>580</v>
      </c>
      <c r="F909" t="s">
        <v>830</v>
      </c>
      <c r="G909" t="s">
        <v>91</v>
      </c>
    </row>
    <row r="910" spans="1:7" x14ac:dyDescent="0.3">
      <c r="A910" t="s">
        <v>41</v>
      </c>
      <c r="B910" t="s">
        <v>767</v>
      </c>
      <c r="C910">
        <v>393</v>
      </c>
      <c r="D910" t="s">
        <v>160</v>
      </c>
      <c r="E910" t="s">
        <v>485</v>
      </c>
      <c r="F910" t="s">
        <v>831</v>
      </c>
      <c r="G910" t="s">
        <v>103</v>
      </c>
    </row>
    <row r="912" spans="1:7" x14ac:dyDescent="0.3">
      <c r="A912" t="s">
        <v>832</v>
      </c>
    </row>
    <row r="913" spans="1:7" x14ac:dyDescent="0.3">
      <c r="A913" t="s">
        <v>36</v>
      </c>
      <c r="B913" t="s">
        <v>210</v>
      </c>
      <c r="C913" t="s">
        <v>24</v>
      </c>
      <c r="D913" t="s">
        <v>778</v>
      </c>
      <c r="E913" t="s">
        <v>779</v>
      </c>
      <c r="F913" t="s">
        <v>780</v>
      </c>
      <c r="G913" t="s">
        <v>87</v>
      </c>
    </row>
    <row r="914" spans="1:7" x14ac:dyDescent="0.3">
      <c r="A914" t="s">
        <v>25</v>
      </c>
      <c r="B914" t="s">
        <v>211</v>
      </c>
      <c r="C914">
        <v>157</v>
      </c>
      <c r="D914" t="s">
        <v>732</v>
      </c>
      <c r="E914" t="s">
        <v>578</v>
      </c>
      <c r="F914" t="s">
        <v>406</v>
      </c>
      <c r="G914" t="s">
        <v>103</v>
      </c>
    </row>
    <row r="915" spans="1:7" x14ac:dyDescent="0.3">
      <c r="A915" t="s">
        <v>26</v>
      </c>
      <c r="B915" t="s">
        <v>211</v>
      </c>
      <c r="C915">
        <v>66</v>
      </c>
      <c r="D915" t="s">
        <v>466</v>
      </c>
      <c r="E915" t="s">
        <v>239</v>
      </c>
      <c r="F915" t="s">
        <v>203</v>
      </c>
      <c r="G915" t="s">
        <v>103</v>
      </c>
    </row>
    <row r="916" spans="1:7" x14ac:dyDescent="0.3">
      <c r="A916" t="s">
        <v>26</v>
      </c>
      <c r="B916" t="s">
        <v>212</v>
      </c>
      <c r="C916">
        <v>143</v>
      </c>
      <c r="D916" t="s">
        <v>105</v>
      </c>
      <c r="E916" t="s">
        <v>329</v>
      </c>
      <c r="F916" t="s">
        <v>833</v>
      </c>
      <c r="G916" t="s">
        <v>103</v>
      </c>
    </row>
    <row r="917" spans="1:7" x14ac:dyDescent="0.3">
      <c r="A917" t="s">
        <v>29</v>
      </c>
      <c r="B917" t="s">
        <v>211</v>
      </c>
      <c r="C917">
        <v>313</v>
      </c>
      <c r="D917" t="s">
        <v>515</v>
      </c>
      <c r="E917" t="s">
        <v>504</v>
      </c>
      <c r="F917" t="s">
        <v>782</v>
      </c>
      <c r="G917" t="s">
        <v>103</v>
      </c>
    </row>
    <row r="918" spans="1:7" x14ac:dyDescent="0.3">
      <c r="A918" t="s">
        <v>28</v>
      </c>
      <c r="B918" t="s">
        <v>211</v>
      </c>
      <c r="C918">
        <v>106</v>
      </c>
      <c r="D918" t="s">
        <v>239</v>
      </c>
      <c r="E918" t="s">
        <v>543</v>
      </c>
      <c r="F918" t="s">
        <v>712</v>
      </c>
      <c r="G918" t="s">
        <v>103</v>
      </c>
    </row>
    <row r="919" spans="1:7" s="3" customFormat="1" x14ac:dyDescent="0.3">
      <c r="A919" s="3" t="s">
        <v>28</v>
      </c>
      <c r="B919" s="3" t="s">
        <v>212</v>
      </c>
      <c r="C919" s="3">
        <v>3</v>
      </c>
      <c r="D919" s="3" t="s">
        <v>103</v>
      </c>
      <c r="E919" s="3" t="s">
        <v>103</v>
      </c>
      <c r="F919" s="3" t="s">
        <v>192</v>
      </c>
      <c r="G919" s="3" t="s">
        <v>103</v>
      </c>
    </row>
    <row r="920" spans="1:7" x14ac:dyDescent="0.3">
      <c r="A920" t="s">
        <v>27</v>
      </c>
      <c r="B920" t="s">
        <v>211</v>
      </c>
      <c r="C920">
        <v>72</v>
      </c>
      <c r="D920" t="s">
        <v>700</v>
      </c>
      <c r="E920" t="s">
        <v>756</v>
      </c>
      <c r="F920" t="s">
        <v>233</v>
      </c>
      <c r="G920" t="s">
        <v>110</v>
      </c>
    </row>
    <row r="921" spans="1:7" s="3" customFormat="1" x14ac:dyDescent="0.3">
      <c r="A921" s="3" t="s">
        <v>27</v>
      </c>
      <c r="B921" s="3" t="s">
        <v>212</v>
      </c>
      <c r="C921" s="3">
        <v>6</v>
      </c>
      <c r="D921" s="3" t="s">
        <v>686</v>
      </c>
      <c r="E921" s="3" t="s">
        <v>103</v>
      </c>
      <c r="F921" s="3" t="s">
        <v>834</v>
      </c>
      <c r="G921" s="3" t="s">
        <v>103</v>
      </c>
    </row>
    <row r="922" spans="1:7" x14ac:dyDescent="0.3">
      <c r="A922" t="s">
        <v>41</v>
      </c>
      <c r="B922" t="s">
        <v>211</v>
      </c>
      <c r="C922">
        <v>714</v>
      </c>
      <c r="D922" t="s">
        <v>54</v>
      </c>
      <c r="E922" t="s">
        <v>706</v>
      </c>
      <c r="F922" t="s">
        <v>835</v>
      </c>
      <c r="G922" t="s">
        <v>103</v>
      </c>
    </row>
    <row r="923" spans="1:7" x14ac:dyDescent="0.3">
      <c r="A923" t="s">
        <v>41</v>
      </c>
      <c r="B923" t="s">
        <v>212</v>
      </c>
      <c r="C923">
        <v>152</v>
      </c>
      <c r="D923" t="s">
        <v>329</v>
      </c>
      <c r="E923" t="s">
        <v>208</v>
      </c>
      <c r="F923" t="s">
        <v>185</v>
      </c>
      <c r="G923" t="s">
        <v>103</v>
      </c>
    </row>
    <row r="925" spans="1:7" x14ac:dyDescent="0.3">
      <c r="A925" t="s">
        <v>836</v>
      </c>
    </row>
    <row r="926" spans="1:7" x14ac:dyDescent="0.3">
      <c r="A926" t="s">
        <v>36</v>
      </c>
      <c r="B926" t="s">
        <v>24</v>
      </c>
      <c r="C926" t="s">
        <v>58</v>
      </c>
      <c r="D926" t="s">
        <v>59</v>
      </c>
    </row>
    <row r="927" spans="1:7" s="3" customFormat="1" x14ac:dyDescent="0.3">
      <c r="A927" s="3" t="s">
        <v>25</v>
      </c>
      <c r="B927" s="3">
        <v>29</v>
      </c>
      <c r="C927" s="3" t="s">
        <v>195</v>
      </c>
      <c r="D927" s="3" t="s">
        <v>837</v>
      </c>
    </row>
    <row r="928" spans="1:7" s="3" customFormat="1" x14ac:dyDescent="0.3">
      <c r="A928" s="3" t="s">
        <v>26</v>
      </c>
      <c r="B928" s="3">
        <v>4</v>
      </c>
      <c r="C928" s="3" t="s">
        <v>838</v>
      </c>
      <c r="D928" s="3" t="s">
        <v>839</v>
      </c>
    </row>
    <row r="929" spans="1:5" x14ac:dyDescent="0.3">
      <c r="A929" t="s">
        <v>29</v>
      </c>
      <c r="B929">
        <v>82</v>
      </c>
      <c r="C929" t="s">
        <v>438</v>
      </c>
      <c r="D929" t="s">
        <v>840</v>
      </c>
    </row>
    <row r="930" spans="1:5" s="3" customFormat="1" x14ac:dyDescent="0.3">
      <c r="A930" s="3" t="s">
        <v>28</v>
      </c>
      <c r="B930" s="3">
        <v>11</v>
      </c>
      <c r="C930" s="3" t="s">
        <v>103</v>
      </c>
      <c r="D930" s="3" t="s">
        <v>192</v>
      </c>
    </row>
    <row r="931" spans="1:5" s="3" customFormat="1" x14ac:dyDescent="0.3">
      <c r="A931" s="3" t="s">
        <v>27</v>
      </c>
      <c r="B931" s="3">
        <v>16</v>
      </c>
      <c r="C931" s="3" t="s">
        <v>536</v>
      </c>
      <c r="D931" s="3" t="s">
        <v>749</v>
      </c>
    </row>
    <row r="932" spans="1:5" x14ac:dyDescent="0.3">
      <c r="A932" t="s">
        <v>41</v>
      </c>
      <c r="B932">
        <v>142</v>
      </c>
      <c r="C932" t="s">
        <v>615</v>
      </c>
      <c r="D932" t="s">
        <v>841</v>
      </c>
    </row>
    <row r="934" spans="1:5" x14ac:dyDescent="0.3">
      <c r="A934" t="s">
        <v>842</v>
      </c>
    </row>
    <row r="935" spans="1:5" x14ac:dyDescent="0.3">
      <c r="A935" t="s">
        <v>36</v>
      </c>
      <c r="B935" t="s">
        <v>843</v>
      </c>
      <c r="C935" t="s">
        <v>24</v>
      </c>
      <c r="D935" t="s">
        <v>59</v>
      </c>
      <c r="E935" t="s">
        <v>58</v>
      </c>
    </row>
    <row r="936" spans="1:5" s="3" customFormat="1" x14ac:dyDescent="0.3">
      <c r="A936" s="3" t="s">
        <v>25</v>
      </c>
      <c r="B936" s="3" t="s">
        <v>844</v>
      </c>
      <c r="C936" s="3">
        <v>6</v>
      </c>
      <c r="D936" s="3" t="s">
        <v>192</v>
      </c>
      <c r="E936" s="3" t="s">
        <v>103</v>
      </c>
    </row>
    <row r="937" spans="1:5" s="3" customFormat="1" x14ac:dyDescent="0.3">
      <c r="A937" s="3" t="s">
        <v>25</v>
      </c>
      <c r="B937" s="3" t="s">
        <v>845</v>
      </c>
      <c r="C937" s="3">
        <v>9</v>
      </c>
      <c r="D937" s="3" t="s">
        <v>744</v>
      </c>
      <c r="E937" s="3" t="s">
        <v>743</v>
      </c>
    </row>
    <row r="938" spans="1:5" s="3" customFormat="1" x14ac:dyDescent="0.3">
      <c r="A938" s="3" t="s">
        <v>25</v>
      </c>
      <c r="B938" s="3" t="s">
        <v>846</v>
      </c>
      <c r="C938" s="3">
        <v>7</v>
      </c>
      <c r="D938" s="3" t="s">
        <v>192</v>
      </c>
      <c r="E938" s="3" t="s">
        <v>103</v>
      </c>
    </row>
    <row r="939" spans="1:5" s="3" customFormat="1" x14ac:dyDescent="0.3">
      <c r="A939" s="3" t="s">
        <v>25</v>
      </c>
      <c r="B939" s="3" t="s">
        <v>847</v>
      </c>
      <c r="C939" s="3">
        <v>7</v>
      </c>
      <c r="D939" s="3" t="s">
        <v>192</v>
      </c>
      <c r="E939" s="3" t="s">
        <v>103</v>
      </c>
    </row>
    <row r="940" spans="1:5" s="3" customFormat="1" x14ac:dyDescent="0.3">
      <c r="A940" s="3" t="s">
        <v>26</v>
      </c>
      <c r="B940" s="3" t="s">
        <v>845</v>
      </c>
      <c r="C940" s="3">
        <v>1</v>
      </c>
      <c r="D940" s="3" t="s">
        <v>103</v>
      </c>
      <c r="E940" s="3" t="s">
        <v>192</v>
      </c>
    </row>
    <row r="941" spans="1:5" s="3" customFormat="1" x14ac:dyDescent="0.3">
      <c r="A941" s="3" t="s">
        <v>26</v>
      </c>
      <c r="B941" s="3" t="s">
        <v>847</v>
      </c>
      <c r="C941" s="3">
        <v>1</v>
      </c>
      <c r="D941" s="3" t="s">
        <v>103</v>
      </c>
      <c r="E941" s="3" t="s">
        <v>192</v>
      </c>
    </row>
    <row r="942" spans="1:5" s="3" customFormat="1" x14ac:dyDescent="0.3">
      <c r="A942" s="3" t="s">
        <v>26</v>
      </c>
      <c r="B942" s="3" t="s">
        <v>848</v>
      </c>
      <c r="C942" s="3">
        <v>2</v>
      </c>
      <c r="D942" s="3" t="s">
        <v>192</v>
      </c>
      <c r="E942" s="3" t="s">
        <v>103</v>
      </c>
    </row>
    <row r="943" spans="1:5" s="3" customFormat="1" x14ac:dyDescent="0.3">
      <c r="A943" s="3" t="s">
        <v>29</v>
      </c>
      <c r="B943" s="3" t="s">
        <v>844</v>
      </c>
      <c r="C943" s="3">
        <v>14</v>
      </c>
      <c r="D943" s="3" t="s">
        <v>633</v>
      </c>
      <c r="E943" s="3" t="s">
        <v>594</v>
      </c>
    </row>
    <row r="944" spans="1:5" x14ac:dyDescent="0.3">
      <c r="A944" t="s">
        <v>29</v>
      </c>
      <c r="B944" t="s">
        <v>845</v>
      </c>
      <c r="C944">
        <v>32</v>
      </c>
      <c r="D944" t="s">
        <v>849</v>
      </c>
      <c r="E944" t="s">
        <v>206</v>
      </c>
    </row>
    <row r="945" spans="1:5" s="3" customFormat="1" x14ac:dyDescent="0.3">
      <c r="A945" s="3" t="s">
        <v>29</v>
      </c>
      <c r="B945" s="3" t="s">
        <v>846</v>
      </c>
      <c r="C945" s="3">
        <v>15</v>
      </c>
      <c r="D945" s="3" t="s">
        <v>192</v>
      </c>
      <c r="E945" s="3" t="s">
        <v>103</v>
      </c>
    </row>
    <row r="946" spans="1:5" s="3" customFormat="1" x14ac:dyDescent="0.3">
      <c r="A946" s="3" t="s">
        <v>29</v>
      </c>
      <c r="B946" s="3" t="s">
        <v>847</v>
      </c>
      <c r="C946" s="3">
        <v>21</v>
      </c>
      <c r="D946" s="3" t="s">
        <v>192</v>
      </c>
      <c r="E946" s="3" t="s">
        <v>103</v>
      </c>
    </row>
    <row r="947" spans="1:5" s="3" customFormat="1" x14ac:dyDescent="0.3">
      <c r="A947" s="3" t="s">
        <v>28</v>
      </c>
      <c r="B947" s="3" t="s">
        <v>844</v>
      </c>
      <c r="C947" s="3">
        <v>2</v>
      </c>
      <c r="D947" s="3" t="s">
        <v>192</v>
      </c>
      <c r="E947" s="3" t="s">
        <v>103</v>
      </c>
    </row>
    <row r="948" spans="1:5" s="3" customFormat="1" x14ac:dyDescent="0.3">
      <c r="A948" s="3" t="s">
        <v>28</v>
      </c>
      <c r="B948" s="3" t="s">
        <v>845</v>
      </c>
      <c r="C948" s="3">
        <v>1</v>
      </c>
      <c r="D948" s="3" t="s">
        <v>192</v>
      </c>
      <c r="E948" s="3" t="s">
        <v>103</v>
      </c>
    </row>
    <row r="949" spans="1:5" s="3" customFormat="1" x14ac:dyDescent="0.3">
      <c r="A949" s="3" t="s">
        <v>28</v>
      </c>
      <c r="B949" s="3" t="s">
        <v>846</v>
      </c>
      <c r="C949" s="3">
        <v>2</v>
      </c>
      <c r="D949" s="3" t="s">
        <v>192</v>
      </c>
      <c r="E949" s="3" t="s">
        <v>103</v>
      </c>
    </row>
    <row r="950" spans="1:5" s="3" customFormat="1" x14ac:dyDescent="0.3">
      <c r="A950" s="3" t="s">
        <v>28</v>
      </c>
      <c r="B950" s="3" t="s">
        <v>847</v>
      </c>
      <c r="C950" s="3">
        <v>3</v>
      </c>
      <c r="D950" s="3" t="s">
        <v>192</v>
      </c>
      <c r="E950" s="3" t="s">
        <v>103</v>
      </c>
    </row>
    <row r="951" spans="1:5" s="3" customFormat="1" x14ac:dyDescent="0.3">
      <c r="A951" s="3" t="s">
        <v>28</v>
      </c>
      <c r="B951" s="3" t="s">
        <v>848</v>
      </c>
      <c r="C951" s="3">
        <v>3</v>
      </c>
      <c r="D951" s="3" t="s">
        <v>192</v>
      </c>
      <c r="E951" s="3" t="s">
        <v>103</v>
      </c>
    </row>
    <row r="952" spans="1:5" s="3" customFormat="1" x14ac:dyDescent="0.3">
      <c r="A952" s="3" t="s">
        <v>27</v>
      </c>
      <c r="B952" s="3" t="s">
        <v>844</v>
      </c>
      <c r="C952" s="3">
        <v>5</v>
      </c>
      <c r="D952" s="3" t="s">
        <v>192</v>
      </c>
      <c r="E952" s="3" t="s">
        <v>103</v>
      </c>
    </row>
    <row r="953" spans="1:5" s="3" customFormat="1" x14ac:dyDescent="0.3">
      <c r="A953" s="3" t="s">
        <v>27</v>
      </c>
      <c r="B953" s="3" t="s">
        <v>845</v>
      </c>
      <c r="C953" s="3">
        <v>4</v>
      </c>
      <c r="D953" s="3" t="s">
        <v>227</v>
      </c>
      <c r="E953" s="3" t="s">
        <v>697</v>
      </c>
    </row>
    <row r="954" spans="1:5" s="3" customFormat="1" x14ac:dyDescent="0.3">
      <c r="A954" s="3" t="s">
        <v>27</v>
      </c>
      <c r="B954" s="3" t="s">
        <v>846</v>
      </c>
      <c r="C954" s="3">
        <v>3</v>
      </c>
      <c r="D954" s="3" t="s">
        <v>192</v>
      </c>
      <c r="E954" s="3" t="s">
        <v>103</v>
      </c>
    </row>
    <row r="955" spans="1:5" s="3" customFormat="1" x14ac:dyDescent="0.3">
      <c r="A955" s="3" t="s">
        <v>27</v>
      </c>
      <c r="B955" s="3" t="s">
        <v>847</v>
      </c>
      <c r="C955" s="3">
        <v>3</v>
      </c>
      <c r="D955" s="3" t="s">
        <v>192</v>
      </c>
      <c r="E955" s="3" t="s">
        <v>103</v>
      </c>
    </row>
    <row r="956" spans="1:5" s="3" customFormat="1" x14ac:dyDescent="0.3">
      <c r="A956" s="3" t="s">
        <v>27</v>
      </c>
      <c r="B956" s="3" t="s">
        <v>848</v>
      </c>
      <c r="C956" s="3">
        <v>1</v>
      </c>
      <c r="D956" s="3" t="s">
        <v>103</v>
      </c>
      <c r="E956" s="3" t="s">
        <v>192</v>
      </c>
    </row>
    <row r="957" spans="1:5" s="3" customFormat="1" x14ac:dyDescent="0.3">
      <c r="A957" s="3" t="s">
        <v>41</v>
      </c>
      <c r="B957" s="3" t="s">
        <v>844</v>
      </c>
      <c r="C957" s="3">
        <v>27</v>
      </c>
      <c r="D957" s="3" t="s">
        <v>850</v>
      </c>
      <c r="E957" s="3" t="s">
        <v>33</v>
      </c>
    </row>
    <row r="958" spans="1:5" x14ac:dyDescent="0.3">
      <c r="A958" t="s">
        <v>41</v>
      </c>
      <c r="B958" t="s">
        <v>845</v>
      </c>
      <c r="C958">
        <v>47</v>
      </c>
      <c r="D958" t="s">
        <v>851</v>
      </c>
      <c r="E958" t="s">
        <v>571</v>
      </c>
    </row>
    <row r="959" spans="1:5" s="3" customFormat="1" x14ac:dyDescent="0.3">
      <c r="A959" s="3" t="s">
        <v>41</v>
      </c>
      <c r="B959" s="3" t="s">
        <v>846</v>
      </c>
      <c r="C959" s="3">
        <v>27</v>
      </c>
      <c r="D959" s="3" t="s">
        <v>192</v>
      </c>
      <c r="E959" s="3" t="s">
        <v>103</v>
      </c>
    </row>
    <row r="960" spans="1:5" x14ac:dyDescent="0.3">
      <c r="A960" t="s">
        <v>41</v>
      </c>
      <c r="B960" t="s">
        <v>847</v>
      </c>
      <c r="C960">
        <v>35</v>
      </c>
      <c r="D960" t="s">
        <v>852</v>
      </c>
      <c r="E960" t="s">
        <v>128</v>
      </c>
    </row>
    <row r="961" spans="1:5" s="3" customFormat="1" x14ac:dyDescent="0.3">
      <c r="A961" s="3" t="s">
        <v>41</v>
      </c>
      <c r="B961" s="3" t="s">
        <v>848</v>
      </c>
      <c r="C961" s="3">
        <v>6</v>
      </c>
      <c r="D961" s="3" t="s">
        <v>818</v>
      </c>
      <c r="E961" s="3" t="s">
        <v>459</v>
      </c>
    </row>
    <row r="963" spans="1:5" x14ac:dyDescent="0.3">
      <c r="A963" t="s">
        <v>853</v>
      </c>
    </row>
    <row r="964" spans="1:5" x14ac:dyDescent="0.3">
      <c r="A964" t="s">
        <v>36</v>
      </c>
      <c r="B964" t="s">
        <v>714</v>
      </c>
      <c r="C964" t="s">
        <v>24</v>
      </c>
      <c r="D964" t="s">
        <v>59</v>
      </c>
      <c r="E964" t="s">
        <v>58</v>
      </c>
    </row>
    <row r="965" spans="1:5" s="3" customFormat="1" x14ac:dyDescent="0.3">
      <c r="A965" s="3" t="s">
        <v>25</v>
      </c>
      <c r="B965" s="3" t="s">
        <v>719</v>
      </c>
      <c r="C965" s="3">
        <v>1</v>
      </c>
      <c r="D965" s="3" t="s">
        <v>192</v>
      </c>
      <c r="E965" s="3" t="s">
        <v>103</v>
      </c>
    </row>
    <row r="966" spans="1:5" x14ac:dyDescent="0.3">
      <c r="A966" t="s">
        <v>25</v>
      </c>
      <c r="B966" t="s">
        <v>308</v>
      </c>
      <c r="C966">
        <v>28</v>
      </c>
      <c r="D966" t="s">
        <v>69</v>
      </c>
      <c r="E966" t="s">
        <v>68</v>
      </c>
    </row>
    <row r="967" spans="1:5" x14ac:dyDescent="0.3">
      <c r="A967" t="s">
        <v>26</v>
      </c>
      <c r="B967" t="s">
        <v>308</v>
      </c>
      <c r="C967">
        <v>4</v>
      </c>
      <c r="D967" t="s">
        <v>839</v>
      </c>
      <c r="E967" t="s">
        <v>838</v>
      </c>
    </row>
    <row r="968" spans="1:5" s="3" customFormat="1" x14ac:dyDescent="0.3">
      <c r="A968" s="3" t="s">
        <v>29</v>
      </c>
      <c r="B968" s="3" t="s">
        <v>715</v>
      </c>
      <c r="C968" s="3">
        <v>2</v>
      </c>
      <c r="D968" s="3" t="s">
        <v>192</v>
      </c>
      <c r="E968" s="3" t="s">
        <v>103</v>
      </c>
    </row>
    <row r="969" spans="1:5" s="3" customFormat="1" x14ac:dyDescent="0.3">
      <c r="A969" s="3" t="s">
        <v>29</v>
      </c>
      <c r="B969" s="3" t="s">
        <v>716</v>
      </c>
      <c r="C969" s="3">
        <v>2</v>
      </c>
      <c r="D969" s="3" t="s">
        <v>192</v>
      </c>
      <c r="E969" s="3" t="s">
        <v>103</v>
      </c>
    </row>
    <row r="970" spans="1:5" s="3" customFormat="1" x14ac:dyDescent="0.3">
      <c r="A970" s="3" t="s">
        <v>29</v>
      </c>
      <c r="B970" s="3" t="s">
        <v>718</v>
      </c>
      <c r="C970" s="3">
        <v>1</v>
      </c>
      <c r="D970" s="3" t="s">
        <v>192</v>
      </c>
      <c r="E970" s="3" t="s">
        <v>103</v>
      </c>
    </row>
    <row r="971" spans="1:5" s="3" customFormat="1" x14ac:dyDescent="0.3">
      <c r="A971" s="3" t="s">
        <v>29</v>
      </c>
      <c r="B971" s="3" t="s">
        <v>719</v>
      </c>
      <c r="C971" s="3">
        <v>1</v>
      </c>
      <c r="D971" s="3" t="s">
        <v>192</v>
      </c>
      <c r="E971" s="3" t="s">
        <v>103</v>
      </c>
    </row>
    <row r="972" spans="1:5" x14ac:dyDescent="0.3">
      <c r="A972" t="s">
        <v>29</v>
      </c>
      <c r="B972" t="s">
        <v>308</v>
      </c>
      <c r="C972">
        <v>76</v>
      </c>
      <c r="D972" t="s">
        <v>286</v>
      </c>
      <c r="E972" t="s">
        <v>493</v>
      </c>
    </row>
    <row r="973" spans="1:5" x14ac:dyDescent="0.3">
      <c r="A973" t="s">
        <v>28</v>
      </c>
      <c r="B973" t="s">
        <v>308</v>
      </c>
      <c r="C973">
        <v>11</v>
      </c>
      <c r="D973" t="s">
        <v>192</v>
      </c>
      <c r="E973" t="s">
        <v>103</v>
      </c>
    </row>
    <row r="974" spans="1:5" x14ac:dyDescent="0.3">
      <c r="A974" t="s">
        <v>27</v>
      </c>
      <c r="B974" t="s">
        <v>308</v>
      </c>
      <c r="C974">
        <v>16</v>
      </c>
      <c r="D974" t="s">
        <v>749</v>
      </c>
      <c r="E974" t="s">
        <v>536</v>
      </c>
    </row>
    <row r="975" spans="1:5" s="3" customFormat="1" x14ac:dyDescent="0.3">
      <c r="A975" s="3" t="s">
        <v>41</v>
      </c>
      <c r="B975" s="3" t="s">
        <v>715</v>
      </c>
      <c r="C975" s="3">
        <v>2</v>
      </c>
      <c r="D975" s="3" t="s">
        <v>192</v>
      </c>
      <c r="E975" s="3" t="s">
        <v>103</v>
      </c>
    </row>
    <row r="976" spans="1:5" s="3" customFormat="1" x14ac:dyDescent="0.3">
      <c r="A976" s="3" t="s">
        <v>41</v>
      </c>
      <c r="B976" s="3" t="s">
        <v>716</v>
      </c>
      <c r="C976" s="3">
        <v>2</v>
      </c>
      <c r="D976" s="3" t="s">
        <v>192</v>
      </c>
      <c r="E976" s="3" t="s">
        <v>103</v>
      </c>
    </row>
    <row r="977" spans="1:5" s="3" customFormat="1" x14ac:dyDescent="0.3">
      <c r="A977" s="3" t="s">
        <v>41</v>
      </c>
      <c r="B977" s="3" t="s">
        <v>718</v>
      </c>
      <c r="C977" s="3">
        <v>1</v>
      </c>
      <c r="D977" s="3" t="s">
        <v>192</v>
      </c>
      <c r="E977" s="3" t="s">
        <v>103</v>
      </c>
    </row>
    <row r="978" spans="1:5" s="3" customFormat="1" x14ac:dyDescent="0.3">
      <c r="A978" s="3" t="s">
        <v>41</v>
      </c>
      <c r="B978" s="3" t="s">
        <v>719</v>
      </c>
      <c r="C978" s="3">
        <v>2</v>
      </c>
      <c r="D978" s="3" t="s">
        <v>192</v>
      </c>
      <c r="E978" s="3" t="s">
        <v>103</v>
      </c>
    </row>
    <row r="979" spans="1:5" x14ac:dyDescent="0.3">
      <c r="A979" t="s">
        <v>41</v>
      </c>
      <c r="B979" t="s">
        <v>308</v>
      </c>
      <c r="C979">
        <v>135</v>
      </c>
      <c r="D979" t="s">
        <v>781</v>
      </c>
      <c r="E979" t="s">
        <v>284</v>
      </c>
    </row>
    <row r="981" spans="1:5" x14ac:dyDescent="0.3">
      <c r="A981" t="s">
        <v>854</v>
      </c>
    </row>
    <row r="982" spans="1:5" x14ac:dyDescent="0.3">
      <c r="A982" t="s">
        <v>36</v>
      </c>
      <c r="B982" t="s">
        <v>197</v>
      </c>
      <c r="C982" t="s">
        <v>24</v>
      </c>
      <c r="D982" t="s">
        <v>59</v>
      </c>
      <c r="E982" t="s">
        <v>58</v>
      </c>
    </row>
    <row r="983" spans="1:5" s="3" customFormat="1" x14ac:dyDescent="0.3">
      <c r="A983" s="3" t="s">
        <v>25</v>
      </c>
      <c r="B983" s="3" t="s">
        <v>198</v>
      </c>
      <c r="C983" s="3">
        <v>11</v>
      </c>
      <c r="D983" s="3" t="s">
        <v>192</v>
      </c>
      <c r="E983" s="3" t="s">
        <v>103</v>
      </c>
    </row>
    <row r="984" spans="1:5" s="3" customFormat="1" x14ac:dyDescent="0.3">
      <c r="A984" s="3" t="s">
        <v>25</v>
      </c>
      <c r="B984" s="3" t="s">
        <v>199</v>
      </c>
      <c r="C984" s="3">
        <v>18</v>
      </c>
      <c r="D984" s="3" t="s">
        <v>841</v>
      </c>
      <c r="E984" s="3" t="s">
        <v>615</v>
      </c>
    </row>
    <row r="985" spans="1:5" s="3" customFormat="1" x14ac:dyDescent="0.3">
      <c r="A985" s="3" t="s">
        <v>26</v>
      </c>
      <c r="B985" s="3" t="s">
        <v>199</v>
      </c>
      <c r="C985" s="3">
        <v>4</v>
      </c>
      <c r="D985" s="3" t="s">
        <v>839</v>
      </c>
      <c r="E985" s="3" t="s">
        <v>838</v>
      </c>
    </row>
    <row r="986" spans="1:5" x14ac:dyDescent="0.3">
      <c r="A986" t="s">
        <v>29</v>
      </c>
      <c r="B986" t="s">
        <v>198</v>
      </c>
      <c r="C986">
        <v>41</v>
      </c>
      <c r="D986" t="s">
        <v>65</v>
      </c>
      <c r="E986" t="s">
        <v>64</v>
      </c>
    </row>
    <row r="987" spans="1:5" x14ac:dyDescent="0.3">
      <c r="A987" t="s">
        <v>29</v>
      </c>
      <c r="B987" t="s">
        <v>199</v>
      </c>
      <c r="C987">
        <v>41</v>
      </c>
      <c r="D987" t="s">
        <v>803</v>
      </c>
      <c r="E987" t="s">
        <v>114</v>
      </c>
    </row>
    <row r="988" spans="1:5" s="3" customFormat="1" x14ac:dyDescent="0.3">
      <c r="A988" s="3" t="s">
        <v>28</v>
      </c>
      <c r="B988" s="3" t="s">
        <v>198</v>
      </c>
      <c r="C988" s="3">
        <v>7</v>
      </c>
      <c r="D988" s="3" t="s">
        <v>192</v>
      </c>
      <c r="E988" s="3" t="s">
        <v>103</v>
      </c>
    </row>
    <row r="989" spans="1:5" s="3" customFormat="1" x14ac:dyDescent="0.3">
      <c r="A989" s="3" t="s">
        <v>28</v>
      </c>
      <c r="B989" s="3" t="s">
        <v>199</v>
      </c>
      <c r="C989" s="3">
        <v>4</v>
      </c>
      <c r="D989" s="3" t="s">
        <v>192</v>
      </c>
      <c r="E989" s="3" t="s">
        <v>103</v>
      </c>
    </row>
    <row r="990" spans="1:5" s="3" customFormat="1" x14ac:dyDescent="0.3">
      <c r="A990" s="3" t="s">
        <v>27</v>
      </c>
      <c r="B990" s="3" t="s">
        <v>198</v>
      </c>
      <c r="C990" s="3">
        <v>9</v>
      </c>
      <c r="D990" s="3" t="s">
        <v>192</v>
      </c>
      <c r="E990" s="3" t="s">
        <v>103</v>
      </c>
    </row>
    <row r="991" spans="1:5" s="3" customFormat="1" x14ac:dyDescent="0.3">
      <c r="A991" s="3" t="s">
        <v>27</v>
      </c>
      <c r="B991" s="3" t="s">
        <v>199</v>
      </c>
      <c r="C991" s="3">
        <v>7</v>
      </c>
      <c r="D991" s="3" t="s">
        <v>811</v>
      </c>
      <c r="E991" s="3" t="s">
        <v>504</v>
      </c>
    </row>
    <row r="992" spans="1:5" x14ac:dyDescent="0.3">
      <c r="A992" t="s">
        <v>41</v>
      </c>
      <c r="B992" t="s">
        <v>198</v>
      </c>
      <c r="C992">
        <v>68</v>
      </c>
      <c r="D992" t="s">
        <v>852</v>
      </c>
      <c r="E992" t="s">
        <v>128</v>
      </c>
    </row>
    <row r="993" spans="1:5" x14ac:dyDescent="0.3">
      <c r="A993" t="s">
        <v>41</v>
      </c>
      <c r="B993" t="s">
        <v>199</v>
      </c>
      <c r="C993">
        <v>74</v>
      </c>
      <c r="D993" t="s">
        <v>855</v>
      </c>
      <c r="E993" t="s">
        <v>94</v>
      </c>
    </row>
    <row r="995" spans="1:5" x14ac:dyDescent="0.3">
      <c r="A995" t="s">
        <v>856</v>
      </c>
    </row>
    <row r="996" spans="1:5" x14ac:dyDescent="0.3">
      <c r="A996" t="s">
        <v>36</v>
      </c>
      <c r="B996" t="s">
        <v>310</v>
      </c>
      <c r="C996" t="s">
        <v>24</v>
      </c>
      <c r="D996" t="s">
        <v>58</v>
      </c>
      <c r="E996" t="s">
        <v>59</v>
      </c>
    </row>
    <row r="997" spans="1:5" s="3" customFormat="1" x14ac:dyDescent="0.3">
      <c r="A997" s="3" t="s">
        <v>25</v>
      </c>
      <c r="B997" s="3" t="s">
        <v>311</v>
      </c>
      <c r="C997" s="3">
        <v>23</v>
      </c>
      <c r="D997" s="3" t="s">
        <v>114</v>
      </c>
      <c r="E997" s="3" t="s">
        <v>803</v>
      </c>
    </row>
    <row r="998" spans="1:5" s="3" customFormat="1" x14ac:dyDescent="0.3">
      <c r="A998" s="3" t="s">
        <v>25</v>
      </c>
      <c r="B998" s="3" t="s">
        <v>312</v>
      </c>
      <c r="C998" s="3">
        <v>3</v>
      </c>
      <c r="D998" s="3" t="s">
        <v>103</v>
      </c>
      <c r="E998" s="3" t="s">
        <v>192</v>
      </c>
    </row>
    <row r="999" spans="1:5" x14ac:dyDescent="0.3">
      <c r="A999" t="s">
        <v>25</v>
      </c>
      <c r="B999" t="s">
        <v>308</v>
      </c>
      <c r="C999">
        <v>3</v>
      </c>
      <c r="D999" t="s">
        <v>103</v>
      </c>
      <c r="E999" t="s">
        <v>192</v>
      </c>
    </row>
    <row r="1000" spans="1:5" s="3" customFormat="1" x14ac:dyDescent="0.3">
      <c r="A1000" s="3" t="s">
        <v>26</v>
      </c>
      <c r="B1000" s="3" t="s">
        <v>311</v>
      </c>
      <c r="C1000" s="3">
        <v>3</v>
      </c>
      <c r="D1000" s="3" t="s">
        <v>857</v>
      </c>
      <c r="E1000" s="3" t="s">
        <v>858</v>
      </c>
    </row>
    <row r="1001" spans="1:5" x14ac:dyDescent="0.3">
      <c r="A1001" t="s">
        <v>26</v>
      </c>
      <c r="B1001" t="s">
        <v>308</v>
      </c>
      <c r="C1001">
        <v>1</v>
      </c>
      <c r="D1001" t="s">
        <v>103</v>
      </c>
      <c r="E1001" t="s">
        <v>192</v>
      </c>
    </row>
    <row r="1002" spans="1:5" x14ac:dyDescent="0.3">
      <c r="A1002" t="s">
        <v>29</v>
      </c>
      <c r="B1002" t="s">
        <v>311</v>
      </c>
      <c r="C1002">
        <v>66</v>
      </c>
      <c r="D1002" t="s">
        <v>591</v>
      </c>
      <c r="E1002" t="s">
        <v>287</v>
      </c>
    </row>
    <row r="1003" spans="1:5" s="3" customFormat="1" x14ac:dyDescent="0.3">
      <c r="A1003" s="3" t="s">
        <v>29</v>
      </c>
      <c r="B1003" s="3" t="s">
        <v>312</v>
      </c>
      <c r="C1003" s="3">
        <v>10</v>
      </c>
      <c r="D1003" s="3" t="s">
        <v>103</v>
      </c>
      <c r="E1003" s="3" t="s">
        <v>192</v>
      </c>
    </row>
    <row r="1004" spans="1:5" x14ac:dyDescent="0.3">
      <c r="A1004" t="s">
        <v>29</v>
      </c>
      <c r="B1004" t="s">
        <v>308</v>
      </c>
      <c r="C1004">
        <v>6</v>
      </c>
      <c r="D1004" t="s">
        <v>103</v>
      </c>
      <c r="E1004" t="s">
        <v>192</v>
      </c>
    </row>
    <row r="1005" spans="1:5" s="3" customFormat="1" x14ac:dyDescent="0.3">
      <c r="A1005" s="3" t="s">
        <v>28</v>
      </c>
      <c r="B1005" s="3" t="s">
        <v>311</v>
      </c>
      <c r="C1005" s="3">
        <v>8</v>
      </c>
      <c r="D1005" s="3" t="s">
        <v>103</v>
      </c>
      <c r="E1005" s="3" t="s">
        <v>192</v>
      </c>
    </row>
    <row r="1006" spans="1:5" s="3" customFormat="1" x14ac:dyDescent="0.3">
      <c r="A1006" s="3" t="s">
        <v>28</v>
      </c>
      <c r="B1006" s="3" t="s">
        <v>312</v>
      </c>
      <c r="C1006" s="3">
        <v>3</v>
      </c>
      <c r="D1006" s="3" t="s">
        <v>103</v>
      </c>
      <c r="E1006" s="3" t="s">
        <v>192</v>
      </c>
    </row>
    <row r="1007" spans="1:5" s="3" customFormat="1" x14ac:dyDescent="0.3">
      <c r="A1007" s="3" t="s">
        <v>27</v>
      </c>
      <c r="B1007" s="3" t="s">
        <v>311</v>
      </c>
      <c r="C1007" s="3">
        <v>13</v>
      </c>
      <c r="D1007" s="3" t="s">
        <v>750</v>
      </c>
      <c r="E1007" s="3" t="s">
        <v>751</v>
      </c>
    </row>
    <row r="1008" spans="1:5" s="3" customFormat="1" x14ac:dyDescent="0.3">
      <c r="A1008" s="3" t="s">
        <v>27</v>
      </c>
      <c r="B1008" s="3" t="s">
        <v>312</v>
      </c>
      <c r="C1008" s="3">
        <v>3</v>
      </c>
      <c r="D1008" s="3" t="s">
        <v>103</v>
      </c>
      <c r="E1008" s="3" t="s">
        <v>192</v>
      </c>
    </row>
    <row r="1009" spans="1:5" x14ac:dyDescent="0.3">
      <c r="A1009" t="s">
        <v>41</v>
      </c>
      <c r="B1009" t="s">
        <v>311</v>
      </c>
      <c r="C1009">
        <v>113</v>
      </c>
      <c r="D1009" t="s">
        <v>112</v>
      </c>
      <c r="E1009" t="s">
        <v>859</v>
      </c>
    </row>
    <row r="1010" spans="1:5" s="3" customFormat="1" x14ac:dyDescent="0.3">
      <c r="A1010" s="3" t="s">
        <v>41</v>
      </c>
      <c r="B1010" s="3" t="s">
        <v>312</v>
      </c>
      <c r="C1010" s="3">
        <v>19</v>
      </c>
      <c r="D1010" s="3" t="s">
        <v>103</v>
      </c>
      <c r="E1010" s="3" t="s">
        <v>192</v>
      </c>
    </row>
    <row r="1011" spans="1:5" x14ac:dyDescent="0.3">
      <c r="A1011" t="s">
        <v>41</v>
      </c>
      <c r="B1011" t="s">
        <v>308</v>
      </c>
      <c r="C1011">
        <v>10</v>
      </c>
      <c r="D1011" t="s">
        <v>103</v>
      </c>
      <c r="E1011" t="s">
        <v>192</v>
      </c>
    </row>
    <row r="1013" spans="1:5" x14ac:dyDescent="0.3">
      <c r="A1013" t="s">
        <v>860</v>
      </c>
    </row>
    <row r="1014" spans="1:5" x14ac:dyDescent="0.3">
      <c r="A1014" t="s">
        <v>36</v>
      </c>
      <c r="B1014" t="s">
        <v>763</v>
      </c>
      <c r="C1014" t="s">
        <v>24</v>
      </c>
      <c r="D1014" t="s">
        <v>58</v>
      </c>
      <c r="E1014" t="s">
        <v>59</v>
      </c>
    </row>
    <row r="1015" spans="1:5" s="3" customFormat="1" x14ac:dyDescent="0.3">
      <c r="A1015" s="3" t="s">
        <v>25</v>
      </c>
      <c r="B1015" s="3" t="s">
        <v>765</v>
      </c>
      <c r="C1015" s="3">
        <v>21</v>
      </c>
      <c r="D1015" s="3" t="s">
        <v>113</v>
      </c>
      <c r="E1015" s="3" t="s">
        <v>861</v>
      </c>
    </row>
    <row r="1016" spans="1:5" s="3" customFormat="1" x14ac:dyDescent="0.3">
      <c r="A1016" s="3" t="s">
        <v>25</v>
      </c>
      <c r="B1016" s="3" t="s">
        <v>767</v>
      </c>
      <c r="C1016" s="3">
        <v>8</v>
      </c>
      <c r="D1016" s="3" t="s">
        <v>103</v>
      </c>
      <c r="E1016" s="3" t="s">
        <v>192</v>
      </c>
    </row>
    <row r="1017" spans="1:5" s="3" customFormat="1" x14ac:dyDescent="0.3">
      <c r="A1017" s="3" t="s">
        <v>26</v>
      </c>
      <c r="B1017" s="3" t="s">
        <v>767</v>
      </c>
      <c r="C1017" s="3">
        <v>4</v>
      </c>
      <c r="D1017" s="3" t="s">
        <v>838</v>
      </c>
      <c r="E1017" s="3" t="s">
        <v>839</v>
      </c>
    </row>
    <row r="1018" spans="1:5" x14ac:dyDescent="0.3">
      <c r="A1018" t="s">
        <v>29</v>
      </c>
      <c r="B1018" t="s">
        <v>765</v>
      </c>
      <c r="C1018">
        <v>46</v>
      </c>
      <c r="D1018" t="s">
        <v>531</v>
      </c>
      <c r="E1018" t="s">
        <v>862</v>
      </c>
    </row>
    <row r="1019" spans="1:5" x14ac:dyDescent="0.3">
      <c r="A1019" t="s">
        <v>29</v>
      </c>
      <c r="B1019" t="s">
        <v>767</v>
      </c>
      <c r="C1019">
        <v>36</v>
      </c>
      <c r="D1019" t="s">
        <v>103</v>
      </c>
      <c r="E1019" t="s">
        <v>192</v>
      </c>
    </row>
    <row r="1020" spans="1:5" s="3" customFormat="1" x14ac:dyDescent="0.3">
      <c r="A1020" s="3" t="s">
        <v>28</v>
      </c>
      <c r="B1020" s="3" t="s">
        <v>765</v>
      </c>
      <c r="C1020" s="3">
        <v>6</v>
      </c>
      <c r="D1020" s="3" t="s">
        <v>103</v>
      </c>
      <c r="E1020" s="3" t="s">
        <v>192</v>
      </c>
    </row>
    <row r="1021" spans="1:5" s="3" customFormat="1" x14ac:dyDescent="0.3">
      <c r="A1021" s="3" t="s">
        <v>28</v>
      </c>
      <c r="B1021" s="3" t="s">
        <v>767</v>
      </c>
      <c r="C1021" s="3">
        <v>5</v>
      </c>
      <c r="D1021" s="3" t="s">
        <v>103</v>
      </c>
      <c r="E1021" s="3" t="s">
        <v>192</v>
      </c>
    </row>
    <row r="1022" spans="1:5" s="3" customFormat="1" x14ac:dyDescent="0.3">
      <c r="A1022" s="3" t="s">
        <v>27</v>
      </c>
      <c r="B1022" s="3" t="s">
        <v>765</v>
      </c>
      <c r="C1022" s="3">
        <v>9</v>
      </c>
      <c r="D1022" s="3" t="s">
        <v>191</v>
      </c>
      <c r="E1022" s="3" t="s">
        <v>863</v>
      </c>
    </row>
    <row r="1023" spans="1:5" s="3" customFormat="1" x14ac:dyDescent="0.3">
      <c r="A1023" s="3" t="s">
        <v>27</v>
      </c>
      <c r="B1023" s="3" t="s">
        <v>767</v>
      </c>
      <c r="C1023" s="3">
        <v>7</v>
      </c>
      <c r="D1023" s="3" t="s">
        <v>173</v>
      </c>
      <c r="E1023" s="3" t="s">
        <v>174</v>
      </c>
    </row>
    <row r="1024" spans="1:5" x14ac:dyDescent="0.3">
      <c r="A1024" t="s">
        <v>41</v>
      </c>
      <c r="B1024" t="s">
        <v>765</v>
      </c>
      <c r="C1024">
        <v>82</v>
      </c>
      <c r="D1024" t="s">
        <v>232</v>
      </c>
      <c r="E1024" t="s">
        <v>864</v>
      </c>
    </row>
    <row r="1025" spans="1:5" x14ac:dyDescent="0.3">
      <c r="A1025" t="s">
        <v>41</v>
      </c>
      <c r="B1025" t="s">
        <v>767</v>
      </c>
      <c r="C1025">
        <v>60</v>
      </c>
      <c r="D1025" t="s">
        <v>195</v>
      </c>
      <c r="E1025" t="s">
        <v>837</v>
      </c>
    </row>
    <row r="1027" spans="1:5" x14ac:dyDescent="0.3">
      <c r="A1027" t="s">
        <v>865</v>
      </c>
    </row>
    <row r="1028" spans="1:5" x14ac:dyDescent="0.3">
      <c r="A1028" t="s">
        <v>36</v>
      </c>
      <c r="B1028" t="s">
        <v>210</v>
      </c>
      <c r="C1028" t="s">
        <v>24</v>
      </c>
      <c r="D1028" t="s">
        <v>58</v>
      </c>
      <c r="E1028" t="s">
        <v>59</v>
      </c>
    </row>
    <row r="1029" spans="1:5" s="3" customFormat="1" x14ac:dyDescent="0.3">
      <c r="A1029" s="3" t="s">
        <v>25</v>
      </c>
      <c r="B1029" s="3" t="s">
        <v>211</v>
      </c>
      <c r="C1029" s="3">
        <v>29</v>
      </c>
      <c r="D1029" s="3" t="s">
        <v>195</v>
      </c>
      <c r="E1029" s="3" t="s">
        <v>837</v>
      </c>
    </row>
    <row r="1030" spans="1:5" s="3" customFormat="1" x14ac:dyDescent="0.3">
      <c r="A1030" s="3" t="s">
        <v>26</v>
      </c>
      <c r="B1030" s="3" t="s">
        <v>211</v>
      </c>
      <c r="C1030" s="3">
        <v>1</v>
      </c>
      <c r="D1030" s="3" t="s">
        <v>103</v>
      </c>
      <c r="E1030" s="3" t="s">
        <v>192</v>
      </c>
    </row>
    <row r="1031" spans="1:5" s="3" customFormat="1" x14ac:dyDescent="0.3">
      <c r="A1031" s="3" t="s">
        <v>26</v>
      </c>
      <c r="B1031" s="3" t="s">
        <v>212</v>
      </c>
      <c r="C1031" s="3">
        <v>3</v>
      </c>
      <c r="D1031" s="3" t="s">
        <v>866</v>
      </c>
      <c r="E1031" s="3" t="s">
        <v>510</v>
      </c>
    </row>
    <row r="1032" spans="1:5" x14ac:dyDescent="0.3">
      <c r="A1032" t="s">
        <v>29</v>
      </c>
      <c r="B1032" t="s">
        <v>211</v>
      </c>
      <c r="C1032">
        <v>82</v>
      </c>
      <c r="D1032" t="s">
        <v>438</v>
      </c>
      <c r="E1032" t="s">
        <v>840</v>
      </c>
    </row>
    <row r="1033" spans="1:5" s="3" customFormat="1" x14ac:dyDescent="0.3">
      <c r="A1033" s="3" t="s">
        <v>28</v>
      </c>
      <c r="B1033" s="3" t="s">
        <v>211</v>
      </c>
      <c r="C1033" s="3">
        <v>11</v>
      </c>
      <c r="D1033" s="3" t="s">
        <v>103</v>
      </c>
      <c r="E1033" s="3" t="s">
        <v>192</v>
      </c>
    </row>
    <row r="1034" spans="1:5" s="3" customFormat="1" x14ac:dyDescent="0.3">
      <c r="A1034" s="3" t="s">
        <v>27</v>
      </c>
      <c r="B1034" s="3" t="s">
        <v>211</v>
      </c>
      <c r="C1034" s="3">
        <v>16</v>
      </c>
      <c r="D1034" s="3" t="s">
        <v>536</v>
      </c>
      <c r="E1034" s="3" t="s">
        <v>749</v>
      </c>
    </row>
    <row r="1035" spans="1:5" x14ac:dyDescent="0.3">
      <c r="A1035" t="s">
        <v>41</v>
      </c>
      <c r="B1035" t="s">
        <v>211</v>
      </c>
      <c r="C1035">
        <v>139</v>
      </c>
      <c r="D1035" t="s">
        <v>102</v>
      </c>
      <c r="E1035" t="s">
        <v>867</v>
      </c>
    </row>
    <row r="1036" spans="1:5" s="3" customFormat="1" x14ac:dyDescent="0.3">
      <c r="A1036" s="3" t="s">
        <v>41</v>
      </c>
      <c r="B1036" s="3" t="s">
        <v>212</v>
      </c>
      <c r="C1036" s="3">
        <v>3</v>
      </c>
      <c r="D1036" s="3" t="s">
        <v>866</v>
      </c>
      <c r="E1036" s="3" t="s">
        <v>510</v>
      </c>
    </row>
    <row r="1038" spans="1:5" x14ac:dyDescent="0.3">
      <c r="A1038" t="s">
        <v>868</v>
      </c>
    </row>
    <row r="1039" spans="1:5" x14ac:dyDescent="0.3">
      <c r="A1039" t="s">
        <v>36</v>
      </c>
      <c r="B1039" t="s">
        <v>24</v>
      </c>
      <c r="C1039" t="s">
        <v>58</v>
      </c>
      <c r="D1039" t="s">
        <v>59</v>
      </c>
      <c r="E1039" t="s">
        <v>348</v>
      </c>
    </row>
    <row r="1040" spans="1:5" x14ac:dyDescent="0.3">
      <c r="A1040" t="s">
        <v>25</v>
      </c>
      <c r="B1040">
        <v>96</v>
      </c>
      <c r="C1040" t="s">
        <v>494</v>
      </c>
      <c r="D1040" t="s">
        <v>869</v>
      </c>
      <c r="E1040" t="s">
        <v>103</v>
      </c>
    </row>
    <row r="1041" spans="1:6" x14ac:dyDescent="0.3">
      <c r="A1041" t="s">
        <v>26</v>
      </c>
      <c r="B1041">
        <v>196</v>
      </c>
      <c r="C1041" t="s">
        <v>750</v>
      </c>
      <c r="D1041" t="s">
        <v>870</v>
      </c>
      <c r="E1041" t="s">
        <v>120</v>
      </c>
    </row>
    <row r="1042" spans="1:6" x14ac:dyDescent="0.3">
      <c r="A1042" t="s">
        <v>29</v>
      </c>
      <c r="B1042">
        <v>180</v>
      </c>
      <c r="C1042" t="s">
        <v>270</v>
      </c>
      <c r="D1042" t="s">
        <v>332</v>
      </c>
      <c r="E1042" t="s">
        <v>103</v>
      </c>
    </row>
    <row r="1043" spans="1:6" x14ac:dyDescent="0.3">
      <c r="A1043" t="s">
        <v>28</v>
      </c>
      <c r="B1043">
        <v>96</v>
      </c>
      <c r="C1043" t="s">
        <v>232</v>
      </c>
      <c r="D1043" t="s">
        <v>864</v>
      </c>
      <c r="E1043" t="s">
        <v>103</v>
      </c>
    </row>
    <row r="1044" spans="1:6" x14ac:dyDescent="0.3">
      <c r="A1044" t="s">
        <v>27</v>
      </c>
      <c r="B1044">
        <v>48</v>
      </c>
      <c r="C1044" t="s">
        <v>224</v>
      </c>
      <c r="D1044" t="s">
        <v>871</v>
      </c>
      <c r="E1044" t="s">
        <v>103</v>
      </c>
    </row>
    <row r="1045" spans="1:6" x14ac:dyDescent="0.3">
      <c r="A1045" t="s">
        <v>41</v>
      </c>
      <c r="B1045">
        <v>616</v>
      </c>
      <c r="C1045" t="s">
        <v>100</v>
      </c>
      <c r="D1045" t="s">
        <v>625</v>
      </c>
      <c r="E1045" t="s">
        <v>66</v>
      </c>
    </row>
    <row r="1047" spans="1:6" x14ac:dyDescent="0.3">
      <c r="A1047" t="s">
        <v>872</v>
      </c>
    </row>
    <row r="1048" spans="1:6" x14ac:dyDescent="0.3">
      <c r="A1048" t="s">
        <v>36</v>
      </c>
      <c r="B1048" t="s">
        <v>714</v>
      </c>
      <c r="C1048" t="s">
        <v>24</v>
      </c>
      <c r="D1048" t="s">
        <v>59</v>
      </c>
      <c r="E1048" t="s">
        <v>58</v>
      </c>
      <c r="F1048" t="s">
        <v>348</v>
      </c>
    </row>
    <row r="1049" spans="1:6" s="3" customFormat="1" x14ac:dyDescent="0.3">
      <c r="A1049" s="3" t="s">
        <v>25</v>
      </c>
      <c r="B1049" s="3" t="s">
        <v>716</v>
      </c>
      <c r="C1049" s="3">
        <v>3</v>
      </c>
      <c r="D1049" s="3" t="s">
        <v>192</v>
      </c>
      <c r="E1049" s="3" t="s">
        <v>103</v>
      </c>
      <c r="F1049" s="3" t="s">
        <v>103</v>
      </c>
    </row>
    <row r="1050" spans="1:6" s="3" customFormat="1" x14ac:dyDescent="0.3">
      <c r="A1050" s="3" t="s">
        <v>25</v>
      </c>
      <c r="B1050" s="3" t="s">
        <v>718</v>
      </c>
      <c r="C1050" s="3">
        <v>1</v>
      </c>
      <c r="D1050" s="3" t="s">
        <v>192</v>
      </c>
      <c r="E1050" s="3" t="s">
        <v>103</v>
      </c>
      <c r="F1050" s="3" t="s">
        <v>103</v>
      </c>
    </row>
    <row r="1051" spans="1:6" s="3" customFormat="1" x14ac:dyDescent="0.3">
      <c r="A1051" s="3" t="s">
        <v>25</v>
      </c>
      <c r="B1051" s="3" t="s">
        <v>719</v>
      </c>
      <c r="C1051" s="3">
        <v>2</v>
      </c>
      <c r="D1051" s="3" t="s">
        <v>192</v>
      </c>
      <c r="E1051" s="3" t="s">
        <v>103</v>
      </c>
      <c r="F1051" s="3" t="s">
        <v>103</v>
      </c>
    </row>
    <row r="1052" spans="1:6" x14ac:dyDescent="0.3">
      <c r="A1052" t="s">
        <v>25</v>
      </c>
      <c r="B1052" t="s">
        <v>308</v>
      </c>
      <c r="C1052">
        <v>90</v>
      </c>
      <c r="D1052" t="s">
        <v>710</v>
      </c>
      <c r="E1052" t="s">
        <v>242</v>
      </c>
      <c r="F1052" t="s">
        <v>103</v>
      </c>
    </row>
    <row r="1053" spans="1:6" s="3" customFormat="1" x14ac:dyDescent="0.3">
      <c r="A1053" s="3" t="s">
        <v>26</v>
      </c>
      <c r="B1053" s="3" t="s">
        <v>715</v>
      </c>
      <c r="C1053" s="3">
        <v>2</v>
      </c>
      <c r="D1053" s="3" t="s">
        <v>192</v>
      </c>
      <c r="E1053" s="3" t="s">
        <v>103</v>
      </c>
      <c r="F1053" s="3" t="s">
        <v>103</v>
      </c>
    </row>
    <row r="1054" spans="1:6" s="3" customFormat="1" x14ac:dyDescent="0.3">
      <c r="A1054" s="3" t="s">
        <v>26</v>
      </c>
      <c r="B1054" s="3" t="s">
        <v>716</v>
      </c>
      <c r="C1054" s="3">
        <v>2</v>
      </c>
      <c r="D1054" s="3" t="s">
        <v>791</v>
      </c>
      <c r="E1054" s="3" t="s">
        <v>873</v>
      </c>
      <c r="F1054" s="3" t="s">
        <v>103</v>
      </c>
    </row>
    <row r="1055" spans="1:6" s="3" customFormat="1" x14ac:dyDescent="0.3">
      <c r="A1055" s="3" t="s">
        <v>26</v>
      </c>
      <c r="B1055" s="3" t="s">
        <v>719</v>
      </c>
      <c r="C1055" s="3">
        <v>1</v>
      </c>
      <c r="D1055" s="3" t="s">
        <v>192</v>
      </c>
      <c r="E1055" s="3" t="s">
        <v>103</v>
      </c>
      <c r="F1055" s="3" t="s">
        <v>103</v>
      </c>
    </row>
    <row r="1056" spans="1:6" x14ac:dyDescent="0.3">
      <c r="A1056" t="s">
        <v>26</v>
      </c>
      <c r="B1056" t="s">
        <v>308</v>
      </c>
      <c r="C1056">
        <v>191</v>
      </c>
      <c r="D1056" t="s">
        <v>870</v>
      </c>
      <c r="E1056" t="s">
        <v>750</v>
      </c>
      <c r="F1056" t="s">
        <v>95</v>
      </c>
    </row>
    <row r="1057" spans="1:6" s="3" customFormat="1" x14ac:dyDescent="0.3">
      <c r="A1057" s="3" t="s">
        <v>29</v>
      </c>
      <c r="B1057" s="3" t="s">
        <v>715</v>
      </c>
      <c r="C1057" s="3">
        <v>1</v>
      </c>
      <c r="D1057" s="3" t="s">
        <v>192</v>
      </c>
      <c r="E1057" s="3" t="s">
        <v>103</v>
      </c>
      <c r="F1057" s="3" t="s">
        <v>103</v>
      </c>
    </row>
    <row r="1058" spans="1:6" s="3" customFormat="1" x14ac:dyDescent="0.3">
      <c r="A1058" s="3" t="s">
        <v>29</v>
      </c>
      <c r="B1058" s="3" t="s">
        <v>716</v>
      </c>
      <c r="C1058" s="3">
        <v>3</v>
      </c>
      <c r="D1058" s="3" t="s">
        <v>192</v>
      </c>
      <c r="E1058" s="3" t="s">
        <v>103</v>
      </c>
      <c r="F1058" s="3" t="s">
        <v>103</v>
      </c>
    </row>
    <row r="1059" spans="1:6" s="3" customFormat="1" x14ac:dyDescent="0.3">
      <c r="A1059" s="3" t="s">
        <v>29</v>
      </c>
      <c r="B1059" s="3" t="s">
        <v>723</v>
      </c>
      <c r="C1059" s="3">
        <v>1</v>
      </c>
      <c r="D1059" s="3" t="s">
        <v>192</v>
      </c>
      <c r="E1059" s="3" t="s">
        <v>103</v>
      </c>
      <c r="F1059" s="3" t="s">
        <v>103</v>
      </c>
    </row>
    <row r="1060" spans="1:6" x14ac:dyDescent="0.3">
      <c r="A1060" t="s">
        <v>29</v>
      </c>
      <c r="B1060" t="s">
        <v>308</v>
      </c>
      <c r="C1060">
        <v>175</v>
      </c>
      <c r="D1060" t="s">
        <v>837</v>
      </c>
      <c r="E1060" t="s">
        <v>195</v>
      </c>
      <c r="F1060" t="s">
        <v>103</v>
      </c>
    </row>
    <row r="1061" spans="1:6" s="3" customFormat="1" x14ac:dyDescent="0.3">
      <c r="A1061" s="3" t="s">
        <v>28</v>
      </c>
      <c r="B1061" s="3" t="s">
        <v>715</v>
      </c>
      <c r="C1061" s="3">
        <v>1</v>
      </c>
      <c r="D1061" s="3" t="s">
        <v>103</v>
      </c>
      <c r="E1061" s="3" t="s">
        <v>192</v>
      </c>
      <c r="F1061" s="3" t="s">
        <v>103</v>
      </c>
    </row>
    <row r="1062" spans="1:6" s="3" customFormat="1" x14ac:dyDescent="0.3">
      <c r="A1062" s="3" t="s">
        <v>28</v>
      </c>
      <c r="B1062" s="3" t="s">
        <v>718</v>
      </c>
      <c r="C1062" s="3">
        <v>1</v>
      </c>
      <c r="D1062" s="3" t="s">
        <v>192</v>
      </c>
      <c r="E1062" s="3" t="s">
        <v>103</v>
      </c>
      <c r="F1062" s="3" t="s">
        <v>103</v>
      </c>
    </row>
    <row r="1063" spans="1:6" s="3" customFormat="1" x14ac:dyDescent="0.3">
      <c r="A1063" s="3" t="s">
        <v>28</v>
      </c>
      <c r="B1063" s="3" t="s">
        <v>719</v>
      </c>
      <c r="C1063" s="3">
        <v>1</v>
      </c>
      <c r="D1063" s="3" t="s">
        <v>192</v>
      </c>
      <c r="E1063" s="3" t="s">
        <v>103</v>
      </c>
      <c r="F1063" s="3" t="s">
        <v>103</v>
      </c>
    </row>
    <row r="1064" spans="1:6" x14ac:dyDescent="0.3">
      <c r="A1064" t="s">
        <v>28</v>
      </c>
      <c r="B1064" t="s">
        <v>308</v>
      </c>
      <c r="C1064">
        <v>93</v>
      </c>
      <c r="D1064" t="s">
        <v>286</v>
      </c>
      <c r="E1064" t="s">
        <v>493</v>
      </c>
      <c r="F1064" t="s">
        <v>103</v>
      </c>
    </row>
    <row r="1065" spans="1:6" s="3" customFormat="1" x14ac:dyDescent="0.3">
      <c r="A1065" s="3" t="s">
        <v>27</v>
      </c>
      <c r="B1065" s="3" t="s">
        <v>718</v>
      </c>
      <c r="C1065" s="3">
        <v>2</v>
      </c>
      <c r="D1065" s="3" t="s">
        <v>192</v>
      </c>
      <c r="E1065" s="3" t="s">
        <v>103</v>
      </c>
      <c r="F1065" s="3" t="s">
        <v>103</v>
      </c>
    </row>
    <row r="1066" spans="1:6" x14ac:dyDescent="0.3">
      <c r="A1066" t="s">
        <v>27</v>
      </c>
      <c r="B1066" t="s">
        <v>308</v>
      </c>
      <c r="C1066">
        <v>46</v>
      </c>
      <c r="D1066" t="s">
        <v>598</v>
      </c>
      <c r="E1066" t="s">
        <v>254</v>
      </c>
      <c r="F1066" t="s">
        <v>103</v>
      </c>
    </row>
    <row r="1067" spans="1:6" s="3" customFormat="1" x14ac:dyDescent="0.3">
      <c r="A1067" s="3" t="s">
        <v>41</v>
      </c>
      <c r="B1067" s="3" t="s">
        <v>715</v>
      </c>
      <c r="C1067" s="3">
        <v>4</v>
      </c>
      <c r="D1067" s="3" t="s">
        <v>759</v>
      </c>
      <c r="E1067" s="3" t="s">
        <v>543</v>
      </c>
      <c r="F1067" s="3" t="s">
        <v>103</v>
      </c>
    </row>
    <row r="1068" spans="1:6" s="3" customFormat="1" x14ac:dyDescent="0.3">
      <c r="A1068" s="3" t="s">
        <v>41</v>
      </c>
      <c r="B1068" s="3" t="s">
        <v>716</v>
      </c>
      <c r="C1068" s="3">
        <v>8</v>
      </c>
      <c r="D1068" s="3" t="s">
        <v>61</v>
      </c>
      <c r="E1068" s="3" t="s">
        <v>60</v>
      </c>
      <c r="F1068" s="3" t="s">
        <v>103</v>
      </c>
    </row>
    <row r="1069" spans="1:6" s="3" customFormat="1" x14ac:dyDescent="0.3">
      <c r="A1069" s="3" t="s">
        <v>41</v>
      </c>
      <c r="B1069" s="3" t="s">
        <v>718</v>
      </c>
      <c r="C1069" s="3">
        <v>4</v>
      </c>
      <c r="D1069" s="3" t="s">
        <v>192</v>
      </c>
      <c r="E1069" s="3" t="s">
        <v>103</v>
      </c>
      <c r="F1069" s="3" t="s">
        <v>103</v>
      </c>
    </row>
    <row r="1070" spans="1:6" s="3" customFormat="1" x14ac:dyDescent="0.3">
      <c r="A1070" s="3" t="s">
        <v>41</v>
      </c>
      <c r="B1070" s="3" t="s">
        <v>723</v>
      </c>
      <c r="C1070" s="3">
        <v>1</v>
      </c>
      <c r="D1070" s="3" t="s">
        <v>192</v>
      </c>
      <c r="E1070" s="3" t="s">
        <v>103</v>
      </c>
      <c r="F1070" s="3" t="s">
        <v>103</v>
      </c>
    </row>
    <row r="1071" spans="1:6" s="3" customFormat="1" x14ac:dyDescent="0.3">
      <c r="A1071" s="3" t="s">
        <v>41</v>
      </c>
      <c r="B1071" s="3" t="s">
        <v>719</v>
      </c>
      <c r="C1071" s="3">
        <v>4</v>
      </c>
      <c r="D1071" s="3" t="s">
        <v>192</v>
      </c>
      <c r="E1071" s="3" t="s">
        <v>103</v>
      </c>
      <c r="F1071" s="3" t="s">
        <v>103</v>
      </c>
    </row>
    <row r="1072" spans="1:6" x14ac:dyDescent="0.3">
      <c r="A1072" t="s">
        <v>41</v>
      </c>
      <c r="B1072" t="s">
        <v>308</v>
      </c>
      <c r="C1072">
        <v>595</v>
      </c>
      <c r="D1072" t="s">
        <v>590</v>
      </c>
      <c r="E1072" t="s">
        <v>100</v>
      </c>
      <c r="F1072" t="s">
        <v>66</v>
      </c>
    </row>
    <row r="1074" spans="1:6" x14ac:dyDescent="0.3">
      <c r="A1074" t="s">
        <v>874</v>
      </c>
    </row>
    <row r="1075" spans="1:6" x14ac:dyDescent="0.3">
      <c r="A1075" t="s">
        <v>36</v>
      </c>
      <c r="B1075" t="s">
        <v>197</v>
      </c>
      <c r="C1075" t="s">
        <v>24</v>
      </c>
      <c r="D1075" t="s">
        <v>58</v>
      </c>
      <c r="E1075" t="s">
        <v>59</v>
      </c>
      <c r="F1075" t="s">
        <v>348</v>
      </c>
    </row>
    <row r="1076" spans="1:6" s="3" customFormat="1" x14ac:dyDescent="0.3">
      <c r="A1076" s="3" t="s">
        <v>25</v>
      </c>
      <c r="B1076" s="3" t="s">
        <v>198</v>
      </c>
      <c r="C1076" s="3">
        <v>17</v>
      </c>
      <c r="D1076" s="3" t="s">
        <v>875</v>
      </c>
      <c r="E1076" s="3" t="s">
        <v>252</v>
      </c>
      <c r="F1076" s="3" t="s">
        <v>103</v>
      </c>
    </row>
    <row r="1077" spans="1:6" x14ac:dyDescent="0.3">
      <c r="A1077" t="s">
        <v>25</v>
      </c>
      <c r="B1077" t="s">
        <v>199</v>
      </c>
      <c r="C1077">
        <v>79</v>
      </c>
      <c r="D1077" t="s">
        <v>114</v>
      </c>
      <c r="E1077" t="s">
        <v>803</v>
      </c>
      <c r="F1077" t="s">
        <v>103</v>
      </c>
    </row>
    <row r="1078" spans="1:6" s="3" customFormat="1" x14ac:dyDescent="0.3">
      <c r="A1078" s="3" t="s">
        <v>26</v>
      </c>
      <c r="B1078" s="3" t="s">
        <v>198</v>
      </c>
      <c r="C1078" s="3">
        <v>5</v>
      </c>
      <c r="D1078" s="3" t="s">
        <v>268</v>
      </c>
      <c r="E1078" s="3" t="s">
        <v>720</v>
      </c>
      <c r="F1078" s="3" t="s">
        <v>103</v>
      </c>
    </row>
    <row r="1079" spans="1:6" x14ac:dyDescent="0.3">
      <c r="A1079" t="s">
        <v>26</v>
      </c>
      <c r="B1079" t="s">
        <v>199</v>
      </c>
      <c r="C1079">
        <v>191</v>
      </c>
      <c r="D1079" t="s">
        <v>131</v>
      </c>
      <c r="E1079" t="s">
        <v>870</v>
      </c>
      <c r="F1079" t="s">
        <v>120</v>
      </c>
    </row>
    <row r="1080" spans="1:6" x14ac:dyDescent="0.3">
      <c r="A1080" t="s">
        <v>29</v>
      </c>
      <c r="B1080" t="s">
        <v>198</v>
      </c>
      <c r="C1080">
        <v>54</v>
      </c>
      <c r="D1080" t="s">
        <v>124</v>
      </c>
      <c r="E1080" t="s">
        <v>207</v>
      </c>
      <c r="F1080" t="s">
        <v>103</v>
      </c>
    </row>
    <row r="1081" spans="1:6" x14ac:dyDescent="0.3">
      <c r="A1081" t="s">
        <v>29</v>
      </c>
      <c r="B1081" t="s">
        <v>199</v>
      </c>
      <c r="C1081">
        <v>126</v>
      </c>
      <c r="D1081" t="s">
        <v>282</v>
      </c>
      <c r="E1081" t="s">
        <v>876</v>
      </c>
      <c r="F1081" t="s">
        <v>103</v>
      </c>
    </row>
    <row r="1082" spans="1:6" x14ac:dyDescent="0.3">
      <c r="A1082" t="s">
        <v>28</v>
      </c>
      <c r="B1082" t="s">
        <v>198</v>
      </c>
      <c r="C1082">
        <v>32</v>
      </c>
      <c r="D1082" t="s">
        <v>70</v>
      </c>
      <c r="E1082" t="s">
        <v>71</v>
      </c>
      <c r="F1082" t="s">
        <v>103</v>
      </c>
    </row>
    <row r="1083" spans="1:6" x14ac:dyDescent="0.3">
      <c r="A1083" t="s">
        <v>28</v>
      </c>
      <c r="B1083" t="s">
        <v>199</v>
      </c>
      <c r="C1083">
        <v>64</v>
      </c>
      <c r="D1083" t="s">
        <v>452</v>
      </c>
      <c r="E1083" t="s">
        <v>288</v>
      </c>
      <c r="F1083" t="s">
        <v>103</v>
      </c>
    </row>
    <row r="1084" spans="1:6" s="3" customFormat="1" x14ac:dyDescent="0.3">
      <c r="A1084" s="3" t="s">
        <v>27</v>
      </c>
      <c r="B1084" s="3" t="s">
        <v>198</v>
      </c>
      <c r="C1084" s="3">
        <v>25</v>
      </c>
      <c r="D1084" s="3" t="s">
        <v>734</v>
      </c>
      <c r="E1084" s="3" t="s">
        <v>735</v>
      </c>
      <c r="F1084" s="3" t="s">
        <v>103</v>
      </c>
    </row>
    <row r="1085" spans="1:6" s="3" customFormat="1" x14ac:dyDescent="0.3">
      <c r="A1085" s="3" t="s">
        <v>27</v>
      </c>
      <c r="B1085" s="3" t="s">
        <v>199</v>
      </c>
      <c r="C1085" s="3">
        <v>23</v>
      </c>
      <c r="D1085" s="3" t="s">
        <v>103</v>
      </c>
      <c r="E1085" s="3" t="s">
        <v>192</v>
      </c>
      <c r="F1085" s="3" t="s">
        <v>103</v>
      </c>
    </row>
    <row r="1086" spans="1:6" x14ac:dyDescent="0.3">
      <c r="A1086" t="s">
        <v>41</v>
      </c>
      <c r="B1086" t="s">
        <v>198</v>
      </c>
      <c r="C1086">
        <v>133</v>
      </c>
      <c r="D1086" t="s">
        <v>62</v>
      </c>
      <c r="E1086" t="s">
        <v>63</v>
      </c>
      <c r="F1086" t="s">
        <v>103</v>
      </c>
    </row>
    <row r="1087" spans="1:6" x14ac:dyDescent="0.3">
      <c r="A1087" t="s">
        <v>41</v>
      </c>
      <c r="B1087" t="s">
        <v>199</v>
      </c>
      <c r="C1087">
        <v>483</v>
      </c>
      <c r="D1087" t="s">
        <v>607</v>
      </c>
      <c r="E1087" t="s">
        <v>61</v>
      </c>
      <c r="F1087" t="s">
        <v>116</v>
      </c>
    </row>
    <row r="1089" spans="1:6" x14ac:dyDescent="0.3">
      <c r="A1089" t="s">
        <v>877</v>
      </c>
    </row>
    <row r="1090" spans="1:6" x14ac:dyDescent="0.3">
      <c r="A1090" t="s">
        <v>36</v>
      </c>
      <c r="B1090" t="s">
        <v>310</v>
      </c>
      <c r="C1090" t="s">
        <v>24</v>
      </c>
      <c r="D1090" t="s">
        <v>58</v>
      </c>
      <c r="E1090" t="s">
        <v>59</v>
      </c>
      <c r="F1090" t="s">
        <v>348</v>
      </c>
    </row>
    <row r="1091" spans="1:6" x14ac:dyDescent="0.3">
      <c r="A1091" t="s">
        <v>25</v>
      </c>
      <c r="B1091" t="s">
        <v>311</v>
      </c>
      <c r="C1091">
        <v>83</v>
      </c>
      <c r="D1091" t="s">
        <v>60</v>
      </c>
      <c r="E1091" t="s">
        <v>61</v>
      </c>
      <c r="F1091" t="s">
        <v>103</v>
      </c>
    </row>
    <row r="1092" spans="1:6" s="3" customFormat="1" x14ac:dyDescent="0.3">
      <c r="A1092" s="3" t="s">
        <v>25</v>
      </c>
      <c r="B1092" s="3" t="s">
        <v>312</v>
      </c>
      <c r="C1092" s="3">
        <v>11</v>
      </c>
      <c r="D1092" s="3" t="s">
        <v>103</v>
      </c>
      <c r="E1092" s="3" t="s">
        <v>192</v>
      </c>
      <c r="F1092" s="3" t="s">
        <v>103</v>
      </c>
    </row>
    <row r="1093" spans="1:6" x14ac:dyDescent="0.3">
      <c r="A1093" t="s">
        <v>25</v>
      </c>
      <c r="B1093" t="s">
        <v>308</v>
      </c>
      <c r="C1093">
        <v>2</v>
      </c>
      <c r="D1093" t="s">
        <v>192</v>
      </c>
      <c r="E1093" t="s">
        <v>103</v>
      </c>
      <c r="F1093" t="s">
        <v>103</v>
      </c>
    </row>
    <row r="1094" spans="1:6" x14ac:dyDescent="0.3">
      <c r="A1094" t="s">
        <v>26</v>
      </c>
      <c r="B1094" t="s">
        <v>311</v>
      </c>
      <c r="C1094">
        <v>151</v>
      </c>
      <c r="D1094" t="s">
        <v>485</v>
      </c>
      <c r="E1094" t="s">
        <v>878</v>
      </c>
      <c r="F1094" t="s">
        <v>139</v>
      </c>
    </row>
    <row r="1095" spans="1:6" s="3" customFormat="1" x14ac:dyDescent="0.3">
      <c r="A1095" s="3" t="s">
        <v>26</v>
      </c>
      <c r="B1095" s="3" t="s">
        <v>312</v>
      </c>
      <c r="C1095" s="3">
        <v>27</v>
      </c>
      <c r="D1095" s="3" t="s">
        <v>272</v>
      </c>
      <c r="E1095" s="3" t="s">
        <v>336</v>
      </c>
      <c r="F1095" s="3" t="s">
        <v>103</v>
      </c>
    </row>
    <row r="1096" spans="1:6" x14ac:dyDescent="0.3">
      <c r="A1096" t="s">
        <v>26</v>
      </c>
      <c r="B1096" t="s">
        <v>308</v>
      </c>
      <c r="C1096">
        <v>18</v>
      </c>
      <c r="D1096" t="s">
        <v>103</v>
      </c>
      <c r="E1096" t="s">
        <v>192</v>
      </c>
      <c r="F1096" t="s">
        <v>103</v>
      </c>
    </row>
    <row r="1097" spans="1:6" x14ac:dyDescent="0.3">
      <c r="A1097" t="s">
        <v>29</v>
      </c>
      <c r="B1097" t="s">
        <v>311</v>
      </c>
      <c r="C1097">
        <v>158</v>
      </c>
      <c r="D1097" t="s">
        <v>266</v>
      </c>
      <c r="E1097" t="s">
        <v>879</v>
      </c>
      <c r="F1097" t="s">
        <v>103</v>
      </c>
    </row>
    <row r="1098" spans="1:6" s="3" customFormat="1" x14ac:dyDescent="0.3">
      <c r="A1098" s="3" t="s">
        <v>29</v>
      </c>
      <c r="B1098" s="3" t="s">
        <v>312</v>
      </c>
      <c r="C1098" s="3">
        <v>10</v>
      </c>
      <c r="D1098" s="3" t="s">
        <v>601</v>
      </c>
      <c r="E1098" s="3" t="s">
        <v>280</v>
      </c>
      <c r="F1098" s="3" t="s">
        <v>103</v>
      </c>
    </row>
    <row r="1099" spans="1:6" x14ac:dyDescent="0.3">
      <c r="A1099" t="s">
        <v>29</v>
      </c>
      <c r="B1099" t="s">
        <v>308</v>
      </c>
      <c r="C1099">
        <v>12</v>
      </c>
      <c r="D1099" t="s">
        <v>103</v>
      </c>
      <c r="E1099" t="s">
        <v>192</v>
      </c>
      <c r="F1099" t="s">
        <v>103</v>
      </c>
    </row>
    <row r="1100" spans="1:6" x14ac:dyDescent="0.3">
      <c r="A1100" t="s">
        <v>28</v>
      </c>
      <c r="B1100" t="s">
        <v>311</v>
      </c>
      <c r="C1100">
        <v>77</v>
      </c>
      <c r="D1100" t="s">
        <v>60</v>
      </c>
      <c r="E1100" t="s">
        <v>61</v>
      </c>
      <c r="F1100" t="s">
        <v>103</v>
      </c>
    </row>
    <row r="1101" spans="1:6" s="3" customFormat="1" x14ac:dyDescent="0.3">
      <c r="A1101" s="3" t="s">
        <v>28</v>
      </c>
      <c r="B1101" s="3" t="s">
        <v>312</v>
      </c>
      <c r="C1101" s="3">
        <v>19</v>
      </c>
      <c r="D1101" s="3" t="s">
        <v>103</v>
      </c>
      <c r="E1101" s="3" t="s">
        <v>192</v>
      </c>
      <c r="F1101" s="3" t="s">
        <v>103</v>
      </c>
    </row>
    <row r="1102" spans="1:6" x14ac:dyDescent="0.3">
      <c r="A1102" t="s">
        <v>27</v>
      </c>
      <c r="B1102" t="s">
        <v>311</v>
      </c>
      <c r="C1102">
        <v>41</v>
      </c>
      <c r="D1102" t="s">
        <v>652</v>
      </c>
      <c r="E1102" t="s">
        <v>606</v>
      </c>
      <c r="F1102" t="s">
        <v>103</v>
      </c>
    </row>
    <row r="1103" spans="1:6" s="3" customFormat="1" x14ac:dyDescent="0.3">
      <c r="A1103" s="3" t="s">
        <v>27</v>
      </c>
      <c r="B1103" s="3" t="s">
        <v>312</v>
      </c>
      <c r="C1103" s="3">
        <v>7</v>
      </c>
      <c r="D1103" s="3" t="s">
        <v>103</v>
      </c>
      <c r="E1103" s="3" t="s">
        <v>192</v>
      </c>
      <c r="F1103" s="3" t="s">
        <v>103</v>
      </c>
    </row>
    <row r="1104" spans="1:6" x14ac:dyDescent="0.3">
      <c r="A1104" t="s">
        <v>41</v>
      </c>
      <c r="B1104" t="s">
        <v>311</v>
      </c>
      <c r="C1104">
        <v>510</v>
      </c>
      <c r="D1104" t="s">
        <v>90</v>
      </c>
      <c r="E1104" t="s">
        <v>851</v>
      </c>
      <c r="F1104" t="s">
        <v>66</v>
      </c>
    </row>
    <row r="1105" spans="1:6" x14ac:dyDescent="0.3">
      <c r="A1105" t="s">
        <v>41</v>
      </c>
      <c r="B1105" t="s">
        <v>312</v>
      </c>
      <c r="C1105">
        <v>74</v>
      </c>
      <c r="D1105" t="s">
        <v>188</v>
      </c>
      <c r="E1105" t="s">
        <v>833</v>
      </c>
      <c r="F1105" t="s">
        <v>103</v>
      </c>
    </row>
    <row r="1106" spans="1:6" x14ac:dyDescent="0.3">
      <c r="A1106" t="s">
        <v>41</v>
      </c>
      <c r="B1106" t="s">
        <v>308</v>
      </c>
      <c r="C1106">
        <v>32</v>
      </c>
      <c r="D1106" t="s">
        <v>257</v>
      </c>
      <c r="E1106" t="s">
        <v>880</v>
      </c>
      <c r="F1106" t="s">
        <v>103</v>
      </c>
    </row>
    <row r="1108" spans="1:6" x14ac:dyDescent="0.3">
      <c r="A1108" t="s">
        <v>881</v>
      </c>
    </row>
    <row r="1109" spans="1:6" x14ac:dyDescent="0.3">
      <c r="A1109" t="s">
        <v>36</v>
      </c>
      <c r="B1109" t="s">
        <v>763</v>
      </c>
      <c r="C1109" t="s">
        <v>24</v>
      </c>
      <c r="D1109" t="s">
        <v>58</v>
      </c>
      <c r="E1109" t="s">
        <v>59</v>
      </c>
      <c r="F1109" t="s">
        <v>348</v>
      </c>
    </row>
    <row r="1110" spans="1:6" x14ac:dyDescent="0.3">
      <c r="A1110" t="s">
        <v>25</v>
      </c>
      <c r="B1110" t="s">
        <v>765</v>
      </c>
      <c r="C1110">
        <v>53</v>
      </c>
      <c r="D1110" t="s">
        <v>269</v>
      </c>
      <c r="E1110" t="s">
        <v>614</v>
      </c>
      <c r="F1110" t="s">
        <v>103</v>
      </c>
    </row>
    <row r="1111" spans="1:6" x14ac:dyDescent="0.3">
      <c r="A1111" t="s">
        <v>25</v>
      </c>
      <c r="B1111" t="s">
        <v>767</v>
      </c>
      <c r="C1111">
        <v>43</v>
      </c>
      <c r="D1111" t="s">
        <v>438</v>
      </c>
      <c r="E1111" t="s">
        <v>840</v>
      </c>
      <c r="F1111" t="s">
        <v>103</v>
      </c>
    </row>
    <row r="1112" spans="1:6" s="3" customFormat="1" x14ac:dyDescent="0.3">
      <c r="A1112" s="3" t="s">
        <v>26</v>
      </c>
      <c r="B1112" s="3" t="s">
        <v>764</v>
      </c>
      <c r="C1112" s="3">
        <v>1</v>
      </c>
      <c r="D1112" s="3" t="s">
        <v>103</v>
      </c>
      <c r="E1112" s="3" t="s">
        <v>192</v>
      </c>
      <c r="F1112" s="3" t="s">
        <v>103</v>
      </c>
    </row>
    <row r="1113" spans="1:6" x14ac:dyDescent="0.3">
      <c r="A1113" t="s">
        <v>26</v>
      </c>
      <c r="B1113" t="s">
        <v>765</v>
      </c>
      <c r="C1113">
        <v>86</v>
      </c>
      <c r="D1113" t="s">
        <v>142</v>
      </c>
      <c r="E1113" t="s">
        <v>156</v>
      </c>
      <c r="F1113" t="s">
        <v>110</v>
      </c>
    </row>
    <row r="1114" spans="1:6" x14ac:dyDescent="0.3">
      <c r="A1114" t="s">
        <v>26</v>
      </c>
      <c r="B1114" t="s">
        <v>767</v>
      </c>
      <c r="C1114">
        <v>109</v>
      </c>
      <c r="D1114" t="s">
        <v>104</v>
      </c>
      <c r="E1114" t="s">
        <v>215</v>
      </c>
      <c r="F1114" t="s">
        <v>103</v>
      </c>
    </row>
    <row r="1115" spans="1:6" x14ac:dyDescent="0.3">
      <c r="A1115" t="s">
        <v>29</v>
      </c>
      <c r="B1115" t="s">
        <v>765</v>
      </c>
      <c r="C1115">
        <v>107</v>
      </c>
      <c r="D1115" t="s">
        <v>32</v>
      </c>
      <c r="E1115" t="s">
        <v>279</v>
      </c>
      <c r="F1115" t="s">
        <v>103</v>
      </c>
    </row>
    <row r="1116" spans="1:6" x14ac:dyDescent="0.3">
      <c r="A1116" t="s">
        <v>29</v>
      </c>
      <c r="B1116" t="s">
        <v>767</v>
      </c>
      <c r="C1116">
        <v>73</v>
      </c>
      <c r="D1116" t="s">
        <v>66</v>
      </c>
      <c r="E1116" t="s">
        <v>67</v>
      </c>
      <c r="F1116" t="s">
        <v>103</v>
      </c>
    </row>
    <row r="1117" spans="1:6" x14ac:dyDescent="0.3">
      <c r="A1117" t="s">
        <v>28</v>
      </c>
      <c r="B1117" t="s">
        <v>765</v>
      </c>
      <c r="C1117">
        <v>68</v>
      </c>
      <c r="D1117" t="s">
        <v>108</v>
      </c>
      <c r="E1117" t="s">
        <v>283</v>
      </c>
      <c r="F1117" t="s">
        <v>103</v>
      </c>
    </row>
    <row r="1118" spans="1:6" s="3" customFormat="1" x14ac:dyDescent="0.3">
      <c r="A1118" s="3" t="s">
        <v>28</v>
      </c>
      <c r="B1118" s="3" t="s">
        <v>767</v>
      </c>
      <c r="C1118" s="3">
        <v>28</v>
      </c>
      <c r="D1118" s="3" t="s">
        <v>103</v>
      </c>
      <c r="E1118" s="3" t="s">
        <v>192</v>
      </c>
      <c r="F1118" s="3" t="s">
        <v>103</v>
      </c>
    </row>
    <row r="1119" spans="1:6" s="3" customFormat="1" x14ac:dyDescent="0.3">
      <c r="A1119" s="3" t="s">
        <v>27</v>
      </c>
      <c r="B1119" s="3" t="s">
        <v>765</v>
      </c>
      <c r="C1119" s="3">
        <v>29</v>
      </c>
      <c r="D1119" s="3" t="s">
        <v>459</v>
      </c>
      <c r="E1119" s="3" t="s">
        <v>818</v>
      </c>
      <c r="F1119" s="3" t="s">
        <v>103</v>
      </c>
    </row>
    <row r="1120" spans="1:6" s="3" customFormat="1" x14ac:dyDescent="0.3">
      <c r="A1120" s="3" t="s">
        <v>27</v>
      </c>
      <c r="B1120" s="3" t="s">
        <v>767</v>
      </c>
      <c r="C1120" s="3">
        <v>19</v>
      </c>
      <c r="D1120" s="3" t="s">
        <v>101</v>
      </c>
      <c r="E1120" s="3" t="s">
        <v>882</v>
      </c>
      <c r="F1120" s="3" t="s">
        <v>103</v>
      </c>
    </row>
    <row r="1121" spans="1:6" s="3" customFormat="1" x14ac:dyDescent="0.3">
      <c r="A1121" s="3" t="s">
        <v>41</v>
      </c>
      <c r="B1121" s="3" t="s">
        <v>764</v>
      </c>
      <c r="C1121" s="3">
        <v>1</v>
      </c>
      <c r="D1121" s="3" t="s">
        <v>103</v>
      </c>
      <c r="E1121" s="3" t="s">
        <v>192</v>
      </c>
      <c r="F1121" s="3" t="s">
        <v>103</v>
      </c>
    </row>
    <row r="1122" spans="1:6" x14ac:dyDescent="0.3">
      <c r="A1122" t="s">
        <v>41</v>
      </c>
      <c r="B1122" t="s">
        <v>765</v>
      </c>
      <c r="C1122">
        <v>343</v>
      </c>
      <c r="D1122" t="s">
        <v>99</v>
      </c>
      <c r="E1122" t="s">
        <v>193</v>
      </c>
      <c r="F1122" t="s">
        <v>122</v>
      </c>
    </row>
    <row r="1123" spans="1:6" x14ac:dyDescent="0.3">
      <c r="A1123" t="s">
        <v>41</v>
      </c>
      <c r="B1123" t="s">
        <v>767</v>
      </c>
      <c r="C1123">
        <v>272</v>
      </c>
      <c r="D1123" t="s">
        <v>278</v>
      </c>
      <c r="E1123" t="s">
        <v>597</v>
      </c>
      <c r="F1123" t="s">
        <v>103</v>
      </c>
    </row>
    <row r="1125" spans="1:6" x14ac:dyDescent="0.3">
      <c r="A1125" t="s">
        <v>883</v>
      </c>
    </row>
    <row r="1126" spans="1:6" x14ac:dyDescent="0.3">
      <c r="A1126" t="s">
        <v>36</v>
      </c>
      <c r="B1126" t="s">
        <v>210</v>
      </c>
      <c r="C1126" t="s">
        <v>24</v>
      </c>
      <c r="D1126" t="s">
        <v>58</v>
      </c>
      <c r="E1126" t="s">
        <v>59</v>
      </c>
      <c r="F1126" t="s">
        <v>348</v>
      </c>
    </row>
    <row r="1127" spans="1:6" x14ac:dyDescent="0.3">
      <c r="A1127" t="s">
        <v>25</v>
      </c>
      <c r="B1127" t="s">
        <v>211</v>
      </c>
      <c r="C1127">
        <v>96</v>
      </c>
      <c r="D1127" t="s">
        <v>494</v>
      </c>
      <c r="E1127" t="s">
        <v>869</v>
      </c>
      <c r="F1127" t="s">
        <v>103</v>
      </c>
    </row>
    <row r="1128" spans="1:6" x14ac:dyDescent="0.3">
      <c r="A1128" t="s">
        <v>26</v>
      </c>
      <c r="B1128" t="s">
        <v>211</v>
      </c>
      <c r="C1128">
        <v>59</v>
      </c>
      <c r="D1128" t="s">
        <v>103</v>
      </c>
      <c r="E1128" t="s">
        <v>192</v>
      </c>
      <c r="F1128" t="s">
        <v>103</v>
      </c>
    </row>
    <row r="1129" spans="1:6" x14ac:dyDescent="0.3">
      <c r="A1129" t="s">
        <v>26</v>
      </c>
      <c r="B1129" t="s">
        <v>212</v>
      </c>
      <c r="C1129">
        <v>137</v>
      </c>
      <c r="D1129" t="s">
        <v>526</v>
      </c>
      <c r="E1129" t="s">
        <v>884</v>
      </c>
      <c r="F1129" t="s">
        <v>98</v>
      </c>
    </row>
    <row r="1130" spans="1:6" x14ac:dyDescent="0.3">
      <c r="A1130" t="s">
        <v>29</v>
      </c>
      <c r="B1130" t="s">
        <v>211</v>
      </c>
      <c r="C1130">
        <v>180</v>
      </c>
      <c r="D1130" t="s">
        <v>270</v>
      </c>
      <c r="E1130" t="s">
        <v>332</v>
      </c>
      <c r="F1130" t="s">
        <v>103</v>
      </c>
    </row>
    <row r="1131" spans="1:6" x14ac:dyDescent="0.3">
      <c r="A1131" t="s">
        <v>28</v>
      </c>
      <c r="B1131" t="s">
        <v>211</v>
      </c>
      <c r="C1131">
        <v>93</v>
      </c>
      <c r="D1131" t="s">
        <v>452</v>
      </c>
      <c r="E1131" t="s">
        <v>288</v>
      </c>
      <c r="F1131" t="s">
        <v>103</v>
      </c>
    </row>
    <row r="1132" spans="1:6" s="3" customFormat="1" x14ac:dyDescent="0.3">
      <c r="A1132" s="3" t="s">
        <v>28</v>
      </c>
      <c r="B1132" s="3" t="s">
        <v>212</v>
      </c>
      <c r="C1132" s="3">
        <v>3</v>
      </c>
      <c r="D1132" s="3" t="s">
        <v>103</v>
      </c>
      <c r="E1132" s="3" t="s">
        <v>192</v>
      </c>
      <c r="F1132" s="3" t="s">
        <v>103</v>
      </c>
    </row>
    <row r="1133" spans="1:6" x14ac:dyDescent="0.3">
      <c r="A1133" t="s">
        <v>27</v>
      </c>
      <c r="B1133" t="s">
        <v>211</v>
      </c>
      <c r="C1133">
        <v>44</v>
      </c>
      <c r="D1133" t="s">
        <v>629</v>
      </c>
      <c r="E1133" t="s">
        <v>885</v>
      </c>
      <c r="F1133" t="s">
        <v>103</v>
      </c>
    </row>
    <row r="1134" spans="1:6" s="3" customFormat="1" x14ac:dyDescent="0.3">
      <c r="A1134" s="3" t="s">
        <v>27</v>
      </c>
      <c r="B1134" s="3" t="s">
        <v>212</v>
      </c>
      <c r="C1134" s="3">
        <v>4</v>
      </c>
      <c r="D1134" s="3" t="s">
        <v>103</v>
      </c>
      <c r="E1134" s="3" t="s">
        <v>192</v>
      </c>
      <c r="F1134" s="3" t="s">
        <v>103</v>
      </c>
    </row>
    <row r="1135" spans="1:6" x14ac:dyDescent="0.3">
      <c r="A1135" t="s">
        <v>41</v>
      </c>
      <c r="B1135" t="s">
        <v>211</v>
      </c>
      <c r="C1135">
        <v>472</v>
      </c>
      <c r="D1135" t="s">
        <v>493</v>
      </c>
      <c r="E1135" t="s">
        <v>286</v>
      </c>
      <c r="F1135" t="s">
        <v>103</v>
      </c>
    </row>
    <row r="1136" spans="1:6" x14ac:dyDescent="0.3">
      <c r="A1136" t="s">
        <v>41</v>
      </c>
      <c r="B1136" t="s">
        <v>212</v>
      </c>
      <c r="C1136">
        <v>144</v>
      </c>
      <c r="D1136" t="s">
        <v>580</v>
      </c>
      <c r="E1136" t="s">
        <v>886</v>
      </c>
      <c r="F1136" t="s">
        <v>98</v>
      </c>
    </row>
    <row r="1138" spans="1:5" x14ac:dyDescent="0.3">
      <c r="A1138" t="s">
        <v>887</v>
      </c>
    </row>
    <row r="1139" spans="1:5" x14ac:dyDescent="0.3">
      <c r="A1139" t="s">
        <v>36</v>
      </c>
      <c r="B1139" t="s">
        <v>24</v>
      </c>
      <c r="C1139" t="s">
        <v>59</v>
      </c>
      <c r="D1139" t="s">
        <v>58</v>
      </c>
    </row>
    <row r="1140" spans="1:5" x14ac:dyDescent="0.3">
      <c r="A1140" t="s">
        <v>25</v>
      </c>
      <c r="B1140">
        <v>32</v>
      </c>
      <c r="C1140" t="s">
        <v>192</v>
      </c>
      <c r="D1140" t="s">
        <v>103</v>
      </c>
    </row>
    <row r="1141" spans="1:5" s="3" customFormat="1" x14ac:dyDescent="0.3">
      <c r="A1141" s="3" t="s">
        <v>26</v>
      </c>
      <c r="B1141" s="3">
        <v>9</v>
      </c>
      <c r="C1141" s="3" t="s">
        <v>174</v>
      </c>
      <c r="D1141" s="3" t="s">
        <v>173</v>
      </c>
    </row>
    <row r="1142" spans="1:5" x14ac:dyDescent="0.3">
      <c r="A1142" t="s">
        <v>29</v>
      </c>
      <c r="B1142">
        <v>51</v>
      </c>
      <c r="C1142" t="s">
        <v>185</v>
      </c>
      <c r="D1142" t="s">
        <v>186</v>
      </c>
    </row>
    <row r="1143" spans="1:5" s="3" customFormat="1" x14ac:dyDescent="0.3">
      <c r="A1143" s="3" t="s">
        <v>28</v>
      </c>
      <c r="B1143" s="3">
        <v>2</v>
      </c>
      <c r="C1143" s="3" t="s">
        <v>192</v>
      </c>
      <c r="D1143" s="3" t="s">
        <v>103</v>
      </c>
    </row>
    <row r="1144" spans="1:5" s="3" customFormat="1" x14ac:dyDescent="0.3">
      <c r="A1144" s="3" t="s">
        <v>27</v>
      </c>
      <c r="B1144" s="3">
        <v>13</v>
      </c>
      <c r="C1144" s="3" t="s">
        <v>818</v>
      </c>
      <c r="D1144" s="3" t="s">
        <v>459</v>
      </c>
    </row>
    <row r="1145" spans="1:5" x14ac:dyDescent="0.3">
      <c r="A1145" t="s">
        <v>41</v>
      </c>
      <c r="B1145">
        <v>107</v>
      </c>
      <c r="C1145" t="s">
        <v>803</v>
      </c>
      <c r="D1145" t="s">
        <v>114</v>
      </c>
    </row>
    <row r="1147" spans="1:5" x14ac:dyDescent="0.3">
      <c r="A1147" t="s">
        <v>888</v>
      </c>
    </row>
    <row r="1148" spans="1:5" x14ac:dyDescent="0.3">
      <c r="A1148" t="s">
        <v>36</v>
      </c>
      <c r="B1148" t="s">
        <v>714</v>
      </c>
      <c r="C1148" t="s">
        <v>24</v>
      </c>
      <c r="D1148" t="s">
        <v>59</v>
      </c>
      <c r="E1148" t="s">
        <v>58</v>
      </c>
    </row>
    <row r="1149" spans="1:5" x14ac:dyDescent="0.3">
      <c r="A1149" t="s">
        <v>25</v>
      </c>
      <c r="B1149" t="s">
        <v>308</v>
      </c>
      <c r="C1149">
        <v>32</v>
      </c>
      <c r="D1149" t="s">
        <v>192</v>
      </c>
      <c r="E1149" t="s">
        <v>103</v>
      </c>
    </row>
    <row r="1150" spans="1:5" x14ac:dyDescent="0.3">
      <c r="A1150" t="s">
        <v>26</v>
      </c>
      <c r="B1150" t="s">
        <v>308</v>
      </c>
      <c r="C1150">
        <v>9</v>
      </c>
      <c r="D1150" t="s">
        <v>174</v>
      </c>
      <c r="E1150" t="s">
        <v>173</v>
      </c>
    </row>
    <row r="1151" spans="1:5" s="3" customFormat="1" x14ac:dyDescent="0.3">
      <c r="A1151" s="3" t="s">
        <v>29</v>
      </c>
      <c r="B1151" s="3" t="s">
        <v>716</v>
      </c>
      <c r="C1151" s="3">
        <v>1</v>
      </c>
      <c r="D1151" s="3" t="s">
        <v>192</v>
      </c>
      <c r="E1151" s="3" t="s">
        <v>103</v>
      </c>
    </row>
    <row r="1152" spans="1:5" s="3" customFormat="1" x14ac:dyDescent="0.3">
      <c r="A1152" s="3" t="s">
        <v>29</v>
      </c>
      <c r="B1152" s="3" t="s">
        <v>718</v>
      </c>
      <c r="C1152" s="3">
        <v>2</v>
      </c>
      <c r="D1152" s="3" t="s">
        <v>109</v>
      </c>
      <c r="E1152" s="3" t="s">
        <v>717</v>
      </c>
    </row>
    <row r="1153" spans="1:5" x14ac:dyDescent="0.3">
      <c r="A1153" t="s">
        <v>29</v>
      </c>
      <c r="B1153" t="s">
        <v>308</v>
      </c>
      <c r="C1153">
        <v>48</v>
      </c>
      <c r="D1153" t="s">
        <v>328</v>
      </c>
      <c r="E1153" t="s">
        <v>329</v>
      </c>
    </row>
    <row r="1154" spans="1:5" x14ac:dyDescent="0.3">
      <c r="A1154" t="s">
        <v>28</v>
      </c>
      <c r="B1154" t="s">
        <v>308</v>
      </c>
      <c r="C1154">
        <v>2</v>
      </c>
      <c r="D1154" t="s">
        <v>192</v>
      </c>
      <c r="E1154" t="s">
        <v>103</v>
      </c>
    </row>
    <row r="1155" spans="1:5" s="3" customFormat="1" x14ac:dyDescent="0.3">
      <c r="A1155" s="3" t="s">
        <v>27</v>
      </c>
      <c r="B1155" s="3" t="s">
        <v>715</v>
      </c>
      <c r="C1155" s="3">
        <v>1</v>
      </c>
      <c r="D1155" s="3" t="s">
        <v>192</v>
      </c>
      <c r="E1155" s="3" t="s">
        <v>103</v>
      </c>
    </row>
    <row r="1156" spans="1:5" x14ac:dyDescent="0.3">
      <c r="A1156" t="s">
        <v>27</v>
      </c>
      <c r="B1156" t="s">
        <v>308</v>
      </c>
      <c r="C1156">
        <v>12</v>
      </c>
      <c r="D1156" t="s">
        <v>889</v>
      </c>
      <c r="E1156" t="s">
        <v>890</v>
      </c>
    </row>
    <row r="1157" spans="1:5" s="3" customFormat="1" x14ac:dyDescent="0.3">
      <c r="A1157" s="3" t="s">
        <v>41</v>
      </c>
      <c r="B1157" s="3" t="s">
        <v>715</v>
      </c>
      <c r="C1157" s="3">
        <v>1</v>
      </c>
      <c r="D1157" s="3" t="s">
        <v>192</v>
      </c>
      <c r="E1157" s="3" t="s">
        <v>103</v>
      </c>
    </row>
    <row r="1158" spans="1:5" s="3" customFormat="1" x14ac:dyDescent="0.3">
      <c r="A1158" s="3" t="s">
        <v>41</v>
      </c>
      <c r="B1158" s="3" t="s">
        <v>716</v>
      </c>
      <c r="C1158" s="3">
        <v>1</v>
      </c>
      <c r="D1158" s="3" t="s">
        <v>192</v>
      </c>
      <c r="E1158" s="3" t="s">
        <v>103</v>
      </c>
    </row>
    <row r="1159" spans="1:5" s="3" customFormat="1" x14ac:dyDescent="0.3">
      <c r="A1159" s="3" t="s">
        <v>41</v>
      </c>
      <c r="B1159" s="3" t="s">
        <v>718</v>
      </c>
      <c r="C1159" s="3">
        <v>2</v>
      </c>
      <c r="D1159" s="3" t="s">
        <v>109</v>
      </c>
      <c r="E1159" s="3" t="s">
        <v>717</v>
      </c>
    </row>
    <row r="1160" spans="1:5" x14ac:dyDescent="0.3">
      <c r="A1160" t="s">
        <v>41</v>
      </c>
      <c r="B1160" t="s">
        <v>308</v>
      </c>
      <c r="C1160">
        <v>103</v>
      </c>
      <c r="D1160" t="s">
        <v>880</v>
      </c>
      <c r="E1160" t="s">
        <v>257</v>
      </c>
    </row>
    <row r="1162" spans="1:5" x14ac:dyDescent="0.3">
      <c r="A1162" t="s">
        <v>891</v>
      </c>
    </row>
    <row r="1163" spans="1:5" x14ac:dyDescent="0.3">
      <c r="A1163" t="s">
        <v>36</v>
      </c>
      <c r="B1163" t="s">
        <v>843</v>
      </c>
      <c r="C1163" t="s">
        <v>24</v>
      </c>
      <c r="D1163" t="s">
        <v>59</v>
      </c>
      <c r="E1163" t="s">
        <v>58</v>
      </c>
    </row>
    <row r="1164" spans="1:5" s="3" customFormat="1" x14ac:dyDescent="0.3">
      <c r="A1164" s="3" t="s">
        <v>25</v>
      </c>
      <c r="B1164" s="3" t="s">
        <v>844</v>
      </c>
      <c r="C1164" s="3">
        <v>3</v>
      </c>
      <c r="D1164" s="3" t="s">
        <v>192</v>
      </c>
      <c r="E1164" s="3" t="s">
        <v>103</v>
      </c>
    </row>
    <row r="1165" spans="1:5" s="3" customFormat="1" x14ac:dyDescent="0.3">
      <c r="A1165" s="3" t="s">
        <v>25</v>
      </c>
      <c r="B1165" s="3" t="s">
        <v>845</v>
      </c>
      <c r="C1165" s="3">
        <v>9</v>
      </c>
      <c r="D1165" s="3" t="s">
        <v>192</v>
      </c>
      <c r="E1165" s="3" t="s">
        <v>103</v>
      </c>
    </row>
    <row r="1166" spans="1:5" s="3" customFormat="1" x14ac:dyDescent="0.3">
      <c r="A1166" s="3" t="s">
        <v>25</v>
      </c>
      <c r="B1166" s="3" t="s">
        <v>846</v>
      </c>
      <c r="C1166" s="3">
        <v>12</v>
      </c>
      <c r="D1166" s="3" t="s">
        <v>192</v>
      </c>
      <c r="E1166" s="3" t="s">
        <v>103</v>
      </c>
    </row>
    <row r="1167" spans="1:5" s="3" customFormat="1" x14ac:dyDescent="0.3">
      <c r="A1167" s="3" t="s">
        <v>25</v>
      </c>
      <c r="B1167" s="3" t="s">
        <v>847</v>
      </c>
      <c r="C1167" s="3">
        <v>8</v>
      </c>
      <c r="D1167" s="3" t="s">
        <v>192</v>
      </c>
      <c r="E1167" s="3" t="s">
        <v>103</v>
      </c>
    </row>
    <row r="1168" spans="1:5" s="3" customFormat="1" x14ac:dyDescent="0.3">
      <c r="A1168" s="3" t="s">
        <v>26</v>
      </c>
      <c r="B1168" s="3" t="s">
        <v>845</v>
      </c>
      <c r="C1168" s="3">
        <v>5</v>
      </c>
      <c r="D1168" s="3" t="s">
        <v>892</v>
      </c>
      <c r="E1168" s="3" t="s">
        <v>893</v>
      </c>
    </row>
    <row r="1169" spans="1:5" s="3" customFormat="1" x14ac:dyDescent="0.3">
      <c r="A1169" s="3" t="s">
        <v>26</v>
      </c>
      <c r="B1169" s="3" t="s">
        <v>846</v>
      </c>
      <c r="C1169" s="3">
        <v>2</v>
      </c>
      <c r="D1169" s="3" t="s">
        <v>192</v>
      </c>
      <c r="E1169" s="3" t="s">
        <v>103</v>
      </c>
    </row>
    <row r="1170" spans="1:5" s="3" customFormat="1" x14ac:dyDescent="0.3">
      <c r="A1170" s="3" t="s">
        <v>26</v>
      </c>
      <c r="B1170" s="3" t="s">
        <v>847</v>
      </c>
      <c r="C1170" s="3">
        <v>2</v>
      </c>
      <c r="D1170" s="3" t="s">
        <v>192</v>
      </c>
      <c r="E1170" s="3" t="s">
        <v>103</v>
      </c>
    </row>
    <row r="1171" spans="1:5" s="3" customFormat="1" x14ac:dyDescent="0.3">
      <c r="A1171" s="3" t="s">
        <v>29</v>
      </c>
      <c r="B1171" s="3" t="s">
        <v>844</v>
      </c>
      <c r="C1171" s="3">
        <v>14</v>
      </c>
      <c r="D1171" s="3" t="s">
        <v>192</v>
      </c>
      <c r="E1171" s="3" t="s">
        <v>103</v>
      </c>
    </row>
    <row r="1172" spans="1:5" s="3" customFormat="1" x14ac:dyDescent="0.3">
      <c r="A1172" s="3" t="s">
        <v>29</v>
      </c>
      <c r="B1172" s="3" t="s">
        <v>845</v>
      </c>
      <c r="C1172" s="3">
        <v>14</v>
      </c>
      <c r="D1172" s="3" t="s">
        <v>192</v>
      </c>
      <c r="E1172" s="3" t="s">
        <v>103</v>
      </c>
    </row>
    <row r="1173" spans="1:5" s="3" customFormat="1" x14ac:dyDescent="0.3">
      <c r="A1173" s="3" t="s">
        <v>29</v>
      </c>
      <c r="B1173" s="3" t="s">
        <v>846</v>
      </c>
      <c r="C1173" s="3">
        <v>13</v>
      </c>
      <c r="D1173" s="3" t="s">
        <v>53</v>
      </c>
      <c r="E1173" s="3" t="s">
        <v>54</v>
      </c>
    </row>
    <row r="1174" spans="1:5" s="3" customFormat="1" x14ac:dyDescent="0.3">
      <c r="A1174" s="3" t="s">
        <v>29</v>
      </c>
      <c r="B1174" s="3" t="s">
        <v>847</v>
      </c>
      <c r="C1174" s="3">
        <v>9</v>
      </c>
      <c r="D1174" s="3" t="s">
        <v>192</v>
      </c>
      <c r="E1174" s="3" t="s">
        <v>103</v>
      </c>
    </row>
    <row r="1175" spans="1:5" s="3" customFormat="1" x14ac:dyDescent="0.3">
      <c r="A1175" s="3" t="s">
        <v>29</v>
      </c>
      <c r="B1175" s="3" t="s">
        <v>848</v>
      </c>
      <c r="C1175" s="3">
        <v>1</v>
      </c>
      <c r="D1175" s="3" t="s">
        <v>192</v>
      </c>
      <c r="E1175" s="3" t="s">
        <v>103</v>
      </c>
    </row>
    <row r="1176" spans="1:5" s="3" customFormat="1" x14ac:dyDescent="0.3">
      <c r="A1176" s="3" t="s">
        <v>28</v>
      </c>
      <c r="B1176" s="3" t="s">
        <v>848</v>
      </c>
      <c r="C1176" s="3">
        <v>2</v>
      </c>
      <c r="D1176" s="3" t="s">
        <v>192</v>
      </c>
      <c r="E1176" s="3" t="s">
        <v>103</v>
      </c>
    </row>
    <row r="1177" spans="1:5" s="3" customFormat="1" x14ac:dyDescent="0.3">
      <c r="A1177" s="3" t="s">
        <v>27</v>
      </c>
      <c r="B1177" s="3" t="s">
        <v>844</v>
      </c>
      <c r="C1177" s="3">
        <v>6</v>
      </c>
      <c r="D1177" s="3" t="s">
        <v>192</v>
      </c>
      <c r="E1177" s="3" t="s">
        <v>103</v>
      </c>
    </row>
    <row r="1178" spans="1:5" s="3" customFormat="1" x14ac:dyDescent="0.3">
      <c r="A1178" s="3" t="s">
        <v>27</v>
      </c>
      <c r="B1178" s="3" t="s">
        <v>845</v>
      </c>
      <c r="C1178" s="3">
        <v>3</v>
      </c>
      <c r="D1178" s="3" t="s">
        <v>192</v>
      </c>
      <c r="E1178" s="3" t="s">
        <v>103</v>
      </c>
    </row>
    <row r="1179" spans="1:5" s="3" customFormat="1" x14ac:dyDescent="0.3">
      <c r="A1179" s="3" t="s">
        <v>27</v>
      </c>
      <c r="B1179" s="3" t="s">
        <v>846</v>
      </c>
      <c r="C1179" s="3">
        <v>1</v>
      </c>
      <c r="D1179" s="3" t="s">
        <v>192</v>
      </c>
      <c r="E1179" s="3" t="s">
        <v>103</v>
      </c>
    </row>
    <row r="1180" spans="1:5" s="3" customFormat="1" x14ac:dyDescent="0.3">
      <c r="A1180" s="3" t="s">
        <v>27</v>
      </c>
      <c r="B1180" s="3" t="s">
        <v>847</v>
      </c>
      <c r="C1180" s="3">
        <v>2</v>
      </c>
      <c r="D1180" s="3" t="s">
        <v>192</v>
      </c>
      <c r="E1180" s="3" t="s">
        <v>103</v>
      </c>
    </row>
    <row r="1181" spans="1:5" s="3" customFormat="1" x14ac:dyDescent="0.3">
      <c r="A1181" s="3" t="s">
        <v>27</v>
      </c>
      <c r="B1181" s="3" t="s">
        <v>848</v>
      </c>
      <c r="C1181" s="3">
        <v>1</v>
      </c>
      <c r="D1181" s="3" t="s">
        <v>103</v>
      </c>
      <c r="E1181" s="3" t="s">
        <v>192</v>
      </c>
    </row>
    <row r="1182" spans="1:5" s="3" customFormat="1" x14ac:dyDescent="0.3">
      <c r="A1182" s="3" t="s">
        <v>41</v>
      </c>
      <c r="B1182" s="3" t="s">
        <v>844</v>
      </c>
      <c r="C1182" s="3">
        <v>23</v>
      </c>
      <c r="D1182" s="3" t="s">
        <v>192</v>
      </c>
      <c r="E1182" s="3" t="s">
        <v>103</v>
      </c>
    </row>
    <row r="1183" spans="1:5" x14ac:dyDescent="0.3">
      <c r="A1183" t="s">
        <v>41</v>
      </c>
      <c r="B1183" t="s">
        <v>845</v>
      </c>
      <c r="C1183">
        <v>31</v>
      </c>
      <c r="D1183" t="s">
        <v>840</v>
      </c>
      <c r="E1183" t="s">
        <v>438</v>
      </c>
    </row>
    <row r="1184" spans="1:5" s="3" customFormat="1" x14ac:dyDescent="0.3">
      <c r="A1184" s="3" t="s">
        <v>41</v>
      </c>
      <c r="B1184" s="3" t="s">
        <v>846</v>
      </c>
      <c r="C1184" s="3">
        <v>28</v>
      </c>
      <c r="D1184" s="3" t="s">
        <v>240</v>
      </c>
      <c r="E1184" s="3" t="s">
        <v>693</v>
      </c>
    </row>
    <row r="1185" spans="1:5" s="3" customFormat="1" x14ac:dyDescent="0.3">
      <c r="A1185" s="3" t="s">
        <v>41</v>
      </c>
      <c r="B1185" s="3" t="s">
        <v>847</v>
      </c>
      <c r="C1185" s="3">
        <v>21</v>
      </c>
      <c r="D1185" s="3" t="s">
        <v>192</v>
      </c>
      <c r="E1185" s="3" t="s">
        <v>103</v>
      </c>
    </row>
    <row r="1186" spans="1:5" s="3" customFormat="1" x14ac:dyDescent="0.3">
      <c r="A1186" s="3" t="s">
        <v>41</v>
      </c>
      <c r="B1186" s="3" t="s">
        <v>848</v>
      </c>
      <c r="C1186" s="3">
        <v>4</v>
      </c>
      <c r="D1186" s="3" t="s">
        <v>161</v>
      </c>
      <c r="E1186" s="3" t="s">
        <v>160</v>
      </c>
    </row>
    <row r="1188" spans="1:5" x14ac:dyDescent="0.3">
      <c r="A1188" t="s">
        <v>894</v>
      </c>
    </row>
    <row r="1189" spans="1:5" x14ac:dyDescent="0.3">
      <c r="A1189" t="s">
        <v>36</v>
      </c>
      <c r="B1189" t="s">
        <v>197</v>
      </c>
      <c r="C1189" t="s">
        <v>24</v>
      </c>
      <c r="D1189" t="s">
        <v>59</v>
      </c>
      <c r="E1189" t="s">
        <v>58</v>
      </c>
    </row>
    <row r="1190" spans="1:5" s="3" customFormat="1" x14ac:dyDescent="0.3">
      <c r="A1190" s="3" t="s">
        <v>25</v>
      </c>
      <c r="B1190" s="3" t="s">
        <v>198</v>
      </c>
      <c r="C1190" s="3">
        <v>8</v>
      </c>
      <c r="D1190" s="3" t="s">
        <v>192</v>
      </c>
      <c r="E1190" s="3" t="s">
        <v>103</v>
      </c>
    </row>
    <row r="1191" spans="1:5" s="3" customFormat="1" x14ac:dyDescent="0.3">
      <c r="A1191" s="3" t="s">
        <v>25</v>
      </c>
      <c r="B1191" s="3" t="s">
        <v>199</v>
      </c>
      <c r="C1191" s="3">
        <v>24</v>
      </c>
      <c r="D1191" s="3" t="s">
        <v>192</v>
      </c>
      <c r="E1191" s="3" t="s">
        <v>103</v>
      </c>
    </row>
    <row r="1192" spans="1:5" s="3" customFormat="1" x14ac:dyDescent="0.3">
      <c r="A1192" s="3" t="s">
        <v>26</v>
      </c>
      <c r="B1192" s="3" t="s">
        <v>198</v>
      </c>
      <c r="C1192" s="3">
        <v>4</v>
      </c>
      <c r="D1192" s="3" t="s">
        <v>192</v>
      </c>
      <c r="E1192" s="3" t="s">
        <v>103</v>
      </c>
    </row>
    <row r="1193" spans="1:5" s="3" customFormat="1" x14ac:dyDescent="0.3">
      <c r="A1193" s="3" t="s">
        <v>26</v>
      </c>
      <c r="B1193" s="3" t="s">
        <v>199</v>
      </c>
      <c r="C1193" s="3">
        <v>5</v>
      </c>
      <c r="D1193" s="3" t="s">
        <v>895</v>
      </c>
      <c r="E1193" s="3" t="s">
        <v>581</v>
      </c>
    </row>
    <row r="1194" spans="1:5" s="3" customFormat="1" x14ac:dyDescent="0.3">
      <c r="A1194" s="3" t="s">
        <v>29</v>
      </c>
      <c r="B1194" s="3" t="s">
        <v>198</v>
      </c>
      <c r="C1194" s="3">
        <v>13</v>
      </c>
      <c r="D1194" s="3" t="s">
        <v>192</v>
      </c>
      <c r="E1194" s="3" t="s">
        <v>103</v>
      </c>
    </row>
    <row r="1195" spans="1:5" x14ac:dyDescent="0.3">
      <c r="A1195" t="s">
        <v>29</v>
      </c>
      <c r="B1195" t="s">
        <v>199</v>
      </c>
      <c r="C1195">
        <v>38</v>
      </c>
      <c r="D1195" t="s">
        <v>896</v>
      </c>
      <c r="E1195" t="s">
        <v>133</v>
      </c>
    </row>
    <row r="1196" spans="1:5" s="3" customFormat="1" x14ac:dyDescent="0.3">
      <c r="A1196" s="3" t="s">
        <v>28</v>
      </c>
      <c r="B1196" s="3" t="s">
        <v>199</v>
      </c>
      <c r="C1196" s="3">
        <v>2</v>
      </c>
      <c r="D1196" s="3" t="s">
        <v>192</v>
      </c>
      <c r="E1196" s="3" t="s">
        <v>103</v>
      </c>
    </row>
    <row r="1197" spans="1:5" s="3" customFormat="1" x14ac:dyDescent="0.3">
      <c r="A1197" s="3" t="s">
        <v>27</v>
      </c>
      <c r="B1197" s="3" t="s">
        <v>198</v>
      </c>
      <c r="C1197" s="3">
        <v>8</v>
      </c>
      <c r="D1197" s="3" t="s">
        <v>897</v>
      </c>
      <c r="E1197" s="3" t="s">
        <v>519</v>
      </c>
    </row>
    <row r="1198" spans="1:5" s="3" customFormat="1" x14ac:dyDescent="0.3">
      <c r="A1198" s="3" t="s">
        <v>27</v>
      </c>
      <c r="B1198" s="3" t="s">
        <v>199</v>
      </c>
      <c r="C1198" s="3">
        <v>5</v>
      </c>
      <c r="D1198" s="3" t="s">
        <v>192</v>
      </c>
      <c r="E1198" s="3" t="s">
        <v>103</v>
      </c>
    </row>
    <row r="1199" spans="1:5" x14ac:dyDescent="0.3">
      <c r="A1199" t="s">
        <v>41</v>
      </c>
      <c r="B1199" t="s">
        <v>198</v>
      </c>
      <c r="C1199">
        <v>33</v>
      </c>
      <c r="D1199" t="s">
        <v>346</v>
      </c>
      <c r="E1199" t="s">
        <v>345</v>
      </c>
    </row>
    <row r="1200" spans="1:5" x14ac:dyDescent="0.3">
      <c r="A1200" t="s">
        <v>41</v>
      </c>
      <c r="B1200" t="s">
        <v>199</v>
      </c>
      <c r="C1200">
        <v>74</v>
      </c>
      <c r="D1200" t="s">
        <v>279</v>
      </c>
      <c r="E1200" t="s">
        <v>32</v>
      </c>
    </row>
    <row r="1202" spans="1:5" x14ac:dyDescent="0.3">
      <c r="A1202" t="s">
        <v>898</v>
      </c>
    </row>
    <row r="1203" spans="1:5" x14ac:dyDescent="0.3">
      <c r="A1203" t="s">
        <v>36</v>
      </c>
      <c r="B1203" t="s">
        <v>310</v>
      </c>
      <c r="C1203" t="s">
        <v>24</v>
      </c>
      <c r="D1203" t="s">
        <v>59</v>
      </c>
      <c r="E1203" t="s">
        <v>58</v>
      </c>
    </row>
    <row r="1204" spans="1:5" s="3" customFormat="1" x14ac:dyDescent="0.3">
      <c r="A1204" s="3" t="s">
        <v>25</v>
      </c>
      <c r="B1204" s="3" t="s">
        <v>311</v>
      </c>
      <c r="C1204" s="3">
        <v>30</v>
      </c>
      <c r="D1204" s="3" t="s">
        <v>192</v>
      </c>
      <c r="E1204" s="3" t="s">
        <v>103</v>
      </c>
    </row>
    <row r="1205" spans="1:5" s="3" customFormat="1" x14ac:dyDescent="0.3">
      <c r="A1205" s="3" t="s">
        <v>25</v>
      </c>
      <c r="B1205" s="3" t="s">
        <v>312</v>
      </c>
      <c r="C1205" s="3">
        <v>2</v>
      </c>
      <c r="D1205" s="3" t="s">
        <v>192</v>
      </c>
      <c r="E1205" s="3" t="s">
        <v>103</v>
      </c>
    </row>
    <row r="1206" spans="1:5" s="3" customFormat="1" x14ac:dyDescent="0.3">
      <c r="A1206" s="3" t="s">
        <v>26</v>
      </c>
      <c r="B1206" s="3" t="s">
        <v>311</v>
      </c>
      <c r="C1206" s="3">
        <v>6</v>
      </c>
      <c r="D1206" s="3" t="s">
        <v>899</v>
      </c>
      <c r="E1206" s="3" t="s">
        <v>900</v>
      </c>
    </row>
    <row r="1207" spans="1:5" s="3" customFormat="1" x14ac:dyDescent="0.3">
      <c r="A1207" s="3" t="s">
        <v>26</v>
      </c>
      <c r="B1207" s="3" t="s">
        <v>312</v>
      </c>
      <c r="C1207" s="3">
        <v>1</v>
      </c>
      <c r="D1207" s="3" t="s">
        <v>192</v>
      </c>
      <c r="E1207" s="3" t="s">
        <v>103</v>
      </c>
    </row>
    <row r="1208" spans="1:5" x14ac:dyDescent="0.3">
      <c r="A1208" t="s">
        <v>26</v>
      </c>
      <c r="B1208" t="s">
        <v>308</v>
      </c>
      <c r="C1208">
        <v>2</v>
      </c>
      <c r="D1208" t="s">
        <v>192</v>
      </c>
      <c r="E1208" t="s">
        <v>103</v>
      </c>
    </row>
    <row r="1209" spans="1:5" x14ac:dyDescent="0.3">
      <c r="A1209" t="s">
        <v>29</v>
      </c>
      <c r="B1209" t="s">
        <v>311</v>
      </c>
      <c r="C1209">
        <v>41</v>
      </c>
      <c r="D1209" t="s">
        <v>289</v>
      </c>
      <c r="E1209" t="s">
        <v>281</v>
      </c>
    </row>
    <row r="1210" spans="1:5" s="3" customFormat="1" x14ac:dyDescent="0.3">
      <c r="A1210" s="3" t="s">
        <v>29</v>
      </c>
      <c r="B1210" s="3" t="s">
        <v>312</v>
      </c>
      <c r="C1210" s="3">
        <v>9</v>
      </c>
      <c r="D1210" s="3" t="s">
        <v>192</v>
      </c>
      <c r="E1210" s="3" t="s">
        <v>103</v>
      </c>
    </row>
    <row r="1211" spans="1:5" x14ac:dyDescent="0.3">
      <c r="A1211" t="s">
        <v>29</v>
      </c>
      <c r="B1211" t="s">
        <v>308</v>
      </c>
      <c r="C1211">
        <v>1</v>
      </c>
      <c r="D1211" t="s">
        <v>192</v>
      </c>
      <c r="E1211" t="s">
        <v>103</v>
      </c>
    </row>
    <row r="1212" spans="1:5" s="3" customFormat="1" x14ac:dyDescent="0.3">
      <c r="A1212" s="3" t="s">
        <v>28</v>
      </c>
      <c r="B1212" s="3" t="s">
        <v>312</v>
      </c>
      <c r="C1212" s="3">
        <v>2</v>
      </c>
      <c r="D1212" s="3" t="s">
        <v>192</v>
      </c>
      <c r="E1212" s="3" t="s">
        <v>103</v>
      </c>
    </row>
    <row r="1213" spans="1:5" s="3" customFormat="1" x14ac:dyDescent="0.3">
      <c r="A1213" s="3" t="s">
        <v>27</v>
      </c>
      <c r="B1213" s="3" t="s">
        <v>311</v>
      </c>
      <c r="C1213" s="3">
        <v>12</v>
      </c>
      <c r="D1213" s="3" t="s">
        <v>759</v>
      </c>
      <c r="E1213" s="3" t="s">
        <v>543</v>
      </c>
    </row>
    <row r="1214" spans="1:5" s="3" customFormat="1" x14ac:dyDescent="0.3">
      <c r="A1214" s="3" t="s">
        <v>27</v>
      </c>
      <c r="B1214" s="3" t="s">
        <v>312</v>
      </c>
      <c r="C1214" s="3">
        <v>1</v>
      </c>
      <c r="D1214" s="3" t="s">
        <v>192</v>
      </c>
      <c r="E1214" s="3" t="s">
        <v>103</v>
      </c>
    </row>
    <row r="1215" spans="1:5" x14ac:dyDescent="0.3">
      <c r="A1215" t="s">
        <v>41</v>
      </c>
      <c r="B1215" t="s">
        <v>311</v>
      </c>
      <c r="C1215">
        <v>89</v>
      </c>
      <c r="D1215" t="s">
        <v>213</v>
      </c>
      <c r="E1215" t="s">
        <v>214</v>
      </c>
    </row>
    <row r="1216" spans="1:5" s="3" customFormat="1" x14ac:dyDescent="0.3">
      <c r="A1216" s="3" t="s">
        <v>41</v>
      </c>
      <c r="B1216" s="3" t="s">
        <v>312</v>
      </c>
      <c r="C1216" s="3">
        <v>15</v>
      </c>
      <c r="D1216" s="3" t="s">
        <v>192</v>
      </c>
      <c r="E1216" s="3" t="s">
        <v>103</v>
      </c>
    </row>
    <row r="1217" spans="1:5" x14ac:dyDescent="0.3">
      <c r="A1217" t="s">
        <v>41</v>
      </c>
      <c r="B1217" t="s">
        <v>308</v>
      </c>
      <c r="C1217">
        <v>3</v>
      </c>
      <c r="D1217" t="s">
        <v>192</v>
      </c>
      <c r="E1217" t="s">
        <v>103</v>
      </c>
    </row>
    <row r="1219" spans="1:5" x14ac:dyDescent="0.3">
      <c r="A1219" t="s">
        <v>901</v>
      </c>
    </row>
    <row r="1220" spans="1:5" x14ac:dyDescent="0.3">
      <c r="A1220" t="s">
        <v>36</v>
      </c>
      <c r="B1220" t="s">
        <v>763</v>
      </c>
      <c r="C1220" t="s">
        <v>24</v>
      </c>
      <c r="D1220" t="s">
        <v>59</v>
      </c>
      <c r="E1220" t="s">
        <v>58</v>
      </c>
    </row>
    <row r="1221" spans="1:5" s="3" customFormat="1" x14ac:dyDescent="0.3">
      <c r="A1221" s="3" t="s">
        <v>25</v>
      </c>
      <c r="B1221" s="3" t="s">
        <v>765</v>
      </c>
      <c r="C1221" s="3">
        <v>16</v>
      </c>
      <c r="D1221" s="3" t="s">
        <v>192</v>
      </c>
      <c r="E1221" s="3" t="s">
        <v>103</v>
      </c>
    </row>
    <row r="1222" spans="1:5" s="3" customFormat="1" x14ac:dyDescent="0.3">
      <c r="A1222" s="3" t="s">
        <v>25</v>
      </c>
      <c r="B1222" s="3" t="s">
        <v>767</v>
      </c>
      <c r="C1222" s="3">
        <v>16</v>
      </c>
      <c r="D1222" s="3" t="s">
        <v>192</v>
      </c>
      <c r="E1222" s="3" t="s">
        <v>103</v>
      </c>
    </row>
    <row r="1223" spans="1:5" s="3" customFormat="1" x14ac:dyDescent="0.3">
      <c r="A1223" s="3" t="s">
        <v>26</v>
      </c>
      <c r="B1223" s="3" t="s">
        <v>765</v>
      </c>
      <c r="C1223" s="3">
        <v>2</v>
      </c>
      <c r="D1223" s="3" t="s">
        <v>192</v>
      </c>
      <c r="E1223" s="3" t="s">
        <v>103</v>
      </c>
    </row>
    <row r="1224" spans="1:5" s="3" customFormat="1" x14ac:dyDescent="0.3">
      <c r="A1224" s="3" t="s">
        <v>26</v>
      </c>
      <c r="B1224" s="3" t="s">
        <v>767</v>
      </c>
      <c r="C1224" s="3">
        <v>7</v>
      </c>
      <c r="D1224" s="3" t="s">
        <v>902</v>
      </c>
      <c r="E1224" s="3" t="s">
        <v>475</v>
      </c>
    </row>
    <row r="1225" spans="1:5" s="3" customFormat="1" x14ac:dyDescent="0.3">
      <c r="A1225" s="3" t="s">
        <v>29</v>
      </c>
      <c r="B1225" s="3" t="s">
        <v>765</v>
      </c>
      <c r="C1225" s="3">
        <v>22</v>
      </c>
      <c r="D1225" s="3" t="s">
        <v>192</v>
      </c>
      <c r="E1225" s="3" t="s">
        <v>103</v>
      </c>
    </row>
    <row r="1226" spans="1:5" s="3" customFormat="1" x14ac:dyDescent="0.3">
      <c r="A1226" s="3" t="s">
        <v>29</v>
      </c>
      <c r="B1226" s="3" t="s">
        <v>767</v>
      </c>
      <c r="C1226" s="3">
        <v>29</v>
      </c>
      <c r="D1226" s="3" t="s">
        <v>625</v>
      </c>
      <c r="E1226" s="3" t="s">
        <v>575</v>
      </c>
    </row>
    <row r="1227" spans="1:5" s="3" customFormat="1" x14ac:dyDescent="0.3">
      <c r="A1227" s="3" t="s">
        <v>28</v>
      </c>
      <c r="B1227" s="3" t="s">
        <v>765</v>
      </c>
      <c r="C1227" s="3">
        <v>1</v>
      </c>
      <c r="D1227" s="3" t="s">
        <v>192</v>
      </c>
      <c r="E1227" s="3" t="s">
        <v>103</v>
      </c>
    </row>
    <row r="1228" spans="1:5" s="3" customFormat="1" x14ac:dyDescent="0.3">
      <c r="A1228" s="3" t="s">
        <v>28</v>
      </c>
      <c r="B1228" s="3" t="s">
        <v>767</v>
      </c>
      <c r="C1228" s="3">
        <v>1</v>
      </c>
      <c r="D1228" s="3" t="s">
        <v>192</v>
      </c>
      <c r="E1228" s="3" t="s">
        <v>103</v>
      </c>
    </row>
    <row r="1229" spans="1:5" s="3" customFormat="1" x14ac:dyDescent="0.3">
      <c r="A1229" s="3" t="s">
        <v>27</v>
      </c>
      <c r="B1229" s="3" t="s">
        <v>765</v>
      </c>
      <c r="C1229" s="3">
        <v>5</v>
      </c>
      <c r="D1229" s="3" t="s">
        <v>192</v>
      </c>
      <c r="E1229" s="3" t="s">
        <v>103</v>
      </c>
    </row>
    <row r="1230" spans="1:5" s="3" customFormat="1" x14ac:dyDescent="0.3">
      <c r="A1230" s="3" t="s">
        <v>27</v>
      </c>
      <c r="B1230" s="3" t="s">
        <v>767</v>
      </c>
      <c r="C1230" s="3">
        <v>8</v>
      </c>
      <c r="D1230" s="3" t="s">
        <v>903</v>
      </c>
      <c r="E1230" s="3" t="s">
        <v>470</v>
      </c>
    </row>
    <row r="1231" spans="1:5" x14ac:dyDescent="0.3">
      <c r="A1231" t="s">
        <v>41</v>
      </c>
      <c r="B1231" t="s">
        <v>765</v>
      </c>
      <c r="C1231">
        <v>46</v>
      </c>
      <c r="D1231" t="s">
        <v>192</v>
      </c>
      <c r="E1231" t="s">
        <v>103</v>
      </c>
    </row>
    <row r="1232" spans="1:5" x14ac:dyDescent="0.3">
      <c r="A1232" t="s">
        <v>41</v>
      </c>
      <c r="B1232" t="s">
        <v>767</v>
      </c>
      <c r="C1232">
        <v>61</v>
      </c>
      <c r="D1232" t="s">
        <v>882</v>
      </c>
      <c r="E1232" t="s">
        <v>101</v>
      </c>
    </row>
    <row r="1234" spans="1:13" x14ac:dyDescent="0.3">
      <c r="A1234" t="s">
        <v>904</v>
      </c>
    </row>
    <row r="1235" spans="1:13" x14ac:dyDescent="0.3">
      <c r="A1235" t="s">
        <v>36</v>
      </c>
      <c r="B1235" t="s">
        <v>210</v>
      </c>
      <c r="C1235" t="s">
        <v>24</v>
      </c>
      <c r="D1235" t="s">
        <v>59</v>
      </c>
      <c r="E1235" t="s">
        <v>58</v>
      </c>
    </row>
    <row r="1236" spans="1:13" x14ac:dyDescent="0.3">
      <c r="A1236" t="s">
        <v>25</v>
      </c>
      <c r="B1236" t="s">
        <v>211</v>
      </c>
      <c r="C1236">
        <v>32</v>
      </c>
      <c r="D1236" t="s">
        <v>192</v>
      </c>
      <c r="E1236" t="s">
        <v>103</v>
      </c>
    </row>
    <row r="1237" spans="1:13" s="3" customFormat="1" x14ac:dyDescent="0.3">
      <c r="A1237" s="3" t="s">
        <v>26</v>
      </c>
      <c r="B1237" s="3" t="s">
        <v>211</v>
      </c>
      <c r="C1237" s="3">
        <v>6</v>
      </c>
      <c r="D1237" s="3" t="s">
        <v>192</v>
      </c>
      <c r="E1237" s="3" t="s">
        <v>103</v>
      </c>
    </row>
    <row r="1238" spans="1:13" s="3" customFormat="1" x14ac:dyDescent="0.3">
      <c r="A1238" s="3" t="s">
        <v>26</v>
      </c>
      <c r="B1238" s="3" t="s">
        <v>212</v>
      </c>
      <c r="C1238" s="3">
        <v>3</v>
      </c>
      <c r="D1238" s="3" t="s">
        <v>593</v>
      </c>
      <c r="E1238" s="3" t="s">
        <v>564</v>
      </c>
    </row>
    <row r="1239" spans="1:13" x14ac:dyDescent="0.3">
      <c r="A1239" t="s">
        <v>29</v>
      </c>
      <c r="B1239" t="s">
        <v>211</v>
      </c>
      <c r="C1239">
        <v>51</v>
      </c>
      <c r="D1239" t="s">
        <v>185</v>
      </c>
      <c r="E1239" t="s">
        <v>186</v>
      </c>
    </row>
    <row r="1240" spans="1:13" s="3" customFormat="1" x14ac:dyDescent="0.3">
      <c r="A1240" s="3" t="s">
        <v>28</v>
      </c>
      <c r="B1240" s="3" t="s">
        <v>211</v>
      </c>
      <c r="C1240" s="3">
        <v>2</v>
      </c>
      <c r="D1240" s="3" t="s">
        <v>192</v>
      </c>
      <c r="E1240" s="3" t="s">
        <v>103</v>
      </c>
    </row>
    <row r="1241" spans="1:13" s="3" customFormat="1" x14ac:dyDescent="0.3">
      <c r="A1241" s="3" t="s">
        <v>27</v>
      </c>
      <c r="B1241" s="3" t="s">
        <v>211</v>
      </c>
      <c r="C1241" s="3">
        <v>11</v>
      </c>
      <c r="D1241" s="3" t="s">
        <v>749</v>
      </c>
      <c r="E1241" s="3" t="s">
        <v>536</v>
      </c>
    </row>
    <row r="1242" spans="1:13" s="3" customFormat="1" x14ac:dyDescent="0.3">
      <c r="A1242" s="3" t="s">
        <v>27</v>
      </c>
      <c r="B1242" s="3" t="s">
        <v>212</v>
      </c>
      <c r="C1242" s="3">
        <v>2</v>
      </c>
      <c r="D1242" s="3" t="s">
        <v>192</v>
      </c>
      <c r="E1242" s="3" t="s">
        <v>103</v>
      </c>
    </row>
    <row r="1243" spans="1:13" x14ac:dyDescent="0.3">
      <c r="A1243" t="s">
        <v>41</v>
      </c>
      <c r="B1243" t="s">
        <v>211</v>
      </c>
      <c r="C1243">
        <v>102</v>
      </c>
      <c r="D1243" t="s">
        <v>336</v>
      </c>
      <c r="E1243" t="s">
        <v>272</v>
      </c>
    </row>
    <row r="1244" spans="1:13" s="3" customFormat="1" x14ac:dyDescent="0.3">
      <c r="A1244" s="3" t="s">
        <v>41</v>
      </c>
      <c r="B1244" s="3" t="s">
        <v>212</v>
      </c>
      <c r="C1244" s="3">
        <v>5</v>
      </c>
      <c r="D1244" s="3" t="s">
        <v>905</v>
      </c>
      <c r="E1244" s="3" t="s">
        <v>906</v>
      </c>
    </row>
    <row r="1246" spans="1:13" x14ac:dyDescent="0.3">
      <c r="A1246" t="s">
        <v>907</v>
      </c>
    </row>
    <row r="1247" spans="1:13" x14ac:dyDescent="0.3">
      <c r="A1247" t="s">
        <v>36</v>
      </c>
      <c r="B1247" t="s">
        <v>24</v>
      </c>
      <c r="C1247" t="s">
        <v>908</v>
      </c>
      <c r="D1247" t="s">
        <v>909</v>
      </c>
      <c r="E1247" t="s">
        <v>910</v>
      </c>
      <c r="F1247" t="s">
        <v>911</v>
      </c>
      <c r="G1247" t="s">
        <v>912</v>
      </c>
      <c r="H1247" t="s">
        <v>913</v>
      </c>
      <c r="I1247" t="s">
        <v>914</v>
      </c>
      <c r="J1247" t="s">
        <v>915</v>
      </c>
      <c r="K1247" t="s">
        <v>87</v>
      </c>
      <c r="L1247" t="s">
        <v>916</v>
      </c>
      <c r="M1247" t="s">
        <v>917</v>
      </c>
    </row>
    <row r="1248" spans="1:13" s="3" customFormat="1" x14ac:dyDescent="0.3">
      <c r="A1248" s="3" t="s">
        <v>25</v>
      </c>
      <c r="B1248" s="3">
        <v>8</v>
      </c>
      <c r="C1248" s="3" t="s">
        <v>484</v>
      </c>
      <c r="D1248" s="3" t="s">
        <v>918</v>
      </c>
      <c r="E1248" s="3" t="s">
        <v>417</v>
      </c>
      <c r="F1248" s="3" t="s">
        <v>103</v>
      </c>
      <c r="G1248" s="3" t="s">
        <v>103</v>
      </c>
      <c r="H1248" s="3" t="s">
        <v>103</v>
      </c>
      <c r="I1248" s="3" t="s">
        <v>103</v>
      </c>
      <c r="J1248" s="3" t="s">
        <v>103</v>
      </c>
      <c r="K1248" s="3" t="s">
        <v>103</v>
      </c>
      <c r="L1248" s="3" t="s">
        <v>103</v>
      </c>
      <c r="M1248" s="3" t="s">
        <v>103</v>
      </c>
    </row>
    <row r="1249" spans="1:14" s="3" customFormat="1" x14ac:dyDescent="0.3">
      <c r="A1249" s="3" t="s">
        <v>26</v>
      </c>
      <c r="B1249" s="3">
        <v>24</v>
      </c>
      <c r="C1249" s="3" t="s">
        <v>820</v>
      </c>
      <c r="D1249" s="3" t="s">
        <v>266</v>
      </c>
      <c r="E1249" s="3" t="s">
        <v>103</v>
      </c>
      <c r="F1249" s="3" t="s">
        <v>629</v>
      </c>
      <c r="G1249" s="3" t="s">
        <v>270</v>
      </c>
      <c r="H1249" s="3" t="s">
        <v>651</v>
      </c>
      <c r="I1249" s="3" t="s">
        <v>919</v>
      </c>
      <c r="J1249" s="3" t="s">
        <v>103</v>
      </c>
      <c r="K1249" s="3" t="s">
        <v>103</v>
      </c>
      <c r="L1249" s="3" t="s">
        <v>103</v>
      </c>
      <c r="M1249" s="3" t="s">
        <v>103</v>
      </c>
    </row>
    <row r="1250" spans="1:14" s="3" customFormat="1" x14ac:dyDescent="0.3">
      <c r="A1250" s="3" t="s">
        <v>29</v>
      </c>
      <c r="B1250" s="3">
        <v>11</v>
      </c>
      <c r="C1250" s="3" t="s">
        <v>920</v>
      </c>
      <c r="D1250" s="3" t="s">
        <v>103</v>
      </c>
      <c r="E1250" s="3" t="s">
        <v>103</v>
      </c>
      <c r="F1250" s="3" t="s">
        <v>103</v>
      </c>
      <c r="G1250" s="3" t="s">
        <v>103</v>
      </c>
      <c r="H1250" s="3" t="s">
        <v>667</v>
      </c>
      <c r="I1250" s="3" t="s">
        <v>103</v>
      </c>
      <c r="J1250" s="3" t="s">
        <v>117</v>
      </c>
      <c r="K1250" s="3" t="s">
        <v>136</v>
      </c>
      <c r="L1250" s="3" t="s">
        <v>890</v>
      </c>
      <c r="M1250" s="3" t="s">
        <v>819</v>
      </c>
    </row>
    <row r="1251" spans="1:14" s="3" customFormat="1" x14ac:dyDescent="0.3">
      <c r="A1251" s="3" t="s">
        <v>28</v>
      </c>
      <c r="B1251" s="3">
        <v>4</v>
      </c>
      <c r="C1251" s="3" t="s">
        <v>351</v>
      </c>
      <c r="D1251" s="3" t="s">
        <v>421</v>
      </c>
      <c r="E1251" s="3" t="s">
        <v>103</v>
      </c>
      <c r="F1251" s="3" t="s">
        <v>103</v>
      </c>
      <c r="G1251" s="3" t="s">
        <v>103</v>
      </c>
      <c r="H1251" s="3" t="s">
        <v>103</v>
      </c>
      <c r="I1251" s="3" t="s">
        <v>103</v>
      </c>
      <c r="J1251" s="3" t="s">
        <v>103</v>
      </c>
      <c r="K1251" s="3" t="s">
        <v>103</v>
      </c>
      <c r="L1251" s="3" t="s">
        <v>103</v>
      </c>
      <c r="M1251" s="3" t="s">
        <v>103</v>
      </c>
    </row>
    <row r="1252" spans="1:14" s="3" customFormat="1" x14ac:dyDescent="0.3">
      <c r="A1252" s="3" t="s">
        <v>27</v>
      </c>
      <c r="B1252" s="3">
        <v>6</v>
      </c>
      <c r="C1252" s="3" t="s">
        <v>56</v>
      </c>
      <c r="D1252" s="3" t="s">
        <v>103</v>
      </c>
      <c r="E1252" s="3" t="s">
        <v>103</v>
      </c>
      <c r="F1252" s="3" t="s">
        <v>103</v>
      </c>
      <c r="G1252" s="3" t="s">
        <v>103</v>
      </c>
      <c r="H1252" s="3" t="s">
        <v>55</v>
      </c>
      <c r="I1252" s="3" t="s">
        <v>103</v>
      </c>
      <c r="J1252" s="3" t="s">
        <v>103</v>
      </c>
      <c r="K1252" s="3" t="s">
        <v>103</v>
      </c>
      <c r="L1252" s="3" t="s">
        <v>103</v>
      </c>
      <c r="M1252" s="3" t="s">
        <v>103</v>
      </c>
    </row>
    <row r="1253" spans="1:14" x14ac:dyDescent="0.3">
      <c r="A1253" t="s">
        <v>41</v>
      </c>
      <c r="B1253">
        <v>53</v>
      </c>
      <c r="C1253" t="s">
        <v>921</v>
      </c>
      <c r="D1253" t="s">
        <v>188</v>
      </c>
      <c r="E1253" t="s">
        <v>190</v>
      </c>
      <c r="F1253" t="s">
        <v>33</v>
      </c>
      <c r="G1253" t="s">
        <v>239</v>
      </c>
      <c r="H1253" t="s">
        <v>646</v>
      </c>
      <c r="I1253" t="s">
        <v>555</v>
      </c>
      <c r="J1253" t="s">
        <v>272</v>
      </c>
      <c r="K1253" t="s">
        <v>467</v>
      </c>
      <c r="L1253" t="s">
        <v>68</v>
      </c>
      <c r="M1253" t="s">
        <v>133</v>
      </c>
    </row>
    <row r="1255" spans="1:14" x14ac:dyDescent="0.3">
      <c r="A1255" t="s">
        <v>922</v>
      </c>
    </row>
    <row r="1256" spans="1:14" x14ac:dyDescent="0.3">
      <c r="A1256" t="s">
        <v>36</v>
      </c>
      <c r="B1256" t="s">
        <v>714</v>
      </c>
      <c r="C1256" t="s">
        <v>24</v>
      </c>
      <c r="D1256" t="s">
        <v>908</v>
      </c>
      <c r="E1256" t="s">
        <v>909</v>
      </c>
      <c r="F1256" t="s">
        <v>910</v>
      </c>
      <c r="G1256" t="s">
        <v>911</v>
      </c>
      <c r="H1256" t="s">
        <v>912</v>
      </c>
      <c r="I1256" t="s">
        <v>913</v>
      </c>
      <c r="J1256" t="s">
        <v>914</v>
      </c>
      <c r="K1256" t="s">
        <v>916</v>
      </c>
      <c r="L1256" t="s">
        <v>915</v>
      </c>
      <c r="M1256" t="s">
        <v>87</v>
      </c>
      <c r="N1256" t="s">
        <v>917</v>
      </c>
    </row>
    <row r="1257" spans="1:14" x14ac:dyDescent="0.3">
      <c r="A1257" t="s">
        <v>25</v>
      </c>
      <c r="B1257" t="s">
        <v>308</v>
      </c>
      <c r="C1257">
        <v>8</v>
      </c>
      <c r="D1257" t="s">
        <v>484</v>
      </c>
      <c r="E1257" t="s">
        <v>918</v>
      </c>
      <c r="F1257" t="s">
        <v>417</v>
      </c>
      <c r="G1257" t="s">
        <v>103</v>
      </c>
      <c r="H1257" t="s">
        <v>103</v>
      </c>
      <c r="I1257" t="s">
        <v>103</v>
      </c>
      <c r="J1257" t="s">
        <v>103</v>
      </c>
      <c r="K1257" t="s">
        <v>103</v>
      </c>
      <c r="L1257" t="s">
        <v>103</v>
      </c>
      <c r="M1257" t="s">
        <v>103</v>
      </c>
      <c r="N1257" t="s">
        <v>103</v>
      </c>
    </row>
    <row r="1258" spans="1:14" s="3" customFormat="1" x14ac:dyDescent="0.3">
      <c r="A1258" s="3" t="s">
        <v>26</v>
      </c>
      <c r="B1258" s="3" t="s">
        <v>716</v>
      </c>
      <c r="C1258" s="3">
        <v>1</v>
      </c>
      <c r="D1258" s="3" t="s">
        <v>103</v>
      </c>
      <c r="E1258" s="3" t="s">
        <v>192</v>
      </c>
      <c r="F1258" s="3" t="s">
        <v>103</v>
      </c>
      <c r="G1258" s="3" t="s">
        <v>103</v>
      </c>
      <c r="H1258" s="3" t="s">
        <v>103</v>
      </c>
      <c r="I1258" s="3" t="s">
        <v>103</v>
      </c>
      <c r="J1258" s="3" t="s">
        <v>103</v>
      </c>
      <c r="K1258" s="3" t="s">
        <v>103</v>
      </c>
      <c r="L1258" s="3" t="s">
        <v>103</v>
      </c>
      <c r="M1258" s="3" t="s">
        <v>103</v>
      </c>
      <c r="N1258" s="3" t="s">
        <v>103</v>
      </c>
    </row>
    <row r="1259" spans="1:14" x14ac:dyDescent="0.3">
      <c r="A1259" t="s">
        <v>26</v>
      </c>
      <c r="B1259" t="s">
        <v>308</v>
      </c>
      <c r="C1259">
        <v>23</v>
      </c>
      <c r="D1259" t="s">
        <v>875</v>
      </c>
      <c r="E1259" t="s">
        <v>103</v>
      </c>
      <c r="F1259" t="s">
        <v>103</v>
      </c>
      <c r="G1259" t="s">
        <v>191</v>
      </c>
      <c r="H1259" t="s">
        <v>195</v>
      </c>
      <c r="I1259" t="s">
        <v>461</v>
      </c>
      <c r="J1259" t="s">
        <v>501</v>
      </c>
      <c r="K1259" t="s">
        <v>103</v>
      </c>
      <c r="L1259" t="s">
        <v>103</v>
      </c>
      <c r="M1259" t="s">
        <v>103</v>
      </c>
      <c r="N1259" t="s">
        <v>103</v>
      </c>
    </row>
    <row r="1260" spans="1:14" s="3" customFormat="1" x14ac:dyDescent="0.3">
      <c r="A1260" s="3" t="s">
        <v>29</v>
      </c>
      <c r="B1260" s="3" t="s">
        <v>718</v>
      </c>
      <c r="C1260" s="3">
        <v>1</v>
      </c>
      <c r="D1260" s="3" t="s">
        <v>103</v>
      </c>
      <c r="E1260" s="3" t="s">
        <v>103</v>
      </c>
      <c r="F1260" s="3" t="s">
        <v>103</v>
      </c>
      <c r="G1260" s="3" t="s">
        <v>103</v>
      </c>
      <c r="H1260" s="3" t="s">
        <v>103</v>
      </c>
      <c r="I1260" s="3" t="s">
        <v>103</v>
      </c>
      <c r="J1260" s="3" t="s">
        <v>103</v>
      </c>
      <c r="K1260" s="3" t="s">
        <v>192</v>
      </c>
      <c r="L1260" s="3" t="s">
        <v>103</v>
      </c>
      <c r="M1260" s="3" t="s">
        <v>103</v>
      </c>
      <c r="N1260" s="3" t="s">
        <v>103</v>
      </c>
    </row>
    <row r="1261" spans="1:14" x14ac:dyDescent="0.3">
      <c r="A1261" t="s">
        <v>29</v>
      </c>
      <c r="B1261" t="s">
        <v>308</v>
      </c>
      <c r="C1261">
        <v>10</v>
      </c>
      <c r="D1261" t="s">
        <v>121</v>
      </c>
      <c r="E1261" t="s">
        <v>103</v>
      </c>
      <c r="F1261" t="s">
        <v>103</v>
      </c>
      <c r="G1261" t="s">
        <v>103</v>
      </c>
      <c r="H1261" t="s">
        <v>103</v>
      </c>
      <c r="I1261" t="s">
        <v>660</v>
      </c>
      <c r="J1261" t="s">
        <v>103</v>
      </c>
      <c r="K1261" t="s">
        <v>103</v>
      </c>
      <c r="L1261" t="s">
        <v>743</v>
      </c>
      <c r="M1261" t="s">
        <v>918</v>
      </c>
      <c r="N1261" t="s">
        <v>580</v>
      </c>
    </row>
    <row r="1262" spans="1:14" s="3" customFormat="1" x14ac:dyDescent="0.3">
      <c r="A1262" s="3" t="s">
        <v>28</v>
      </c>
      <c r="B1262" s="3" t="s">
        <v>715</v>
      </c>
      <c r="C1262" s="3">
        <v>1</v>
      </c>
      <c r="D1262" s="3" t="s">
        <v>103</v>
      </c>
      <c r="E1262" s="3" t="s">
        <v>192</v>
      </c>
      <c r="F1262" s="3" t="s">
        <v>103</v>
      </c>
      <c r="G1262" s="3" t="s">
        <v>103</v>
      </c>
      <c r="H1262" s="3" t="s">
        <v>103</v>
      </c>
      <c r="I1262" s="3" t="s">
        <v>103</v>
      </c>
      <c r="J1262" s="3" t="s">
        <v>103</v>
      </c>
      <c r="K1262" s="3" t="s">
        <v>103</v>
      </c>
      <c r="L1262" s="3" t="s">
        <v>103</v>
      </c>
      <c r="M1262" s="3" t="s">
        <v>103</v>
      </c>
      <c r="N1262" s="3" t="s">
        <v>103</v>
      </c>
    </row>
    <row r="1263" spans="1:14" x14ac:dyDescent="0.3">
      <c r="A1263" t="s">
        <v>28</v>
      </c>
      <c r="B1263" t="s">
        <v>308</v>
      </c>
      <c r="C1263">
        <v>3</v>
      </c>
      <c r="D1263" t="s">
        <v>192</v>
      </c>
      <c r="E1263" t="s">
        <v>103</v>
      </c>
      <c r="F1263" t="s">
        <v>103</v>
      </c>
      <c r="G1263" t="s">
        <v>103</v>
      </c>
      <c r="H1263" t="s">
        <v>103</v>
      </c>
      <c r="I1263" t="s">
        <v>103</v>
      </c>
      <c r="J1263" t="s">
        <v>103</v>
      </c>
      <c r="K1263" t="s">
        <v>103</v>
      </c>
      <c r="L1263" t="s">
        <v>103</v>
      </c>
      <c r="M1263" t="s">
        <v>103</v>
      </c>
      <c r="N1263" t="s">
        <v>103</v>
      </c>
    </row>
    <row r="1264" spans="1:14" x14ac:dyDescent="0.3">
      <c r="A1264" t="s">
        <v>27</v>
      </c>
      <c r="B1264" t="s">
        <v>308</v>
      </c>
      <c r="C1264">
        <v>6</v>
      </c>
      <c r="D1264" t="s">
        <v>56</v>
      </c>
      <c r="E1264" t="s">
        <v>103</v>
      </c>
      <c r="F1264" t="s">
        <v>103</v>
      </c>
      <c r="G1264" t="s">
        <v>103</v>
      </c>
      <c r="H1264" t="s">
        <v>103</v>
      </c>
      <c r="I1264" t="s">
        <v>55</v>
      </c>
      <c r="J1264" t="s">
        <v>103</v>
      </c>
      <c r="K1264" t="s">
        <v>103</v>
      </c>
      <c r="L1264" t="s">
        <v>103</v>
      </c>
      <c r="M1264" t="s">
        <v>103</v>
      </c>
      <c r="N1264" t="s">
        <v>103</v>
      </c>
    </row>
    <row r="1265" spans="1:14" s="3" customFormat="1" x14ac:dyDescent="0.3">
      <c r="A1265" s="3" t="s">
        <v>41</v>
      </c>
      <c r="B1265" s="3" t="s">
        <v>715</v>
      </c>
      <c r="C1265" s="3">
        <v>1</v>
      </c>
      <c r="D1265" s="3" t="s">
        <v>103</v>
      </c>
      <c r="E1265" s="3" t="s">
        <v>192</v>
      </c>
      <c r="F1265" s="3" t="s">
        <v>103</v>
      </c>
      <c r="G1265" s="3" t="s">
        <v>103</v>
      </c>
      <c r="H1265" s="3" t="s">
        <v>103</v>
      </c>
      <c r="I1265" s="3" t="s">
        <v>103</v>
      </c>
      <c r="J1265" s="3" t="s">
        <v>103</v>
      </c>
      <c r="K1265" s="3" t="s">
        <v>103</v>
      </c>
      <c r="L1265" s="3" t="s">
        <v>103</v>
      </c>
      <c r="M1265" s="3" t="s">
        <v>103</v>
      </c>
      <c r="N1265" s="3" t="s">
        <v>103</v>
      </c>
    </row>
    <row r="1266" spans="1:14" s="3" customFormat="1" x14ac:dyDescent="0.3">
      <c r="A1266" s="3" t="s">
        <v>41</v>
      </c>
      <c r="B1266" s="3" t="s">
        <v>716</v>
      </c>
      <c r="C1266" s="3">
        <v>1</v>
      </c>
      <c r="D1266" s="3" t="s">
        <v>103</v>
      </c>
      <c r="E1266" s="3" t="s">
        <v>192</v>
      </c>
      <c r="F1266" s="3" t="s">
        <v>103</v>
      </c>
      <c r="G1266" s="3" t="s">
        <v>103</v>
      </c>
      <c r="H1266" s="3" t="s">
        <v>103</v>
      </c>
      <c r="I1266" s="3" t="s">
        <v>103</v>
      </c>
      <c r="J1266" s="3" t="s">
        <v>103</v>
      </c>
      <c r="K1266" s="3" t="s">
        <v>103</v>
      </c>
      <c r="L1266" s="3" t="s">
        <v>103</v>
      </c>
      <c r="M1266" s="3" t="s">
        <v>103</v>
      </c>
      <c r="N1266" s="3" t="s">
        <v>103</v>
      </c>
    </row>
    <row r="1267" spans="1:14" s="3" customFormat="1" x14ac:dyDescent="0.3">
      <c r="A1267" s="3" t="s">
        <v>41</v>
      </c>
      <c r="B1267" s="3" t="s">
        <v>718</v>
      </c>
      <c r="C1267" s="3">
        <v>1</v>
      </c>
      <c r="D1267" s="3" t="s">
        <v>103</v>
      </c>
      <c r="E1267" s="3" t="s">
        <v>103</v>
      </c>
      <c r="F1267" s="3" t="s">
        <v>103</v>
      </c>
      <c r="G1267" s="3" t="s">
        <v>103</v>
      </c>
      <c r="H1267" s="3" t="s">
        <v>103</v>
      </c>
      <c r="I1267" s="3" t="s">
        <v>103</v>
      </c>
      <c r="J1267" s="3" t="s">
        <v>103</v>
      </c>
      <c r="K1267" s="3" t="s">
        <v>192</v>
      </c>
      <c r="L1267" s="3" t="s">
        <v>103</v>
      </c>
      <c r="M1267" s="3" t="s">
        <v>103</v>
      </c>
      <c r="N1267" s="3" t="s">
        <v>103</v>
      </c>
    </row>
    <row r="1268" spans="1:14" x14ac:dyDescent="0.3">
      <c r="A1268" t="s">
        <v>41</v>
      </c>
      <c r="B1268" t="s">
        <v>308</v>
      </c>
      <c r="C1268">
        <v>50</v>
      </c>
      <c r="D1268" t="s">
        <v>553</v>
      </c>
      <c r="E1268" t="s">
        <v>110</v>
      </c>
      <c r="F1268" t="s">
        <v>60</v>
      </c>
      <c r="G1268" t="s">
        <v>281</v>
      </c>
      <c r="H1268" t="s">
        <v>216</v>
      </c>
      <c r="I1268" t="s">
        <v>825</v>
      </c>
      <c r="J1268" t="s">
        <v>552</v>
      </c>
      <c r="K1268" t="s">
        <v>103</v>
      </c>
      <c r="L1268" t="s">
        <v>438</v>
      </c>
      <c r="M1268" t="s">
        <v>102</v>
      </c>
      <c r="N1268" t="s">
        <v>558</v>
      </c>
    </row>
    <row r="1270" spans="1:14" x14ac:dyDescent="0.3">
      <c r="A1270" t="s">
        <v>923</v>
      </c>
    </row>
    <row r="1271" spans="1:14" x14ac:dyDescent="0.3">
      <c r="A1271" t="s">
        <v>36</v>
      </c>
      <c r="B1271" t="s">
        <v>843</v>
      </c>
      <c r="C1271" t="s">
        <v>24</v>
      </c>
      <c r="D1271" t="s">
        <v>910</v>
      </c>
      <c r="E1271" t="s">
        <v>908</v>
      </c>
      <c r="F1271" t="s">
        <v>909</v>
      </c>
      <c r="G1271" t="s">
        <v>911</v>
      </c>
      <c r="H1271" t="s">
        <v>913</v>
      </c>
      <c r="I1271" t="s">
        <v>914</v>
      </c>
      <c r="J1271" t="s">
        <v>912</v>
      </c>
      <c r="K1271" t="s">
        <v>915</v>
      </c>
      <c r="L1271" t="s">
        <v>917</v>
      </c>
      <c r="M1271" t="s">
        <v>87</v>
      </c>
      <c r="N1271" t="s">
        <v>916</v>
      </c>
    </row>
    <row r="1272" spans="1:14" s="3" customFormat="1" x14ac:dyDescent="0.3">
      <c r="A1272" s="3" t="s">
        <v>25</v>
      </c>
      <c r="B1272" s="3" t="s">
        <v>844</v>
      </c>
      <c r="C1272" s="3">
        <v>1</v>
      </c>
      <c r="D1272" s="3" t="s">
        <v>192</v>
      </c>
      <c r="E1272" s="3" t="s">
        <v>103</v>
      </c>
      <c r="F1272" s="3" t="s">
        <v>103</v>
      </c>
      <c r="G1272" s="3" t="s">
        <v>103</v>
      </c>
      <c r="H1272" s="3" t="s">
        <v>103</v>
      </c>
      <c r="I1272" s="3" t="s">
        <v>103</v>
      </c>
      <c r="J1272" s="3" t="s">
        <v>103</v>
      </c>
      <c r="K1272" s="3" t="s">
        <v>103</v>
      </c>
      <c r="L1272" s="3" t="s">
        <v>103</v>
      </c>
      <c r="M1272" s="3" t="s">
        <v>103</v>
      </c>
      <c r="N1272" s="3" t="s">
        <v>103</v>
      </c>
    </row>
    <row r="1273" spans="1:14" s="3" customFormat="1" x14ac:dyDescent="0.3">
      <c r="A1273" s="3" t="s">
        <v>25</v>
      </c>
      <c r="B1273" s="3" t="s">
        <v>845</v>
      </c>
      <c r="C1273" s="3">
        <v>4</v>
      </c>
      <c r="D1273" s="3" t="s">
        <v>924</v>
      </c>
      <c r="E1273" s="3" t="s">
        <v>925</v>
      </c>
      <c r="F1273" s="3" t="s">
        <v>554</v>
      </c>
      <c r="G1273" s="3" t="s">
        <v>103</v>
      </c>
      <c r="H1273" s="3" t="s">
        <v>103</v>
      </c>
      <c r="I1273" s="3" t="s">
        <v>103</v>
      </c>
      <c r="J1273" s="3" t="s">
        <v>103</v>
      </c>
      <c r="K1273" s="3" t="s">
        <v>103</v>
      </c>
      <c r="L1273" s="3" t="s">
        <v>103</v>
      </c>
      <c r="M1273" s="3" t="s">
        <v>103</v>
      </c>
      <c r="N1273" s="3" t="s">
        <v>103</v>
      </c>
    </row>
    <row r="1274" spans="1:14" s="3" customFormat="1" x14ac:dyDescent="0.3">
      <c r="A1274" s="3" t="s">
        <v>25</v>
      </c>
      <c r="B1274" s="3" t="s">
        <v>846</v>
      </c>
      <c r="C1274" s="3">
        <v>1</v>
      </c>
      <c r="D1274" s="3" t="s">
        <v>103</v>
      </c>
      <c r="E1274" s="3" t="s">
        <v>192</v>
      </c>
      <c r="F1274" s="3" t="s">
        <v>103</v>
      </c>
      <c r="G1274" s="3" t="s">
        <v>103</v>
      </c>
      <c r="H1274" s="3" t="s">
        <v>103</v>
      </c>
      <c r="I1274" s="3" t="s">
        <v>103</v>
      </c>
      <c r="J1274" s="3" t="s">
        <v>103</v>
      </c>
      <c r="K1274" s="3" t="s">
        <v>103</v>
      </c>
      <c r="L1274" s="3" t="s">
        <v>103</v>
      </c>
      <c r="M1274" s="3" t="s">
        <v>103</v>
      </c>
      <c r="N1274" s="3" t="s">
        <v>103</v>
      </c>
    </row>
    <row r="1275" spans="1:14" s="3" customFormat="1" x14ac:dyDescent="0.3">
      <c r="A1275" s="3" t="s">
        <v>25</v>
      </c>
      <c r="B1275" s="3" t="s">
        <v>847</v>
      </c>
      <c r="C1275" s="3">
        <v>2</v>
      </c>
      <c r="D1275" s="3" t="s">
        <v>926</v>
      </c>
      <c r="E1275" s="3" t="s">
        <v>560</v>
      </c>
      <c r="F1275" s="3" t="s">
        <v>103</v>
      </c>
      <c r="G1275" s="3" t="s">
        <v>103</v>
      </c>
      <c r="H1275" s="3" t="s">
        <v>103</v>
      </c>
      <c r="I1275" s="3" t="s">
        <v>103</v>
      </c>
      <c r="J1275" s="3" t="s">
        <v>103</v>
      </c>
      <c r="K1275" s="3" t="s">
        <v>103</v>
      </c>
      <c r="L1275" s="3" t="s">
        <v>103</v>
      </c>
      <c r="M1275" s="3" t="s">
        <v>103</v>
      </c>
      <c r="N1275" s="3" t="s">
        <v>103</v>
      </c>
    </row>
    <row r="1276" spans="1:14" s="3" customFormat="1" x14ac:dyDescent="0.3">
      <c r="A1276" s="3" t="s">
        <v>26</v>
      </c>
      <c r="B1276" s="3" t="s">
        <v>844</v>
      </c>
      <c r="C1276" s="3">
        <v>4</v>
      </c>
      <c r="D1276" s="3" t="s">
        <v>103</v>
      </c>
      <c r="E1276" s="3" t="s">
        <v>556</v>
      </c>
      <c r="F1276" s="3" t="s">
        <v>103</v>
      </c>
      <c r="G1276" s="3" t="s">
        <v>398</v>
      </c>
      <c r="H1276" s="3" t="s">
        <v>927</v>
      </c>
      <c r="I1276" s="3" t="s">
        <v>504</v>
      </c>
      <c r="J1276" s="3" t="s">
        <v>103</v>
      </c>
      <c r="K1276" s="3" t="s">
        <v>103</v>
      </c>
      <c r="L1276" s="3" t="s">
        <v>103</v>
      </c>
      <c r="M1276" s="3" t="s">
        <v>103</v>
      </c>
      <c r="N1276" s="3" t="s">
        <v>103</v>
      </c>
    </row>
    <row r="1277" spans="1:14" s="3" customFormat="1" x14ac:dyDescent="0.3">
      <c r="A1277" s="3" t="s">
        <v>26</v>
      </c>
      <c r="B1277" s="3" t="s">
        <v>845</v>
      </c>
      <c r="C1277" s="3">
        <v>9</v>
      </c>
      <c r="D1277" s="3" t="s">
        <v>103</v>
      </c>
      <c r="E1277" s="3" t="s">
        <v>654</v>
      </c>
      <c r="F1277" s="3" t="s">
        <v>558</v>
      </c>
      <c r="G1277" s="3" t="s">
        <v>140</v>
      </c>
      <c r="H1277" s="3" t="s">
        <v>789</v>
      </c>
      <c r="I1277" s="3" t="s">
        <v>443</v>
      </c>
      <c r="J1277" s="3" t="s">
        <v>103</v>
      </c>
      <c r="K1277" s="3" t="s">
        <v>103</v>
      </c>
      <c r="L1277" s="3" t="s">
        <v>103</v>
      </c>
      <c r="M1277" s="3" t="s">
        <v>103</v>
      </c>
      <c r="N1277" s="3" t="s">
        <v>103</v>
      </c>
    </row>
    <row r="1278" spans="1:14" s="3" customFormat="1" x14ac:dyDescent="0.3">
      <c r="A1278" s="3" t="s">
        <v>26</v>
      </c>
      <c r="B1278" s="3" t="s">
        <v>846</v>
      </c>
      <c r="C1278" s="3">
        <v>7</v>
      </c>
      <c r="D1278" s="3" t="s">
        <v>103</v>
      </c>
      <c r="E1278" s="3" t="s">
        <v>103</v>
      </c>
      <c r="F1278" s="3" t="s">
        <v>103</v>
      </c>
      <c r="G1278" s="3" t="s">
        <v>131</v>
      </c>
      <c r="H1278" s="3" t="s">
        <v>396</v>
      </c>
      <c r="I1278" s="3" t="s">
        <v>500</v>
      </c>
      <c r="J1278" s="3" t="s">
        <v>103</v>
      </c>
      <c r="K1278" s="3" t="s">
        <v>103</v>
      </c>
      <c r="L1278" s="3" t="s">
        <v>103</v>
      </c>
      <c r="M1278" s="3" t="s">
        <v>103</v>
      </c>
      <c r="N1278" s="3" t="s">
        <v>103</v>
      </c>
    </row>
    <row r="1279" spans="1:14" s="3" customFormat="1" x14ac:dyDescent="0.3">
      <c r="A1279" s="3" t="s">
        <v>26</v>
      </c>
      <c r="B1279" s="3" t="s">
        <v>847</v>
      </c>
      <c r="C1279" s="3">
        <v>4</v>
      </c>
      <c r="D1279" s="3" t="s">
        <v>103</v>
      </c>
      <c r="E1279" s="3" t="s">
        <v>374</v>
      </c>
      <c r="F1279" s="3" t="s">
        <v>103</v>
      </c>
      <c r="G1279" s="3" t="s">
        <v>103</v>
      </c>
      <c r="H1279" s="3" t="s">
        <v>132</v>
      </c>
      <c r="I1279" s="3" t="s">
        <v>517</v>
      </c>
      <c r="J1279" s="3" t="s">
        <v>275</v>
      </c>
      <c r="K1279" s="3" t="s">
        <v>103</v>
      </c>
      <c r="L1279" s="3" t="s">
        <v>103</v>
      </c>
      <c r="M1279" s="3" t="s">
        <v>103</v>
      </c>
      <c r="N1279" s="3" t="s">
        <v>103</v>
      </c>
    </row>
    <row r="1280" spans="1:14" s="3" customFormat="1" x14ac:dyDescent="0.3">
      <c r="A1280" s="3" t="s">
        <v>29</v>
      </c>
      <c r="B1280" s="3" t="s">
        <v>844</v>
      </c>
      <c r="C1280" s="3">
        <v>3</v>
      </c>
      <c r="D1280" s="3" t="s">
        <v>103</v>
      </c>
      <c r="E1280" s="3" t="s">
        <v>452</v>
      </c>
      <c r="F1280" s="3" t="s">
        <v>103</v>
      </c>
      <c r="G1280" s="3" t="s">
        <v>103</v>
      </c>
      <c r="H1280" s="3" t="s">
        <v>928</v>
      </c>
      <c r="I1280" s="3" t="s">
        <v>103</v>
      </c>
      <c r="J1280" s="3" t="s">
        <v>103</v>
      </c>
      <c r="K1280" s="3" t="s">
        <v>929</v>
      </c>
      <c r="L1280" s="3" t="s">
        <v>103</v>
      </c>
      <c r="M1280" s="3" t="s">
        <v>103</v>
      </c>
      <c r="N1280" s="3" t="s">
        <v>103</v>
      </c>
    </row>
    <row r="1281" spans="1:14" s="3" customFormat="1" x14ac:dyDescent="0.3">
      <c r="A1281" s="3" t="s">
        <v>29</v>
      </c>
      <c r="B1281" s="3" t="s">
        <v>845</v>
      </c>
      <c r="C1281" s="3">
        <v>4</v>
      </c>
      <c r="D1281" s="3" t="s">
        <v>103</v>
      </c>
      <c r="E1281" s="3" t="s">
        <v>654</v>
      </c>
      <c r="F1281" s="3" t="s">
        <v>103</v>
      </c>
      <c r="G1281" s="3" t="s">
        <v>103</v>
      </c>
      <c r="H1281" s="3" t="s">
        <v>645</v>
      </c>
      <c r="I1281" s="3" t="s">
        <v>103</v>
      </c>
      <c r="J1281" s="3" t="s">
        <v>103</v>
      </c>
      <c r="K1281" s="3" t="s">
        <v>103</v>
      </c>
      <c r="L1281" s="3" t="s">
        <v>930</v>
      </c>
      <c r="M1281" s="3" t="s">
        <v>103</v>
      </c>
      <c r="N1281" s="3" t="s">
        <v>103</v>
      </c>
    </row>
    <row r="1282" spans="1:14" s="3" customFormat="1" x14ac:dyDescent="0.3">
      <c r="A1282" s="3" t="s">
        <v>29</v>
      </c>
      <c r="B1282" s="3" t="s">
        <v>846</v>
      </c>
      <c r="C1282" s="3">
        <v>4</v>
      </c>
      <c r="D1282" s="3" t="s">
        <v>103</v>
      </c>
      <c r="E1282" s="3" t="s">
        <v>34</v>
      </c>
      <c r="F1282" s="3" t="s">
        <v>103</v>
      </c>
      <c r="G1282" s="3" t="s">
        <v>103</v>
      </c>
      <c r="H1282" s="3" t="s">
        <v>103</v>
      </c>
      <c r="I1282" s="3" t="s">
        <v>103</v>
      </c>
      <c r="J1282" s="3" t="s">
        <v>103</v>
      </c>
      <c r="K1282" s="3" t="s">
        <v>103</v>
      </c>
      <c r="L1282" s="3" t="s">
        <v>103</v>
      </c>
      <c r="M1282" s="3" t="s">
        <v>261</v>
      </c>
      <c r="N1282" s="3" t="s">
        <v>688</v>
      </c>
    </row>
    <row r="1283" spans="1:14" s="3" customFormat="1" x14ac:dyDescent="0.3">
      <c r="A1283" s="3" t="s">
        <v>28</v>
      </c>
      <c r="B1283" s="3" t="s">
        <v>844</v>
      </c>
      <c r="C1283" s="3">
        <v>3</v>
      </c>
      <c r="D1283" s="3" t="s">
        <v>103</v>
      </c>
      <c r="E1283" s="3" t="s">
        <v>931</v>
      </c>
      <c r="F1283" s="3" t="s">
        <v>932</v>
      </c>
      <c r="G1283" s="3" t="s">
        <v>103</v>
      </c>
      <c r="H1283" s="3" t="s">
        <v>103</v>
      </c>
      <c r="I1283" s="3" t="s">
        <v>103</v>
      </c>
      <c r="J1283" s="3" t="s">
        <v>103</v>
      </c>
      <c r="K1283" s="3" t="s">
        <v>103</v>
      </c>
      <c r="L1283" s="3" t="s">
        <v>103</v>
      </c>
      <c r="M1283" s="3" t="s">
        <v>103</v>
      </c>
      <c r="N1283" s="3" t="s">
        <v>103</v>
      </c>
    </row>
    <row r="1284" spans="1:14" s="3" customFormat="1" x14ac:dyDescent="0.3">
      <c r="A1284" s="3" t="s">
        <v>28</v>
      </c>
      <c r="B1284" s="3" t="s">
        <v>846</v>
      </c>
      <c r="C1284" s="3">
        <v>1</v>
      </c>
      <c r="D1284" s="3" t="s">
        <v>103</v>
      </c>
      <c r="E1284" s="3" t="s">
        <v>192</v>
      </c>
      <c r="F1284" s="3" t="s">
        <v>103</v>
      </c>
      <c r="G1284" s="3" t="s">
        <v>103</v>
      </c>
      <c r="H1284" s="3" t="s">
        <v>103</v>
      </c>
      <c r="I1284" s="3" t="s">
        <v>103</v>
      </c>
      <c r="J1284" s="3" t="s">
        <v>103</v>
      </c>
      <c r="K1284" s="3" t="s">
        <v>103</v>
      </c>
      <c r="L1284" s="3" t="s">
        <v>103</v>
      </c>
      <c r="M1284" s="3" t="s">
        <v>103</v>
      </c>
      <c r="N1284" s="3" t="s">
        <v>103</v>
      </c>
    </row>
    <row r="1285" spans="1:14" s="3" customFormat="1" x14ac:dyDescent="0.3">
      <c r="A1285" s="3" t="s">
        <v>27</v>
      </c>
      <c r="B1285" s="3" t="s">
        <v>844</v>
      </c>
      <c r="C1285" s="3">
        <v>1</v>
      </c>
      <c r="D1285" s="3" t="s">
        <v>103</v>
      </c>
      <c r="E1285" s="3" t="s">
        <v>103</v>
      </c>
      <c r="F1285" s="3" t="s">
        <v>103</v>
      </c>
      <c r="G1285" s="3" t="s">
        <v>103</v>
      </c>
      <c r="H1285" s="3" t="s">
        <v>192</v>
      </c>
      <c r="I1285" s="3" t="s">
        <v>103</v>
      </c>
      <c r="J1285" s="3" t="s">
        <v>103</v>
      </c>
      <c r="K1285" s="3" t="s">
        <v>103</v>
      </c>
      <c r="L1285" s="3" t="s">
        <v>103</v>
      </c>
      <c r="M1285" s="3" t="s">
        <v>103</v>
      </c>
      <c r="N1285" s="3" t="s">
        <v>103</v>
      </c>
    </row>
    <row r="1286" spans="1:14" s="3" customFormat="1" x14ac:dyDescent="0.3">
      <c r="A1286" s="3" t="s">
        <v>27</v>
      </c>
      <c r="B1286" s="3" t="s">
        <v>845</v>
      </c>
      <c r="C1286" s="3">
        <v>1</v>
      </c>
      <c r="D1286" s="3" t="s">
        <v>103</v>
      </c>
      <c r="E1286" s="3" t="s">
        <v>103</v>
      </c>
      <c r="F1286" s="3" t="s">
        <v>103</v>
      </c>
      <c r="G1286" s="3" t="s">
        <v>103</v>
      </c>
      <c r="H1286" s="3" t="s">
        <v>192</v>
      </c>
      <c r="I1286" s="3" t="s">
        <v>103</v>
      </c>
      <c r="J1286" s="3" t="s">
        <v>103</v>
      </c>
      <c r="K1286" s="3" t="s">
        <v>103</v>
      </c>
      <c r="L1286" s="3" t="s">
        <v>103</v>
      </c>
      <c r="M1286" s="3" t="s">
        <v>103</v>
      </c>
      <c r="N1286" s="3" t="s">
        <v>103</v>
      </c>
    </row>
    <row r="1287" spans="1:14" s="3" customFormat="1" x14ac:dyDescent="0.3">
      <c r="A1287" s="3" t="s">
        <v>27</v>
      </c>
      <c r="B1287" s="3" t="s">
        <v>846</v>
      </c>
      <c r="C1287" s="3">
        <v>2</v>
      </c>
      <c r="D1287" s="3" t="s">
        <v>103</v>
      </c>
      <c r="E1287" s="3" t="s">
        <v>933</v>
      </c>
      <c r="F1287" s="3" t="s">
        <v>103</v>
      </c>
      <c r="G1287" s="3" t="s">
        <v>103</v>
      </c>
      <c r="H1287" s="3" t="s">
        <v>934</v>
      </c>
      <c r="I1287" s="3" t="s">
        <v>103</v>
      </c>
      <c r="J1287" s="3" t="s">
        <v>103</v>
      </c>
      <c r="K1287" s="3" t="s">
        <v>103</v>
      </c>
      <c r="L1287" s="3" t="s">
        <v>103</v>
      </c>
      <c r="M1287" s="3" t="s">
        <v>103</v>
      </c>
      <c r="N1287" s="3" t="s">
        <v>103</v>
      </c>
    </row>
    <row r="1288" spans="1:14" s="3" customFormat="1" x14ac:dyDescent="0.3">
      <c r="A1288" s="3" t="s">
        <v>27</v>
      </c>
      <c r="B1288" s="3" t="s">
        <v>847</v>
      </c>
      <c r="C1288" s="3">
        <v>1</v>
      </c>
      <c r="D1288" s="3" t="s">
        <v>103</v>
      </c>
      <c r="E1288" s="3" t="s">
        <v>103</v>
      </c>
      <c r="F1288" s="3" t="s">
        <v>103</v>
      </c>
      <c r="G1288" s="3" t="s">
        <v>103</v>
      </c>
      <c r="H1288" s="3" t="s">
        <v>192</v>
      </c>
      <c r="I1288" s="3" t="s">
        <v>103</v>
      </c>
      <c r="J1288" s="3" t="s">
        <v>103</v>
      </c>
      <c r="K1288" s="3" t="s">
        <v>103</v>
      </c>
      <c r="L1288" s="3" t="s">
        <v>103</v>
      </c>
      <c r="M1288" s="3" t="s">
        <v>103</v>
      </c>
      <c r="N1288" s="3" t="s">
        <v>103</v>
      </c>
    </row>
    <row r="1289" spans="1:14" s="3" customFormat="1" x14ac:dyDescent="0.3">
      <c r="A1289" s="3" t="s">
        <v>27</v>
      </c>
      <c r="B1289" s="3" t="s">
        <v>848</v>
      </c>
      <c r="C1289" s="3">
        <v>1</v>
      </c>
      <c r="D1289" s="3" t="s">
        <v>103</v>
      </c>
      <c r="E1289" s="3" t="s">
        <v>103</v>
      </c>
      <c r="F1289" s="3" t="s">
        <v>103</v>
      </c>
      <c r="G1289" s="3" t="s">
        <v>103</v>
      </c>
      <c r="H1289" s="3" t="s">
        <v>192</v>
      </c>
      <c r="I1289" s="3" t="s">
        <v>103</v>
      </c>
      <c r="J1289" s="3" t="s">
        <v>103</v>
      </c>
      <c r="K1289" s="3" t="s">
        <v>103</v>
      </c>
      <c r="L1289" s="3" t="s">
        <v>103</v>
      </c>
      <c r="M1289" s="3" t="s">
        <v>103</v>
      </c>
      <c r="N1289" s="3" t="s">
        <v>103</v>
      </c>
    </row>
    <row r="1290" spans="1:14" s="3" customFormat="1" x14ac:dyDescent="0.3">
      <c r="A1290" s="3" t="s">
        <v>41</v>
      </c>
      <c r="B1290" s="3" t="s">
        <v>844</v>
      </c>
      <c r="C1290" s="3">
        <v>12</v>
      </c>
      <c r="D1290" s="3" t="s">
        <v>511</v>
      </c>
      <c r="E1290" s="3" t="s">
        <v>30</v>
      </c>
      <c r="F1290" s="3" t="s">
        <v>466</v>
      </c>
      <c r="G1290" s="3" t="s">
        <v>247</v>
      </c>
      <c r="H1290" s="3" t="s">
        <v>683</v>
      </c>
      <c r="I1290" s="3" t="s">
        <v>652</v>
      </c>
      <c r="J1290" s="3" t="s">
        <v>103</v>
      </c>
      <c r="K1290" s="3" t="s">
        <v>472</v>
      </c>
      <c r="L1290" s="3" t="s">
        <v>103</v>
      </c>
      <c r="M1290" s="3" t="s">
        <v>103</v>
      </c>
      <c r="N1290" s="3" t="s">
        <v>103</v>
      </c>
    </row>
    <row r="1291" spans="1:14" s="3" customFormat="1" x14ac:dyDescent="0.3">
      <c r="A1291" s="3" t="s">
        <v>41</v>
      </c>
      <c r="B1291" s="3" t="s">
        <v>845</v>
      </c>
      <c r="C1291" s="3">
        <v>18</v>
      </c>
      <c r="D1291" s="3" t="s">
        <v>137</v>
      </c>
      <c r="E1291" s="3" t="s">
        <v>695</v>
      </c>
      <c r="F1291" s="3" t="s">
        <v>94</v>
      </c>
      <c r="G1291" s="3" t="s">
        <v>114</v>
      </c>
      <c r="H1291" s="3" t="s">
        <v>658</v>
      </c>
      <c r="I1291" s="3" t="s">
        <v>461</v>
      </c>
      <c r="J1291" s="3" t="s">
        <v>103</v>
      </c>
      <c r="K1291" s="3" t="s">
        <v>103</v>
      </c>
      <c r="L1291" s="3" t="s">
        <v>115</v>
      </c>
      <c r="M1291" s="3" t="s">
        <v>103</v>
      </c>
      <c r="N1291" s="3" t="s">
        <v>103</v>
      </c>
    </row>
    <row r="1292" spans="1:14" s="3" customFormat="1" x14ac:dyDescent="0.3">
      <c r="A1292" s="3" t="s">
        <v>41</v>
      </c>
      <c r="B1292" s="3" t="s">
        <v>846</v>
      </c>
      <c r="C1292" s="3">
        <v>15</v>
      </c>
      <c r="D1292" s="3" t="s">
        <v>103</v>
      </c>
      <c r="E1292" s="3" t="s">
        <v>935</v>
      </c>
      <c r="F1292" s="3" t="s">
        <v>103</v>
      </c>
      <c r="G1292" s="3" t="s">
        <v>466</v>
      </c>
      <c r="H1292" s="3" t="s">
        <v>479</v>
      </c>
      <c r="I1292" s="3" t="s">
        <v>756</v>
      </c>
      <c r="J1292" s="3" t="s">
        <v>103</v>
      </c>
      <c r="K1292" s="3" t="s">
        <v>103</v>
      </c>
      <c r="L1292" s="3" t="s">
        <v>103</v>
      </c>
      <c r="M1292" s="3" t="s">
        <v>152</v>
      </c>
      <c r="N1292" s="3" t="s">
        <v>244</v>
      </c>
    </row>
    <row r="1293" spans="1:14" s="3" customFormat="1" x14ac:dyDescent="0.3">
      <c r="A1293" s="3" t="s">
        <v>41</v>
      </c>
      <c r="B1293" s="3" t="s">
        <v>847</v>
      </c>
      <c r="C1293" s="3">
        <v>7</v>
      </c>
      <c r="D1293" s="3" t="s">
        <v>813</v>
      </c>
      <c r="E1293" s="3" t="s">
        <v>664</v>
      </c>
      <c r="F1293" s="3" t="s">
        <v>103</v>
      </c>
      <c r="G1293" s="3" t="s">
        <v>103</v>
      </c>
      <c r="H1293" s="3" t="s">
        <v>680</v>
      </c>
      <c r="I1293" s="3" t="s">
        <v>571</v>
      </c>
      <c r="J1293" s="3" t="s">
        <v>244</v>
      </c>
      <c r="K1293" s="3" t="s">
        <v>103</v>
      </c>
      <c r="L1293" s="3" t="s">
        <v>103</v>
      </c>
      <c r="M1293" s="3" t="s">
        <v>103</v>
      </c>
      <c r="N1293" s="3" t="s">
        <v>103</v>
      </c>
    </row>
    <row r="1294" spans="1:14" s="3" customFormat="1" x14ac:dyDescent="0.3">
      <c r="A1294" s="3" t="s">
        <v>41</v>
      </c>
      <c r="B1294" s="3" t="s">
        <v>848</v>
      </c>
      <c r="C1294" s="3">
        <v>1</v>
      </c>
      <c r="D1294" s="3" t="s">
        <v>103</v>
      </c>
      <c r="E1294" s="3" t="s">
        <v>103</v>
      </c>
      <c r="F1294" s="3" t="s">
        <v>103</v>
      </c>
      <c r="G1294" s="3" t="s">
        <v>103</v>
      </c>
      <c r="H1294" s="3" t="s">
        <v>192</v>
      </c>
      <c r="I1294" s="3" t="s">
        <v>103</v>
      </c>
      <c r="J1294" s="3" t="s">
        <v>103</v>
      </c>
      <c r="K1294" s="3" t="s">
        <v>103</v>
      </c>
      <c r="L1294" s="3" t="s">
        <v>103</v>
      </c>
      <c r="M1294" s="3" t="s">
        <v>103</v>
      </c>
      <c r="N1294" s="3" t="s">
        <v>103</v>
      </c>
    </row>
    <row r="1296" spans="1:14" x14ac:dyDescent="0.3">
      <c r="A1296" t="s">
        <v>936</v>
      </c>
    </row>
    <row r="1297" spans="1:14" x14ac:dyDescent="0.3">
      <c r="A1297" t="s">
        <v>36</v>
      </c>
      <c r="B1297" t="s">
        <v>197</v>
      </c>
      <c r="C1297" t="s">
        <v>24</v>
      </c>
      <c r="D1297" t="s">
        <v>910</v>
      </c>
      <c r="E1297" t="s">
        <v>908</v>
      </c>
      <c r="F1297" t="s">
        <v>909</v>
      </c>
      <c r="G1297" t="s">
        <v>914</v>
      </c>
      <c r="H1297" t="s">
        <v>911</v>
      </c>
      <c r="I1297" t="s">
        <v>912</v>
      </c>
      <c r="J1297" t="s">
        <v>913</v>
      </c>
      <c r="K1297" t="s">
        <v>915</v>
      </c>
      <c r="L1297" t="s">
        <v>87</v>
      </c>
      <c r="M1297" t="s">
        <v>916</v>
      </c>
      <c r="N1297" t="s">
        <v>917</v>
      </c>
    </row>
    <row r="1298" spans="1:14" s="3" customFormat="1" x14ac:dyDescent="0.3">
      <c r="A1298" s="3" t="s">
        <v>25</v>
      </c>
      <c r="B1298" s="3" t="s">
        <v>198</v>
      </c>
      <c r="C1298" s="3">
        <v>4</v>
      </c>
      <c r="D1298" s="3" t="s">
        <v>192</v>
      </c>
      <c r="E1298" s="3" t="s">
        <v>103</v>
      </c>
      <c r="F1298" s="3" t="s">
        <v>103</v>
      </c>
      <c r="G1298" s="3" t="s">
        <v>103</v>
      </c>
      <c r="H1298" s="3" t="s">
        <v>103</v>
      </c>
      <c r="I1298" s="3" t="s">
        <v>103</v>
      </c>
      <c r="J1298" s="3" t="s">
        <v>103</v>
      </c>
      <c r="K1298" s="3" t="s">
        <v>103</v>
      </c>
      <c r="L1298" s="3" t="s">
        <v>103</v>
      </c>
      <c r="M1298" s="3" t="s">
        <v>103</v>
      </c>
      <c r="N1298" s="3" t="s">
        <v>103</v>
      </c>
    </row>
    <row r="1299" spans="1:14" s="3" customFormat="1" x14ac:dyDescent="0.3">
      <c r="A1299" s="3" t="s">
        <v>25</v>
      </c>
      <c r="B1299" s="3" t="s">
        <v>199</v>
      </c>
      <c r="C1299" s="3">
        <v>4</v>
      </c>
      <c r="D1299" s="3" t="s">
        <v>103</v>
      </c>
      <c r="E1299" s="3" t="s">
        <v>937</v>
      </c>
      <c r="F1299" s="3" t="s">
        <v>491</v>
      </c>
      <c r="G1299" s="3" t="s">
        <v>103</v>
      </c>
      <c r="H1299" s="3" t="s">
        <v>103</v>
      </c>
      <c r="I1299" s="3" t="s">
        <v>103</v>
      </c>
      <c r="J1299" s="3" t="s">
        <v>103</v>
      </c>
      <c r="K1299" s="3" t="s">
        <v>103</v>
      </c>
      <c r="L1299" s="3" t="s">
        <v>103</v>
      </c>
      <c r="M1299" s="3" t="s">
        <v>103</v>
      </c>
      <c r="N1299" s="3" t="s">
        <v>103</v>
      </c>
    </row>
    <row r="1300" spans="1:14" s="3" customFormat="1" x14ac:dyDescent="0.3">
      <c r="A1300" s="3" t="s">
        <v>26</v>
      </c>
      <c r="B1300" s="3" t="s">
        <v>198</v>
      </c>
      <c r="C1300" s="3">
        <v>1</v>
      </c>
      <c r="D1300" s="3" t="s">
        <v>103</v>
      </c>
      <c r="E1300" s="3" t="s">
        <v>103</v>
      </c>
      <c r="F1300" s="3" t="s">
        <v>103</v>
      </c>
      <c r="G1300" s="3" t="s">
        <v>192</v>
      </c>
      <c r="H1300" s="3" t="s">
        <v>103</v>
      </c>
      <c r="I1300" s="3" t="s">
        <v>103</v>
      </c>
      <c r="J1300" s="3" t="s">
        <v>103</v>
      </c>
      <c r="K1300" s="3" t="s">
        <v>103</v>
      </c>
      <c r="L1300" s="3" t="s">
        <v>103</v>
      </c>
      <c r="M1300" s="3" t="s">
        <v>103</v>
      </c>
      <c r="N1300" s="3" t="s">
        <v>103</v>
      </c>
    </row>
    <row r="1301" spans="1:14" s="3" customFormat="1" x14ac:dyDescent="0.3">
      <c r="A1301" s="3" t="s">
        <v>26</v>
      </c>
      <c r="B1301" s="3" t="s">
        <v>199</v>
      </c>
      <c r="C1301" s="3">
        <v>23</v>
      </c>
      <c r="D1301" s="3" t="s">
        <v>103</v>
      </c>
      <c r="E1301" s="3" t="s">
        <v>520</v>
      </c>
      <c r="F1301" s="3" t="s">
        <v>266</v>
      </c>
      <c r="G1301" s="3" t="s">
        <v>458</v>
      </c>
      <c r="H1301" s="3" t="s">
        <v>99</v>
      </c>
      <c r="I1301" s="3" t="s">
        <v>270</v>
      </c>
      <c r="J1301" s="3" t="s">
        <v>650</v>
      </c>
      <c r="K1301" s="3" t="s">
        <v>103</v>
      </c>
      <c r="L1301" s="3" t="s">
        <v>103</v>
      </c>
      <c r="M1301" s="3" t="s">
        <v>103</v>
      </c>
      <c r="N1301" s="3" t="s">
        <v>103</v>
      </c>
    </row>
    <row r="1302" spans="1:14" s="3" customFormat="1" x14ac:dyDescent="0.3">
      <c r="A1302" s="3" t="s">
        <v>29</v>
      </c>
      <c r="B1302" s="3" t="s">
        <v>198</v>
      </c>
      <c r="C1302" s="3">
        <v>5</v>
      </c>
      <c r="D1302" s="3" t="s">
        <v>103</v>
      </c>
      <c r="E1302" s="3" t="s">
        <v>938</v>
      </c>
      <c r="F1302" s="3" t="s">
        <v>103</v>
      </c>
      <c r="G1302" s="3" t="s">
        <v>103</v>
      </c>
      <c r="H1302" s="3" t="s">
        <v>103</v>
      </c>
      <c r="I1302" s="3" t="s">
        <v>103</v>
      </c>
      <c r="J1302" s="3" t="s">
        <v>391</v>
      </c>
      <c r="K1302" s="3" t="s">
        <v>927</v>
      </c>
      <c r="L1302" s="3" t="s">
        <v>103</v>
      </c>
      <c r="M1302" s="3" t="s">
        <v>103</v>
      </c>
      <c r="N1302" s="3" t="s">
        <v>103</v>
      </c>
    </row>
    <row r="1303" spans="1:14" s="3" customFormat="1" x14ac:dyDescent="0.3">
      <c r="A1303" s="3" t="s">
        <v>29</v>
      </c>
      <c r="B1303" s="3" t="s">
        <v>199</v>
      </c>
      <c r="C1303" s="3">
        <v>6</v>
      </c>
      <c r="D1303" s="3" t="s">
        <v>103</v>
      </c>
      <c r="E1303" s="3" t="s">
        <v>706</v>
      </c>
      <c r="F1303" s="3" t="s">
        <v>103</v>
      </c>
      <c r="G1303" s="3" t="s">
        <v>103</v>
      </c>
      <c r="H1303" s="3" t="s">
        <v>103</v>
      </c>
      <c r="I1303" s="3" t="s">
        <v>103</v>
      </c>
      <c r="J1303" s="3" t="s">
        <v>103</v>
      </c>
      <c r="K1303" s="3" t="s">
        <v>103</v>
      </c>
      <c r="L1303" s="3" t="s">
        <v>658</v>
      </c>
      <c r="M1303" s="3" t="s">
        <v>506</v>
      </c>
      <c r="N1303" s="3" t="s">
        <v>537</v>
      </c>
    </row>
    <row r="1304" spans="1:14" s="3" customFormat="1" x14ac:dyDescent="0.3">
      <c r="A1304" s="3" t="s">
        <v>28</v>
      </c>
      <c r="B1304" s="3" t="s">
        <v>198</v>
      </c>
      <c r="C1304" s="3">
        <v>1</v>
      </c>
      <c r="D1304" s="3" t="s">
        <v>103</v>
      </c>
      <c r="E1304" s="3" t="s">
        <v>192</v>
      </c>
      <c r="F1304" s="3" t="s">
        <v>103</v>
      </c>
      <c r="G1304" s="3" t="s">
        <v>103</v>
      </c>
      <c r="H1304" s="3" t="s">
        <v>103</v>
      </c>
      <c r="I1304" s="3" t="s">
        <v>103</v>
      </c>
      <c r="J1304" s="3" t="s">
        <v>103</v>
      </c>
      <c r="K1304" s="3" t="s">
        <v>103</v>
      </c>
      <c r="L1304" s="3" t="s">
        <v>103</v>
      </c>
      <c r="M1304" s="3" t="s">
        <v>103</v>
      </c>
      <c r="N1304" s="3" t="s">
        <v>103</v>
      </c>
    </row>
    <row r="1305" spans="1:14" s="3" customFormat="1" x14ac:dyDescent="0.3">
      <c r="A1305" s="3" t="s">
        <v>28</v>
      </c>
      <c r="B1305" s="3" t="s">
        <v>199</v>
      </c>
      <c r="C1305" s="3">
        <v>3</v>
      </c>
      <c r="D1305" s="3" t="s">
        <v>103</v>
      </c>
      <c r="E1305" s="3" t="s">
        <v>500</v>
      </c>
      <c r="F1305" s="3" t="s">
        <v>939</v>
      </c>
      <c r="G1305" s="3" t="s">
        <v>103</v>
      </c>
      <c r="H1305" s="3" t="s">
        <v>103</v>
      </c>
      <c r="I1305" s="3" t="s">
        <v>103</v>
      </c>
      <c r="J1305" s="3" t="s">
        <v>103</v>
      </c>
      <c r="K1305" s="3" t="s">
        <v>103</v>
      </c>
      <c r="L1305" s="3" t="s">
        <v>103</v>
      </c>
      <c r="M1305" s="3" t="s">
        <v>103</v>
      </c>
      <c r="N1305" s="3" t="s">
        <v>103</v>
      </c>
    </row>
    <row r="1306" spans="1:14" s="3" customFormat="1" x14ac:dyDescent="0.3">
      <c r="A1306" s="3" t="s">
        <v>27</v>
      </c>
      <c r="B1306" s="3" t="s">
        <v>198</v>
      </c>
      <c r="C1306" s="3">
        <v>5</v>
      </c>
      <c r="D1306" s="3" t="s">
        <v>103</v>
      </c>
      <c r="E1306" s="3" t="s">
        <v>805</v>
      </c>
      <c r="F1306" s="3" t="s">
        <v>103</v>
      </c>
      <c r="G1306" s="3" t="s">
        <v>103</v>
      </c>
      <c r="H1306" s="3" t="s">
        <v>103</v>
      </c>
      <c r="I1306" s="3" t="s">
        <v>103</v>
      </c>
      <c r="J1306" s="3" t="s">
        <v>610</v>
      </c>
      <c r="K1306" s="3" t="s">
        <v>103</v>
      </c>
      <c r="L1306" s="3" t="s">
        <v>103</v>
      </c>
      <c r="M1306" s="3" t="s">
        <v>103</v>
      </c>
      <c r="N1306" s="3" t="s">
        <v>103</v>
      </c>
    </row>
    <row r="1307" spans="1:14" s="3" customFormat="1" x14ac:dyDescent="0.3">
      <c r="A1307" s="3" t="s">
        <v>27</v>
      </c>
      <c r="B1307" s="3" t="s">
        <v>199</v>
      </c>
      <c r="C1307" s="3">
        <v>1</v>
      </c>
      <c r="D1307" s="3" t="s">
        <v>103</v>
      </c>
      <c r="E1307" s="3" t="s">
        <v>103</v>
      </c>
      <c r="F1307" s="3" t="s">
        <v>103</v>
      </c>
      <c r="G1307" s="3" t="s">
        <v>103</v>
      </c>
      <c r="H1307" s="3" t="s">
        <v>103</v>
      </c>
      <c r="I1307" s="3" t="s">
        <v>103</v>
      </c>
      <c r="J1307" s="3" t="s">
        <v>192</v>
      </c>
      <c r="K1307" s="3" t="s">
        <v>103</v>
      </c>
      <c r="L1307" s="3" t="s">
        <v>103</v>
      </c>
      <c r="M1307" s="3" t="s">
        <v>103</v>
      </c>
      <c r="N1307" s="3" t="s">
        <v>103</v>
      </c>
    </row>
    <row r="1308" spans="1:14" s="3" customFormat="1" x14ac:dyDescent="0.3">
      <c r="A1308" s="3" t="s">
        <v>41</v>
      </c>
      <c r="B1308" s="3" t="s">
        <v>198</v>
      </c>
      <c r="C1308" s="3">
        <v>16</v>
      </c>
      <c r="D1308" s="3" t="s">
        <v>484</v>
      </c>
      <c r="E1308" s="3" t="s">
        <v>539</v>
      </c>
      <c r="F1308" s="3" t="s">
        <v>103</v>
      </c>
      <c r="G1308" s="3" t="s">
        <v>186</v>
      </c>
      <c r="H1308" s="3" t="s">
        <v>103</v>
      </c>
      <c r="I1308" s="3" t="s">
        <v>103</v>
      </c>
      <c r="J1308" s="3" t="s">
        <v>489</v>
      </c>
      <c r="K1308" s="3" t="s">
        <v>144</v>
      </c>
      <c r="L1308" s="3" t="s">
        <v>103</v>
      </c>
      <c r="M1308" s="3" t="s">
        <v>103</v>
      </c>
      <c r="N1308" s="3" t="s">
        <v>103</v>
      </c>
    </row>
    <row r="1309" spans="1:14" x14ac:dyDescent="0.3">
      <c r="A1309" t="s">
        <v>41</v>
      </c>
      <c r="B1309" t="s">
        <v>199</v>
      </c>
      <c r="C1309">
        <v>37</v>
      </c>
      <c r="D1309" t="s">
        <v>103</v>
      </c>
      <c r="E1309" t="s">
        <v>556</v>
      </c>
      <c r="F1309" t="s">
        <v>281</v>
      </c>
      <c r="G1309" t="s">
        <v>671</v>
      </c>
      <c r="H1309" t="s">
        <v>190</v>
      </c>
      <c r="I1309" t="s">
        <v>329</v>
      </c>
      <c r="J1309" t="s">
        <v>56</v>
      </c>
      <c r="K1309" t="s">
        <v>103</v>
      </c>
      <c r="L1309" t="s">
        <v>532</v>
      </c>
      <c r="M1309" t="s">
        <v>113</v>
      </c>
      <c r="N1309" t="s">
        <v>124</v>
      </c>
    </row>
    <row r="1311" spans="1:14" x14ac:dyDescent="0.3">
      <c r="A1311" t="s">
        <v>940</v>
      </c>
    </row>
    <row r="1312" spans="1:14" x14ac:dyDescent="0.3">
      <c r="A1312" t="s">
        <v>36</v>
      </c>
      <c r="B1312" t="s">
        <v>310</v>
      </c>
      <c r="C1312" t="s">
        <v>24</v>
      </c>
      <c r="D1312" t="s">
        <v>908</v>
      </c>
      <c r="E1312" t="s">
        <v>909</v>
      </c>
      <c r="F1312" t="s">
        <v>910</v>
      </c>
      <c r="G1312" t="s">
        <v>911</v>
      </c>
      <c r="H1312" t="s">
        <v>912</v>
      </c>
      <c r="I1312" t="s">
        <v>913</v>
      </c>
      <c r="J1312" t="s">
        <v>914</v>
      </c>
      <c r="K1312" t="s">
        <v>915</v>
      </c>
      <c r="L1312" t="s">
        <v>87</v>
      </c>
      <c r="M1312" t="s">
        <v>916</v>
      </c>
      <c r="N1312" t="s">
        <v>917</v>
      </c>
    </row>
    <row r="1313" spans="1:14" s="3" customFormat="1" x14ac:dyDescent="0.3">
      <c r="A1313" s="3" t="s">
        <v>25</v>
      </c>
      <c r="B1313" s="3" t="s">
        <v>311</v>
      </c>
      <c r="C1313" s="3">
        <v>6</v>
      </c>
      <c r="D1313" s="3" t="s">
        <v>144</v>
      </c>
      <c r="E1313" s="3" t="s">
        <v>750</v>
      </c>
      <c r="F1313" s="3" t="s">
        <v>51</v>
      </c>
      <c r="G1313" s="3" t="s">
        <v>103</v>
      </c>
      <c r="H1313" s="3" t="s">
        <v>103</v>
      </c>
      <c r="I1313" s="3" t="s">
        <v>103</v>
      </c>
      <c r="J1313" s="3" t="s">
        <v>103</v>
      </c>
      <c r="K1313" s="3" t="s">
        <v>103</v>
      </c>
      <c r="L1313" s="3" t="s">
        <v>103</v>
      </c>
      <c r="M1313" s="3" t="s">
        <v>103</v>
      </c>
      <c r="N1313" s="3" t="s">
        <v>103</v>
      </c>
    </row>
    <row r="1314" spans="1:14" x14ac:dyDescent="0.3">
      <c r="A1314" t="s">
        <v>25</v>
      </c>
      <c r="B1314" t="s">
        <v>308</v>
      </c>
      <c r="C1314">
        <v>2</v>
      </c>
      <c r="D1314" t="s">
        <v>192</v>
      </c>
      <c r="E1314" t="s">
        <v>103</v>
      </c>
      <c r="F1314" t="s">
        <v>103</v>
      </c>
      <c r="G1314" t="s">
        <v>103</v>
      </c>
      <c r="H1314" t="s">
        <v>103</v>
      </c>
      <c r="I1314" t="s">
        <v>103</v>
      </c>
      <c r="J1314" t="s">
        <v>103</v>
      </c>
      <c r="K1314" t="s">
        <v>103</v>
      </c>
      <c r="L1314" t="s">
        <v>103</v>
      </c>
      <c r="M1314" t="s">
        <v>103</v>
      </c>
      <c r="N1314" t="s">
        <v>103</v>
      </c>
    </row>
    <row r="1315" spans="1:14" s="3" customFormat="1" x14ac:dyDescent="0.3">
      <c r="A1315" s="3" t="s">
        <v>26</v>
      </c>
      <c r="B1315" s="3" t="s">
        <v>311</v>
      </c>
      <c r="C1315" s="3">
        <v>23</v>
      </c>
      <c r="D1315" s="3" t="s">
        <v>746</v>
      </c>
      <c r="E1315" s="3" t="s">
        <v>266</v>
      </c>
      <c r="F1315" s="3" t="s">
        <v>103</v>
      </c>
      <c r="G1315" s="3" t="s">
        <v>191</v>
      </c>
      <c r="H1315" s="3" t="s">
        <v>195</v>
      </c>
      <c r="I1315" s="3" t="s">
        <v>646</v>
      </c>
      <c r="J1315" s="3" t="s">
        <v>655</v>
      </c>
      <c r="K1315" s="3" t="s">
        <v>103</v>
      </c>
      <c r="L1315" s="3" t="s">
        <v>103</v>
      </c>
      <c r="M1315" s="3" t="s">
        <v>103</v>
      </c>
      <c r="N1315" s="3" t="s">
        <v>103</v>
      </c>
    </row>
    <row r="1316" spans="1:14" s="3" customFormat="1" x14ac:dyDescent="0.3">
      <c r="A1316" s="3" t="s">
        <v>26</v>
      </c>
      <c r="B1316" s="3" t="s">
        <v>312</v>
      </c>
      <c r="C1316" s="3">
        <v>1</v>
      </c>
      <c r="D1316" s="3" t="s">
        <v>103</v>
      </c>
      <c r="E1316" s="3" t="s">
        <v>103</v>
      </c>
      <c r="F1316" s="3" t="s">
        <v>103</v>
      </c>
      <c r="G1316" s="3" t="s">
        <v>103</v>
      </c>
      <c r="H1316" s="3" t="s">
        <v>103</v>
      </c>
      <c r="I1316" s="3" t="s">
        <v>192</v>
      </c>
      <c r="J1316" s="3" t="s">
        <v>103</v>
      </c>
      <c r="K1316" s="3" t="s">
        <v>103</v>
      </c>
      <c r="L1316" s="3" t="s">
        <v>103</v>
      </c>
      <c r="M1316" s="3" t="s">
        <v>103</v>
      </c>
      <c r="N1316" s="3" t="s">
        <v>103</v>
      </c>
    </row>
    <row r="1317" spans="1:14" s="3" customFormat="1" x14ac:dyDescent="0.3">
      <c r="A1317" s="3" t="s">
        <v>29</v>
      </c>
      <c r="B1317" s="3" t="s">
        <v>311</v>
      </c>
      <c r="C1317" s="3">
        <v>10</v>
      </c>
      <c r="D1317" s="3" t="s">
        <v>707</v>
      </c>
      <c r="E1317" s="3" t="s">
        <v>103</v>
      </c>
      <c r="F1317" s="3" t="s">
        <v>103</v>
      </c>
      <c r="G1317" s="3" t="s">
        <v>103</v>
      </c>
      <c r="H1317" s="3" t="s">
        <v>103</v>
      </c>
      <c r="I1317" s="3" t="s">
        <v>569</v>
      </c>
      <c r="J1317" s="3" t="s">
        <v>103</v>
      </c>
      <c r="K1317" s="3" t="s">
        <v>481</v>
      </c>
      <c r="L1317" s="3" t="s">
        <v>743</v>
      </c>
      <c r="M1317" s="3" t="s">
        <v>463</v>
      </c>
      <c r="N1317" s="3" t="s">
        <v>155</v>
      </c>
    </row>
    <row r="1318" spans="1:14" s="3" customFormat="1" x14ac:dyDescent="0.3">
      <c r="A1318" s="3" t="s">
        <v>29</v>
      </c>
      <c r="B1318" s="3" t="s">
        <v>312</v>
      </c>
      <c r="C1318" s="3">
        <v>1</v>
      </c>
      <c r="D1318" s="3" t="s">
        <v>192</v>
      </c>
      <c r="E1318" s="3" t="s">
        <v>103</v>
      </c>
      <c r="F1318" s="3" t="s">
        <v>103</v>
      </c>
      <c r="G1318" s="3" t="s">
        <v>103</v>
      </c>
      <c r="H1318" s="3" t="s">
        <v>103</v>
      </c>
      <c r="I1318" s="3" t="s">
        <v>103</v>
      </c>
      <c r="J1318" s="3" t="s">
        <v>103</v>
      </c>
      <c r="K1318" s="3" t="s">
        <v>103</v>
      </c>
      <c r="L1318" s="3" t="s">
        <v>103</v>
      </c>
      <c r="M1318" s="3" t="s">
        <v>103</v>
      </c>
      <c r="N1318" s="3" t="s">
        <v>103</v>
      </c>
    </row>
    <row r="1319" spans="1:14" s="3" customFormat="1" x14ac:dyDescent="0.3">
      <c r="A1319" s="3" t="s">
        <v>28</v>
      </c>
      <c r="B1319" s="3" t="s">
        <v>311</v>
      </c>
      <c r="C1319" s="3">
        <v>4</v>
      </c>
      <c r="D1319" s="3" t="s">
        <v>351</v>
      </c>
      <c r="E1319" s="3" t="s">
        <v>421</v>
      </c>
      <c r="F1319" s="3" t="s">
        <v>103</v>
      </c>
      <c r="G1319" s="3" t="s">
        <v>103</v>
      </c>
      <c r="H1319" s="3" t="s">
        <v>103</v>
      </c>
      <c r="I1319" s="3" t="s">
        <v>103</v>
      </c>
      <c r="J1319" s="3" t="s">
        <v>103</v>
      </c>
      <c r="K1319" s="3" t="s">
        <v>103</v>
      </c>
      <c r="L1319" s="3" t="s">
        <v>103</v>
      </c>
      <c r="M1319" s="3" t="s">
        <v>103</v>
      </c>
      <c r="N1319" s="3" t="s">
        <v>103</v>
      </c>
    </row>
    <row r="1320" spans="1:14" s="3" customFormat="1" x14ac:dyDescent="0.3">
      <c r="A1320" s="3" t="s">
        <v>27</v>
      </c>
      <c r="B1320" s="3" t="s">
        <v>311</v>
      </c>
      <c r="C1320" s="3">
        <v>6</v>
      </c>
      <c r="D1320" s="3" t="s">
        <v>56</v>
      </c>
      <c r="E1320" s="3" t="s">
        <v>103</v>
      </c>
      <c r="F1320" s="3" t="s">
        <v>103</v>
      </c>
      <c r="G1320" s="3" t="s">
        <v>103</v>
      </c>
      <c r="H1320" s="3" t="s">
        <v>103</v>
      </c>
      <c r="I1320" s="3" t="s">
        <v>55</v>
      </c>
      <c r="J1320" s="3" t="s">
        <v>103</v>
      </c>
      <c r="K1320" s="3" t="s">
        <v>103</v>
      </c>
      <c r="L1320" s="3" t="s">
        <v>103</v>
      </c>
      <c r="M1320" s="3" t="s">
        <v>103</v>
      </c>
      <c r="N1320" s="3" t="s">
        <v>103</v>
      </c>
    </row>
    <row r="1321" spans="1:14" x14ac:dyDescent="0.3">
      <c r="A1321" t="s">
        <v>41</v>
      </c>
      <c r="B1321" t="s">
        <v>311</v>
      </c>
      <c r="C1321">
        <v>49</v>
      </c>
      <c r="D1321" t="s">
        <v>754</v>
      </c>
      <c r="E1321" t="s">
        <v>591</v>
      </c>
      <c r="F1321" t="s">
        <v>60</v>
      </c>
      <c r="G1321" t="s">
        <v>281</v>
      </c>
      <c r="H1321" t="s">
        <v>216</v>
      </c>
      <c r="I1321" t="s">
        <v>667</v>
      </c>
      <c r="J1321" t="s">
        <v>552</v>
      </c>
      <c r="K1321" t="s">
        <v>438</v>
      </c>
      <c r="L1321" t="s">
        <v>102</v>
      </c>
      <c r="M1321" t="s">
        <v>467</v>
      </c>
      <c r="N1321" t="s">
        <v>558</v>
      </c>
    </row>
    <row r="1322" spans="1:14" s="3" customFormat="1" x14ac:dyDescent="0.3">
      <c r="A1322" s="3" t="s">
        <v>41</v>
      </c>
      <c r="B1322" s="3" t="s">
        <v>312</v>
      </c>
      <c r="C1322" s="3">
        <v>2</v>
      </c>
      <c r="D1322" s="3" t="s">
        <v>372</v>
      </c>
      <c r="E1322" s="3" t="s">
        <v>103</v>
      </c>
      <c r="F1322" s="3" t="s">
        <v>103</v>
      </c>
      <c r="G1322" s="3" t="s">
        <v>103</v>
      </c>
      <c r="H1322" s="3" t="s">
        <v>103</v>
      </c>
      <c r="I1322" s="3" t="s">
        <v>573</v>
      </c>
      <c r="J1322" s="3" t="s">
        <v>103</v>
      </c>
      <c r="K1322" s="3" t="s">
        <v>103</v>
      </c>
      <c r="L1322" s="3" t="s">
        <v>103</v>
      </c>
      <c r="M1322" s="3" t="s">
        <v>103</v>
      </c>
      <c r="N1322" s="3" t="s">
        <v>103</v>
      </c>
    </row>
    <row r="1323" spans="1:14" x14ac:dyDescent="0.3">
      <c r="A1323" t="s">
        <v>41</v>
      </c>
      <c r="B1323" t="s">
        <v>308</v>
      </c>
      <c r="C1323">
        <v>2</v>
      </c>
      <c r="D1323" t="s">
        <v>192</v>
      </c>
      <c r="E1323" t="s">
        <v>103</v>
      </c>
      <c r="F1323" t="s">
        <v>103</v>
      </c>
      <c r="G1323" t="s">
        <v>103</v>
      </c>
      <c r="H1323" t="s">
        <v>103</v>
      </c>
      <c r="I1323" t="s">
        <v>103</v>
      </c>
      <c r="J1323" t="s">
        <v>103</v>
      </c>
      <c r="K1323" t="s">
        <v>103</v>
      </c>
      <c r="L1323" t="s">
        <v>103</v>
      </c>
      <c r="M1323" t="s">
        <v>103</v>
      </c>
      <c r="N1323" t="s">
        <v>103</v>
      </c>
    </row>
    <row r="1325" spans="1:14" x14ac:dyDescent="0.3">
      <c r="A1325" t="s">
        <v>941</v>
      </c>
    </row>
    <row r="1326" spans="1:14" x14ac:dyDescent="0.3">
      <c r="A1326" t="s">
        <v>36</v>
      </c>
      <c r="B1326" t="s">
        <v>763</v>
      </c>
      <c r="C1326" t="s">
        <v>24</v>
      </c>
      <c r="D1326" t="s">
        <v>908</v>
      </c>
      <c r="E1326" t="s">
        <v>909</v>
      </c>
      <c r="F1326" t="s">
        <v>910</v>
      </c>
      <c r="G1326" t="s">
        <v>911</v>
      </c>
      <c r="H1326" t="s">
        <v>912</v>
      </c>
      <c r="I1326" t="s">
        <v>913</v>
      </c>
      <c r="J1326" t="s">
        <v>914</v>
      </c>
      <c r="K1326" t="s">
        <v>915</v>
      </c>
      <c r="L1326" t="s">
        <v>87</v>
      </c>
      <c r="M1326" t="s">
        <v>917</v>
      </c>
      <c r="N1326" t="s">
        <v>916</v>
      </c>
    </row>
    <row r="1327" spans="1:14" s="3" customFormat="1" x14ac:dyDescent="0.3">
      <c r="A1327" s="3" t="s">
        <v>25</v>
      </c>
      <c r="B1327" s="3" t="s">
        <v>765</v>
      </c>
      <c r="C1327" s="3">
        <v>8</v>
      </c>
      <c r="D1327" s="3" t="s">
        <v>484</v>
      </c>
      <c r="E1327" s="3" t="s">
        <v>918</v>
      </c>
      <c r="F1327" s="3" t="s">
        <v>417</v>
      </c>
      <c r="G1327" s="3" t="s">
        <v>103</v>
      </c>
      <c r="H1327" s="3" t="s">
        <v>103</v>
      </c>
      <c r="I1327" s="3" t="s">
        <v>103</v>
      </c>
      <c r="J1327" s="3" t="s">
        <v>103</v>
      </c>
      <c r="K1327" s="3" t="s">
        <v>103</v>
      </c>
      <c r="L1327" s="3" t="s">
        <v>103</v>
      </c>
      <c r="M1327" s="3" t="s">
        <v>103</v>
      </c>
      <c r="N1327" s="3" t="s">
        <v>103</v>
      </c>
    </row>
    <row r="1328" spans="1:14" s="3" customFormat="1" x14ac:dyDescent="0.3">
      <c r="A1328" s="3" t="s">
        <v>26</v>
      </c>
      <c r="B1328" s="3" t="s">
        <v>765</v>
      </c>
      <c r="C1328" s="3">
        <v>14</v>
      </c>
      <c r="D1328" s="3" t="s">
        <v>103</v>
      </c>
      <c r="E1328" s="3" t="s">
        <v>33</v>
      </c>
      <c r="F1328" s="3" t="s">
        <v>103</v>
      </c>
      <c r="G1328" s="3" t="s">
        <v>331</v>
      </c>
      <c r="H1328" s="3" t="s">
        <v>70</v>
      </c>
      <c r="I1328" s="3" t="s">
        <v>160</v>
      </c>
      <c r="J1328" s="3" t="s">
        <v>942</v>
      </c>
      <c r="K1328" s="3" t="s">
        <v>103</v>
      </c>
      <c r="L1328" s="3" t="s">
        <v>103</v>
      </c>
      <c r="M1328" s="3" t="s">
        <v>103</v>
      </c>
      <c r="N1328" s="3" t="s">
        <v>103</v>
      </c>
    </row>
    <row r="1329" spans="1:14" s="3" customFormat="1" x14ac:dyDescent="0.3">
      <c r="A1329" s="3" t="s">
        <v>26</v>
      </c>
      <c r="B1329" s="3" t="s">
        <v>767</v>
      </c>
      <c r="C1329" s="3">
        <v>10</v>
      </c>
      <c r="D1329" s="3" t="s">
        <v>673</v>
      </c>
      <c r="E1329" s="3" t="s">
        <v>103</v>
      </c>
      <c r="F1329" s="3" t="s">
        <v>103</v>
      </c>
      <c r="G1329" s="3" t="s">
        <v>103</v>
      </c>
      <c r="H1329" s="3" t="s">
        <v>103</v>
      </c>
      <c r="I1329" s="3" t="s">
        <v>464</v>
      </c>
      <c r="J1329" s="3" t="s">
        <v>536</v>
      </c>
      <c r="K1329" s="3" t="s">
        <v>103</v>
      </c>
      <c r="L1329" s="3" t="s">
        <v>103</v>
      </c>
      <c r="M1329" s="3" t="s">
        <v>103</v>
      </c>
      <c r="N1329" s="3" t="s">
        <v>103</v>
      </c>
    </row>
    <row r="1330" spans="1:14" s="3" customFormat="1" x14ac:dyDescent="0.3">
      <c r="A1330" s="3" t="s">
        <v>29</v>
      </c>
      <c r="B1330" s="3" t="s">
        <v>765</v>
      </c>
      <c r="C1330" s="3">
        <v>8</v>
      </c>
      <c r="D1330" s="3" t="s">
        <v>789</v>
      </c>
      <c r="E1330" s="3" t="s">
        <v>103</v>
      </c>
      <c r="F1330" s="3" t="s">
        <v>103</v>
      </c>
      <c r="G1330" s="3" t="s">
        <v>103</v>
      </c>
      <c r="H1330" s="3" t="s">
        <v>103</v>
      </c>
      <c r="I1330" s="3" t="s">
        <v>236</v>
      </c>
      <c r="J1330" s="3" t="s">
        <v>103</v>
      </c>
      <c r="K1330" s="3" t="s">
        <v>925</v>
      </c>
      <c r="L1330" s="3" t="s">
        <v>92</v>
      </c>
      <c r="M1330" s="3" t="s">
        <v>525</v>
      </c>
      <c r="N1330" s="3" t="s">
        <v>103</v>
      </c>
    </row>
    <row r="1331" spans="1:14" s="3" customFormat="1" x14ac:dyDescent="0.3">
      <c r="A1331" s="3" t="s">
        <v>29</v>
      </c>
      <c r="B1331" s="3" t="s">
        <v>767</v>
      </c>
      <c r="C1331" s="3">
        <v>3</v>
      </c>
      <c r="D1331" s="3" t="s">
        <v>527</v>
      </c>
      <c r="E1331" s="3" t="s">
        <v>103</v>
      </c>
      <c r="F1331" s="3" t="s">
        <v>103</v>
      </c>
      <c r="G1331" s="3" t="s">
        <v>103</v>
      </c>
      <c r="H1331" s="3" t="s">
        <v>103</v>
      </c>
      <c r="I1331" s="3" t="s">
        <v>103</v>
      </c>
      <c r="J1331" s="3" t="s">
        <v>103</v>
      </c>
      <c r="K1331" s="3" t="s">
        <v>103</v>
      </c>
      <c r="L1331" s="3" t="s">
        <v>103</v>
      </c>
      <c r="M1331" s="3" t="s">
        <v>103</v>
      </c>
      <c r="N1331" s="3" t="s">
        <v>943</v>
      </c>
    </row>
    <row r="1332" spans="1:14" s="3" customFormat="1" x14ac:dyDescent="0.3">
      <c r="A1332" s="3" t="s">
        <v>28</v>
      </c>
      <c r="B1332" s="3" t="s">
        <v>765</v>
      </c>
      <c r="C1332" s="3">
        <v>4</v>
      </c>
      <c r="D1332" s="3" t="s">
        <v>351</v>
      </c>
      <c r="E1332" s="3" t="s">
        <v>421</v>
      </c>
      <c r="F1332" s="3" t="s">
        <v>103</v>
      </c>
      <c r="G1332" s="3" t="s">
        <v>103</v>
      </c>
      <c r="H1332" s="3" t="s">
        <v>103</v>
      </c>
      <c r="I1332" s="3" t="s">
        <v>103</v>
      </c>
      <c r="J1332" s="3" t="s">
        <v>103</v>
      </c>
      <c r="K1332" s="3" t="s">
        <v>103</v>
      </c>
      <c r="L1332" s="3" t="s">
        <v>103</v>
      </c>
      <c r="M1332" s="3" t="s">
        <v>103</v>
      </c>
      <c r="N1332" s="3" t="s">
        <v>103</v>
      </c>
    </row>
    <row r="1333" spans="1:14" s="3" customFormat="1" x14ac:dyDescent="0.3">
      <c r="A1333" s="3" t="s">
        <v>27</v>
      </c>
      <c r="B1333" s="3" t="s">
        <v>765</v>
      </c>
      <c r="C1333" s="3">
        <v>4</v>
      </c>
      <c r="D1333" s="3" t="s">
        <v>920</v>
      </c>
      <c r="E1333" s="3" t="s">
        <v>103</v>
      </c>
      <c r="F1333" s="3" t="s">
        <v>103</v>
      </c>
      <c r="G1333" s="3" t="s">
        <v>103</v>
      </c>
      <c r="H1333" s="3" t="s">
        <v>103</v>
      </c>
      <c r="I1333" s="3" t="s">
        <v>944</v>
      </c>
      <c r="J1333" s="3" t="s">
        <v>103</v>
      </c>
      <c r="K1333" s="3" t="s">
        <v>103</v>
      </c>
      <c r="L1333" s="3" t="s">
        <v>103</v>
      </c>
      <c r="M1333" s="3" t="s">
        <v>103</v>
      </c>
      <c r="N1333" s="3" t="s">
        <v>103</v>
      </c>
    </row>
    <row r="1334" spans="1:14" s="3" customFormat="1" x14ac:dyDescent="0.3">
      <c r="A1334" s="3" t="s">
        <v>27</v>
      </c>
      <c r="B1334" s="3" t="s">
        <v>767</v>
      </c>
      <c r="C1334" s="3">
        <v>2</v>
      </c>
      <c r="D1334" s="3" t="s">
        <v>103</v>
      </c>
      <c r="E1334" s="3" t="s">
        <v>103</v>
      </c>
      <c r="F1334" s="3" t="s">
        <v>103</v>
      </c>
      <c r="G1334" s="3" t="s">
        <v>103</v>
      </c>
      <c r="H1334" s="3" t="s">
        <v>103</v>
      </c>
      <c r="I1334" s="3" t="s">
        <v>192</v>
      </c>
      <c r="J1334" s="3" t="s">
        <v>103</v>
      </c>
      <c r="K1334" s="3" t="s">
        <v>103</v>
      </c>
      <c r="L1334" s="3" t="s">
        <v>103</v>
      </c>
      <c r="M1334" s="3" t="s">
        <v>103</v>
      </c>
      <c r="N1334" s="3" t="s">
        <v>103</v>
      </c>
    </row>
    <row r="1335" spans="1:14" x14ac:dyDescent="0.3">
      <c r="A1335" t="s">
        <v>41</v>
      </c>
      <c r="B1335" t="s">
        <v>765</v>
      </c>
      <c r="C1335">
        <v>38</v>
      </c>
      <c r="D1335" t="s">
        <v>475</v>
      </c>
      <c r="E1335" t="s">
        <v>662</v>
      </c>
      <c r="F1335" t="s">
        <v>459</v>
      </c>
      <c r="G1335" t="s">
        <v>460</v>
      </c>
      <c r="H1335" t="s">
        <v>93</v>
      </c>
      <c r="I1335" t="s">
        <v>56</v>
      </c>
      <c r="J1335" t="s">
        <v>820</v>
      </c>
      <c r="K1335" t="s">
        <v>214</v>
      </c>
      <c r="L1335" t="s">
        <v>32</v>
      </c>
      <c r="M1335" t="s">
        <v>108</v>
      </c>
      <c r="N1335" t="s">
        <v>103</v>
      </c>
    </row>
    <row r="1336" spans="1:14" s="3" customFormat="1" x14ac:dyDescent="0.3">
      <c r="A1336" s="3" t="s">
        <v>41</v>
      </c>
      <c r="B1336" s="3" t="s">
        <v>767</v>
      </c>
      <c r="C1336" s="3">
        <v>15</v>
      </c>
      <c r="D1336" s="3" t="s">
        <v>487</v>
      </c>
      <c r="E1336" s="3" t="s">
        <v>103</v>
      </c>
      <c r="F1336" s="3" t="s">
        <v>103</v>
      </c>
      <c r="G1336" s="3" t="s">
        <v>103</v>
      </c>
      <c r="H1336" s="3" t="s">
        <v>103</v>
      </c>
      <c r="I1336" s="3" t="s">
        <v>705</v>
      </c>
      <c r="J1336" s="3" t="s">
        <v>137</v>
      </c>
      <c r="K1336" s="3" t="s">
        <v>103</v>
      </c>
      <c r="L1336" s="3" t="s">
        <v>103</v>
      </c>
      <c r="M1336" s="3" t="s">
        <v>103</v>
      </c>
      <c r="N1336" s="3" t="s">
        <v>135</v>
      </c>
    </row>
    <row r="1338" spans="1:14" x14ac:dyDescent="0.3">
      <c r="A1338" t="s">
        <v>945</v>
      </c>
    </row>
    <row r="1339" spans="1:14" x14ac:dyDescent="0.3">
      <c r="A1339" t="s">
        <v>36</v>
      </c>
      <c r="B1339" t="s">
        <v>210</v>
      </c>
      <c r="C1339" t="s">
        <v>24</v>
      </c>
      <c r="D1339" t="s">
        <v>908</v>
      </c>
      <c r="E1339" t="s">
        <v>909</v>
      </c>
      <c r="F1339" t="s">
        <v>910</v>
      </c>
      <c r="G1339" t="s">
        <v>911</v>
      </c>
      <c r="H1339" t="s">
        <v>912</v>
      </c>
      <c r="I1339" t="s">
        <v>913</v>
      </c>
      <c r="J1339" t="s">
        <v>914</v>
      </c>
      <c r="K1339" t="s">
        <v>915</v>
      </c>
      <c r="L1339" t="s">
        <v>87</v>
      </c>
      <c r="M1339" t="s">
        <v>916</v>
      </c>
      <c r="N1339" t="s">
        <v>917</v>
      </c>
    </row>
    <row r="1340" spans="1:14" s="3" customFormat="1" x14ac:dyDescent="0.3">
      <c r="A1340" s="3" t="s">
        <v>25</v>
      </c>
      <c r="B1340" s="3" t="s">
        <v>211</v>
      </c>
      <c r="C1340" s="3">
        <v>8</v>
      </c>
      <c r="D1340" s="3" t="s">
        <v>484</v>
      </c>
      <c r="E1340" s="3" t="s">
        <v>918</v>
      </c>
      <c r="F1340" s="3" t="s">
        <v>417</v>
      </c>
      <c r="G1340" s="3" t="s">
        <v>103</v>
      </c>
      <c r="H1340" s="3" t="s">
        <v>103</v>
      </c>
      <c r="I1340" s="3" t="s">
        <v>103</v>
      </c>
      <c r="J1340" s="3" t="s">
        <v>103</v>
      </c>
      <c r="K1340" s="3" t="s">
        <v>103</v>
      </c>
      <c r="L1340" s="3" t="s">
        <v>103</v>
      </c>
      <c r="M1340" s="3" t="s">
        <v>103</v>
      </c>
      <c r="N1340" s="3" t="s">
        <v>103</v>
      </c>
    </row>
    <row r="1341" spans="1:14" s="3" customFormat="1" x14ac:dyDescent="0.3">
      <c r="A1341" s="3" t="s">
        <v>26</v>
      </c>
      <c r="B1341" s="3" t="s">
        <v>212</v>
      </c>
      <c r="C1341" s="3">
        <v>24</v>
      </c>
      <c r="D1341" s="3" t="s">
        <v>820</v>
      </c>
      <c r="E1341" s="3" t="s">
        <v>266</v>
      </c>
      <c r="F1341" s="3" t="s">
        <v>103</v>
      </c>
      <c r="G1341" s="3" t="s">
        <v>629</v>
      </c>
      <c r="H1341" s="3" t="s">
        <v>270</v>
      </c>
      <c r="I1341" s="3" t="s">
        <v>651</v>
      </c>
      <c r="J1341" s="3" t="s">
        <v>919</v>
      </c>
      <c r="K1341" s="3" t="s">
        <v>103</v>
      </c>
      <c r="L1341" s="3" t="s">
        <v>103</v>
      </c>
      <c r="M1341" s="3" t="s">
        <v>103</v>
      </c>
      <c r="N1341" s="3" t="s">
        <v>103</v>
      </c>
    </row>
    <row r="1342" spans="1:14" s="3" customFormat="1" x14ac:dyDescent="0.3">
      <c r="A1342" s="3" t="s">
        <v>29</v>
      </c>
      <c r="B1342" s="3" t="s">
        <v>211</v>
      </c>
      <c r="C1342" s="3">
        <v>11</v>
      </c>
      <c r="D1342" s="3" t="s">
        <v>920</v>
      </c>
      <c r="E1342" s="3" t="s">
        <v>103</v>
      </c>
      <c r="F1342" s="3" t="s">
        <v>103</v>
      </c>
      <c r="G1342" s="3" t="s">
        <v>103</v>
      </c>
      <c r="H1342" s="3" t="s">
        <v>103</v>
      </c>
      <c r="I1342" s="3" t="s">
        <v>667</v>
      </c>
      <c r="J1342" s="3" t="s">
        <v>103</v>
      </c>
      <c r="K1342" s="3" t="s">
        <v>117</v>
      </c>
      <c r="L1342" s="3" t="s">
        <v>136</v>
      </c>
      <c r="M1342" s="3" t="s">
        <v>890</v>
      </c>
      <c r="N1342" s="3" t="s">
        <v>819</v>
      </c>
    </row>
    <row r="1343" spans="1:14" s="3" customFormat="1" x14ac:dyDescent="0.3">
      <c r="A1343" s="3" t="s">
        <v>28</v>
      </c>
      <c r="B1343" s="3" t="s">
        <v>211</v>
      </c>
      <c r="C1343" s="3">
        <v>4</v>
      </c>
      <c r="D1343" s="3" t="s">
        <v>351</v>
      </c>
      <c r="E1343" s="3" t="s">
        <v>421</v>
      </c>
      <c r="F1343" s="3" t="s">
        <v>103</v>
      </c>
      <c r="G1343" s="3" t="s">
        <v>103</v>
      </c>
      <c r="H1343" s="3" t="s">
        <v>103</v>
      </c>
      <c r="I1343" s="3" t="s">
        <v>103</v>
      </c>
      <c r="J1343" s="3" t="s">
        <v>103</v>
      </c>
      <c r="K1343" s="3" t="s">
        <v>103</v>
      </c>
      <c r="L1343" s="3" t="s">
        <v>103</v>
      </c>
      <c r="M1343" s="3" t="s">
        <v>103</v>
      </c>
      <c r="N1343" s="3" t="s">
        <v>103</v>
      </c>
    </row>
    <row r="1344" spans="1:14" s="3" customFormat="1" x14ac:dyDescent="0.3">
      <c r="A1344" s="3" t="s">
        <v>27</v>
      </c>
      <c r="B1344" s="3" t="s">
        <v>211</v>
      </c>
      <c r="C1344" s="3">
        <v>6</v>
      </c>
      <c r="D1344" s="3" t="s">
        <v>56</v>
      </c>
      <c r="E1344" s="3" t="s">
        <v>103</v>
      </c>
      <c r="F1344" s="3" t="s">
        <v>103</v>
      </c>
      <c r="G1344" s="3" t="s">
        <v>103</v>
      </c>
      <c r="H1344" s="3" t="s">
        <v>103</v>
      </c>
      <c r="I1344" s="3" t="s">
        <v>55</v>
      </c>
      <c r="J1344" s="3" t="s">
        <v>103</v>
      </c>
      <c r="K1344" s="3" t="s">
        <v>103</v>
      </c>
      <c r="L1344" s="3" t="s">
        <v>103</v>
      </c>
      <c r="M1344" s="3" t="s">
        <v>103</v>
      </c>
      <c r="N1344" s="3" t="s">
        <v>103</v>
      </c>
    </row>
    <row r="1345" spans="1:14" s="3" customFormat="1" x14ac:dyDescent="0.3">
      <c r="A1345" s="3" t="s">
        <v>41</v>
      </c>
      <c r="B1345" s="3" t="s">
        <v>211</v>
      </c>
      <c r="C1345" s="3">
        <v>29</v>
      </c>
      <c r="D1345" s="3" t="s">
        <v>301</v>
      </c>
      <c r="E1345" s="3" t="s">
        <v>278</v>
      </c>
      <c r="F1345" s="3" t="s">
        <v>516</v>
      </c>
      <c r="G1345" s="3" t="s">
        <v>103</v>
      </c>
      <c r="H1345" s="3" t="s">
        <v>103</v>
      </c>
      <c r="I1345" s="3" t="s">
        <v>672</v>
      </c>
      <c r="J1345" s="3" t="s">
        <v>103</v>
      </c>
      <c r="K1345" s="3" t="s">
        <v>607</v>
      </c>
      <c r="L1345" s="3" t="s">
        <v>101</v>
      </c>
      <c r="M1345" s="3" t="s">
        <v>140</v>
      </c>
      <c r="N1345" s="3" t="s">
        <v>111</v>
      </c>
    </row>
    <row r="1346" spans="1:14" s="3" customFormat="1" x14ac:dyDescent="0.3">
      <c r="A1346" s="3" t="s">
        <v>41</v>
      </c>
      <c r="B1346" s="3" t="s">
        <v>212</v>
      </c>
      <c r="C1346" s="3">
        <v>24</v>
      </c>
      <c r="D1346" s="3" t="s">
        <v>820</v>
      </c>
      <c r="E1346" s="3" t="s">
        <v>266</v>
      </c>
      <c r="F1346" s="3" t="s">
        <v>103</v>
      </c>
      <c r="G1346" s="3" t="s">
        <v>629</v>
      </c>
      <c r="H1346" s="3" t="s">
        <v>270</v>
      </c>
      <c r="I1346" s="3" t="s">
        <v>651</v>
      </c>
      <c r="J1346" s="3" t="s">
        <v>919</v>
      </c>
      <c r="K1346" s="3" t="s">
        <v>103</v>
      </c>
      <c r="L1346" s="3" t="s">
        <v>103</v>
      </c>
      <c r="M1346" s="3" t="s">
        <v>103</v>
      </c>
      <c r="N1346" s="3" t="s">
        <v>103</v>
      </c>
    </row>
    <row r="1348" spans="1:14" x14ac:dyDescent="0.3">
      <c r="A1348" t="s">
        <v>946</v>
      </c>
    </row>
    <row r="1349" spans="1:14" x14ac:dyDescent="0.3">
      <c r="A1349" t="s">
        <v>36</v>
      </c>
      <c r="B1349" t="s">
        <v>24</v>
      </c>
      <c r="C1349" t="s">
        <v>59</v>
      </c>
      <c r="D1349" t="s">
        <v>58</v>
      </c>
    </row>
    <row r="1350" spans="1:14" x14ac:dyDescent="0.3">
      <c r="A1350" t="s">
        <v>25</v>
      </c>
      <c r="B1350">
        <v>61</v>
      </c>
      <c r="C1350" t="s">
        <v>192</v>
      </c>
      <c r="D1350" t="s">
        <v>103</v>
      </c>
    </row>
    <row r="1351" spans="1:14" s="3" customFormat="1" x14ac:dyDescent="0.3">
      <c r="A1351" s="3" t="s">
        <v>26</v>
      </c>
      <c r="B1351" s="3">
        <v>13</v>
      </c>
      <c r="C1351" s="3" t="s">
        <v>192</v>
      </c>
      <c r="D1351" s="3" t="s">
        <v>103</v>
      </c>
    </row>
    <row r="1352" spans="1:14" x14ac:dyDescent="0.3">
      <c r="A1352" t="s">
        <v>29</v>
      </c>
      <c r="B1352">
        <v>133</v>
      </c>
      <c r="C1352" t="s">
        <v>325</v>
      </c>
      <c r="D1352" t="s">
        <v>139</v>
      </c>
    </row>
    <row r="1353" spans="1:14" s="3" customFormat="1" x14ac:dyDescent="0.3">
      <c r="A1353" s="3" t="s">
        <v>28</v>
      </c>
      <c r="B1353" s="3">
        <v>13</v>
      </c>
      <c r="C1353" s="3" t="s">
        <v>192</v>
      </c>
      <c r="D1353" s="3" t="s">
        <v>103</v>
      </c>
    </row>
    <row r="1354" spans="1:14" s="3" customFormat="1" x14ac:dyDescent="0.3">
      <c r="A1354" s="3" t="s">
        <v>27</v>
      </c>
      <c r="B1354" s="3">
        <v>29</v>
      </c>
      <c r="C1354" s="3" t="s">
        <v>192</v>
      </c>
      <c r="D1354" s="3" t="s">
        <v>103</v>
      </c>
    </row>
    <row r="1355" spans="1:14" x14ac:dyDescent="0.3">
      <c r="A1355" t="s">
        <v>41</v>
      </c>
      <c r="B1355">
        <v>249</v>
      </c>
      <c r="C1355" t="s">
        <v>343</v>
      </c>
      <c r="D1355" t="s">
        <v>120</v>
      </c>
    </row>
    <row r="1357" spans="1:14" x14ac:dyDescent="0.3">
      <c r="A1357" t="s">
        <v>947</v>
      </c>
    </row>
    <row r="1358" spans="1:14" x14ac:dyDescent="0.3">
      <c r="A1358" t="s">
        <v>36</v>
      </c>
      <c r="B1358" t="s">
        <v>714</v>
      </c>
      <c r="C1358" t="s">
        <v>24</v>
      </c>
      <c r="D1358" t="s">
        <v>59</v>
      </c>
      <c r="E1358" t="s">
        <v>58</v>
      </c>
    </row>
    <row r="1359" spans="1:14" s="3" customFormat="1" x14ac:dyDescent="0.3">
      <c r="A1359" s="3" t="s">
        <v>25</v>
      </c>
      <c r="B1359" s="3" t="s">
        <v>719</v>
      </c>
      <c r="C1359" s="3">
        <v>1</v>
      </c>
      <c r="D1359" s="3" t="s">
        <v>192</v>
      </c>
      <c r="E1359" s="3" t="s">
        <v>103</v>
      </c>
    </row>
    <row r="1360" spans="1:14" x14ac:dyDescent="0.3">
      <c r="A1360" t="s">
        <v>25</v>
      </c>
      <c r="B1360" t="s">
        <v>308</v>
      </c>
      <c r="C1360">
        <v>60</v>
      </c>
      <c r="D1360" t="s">
        <v>192</v>
      </c>
      <c r="E1360" t="s">
        <v>103</v>
      </c>
    </row>
    <row r="1361" spans="1:5" x14ac:dyDescent="0.3">
      <c r="A1361" t="s">
        <v>26</v>
      </c>
      <c r="B1361" t="s">
        <v>308</v>
      </c>
      <c r="C1361">
        <v>13</v>
      </c>
      <c r="D1361" t="s">
        <v>192</v>
      </c>
      <c r="E1361" t="s">
        <v>103</v>
      </c>
    </row>
    <row r="1362" spans="1:5" s="3" customFormat="1" x14ac:dyDescent="0.3">
      <c r="A1362" s="3" t="s">
        <v>29</v>
      </c>
      <c r="B1362" s="3" t="s">
        <v>715</v>
      </c>
      <c r="C1362" s="3">
        <v>2</v>
      </c>
      <c r="D1362" s="3" t="s">
        <v>192</v>
      </c>
      <c r="E1362" s="3" t="s">
        <v>103</v>
      </c>
    </row>
    <row r="1363" spans="1:5" s="3" customFormat="1" x14ac:dyDescent="0.3">
      <c r="A1363" s="3" t="s">
        <v>29</v>
      </c>
      <c r="B1363" s="3" t="s">
        <v>716</v>
      </c>
      <c r="C1363" s="3">
        <v>3</v>
      </c>
      <c r="D1363" s="3" t="s">
        <v>192</v>
      </c>
      <c r="E1363" s="3" t="s">
        <v>103</v>
      </c>
    </row>
    <row r="1364" spans="1:5" s="3" customFormat="1" x14ac:dyDescent="0.3">
      <c r="A1364" s="3" t="s">
        <v>29</v>
      </c>
      <c r="B1364" s="3" t="s">
        <v>718</v>
      </c>
      <c r="C1364" s="3">
        <v>3</v>
      </c>
      <c r="D1364" s="3" t="s">
        <v>948</v>
      </c>
      <c r="E1364" s="3" t="s">
        <v>134</v>
      </c>
    </row>
    <row r="1365" spans="1:5" s="3" customFormat="1" x14ac:dyDescent="0.3">
      <c r="A1365" s="3" t="s">
        <v>29</v>
      </c>
      <c r="B1365" s="3" t="s">
        <v>719</v>
      </c>
      <c r="C1365" s="3">
        <v>1</v>
      </c>
      <c r="D1365" s="3" t="s">
        <v>192</v>
      </c>
      <c r="E1365" s="3" t="s">
        <v>103</v>
      </c>
    </row>
    <row r="1366" spans="1:5" x14ac:dyDescent="0.3">
      <c r="A1366" t="s">
        <v>29</v>
      </c>
      <c r="B1366" t="s">
        <v>308</v>
      </c>
      <c r="C1366">
        <v>124</v>
      </c>
      <c r="D1366" t="s">
        <v>192</v>
      </c>
      <c r="E1366" t="s">
        <v>103</v>
      </c>
    </row>
    <row r="1367" spans="1:5" x14ac:dyDescent="0.3">
      <c r="A1367" t="s">
        <v>28</v>
      </c>
      <c r="B1367" t="s">
        <v>308</v>
      </c>
      <c r="C1367">
        <v>13</v>
      </c>
      <c r="D1367" t="s">
        <v>192</v>
      </c>
      <c r="E1367" t="s">
        <v>103</v>
      </c>
    </row>
    <row r="1368" spans="1:5" s="3" customFormat="1" x14ac:dyDescent="0.3">
      <c r="A1368" s="3" t="s">
        <v>27</v>
      </c>
      <c r="B1368" s="3" t="s">
        <v>715</v>
      </c>
      <c r="C1368" s="3">
        <v>1</v>
      </c>
      <c r="D1368" s="3" t="s">
        <v>192</v>
      </c>
      <c r="E1368" s="3" t="s">
        <v>103</v>
      </c>
    </row>
    <row r="1369" spans="1:5" x14ac:dyDescent="0.3">
      <c r="A1369" t="s">
        <v>27</v>
      </c>
      <c r="B1369" t="s">
        <v>308</v>
      </c>
      <c r="C1369">
        <v>28</v>
      </c>
      <c r="D1369" t="s">
        <v>192</v>
      </c>
      <c r="E1369" t="s">
        <v>103</v>
      </c>
    </row>
    <row r="1370" spans="1:5" s="3" customFormat="1" x14ac:dyDescent="0.3">
      <c r="A1370" s="3" t="s">
        <v>41</v>
      </c>
      <c r="B1370" s="3" t="s">
        <v>715</v>
      </c>
      <c r="C1370" s="3">
        <v>3</v>
      </c>
      <c r="D1370" s="3" t="s">
        <v>192</v>
      </c>
      <c r="E1370" s="3" t="s">
        <v>103</v>
      </c>
    </row>
    <row r="1371" spans="1:5" s="3" customFormat="1" x14ac:dyDescent="0.3">
      <c r="A1371" s="3" t="s">
        <v>41</v>
      </c>
      <c r="B1371" s="3" t="s">
        <v>716</v>
      </c>
      <c r="C1371" s="3">
        <v>3</v>
      </c>
      <c r="D1371" s="3" t="s">
        <v>192</v>
      </c>
      <c r="E1371" s="3" t="s">
        <v>103</v>
      </c>
    </row>
    <row r="1372" spans="1:5" s="3" customFormat="1" x14ac:dyDescent="0.3">
      <c r="A1372" s="3" t="s">
        <v>41</v>
      </c>
      <c r="B1372" s="3" t="s">
        <v>718</v>
      </c>
      <c r="C1372" s="3">
        <v>3</v>
      </c>
      <c r="D1372" s="3" t="s">
        <v>948</v>
      </c>
      <c r="E1372" s="3" t="s">
        <v>134</v>
      </c>
    </row>
    <row r="1373" spans="1:5" s="3" customFormat="1" x14ac:dyDescent="0.3">
      <c r="A1373" s="3" t="s">
        <v>41</v>
      </c>
      <c r="B1373" s="3" t="s">
        <v>719</v>
      </c>
      <c r="C1373" s="3">
        <v>2</v>
      </c>
      <c r="D1373" s="3" t="s">
        <v>192</v>
      </c>
      <c r="E1373" s="3" t="s">
        <v>103</v>
      </c>
    </row>
    <row r="1374" spans="1:5" x14ac:dyDescent="0.3">
      <c r="A1374" t="s">
        <v>41</v>
      </c>
      <c r="B1374" t="s">
        <v>308</v>
      </c>
      <c r="C1374">
        <v>238</v>
      </c>
      <c r="D1374" t="s">
        <v>192</v>
      </c>
      <c r="E1374" t="s">
        <v>103</v>
      </c>
    </row>
    <row r="1376" spans="1:5" x14ac:dyDescent="0.3">
      <c r="A1376" t="s">
        <v>949</v>
      </c>
    </row>
    <row r="1377" spans="1:5" x14ac:dyDescent="0.3">
      <c r="A1377" t="s">
        <v>36</v>
      </c>
      <c r="B1377" t="s">
        <v>197</v>
      </c>
      <c r="C1377" t="s">
        <v>24</v>
      </c>
      <c r="D1377" t="s">
        <v>59</v>
      </c>
      <c r="E1377" t="s">
        <v>58</v>
      </c>
    </row>
    <row r="1378" spans="1:5" s="3" customFormat="1" x14ac:dyDescent="0.3">
      <c r="A1378" s="3" t="s">
        <v>25</v>
      </c>
      <c r="B1378" s="3" t="s">
        <v>198</v>
      </c>
      <c r="C1378" s="3">
        <v>19</v>
      </c>
      <c r="D1378" s="3" t="s">
        <v>192</v>
      </c>
      <c r="E1378" s="3" t="s">
        <v>103</v>
      </c>
    </row>
    <row r="1379" spans="1:5" x14ac:dyDescent="0.3">
      <c r="A1379" t="s">
        <v>25</v>
      </c>
      <c r="B1379" t="s">
        <v>199</v>
      </c>
      <c r="C1379">
        <v>42</v>
      </c>
      <c r="D1379" t="s">
        <v>192</v>
      </c>
      <c r="E1379" t="s">
        <v>103</v>
      </c>
    </row>
    <row r="1380" spans="1:5" s="3" customFormat="1" x14ac:dyDescent="0.3">
      <c r="A1380" s="3" t="s">
        <v>26</v>
      </c>
      <c r="B1380" s="3" t="s">
        <v>198</v>
      </c>
      <c r="C1380" s="3">
        <v>4</v>
      </c>
      <c r="D1380" s="3" t="s">
        <v>192</v>
      </c>
      <c r="E1380" s="3" t="s">
        <v>103</v>
      </c>
    </row>
    <row r="1381" spans="1:5" s="3" customFormat="1" x14ac:dyDescent="0.3">
      <c r="A1381" s="3" t="s">
        <v>26</v>
      </c>
      <c r="B1381" s="3" t="s">
        <v>199</v>
      </c>
      <c r="C1381" s="3">
        <v>9</v>
      </c>
      <c r="D1381" s="3" t="s">
        <v>192</v>
      </c>
      <c r="E1381" s="3" t="s">
        <v>103</v>
      </c>
    </row>
    <row r="1382" spans="1:5" x14ac:dyDescent="0.3">
      <c r="A1382" t="s">
        <v>29</v>
      </c>
      <c r="B1382" t="s">
        <v>198</v>
      </c>
      <c r="C1382">
        <v>54</v>
      </c>
      <c r="D1382" t="s">
        <v>192</v>
      </c>
      <c r="E1382" t="s">
        <v>103</v>
      </c>
    </row>
    <row r="1383" spans="1:5" x14ac:dyDescent="0.3">
      <c r="A1383" t="s">
        <v>29</v>
      </c>
      <c r="B1383" t="s">
        <v>199</v>
      </c>
      <c r="C1383">
        <v>79</v>
      </c>
      <c r="D1383" t="s">
        <v>326</v>
      </c>
      <c r="E1383" t="s">
        <v>194</v>
      </c>
    </row>
    <row r="1384" spans="1:5" s="3" customFormat="1" x14ac:dyDescent="0.3">
      <c r="A1384" s="3" t="s">
        <v>28</v>
      </c>
      <c r="B1384" s="3" t="s">
        <v>198</v>
      </c>
      <c r="C1384" s="3">
        <v>7</v>
      </c>
      <c r="D1384" s="3" t="s">
        <v>192</v>
      </c>
      <c r="E1384" s="3" t="s">
        <v>103</v>
      </c>
    </row>
    <row r="1385" spans="1:5" s="3" customFormat="1" x14ac:dyDescent="0.3">
      <c r="A1385" s="3" t="s">
        <v>28</v>
      </c>
      <c r="B1385" s="3" t="s">
        <v>199</v>
      </c>
      <c r="C1385" s="3">
        <v>6</v>
      </c>
      <c r="D1385" s="3" t="s">
        <v>192</v>
      </c>
      <c r="E1385" s="3" t="s">
        <v>103</v>
      </c>
    </row>
    <row r="1386" spans="1:5" s="3" customFormat="1" x14ac:dyDescent="0.3">
      <c r="A1386" s="3" t="s">
        <v>27</v>
      </c>
      <c r="B1386" s="3" t="s">
        <v>198</v>
      </c>
      <c r="C1386" s="3">
        <v>17</v>
      </c>
      <c r="D1386" s="3" t="s">
        <v>192</v>
      </c>
      <c r="E1386" s="3" t="s">
        <v>103</v>
      </c>
    </row>
    <row r="1387" spans="1:5" s="3" customFormat="1" x14ac:dyDescent="0.3">
      <c r="A1387" s="3" t="s">
        <v>27</v>
      </c>
      <c r="B1387" s="3" t="s">
        <v>199</v>
      </c>
      <c r="C1387" s="3">
        <v>12</v>
      </c>
      <c r="D1387" s="3" t="s">
        <v>192</v>
      </c>
      <c r="E1387" s="3" t="s">
        <v>103</v>
      </c>
    </row>
    <row r="1388" spans="1:5" x14ac:dyDescent="0.3">
      <c r="A1388" t="s">
        <v>41</v>
      </c>
      <c r="B1388" t="s">
        <v>198</v>
      </c>
      <c r="C1388">
        <v>101</v>
      </c>
      <c r="D1388" t="s">
        <v>192</v>
      </c>
      <c r="E1388" t="s">
        <v>103</v>
      </c>
    </row>
    <row r="1389" spans="1:5" x14ac:dyDescent="0.3">
      <c r="A1389" t="s">
        <v>41</v>
      </c>
      <c r="B1389" t="s">
        <v>199</v>
      </c>
      <c r="C1389">
        <v>148</v>
      </c>
      <c r="D1389" t="s">
        <v>950</v>
      </c>
      <c r="E1389" t="s">
        <v>98</v>
      </c>
    </row>
    <row r="1391" spans="1:5" x14ac:dyDescent="0.3">
      <c r="A1391" t="s">
        <v>951</v>
      </c>
    </row>
    <row r="1392" spans="1:5" x14ac:dyDescent="0.3">
      <c r="A1392" t="s">
        <v>36</v>
      </c>
      <c r="B1392" t="s">
        <v>843</v>
      </c>
      <c r="C1392" t="s">
        <v>24</v>
      </c>
      <c r="D1392" t="s">
        <v>59</v>
      </c>
      <c r="E1392" t="s">
        <v>58</v>
      </c>
    </row>
    <row r="1393" spans="1:5" s="3" customFormat="1" x14ac:dyDescent="0.3">
      <c r="A1393" s="3" t="s">
        <v>25</v>
      </c>
      <c r="B1393" s="3" t="s">
        <v>844</v>
      </c>
      <c r="C1393" s="3">
        <v>9</v>
      </c>
      <c r="D1393" s="3" t="s">
        <v>192</v>
      </c>
      <c r="E1393" s="3" t="s">
        <v>103</v>
      </c>
    </row>
    <row r="1394" spans="1:5" s="3" customFormat="1" x14ac:dyDescent="0.3">
      <c r="A1394" s="3" t="s">
        <v>25</v>
      </c>
      <c r="B1394" s="3" t="s">
        <v>845</v>
      </c>
      <c r="C1394" s="3">
        <v>18</v>
      </c>
      <c r="D1394" s="3" t="s">
        <v>192</v>
      </c>
      <c r="E1394" s="3" t="s">
        <v>103</v>
      </c>
    </row>
    <row r="1395" spans="1:5" s="3" customFormat="1" x14ac:dyDescent="0.3">
      <c r="A1395" s="3" t="s">
        <v>25</v>
      </c>
      <c r="B1395" s="3" t="s">
        <v>846</v>
      </c>
      <c r="C1395" s="3">
        <v>19</v>
      </c>
      <c r="D1395" s="3" t="s">
        <v>192</v>
      </c>
      <c r="E1395" s="3" t="s">
        <v>103</v>
      </c>
    </row>
    <row r="1396" spans="1:5" s="3" customFormat="1" x14ac:dyDescent="0.3">
      <c r="A1396" s="3" t="s">
        <v>25</v>
      </c>
      <c r="B1396" s="3" t="s">
        <v>847</v>
      </c>
      <c r="C1396" s="3">
        <v>15</v>
      </c>
      <c r="D1396" s="3" t="s">
        <v>192</v>
      </c>
      <c r="E1396" s="3" t="s">
        <v>103</v>
      </c>
    </row>
    <row r="1397" spans="1:5" s="3" customFormat="1" x14ac:dyDescent="0.3">
      <c r="A1397" s="3" t="s">
        <v>26</v>
      </c>
      <c r="B1397" s="3" t="s">
        <v>845</v>
      </c>
      <c r="C1397" s="3">
        <v>6</v>
      </c>
      <c r="D1397" s="3" t="s">
        <v>192</v>
      </c>
      <c r="E1397" s="3" t="s">
        <v>103</v>
      </c>
    </row>
    <row r="1398" spans="1:5" s="3" customFormat="1" x14ac:dyDescent="0.3">
      <c r="A1398" s="3" t="s">
        <v>26</v>
      </c>
      <c r="B1398" s="3" t="s">
        <v>846</v>
      </c>
      <c r="C1398" s="3">
        <v>2</v>
      </c>
      <c r="D1398" s="3" t="s">
        <v>192</v>
      </c>
      <c r="E1398" s="3" t="s">
        <v>103</v>
      </c>
    </row>
    <row r="1399" spans="1:5" s="3" customFormat="1" x14ac:dyDescent="0.3">
      <c r="A1399" s="3" t="s">
        <v>26</v>
      </c>
      <c r="B1399" s="3" t="s">
        <v>847</v>
      </c>
      <c r="C1399" s="3">
        <v>3</v>
      </c>
      <c r="D1399" s="3" t="s">
        <v>192</v>
      </c>
      <c r="E1399" s="3" t="s">
        <v>103</v>
      </c>
    </row>
    <row r="1400" spans="1:5" s="3" customFormat="1" x14ac:dyDescent="0.3">
      <c r="A1400" s="3" t="s">
        <v>26</v>
      </c>
      <c r="B1400" s="3" t="s">
        <v>848</v>
      </c>
      <c r="C1400" s="3">
        <v>2</v>
      </c>
      <c r="D1400" s="3" t="s">
        <v>192</v>
      </c>
      <c r="E1400" s="3" t="s">
        <v>103</v>
      </c>
    </row>
    <row r="1401" spans="1:5" s="3" customFormat="1" x14ac:dyDescent="0.3">
      <c r="A1401" s="3" t="s">
        <v>29</v>
      </c>
      <c r="B1401" s="3" t="s">
        <v>844</v>
      </c>
      <c r="C1401" s="3">
        <v>28</v>
      </c>
      <c r="D1401" s="3" t="s">
        <v>192</v>
      </c>
      <c r="E1401" s="3" t="s">
        <v>103</v>
      </c>
    </row>
    <row r="1402" spans="1:5" x14ac:dyDescent="0.3">
      <c r="A1402" t="s">
        <v>29</v>
      </c>
      <c r="B1402" t="s">
        <v>845</v>
      </c>
      <c r="C1402">
        <v>46</v>
      </c>
      <c r="D1402" t="s">
        <v>192</v>
      </c>
      <c r="E1402" t="s">
        <v>103</v>
      </c>
    </row>
    <row r="1403" spans="1:5" s="3" customFormat="1" x14ac:dyDescent="0.3">
      <c r="A1403" s="3" t="s">
        <v>29</v>
      </c>
      <c r="B1403" s="3" t="s">
        <v>846</v>
      </c>
      <c r="C1403" s="3">
        <v>28</v>
      </c>
      <c r="D1403" s="3" t="s">
        <v>867</v>
      </c>
      <c r="E1403" s="3" t="s">
        <v>102</v>
      </c>
    </row>
    <row r="1404" spans="1:5" s="3" customFormat="1" x14ac:dyDescent="0.3">
      <c r="A1404" s="3" t="s">
        <v>29</v>
      </c>
      <c r="B1404" s="3" t="s">
        <v>847</v>
      </c>
      <c r="C1404" s="3">
        <v>30</v>
      </c>
      <c r="D1404" s="3" t="s">
        <v>192</v>
      </c>
      <c r="E1404" s="3" t="s">
        <v>103</v>
      </c>
    </row>
    <row r="1405" spans="1:5" s="3" customFormat="1" x14ac:dyDescent="0.3">
      <c r="A1405" s="3" t="s">
        <v>29</v>
      </c>
      <c r="B1405" s="3" t="s">
        <v>848</v>
      </c>
      <c r="C1405" s="3">
        <v>1</v>
      </c>
      <c r="D1405" s="3" t="s">
        <v>192</v>
      </c>
      <c r="E1405" s="3" t="s">
        <v>103</v>
      </c>
    </row>
    <row r="1406" spans="1:5" s="3" customFormat="1" x14ac:dyDescent="0.3">
      <c r="A1406" s="3" t="s">
        <v>28</v>
      </c>
      <c r="B1406" s="3" t="s">
        <v>844</v>
      </c>
      <c r="C1406" s="3">
        <v>2</v>
      </c>
      <c r="D1406" s="3" t="s">
        <v>192</v>
      </c>
      <c r="E1406" s="3" t="s">
        <v>103</v>
      </c>
    </row>
    <row r="1407" spans="1:5" s="3" customFormat="1" x14ac:dyDescent="0.3">
      <c r="A1407" s="3" t="s">
        <v>28</v>
      </c>
      <c r="B1407" s="3" t="s">
        <v>845</v>
      </c>
      <c r="C1407" s="3">
        <v>1</v>
      </c>
      <c r="D1407" s="3" t="s">
        <v>192</v>
      </c>
      <c r="E1407" s="3" t="s">
        <v>103</v>
      </c>
    </row>
    <row r="1408" spans="1:5" s="3" customFormat="1" x14ac:dyDescent="0.3">
      <c r="A1408" s="3" t="s">
        <v>28</v>
      </c>
      <c r="B1408" s="3" t="s">
        <v>846</v>
      </c>
      <c r="C1408" s="3">
        <v>2</v>
      </c>
      <c r="D1408" s="3" t="s">
        <v>192</v>
      </c>
      <c r="E1408" s="3" t="s">
        <v>103</v>
      </c>
    </row>
    <row r="1409" spans="1:5" s="3" customFormat="1" x14ac:dyDescent="0.3">
      <c r="A1409" s="3" t="s">
        <v>28</v>
      </c>
      <c r="B1409" s="3" t="s">
        <v>847</v>
      </c>
      <c r="C1409" s="3">
        <v>3</v>
      </c>
      <c r="D1409" s="3" t="s">
        <v>192</v>
      </c>
      <c r="E1409" s="3" t="s">
        <v>103</v>
      </c>
    </row>
    <row r="1410" spans="1:5" s="3" customFormat="1" x14ac:dyDescent="0.3">
      <c r="A1410" s="3" t="s">
        <v>28</v>
      </c>
      <c r="B1410" s="3" t="s">
        <v>848</v>
      </c>
      <c r="C1410" s="3">
        <v>5</v>
      </c>
      <c r="D1410" s="3" t="s">
        <v>192</v>
      </c>
      <c r="E1410" s="3" t="s">
        <v>103</v>
      </c>
    </row>
    <row r="1411" spans="1:5" s="3" customFormat="1" x14ac:dyDescent="0.3">
      <c r="A1411" s="3" t="s">
        <v>27</v>
      </c>
      <c r="B1411" s="3" t="s">
        <v>844</v>
      </c>
      <c r="C1411" s="3">
        <v>11</v>
      </c>
      <c r="D1411" s="3" t="s">
        <v>192</v>
      </c>
      <c r="E1411" s="3" t="s">
        <v>103</v>
      </c>
    </row>
    <row r="1412" spans="1:5" s="3" customFormat="1" x14ac:dyDescent="0.3">
      <c r="A1412" s="3" t="s">
        <v>27</v>
      </c>
      <c r="B1412" s="3" t="s">
        <v>845</v>
      </c>
      <c r="C1412" s="3">
        <v>7</v>
      </c>
      <c r="D1412" s="3" t="s">
        <v>192</v>
      </c>
      <c r="E1412" s="3" t="s">
        <v>103</v>
      </c>
    </row>
    <row r="1413" spans="1:5" s="3" customFormat="1" x14ac:dyDescent="0.3">
      <c r="A1413" s="3" t="s">
        <v>27</v>
      </c>
      <c r="B1413" s="3" t="s">
        <v>846</v>
      </c>
      <c r="C1413" s="3">
        <v>4</v>
      </c>
      <c r="D1413" s="3" t="s">
        <v>192</v>
      </c>
      <c r="E1413" s="3" t="s">
        <v>103</v>
      </c>
    </row>
    <row r="1414" spans="1:5" s="3" customFormat="1" x14ac:dyDescent="0.3">
      <c r="A1414" s="3" t="s">
        <v>27</v>
      </c>
      <c r="B1414" s="3" t="s">
        <v>847</v>
      </c>
      <c r="C1414" s="3">
        <v>5</v>
      </c>
      <c r="D1414" s="3" t="s">
        <v>192</v>
      </c>
      <c r="E1414" s="3" t="s">
        <v>103</v>
      </c>
    </row>
    <row r="1415" spans="1:5" s="3" customFormat="1" x14ac:dyDescent="0.3">
      <c r="A1415" s="3" t="s">
        <v>27</v>
      </c>
      <c r="B1415" s="3" t="s">
        <v>848</v>
      </c>
      <c r="C1415" s="3">
        <v>2</v>
      </c>
      <c r="D1415" s="3" t="s">
        <v>192</v>
      </c>
      <c r="E1415" s="3" t="s">
        <v>103</v>
      </c>
    </row>
    <row r="1416" spans="1:5" x14ac:dyDescent="0.3">
      <c r="A1416" t="s">
        <v>41</v>
      </c>
      <c r="B1416" t="s">
        <v>844</v>
      </c>
      <c r="C1416">
        <v>50</v>
      </c>
      <c r="D1416" t="s">
        <v>192</v>
      </c>
      <c r="E1416" t="s">
        <v>103</v>
      </c>
    </row>
    <row r="1417" spans="1:5" x14ac:dyDescent="0.3">
      <c r="A1417" t="s">
        <v>41</v>
      </c>
      <c r="B1417" t="s">
        <v>845</v>
      </c>
      <c r="C1417">
        <v>78</v>
      </c>
      <c r="D1417" t="s">
        <v>192</v>
      </c>
      <c r="E1417" t="s">
        <v>103</v>
      </c>
    </row>
    <row r="1418" spans="1:5" x14ac:dyDescent="0.3">
      <c r="A1418" t="s">
        <v>41</v>
      </c>
      <c r="B1418" t="s">
        <v>846</v>
      </c>
      <c r="C1418">
        <v>55</v>
      </c>
      <c r="D1418" t="s">
        <v>880</v>
      </c>
      <c r="E1418" t="s">
        <v>257</v>
      </c>
    </row>
    <row r="1419" spans="1:5" x14ac:dyDescent="0.3">
      <c r="A1419" t="s">
        <v>41</v>
      </c>
      <c r="B1419" t="s">
        <v>847</v>
      </c>
      <c r="C1419">
        <v>56</v>
      </c>
      <c r="D1419" t="s">
        <v>192</v>
      </c>
      <c r="E1419" t="s">
        <v>103</v>
      </c>
    </row>
    <row r="1420" spans="1:5" s="3" customFormat="1" x14ac:dyDescent="0.3">
      <c r="A1420" s="3" t="s">
        <v>41</v>
      </c>
      <c r="B1420" s="3" t="s">
        <v>848</v>
      </c>
      <c r="C1420" s="3">
        <v>10</v>
      </c>
      <c r="D1420" s="3" t="s">
        <v>192</v>
      </c>
      <c r="E1420" s="3" t="s">
        <v>103</v>
      </c>
    </row>
    <row r="1422" spans="1:5" x14ac:dyDescent="0.3">
      <c r="A1422" t="s">
        <v>952</v>
      </c>
    </row>
    <row r="1423" spans="1:5" x14ac:dyDescent="0.3">
      <c r="A1423" t="s">
        <v>36</v>
      </c>
      <c r="B1423" t="s">
        <v>310</v>
      </c>
      <c r="C1423" t="s">
        <v>24</v>
      </c>
      <c r="D1423" t="s">
        <v>59</v>
      </c>
      <c r="E1423" t="s">
        <v>58</v>
      </c>
    </row>
    <row r="1424" spans="1:5" x14ac:dyDescent="0.3">
      <c r="A1424" t="s">
        <v>25</v>
      </c>
      <c r="B1424" t="s">
        <v>311</v>
      </c>
      <c r="C1424">
        <v>53</v>
      </c>
      <c r="D1424" t="s">
        <v>192</v>
      </c>
      <c r="E1424" t="s">
        <v>103</v>
      </c>
    </row>
    <row r="1425" spans="1:5" s="3" customFormat="1" x14ac:dyDescent="0.3">
      <c r="A1425" s="3" t="s">
        <v>25</v>
      </c>
      <c r="B1425" s="3" t="s">
        <v>312</v>
      </c>
      <c r="C1425" s="3">
        <v>5</v>
      </c>
      <c r="D1425" s="3" t="s">
        <v>192</v>
      </c>
      <c r="E1425" s="3" t="s">
        <v>103</v>
      </c>
    </row>
    <row r="1426" spans="1:5" x14ac:dyDescent="0.3">
      <c r="A1426" t="s">
        <v>25</v>
      </c>
      <c r="B1426" t="s">
        <v>308</v>
      </c>
      <c r="C1426">
        <v>3</v>
      </c>
      <c r="D1426" t="s">
        <v>192</v>
      </c>
      <c r="E1426" t="s">
        <v>103</v>
      </c>
    </row>
    <row r="1427" spans="1:5" s="3" customFormat="1" x14ac:dyDescent="0.3">
      <c r="A1427" s="3" t="s">
        <v>26</v>
      </c>
      <c r="B1427" s="3" t="s">
        <v>311</v>
      </c>
      <c r="C1427" s="3">
        <v>9</v>
      </c>
      <c r="D1427" s="3" t="s">
        <v>192</v>
      </c>
      <c r="E1427" s="3" t="s">
        <v>103</v>
      </c>
    </row>
    <row r="1428" spans="1:5" s="3" customFormat="1" x14ac:dyDescent="0.3">
      <c r="A1428" s="3" t="s">
        <v>26</v>
      </c>
      <c r="B1428" s="3" t="s">
        <v>312</v>
      </c>
      <c r="C1428" s="3">
        <v>1</v>
      </c>
      <c r="D1428" s="3" t="s">
        <v>192</v>
      </c>
      <c r="E1428" s="3" t="s">
        <v>103</v>
      </c>
    </row>
    <row r="1429" spans="1:5" x14ac:dyDescent="0.3">
      <c r="A1429" t="s">
        <v>26</v>
      </c>
      <c r="B1429" t="s">
        <v>308</v>
      </c>
      <c r="C1429">
        <v>3</v>
      </c>
      <c r="D1429" t="s">
        <v>192</v>
      </c>
      <c r="E1429" t="s">
        <v>103</v>
      </c>
    </row>
    <row r="1430" spans="1:5" x14ac:dyDescent="0.3">
      <c r="A1430" t="s">
        <v>29</v>
      </c>
      <c r="B1430" t="s">
        <v>311</v>
      </c>
      <c r="C1430">
        <v>107</v>
      </c>
      <c r="D1430" t="s">
        <v>876</v>
      </c>
      <c r="E1430" t="s">
        <v>282</v>
      </c>
    </row>
    <row r="1431" spans="1:5" s="3" customFormat="1" x14ac:dyDescent="0.3">
      <c r="A1431" s="3" t="s">
        <v>29</v>
      </c>
      <c r="B1431" s="3" t="s">
        <v>312</v>
      </c>
      <c r="C1431" s="3">
        <v>19</v>
      </c>
      <c r="D1431" s="3" t="s">
        <v>192</v>
      </c>
      <c r="E1431" s="3" t="s">
        <v>103</v>
      </c>
    </row>
    <row r="1432" spans="1:5" x14ac:dyDescent="0.3">
      <c r="A1432" t="s">
        <v>29</v>
      </c>
      <c r="B1432" t="s">
        <v>308</v>
      </c>
      <c r="C1432">
        <v>7</v>
      </c>
      <c r="D1432" t="s">
        <v>192</v>
      </c>
      <c r="E1432" t="s">
        <v>103</v>
      </c>
    </row>
    <row r="1433" spans="1:5" s="3" customFormat="1" x14ac:dyDescent="0.3">
      <c r="A1433" s="3" t="s">
        <v>28</v>
      </c>
      <c r="B1433" s="3" t="s">
        <v>311</v>
      </c>
      <c r="C1433" s="3">
        <v>8</v>
      </c>
      <c r="D1433" s="3" t="s">
        <v>192</v>
      </c>
      <c r="E1433" s="3" t="s">
        <v>103</v>
      </c>
    </row>
    <row r="1434" spans="1:5" s="3" customFormat="1" x14ac:dyDescent="0.3">
      <c r="A1434" s="3" t="s">
        <v>28</v>
      </c>
      <c r="B1434" s="3" t="s">
        <v>312</v>
      </c>
      <c r="C1434" s="3">
        <v>5</v>
      </c>
      <c r="D1434" s="3" t="s">
        <v>192</v>
      </c>
      <c r="E1434" s="3" t="s">
        <v>103</v>
      </c>
    </row>
    <row r="1435" spans="1:5" s="3" customFormat="1" x14ac:dyDescent="0.3">
      <c r="A1435" s="3" t="s">
        <v>27</v>
      </c>
      <c r="B1435" s="3" t="s">
        <v>311</v>
      </c>
      <c r="C1435" s="3">
        <v>25</v>
      </c>
      <c r="D1435" s="3" t="s">
        <v>192</v>
      </c>
      <c r="E1435" s="3" t="s">
        <v>103</v>
      </c>
    </row>
    <row r="1436" spans="1:5" s="3" customFormat="1" x14ac:dyDescent="0.3">
      <c r="A1436" s="3" t="s">
        <v>27</v>
      </c>
      <c r="B1436" s="3" t="s">
        <v>312</v>
      </c>
      <c r="C1436" s="3">
        <v>4</v>
      </c>
      <c r="D1436" s="3" t="s">
        <v>192</v>
      </c>
      <c r="E1436" s="3" t="s">
        <v>103</v>
      </c>
    </row>
    <row r="1437" spans="1:5" x14ac:dyDescent="0.3">
      <c r="A1437" t="s">
        <v>41</v>
      </c>
      <c r="B1437" t="s">
        <v>311</v>
      </c>
      <c r="C1437">
        <v>202</v>
      </c>
      <c r="D1437" t="s">
        <v>334</v>
      </c>
      <c r="E1437" t="s">
        <v>95</v>
      </c>
    </row>
    <row r="1438" spans="1:5" x14ac:dyDescent="0.3">
      <c r="A1438" t="s">
        <v>41</v>
      </c>
      <c r="B1438" t="s">
        <v>312</v>
      </c>
      <c r="C1438">
        <v>34</v>
      </c>
      <c r="D1438" t="s">
        <v>192</v>
      </c>
      <c r="E1438" t="s">
        <v>103</v>
      </c>
    </row>
    <row r="1439" spans="1:5" x14ac:dyDescent="0.3">
      <c r="A1439" t="s">
        <v>41</v>
      </c>
      <c r="B1439" t="s">
        <v>308</v>
      </c>
      <c r="C1439">
        <v>13</v>
      </c>
      <c r="D1439" t="s">
        <v>192</v>
      </c>
      <c r="E1439" t="s">
        <v>103</v>
      </c>
    </row>
    <row r="1441" spans="1:5" x14ac:dyDescent="0.3">
      <c r="A1441" t="s">
        <v>953</v>
      </c>
    </row>
    <row r="1442" spans="1:5" x14ac:dyDescent="0.3">
      <c r="A1442" t="s">
        <v>36</v>
      </c>
      <c r="B1442" t="s">
        <v>763</v>
      </c>
      <c r="C1442" t="s">
        <v>24</v>
      </c>
      <c r="D1442" t="s">
        <v>59</v>
      </c>
      <c r="E1442" t="s">
        <v>58</v>
      </c>
    </row>
    <row r="1443" spans="1:5" x14ac:dyDescent="0.3">
      <c r="A1443" t="s">
        <v>25</v>
      </c>
      <c r="B1443" t="s">
        <v>765</v>
      </c>
      <c r="C1443">
        <v>37</v>
      </c>
      <c r="D1443" t="s">
        <v>192</v>
      </c>
      <c r="E1443" t="s">
        <v>103</v>
      </c>
    </row>
    <row r="1444" spans="1:5" s="3" customFormat="1" x14ac:dyDescent="0.3">
      <c r="A1444" s="3" t="s">
        <v>25</v>
      </c>
      <c r="B1444" s="3" t="s">
        <v>767</v>
      </c>
      <c r="C1444" s="3">
        <v>24</v>
      </c>
      <c r="D1444" s="3" t="s">
        <v>192</v>
      </c>
      <c r="E1444" s="3" t="s">
        <v>103</v>
      </c>
    </row>
    <row r="1445" spans="1:5" s="3" customFormat="1" x14ac:dyDescent="0.3">
      <c r="A1445" s="3" t="s">
        <v>26</v>
      </c>
      <c r="B1445" s="3" t="s">
        <v>765</v>
      </c>
      <c r="C1445" s="3">
        <v>2</v>
      </c>
      <c r="D1445" s="3" t="s">
        <v>192</v>
      </c>
      <c r="E1445" s="3" t="s">
        <v>103</v>
      </c>
    </row>
    <row r="1446" spans="1:5" s="3" customFormat="1" x14ac:dyDescent="0.3">
      <c r="A1446" s="3" t="s">
        <v>26</v>
      </c>
      <c r="B1446" s="3" t="s">
        <v>767</v>
      </c>
      <c r="C1446" s="3">
        <v>11</v>
      </c>
      <c r="D1446" s="3" t="s">
        <v>192</v>
      </c>
      <c r="E1446" s="3" t="s">
        <v>103</v>
      </c>
    </row>
    <row r="1447" spans="1:5" x14ac:dyDescent="0.3">
      <c r="A1447" t="s">
        <v>29</v>
      </c>
      <c r="B1447" t="s">
        <v>765</v>
      </c>
      <c r="C1447">
        <v>68</v>
      </c>
      <c r="D1447" t="s">
        <v>192</v>
      </c>
      <c r="E1447" t="s">
        <v>103</v>
      </c>
    </row>
    <row r="1448" spans="1:5" x14ac:dyDescent="0.3">
      <c r="A1448" t="s">
        <v>29</v>
      </c>
      <c r="B1448" t="s">
        <v>767</v>
      </c>
      <c r="C1448">
        <v>65</v>
      </c>
      <c r="D1448" t="s">
        <v>340</v>
      </c>
      <c r="E1448" t="s">
        <v>216</v>
      </c>
    </row>
    <row r="1449" spans="1:5" s="3" customFormat="1" x14ac:dyDescent="0.3">
      <c r="A1449" s="3" t="s">
        <v>28</v>
      </c>
      <c r="B1449" s="3" t="s">
        <v>765</v>
      </c>
      <c r="C1449" s="3">
        <v>7</v>
      </c>
      <c r="D1449" s="3" t="s">
        <v>192</v>
      </c>
      <c r="E1449" s="3" t="s">
        <v>103</v>
      </c>
    </row>
    <row r="1450" spans="1:5" s="3" customFormat="1" x14ac:dyDescent="0.3">
      <c r="A1450" s="3" t="s">
        <v>28</v>
      </c>
      <c r="B1450" s="3" t="s">
        <v>767</v>
      </c>
      <c r="C1450" s="3">
        <v>6</v>
      </c>
      <c r="D1450" s="3" t="s">
        <v>192</v>
      </c>
      <c r="E1450" s="3" t="s">
        <v>103</v>
      </c>
    </row>
    <row r="1451" spans="1:5" s="3" customFormat="1" x14ac:dyDescent="0.3">
      <c r="A1451" s="3" t="s">
        <v>27</v>
      </c>
      <c r="B1451" s="3" t="s">
        <v>765</v>
      </c>
      <c r="C1451" s="3">
        <v>14</v>
      </c>
      <c r="D1451" s="3" t="s">
        <v>192</v>
      </c>
      <c r="E1451" s="3" t="s">
        <v>103</v>
      </c>
    </row>
    <row r="1452" spans="1:5" s="3" customFormat="1" x14ac:dyDescent="0.3">
      <c r="A1452" s="3" t="s">
        <v>27</v>
      </c>
      <c r="B1452" s="3" t="s">
        <v>767</v>
      </c>
      <c r="C1452" s="3">
        <v>15</v>
      </c>
      <c r="D1452" s="3" t="s">
        <v>192</v>
      </c>
      <c r="E1452" s="3" t="s">
        <v>103</v>
      </c>
    </row>
    <row r="1453" spans="1:5" x14ac:dyDescent="0.3">
      <c r="A1453" t="s">
        <v>41</v>
      </c>
      <c r="B1453" t="s">
        <v>765</v>
      </c>
      <c r="C1453">
        <v>128</v>
      </c>
      <c r="D1453" t="s">
        <v>192</v>
      </c>
      <c r="E1453" t="s">
        <v>103</v>
      </c>
    </row>
    <row r="1454" spans="1:5" x14ac:dyDescent="0.3">
      <c r="A1454" t="s">
        <v>41</v>
      </c>
      <c r="B1454" t="s">
        <v>767</v>
      </c>
      <c r="C1454">
        <v>121</v>
      </c>
      <c r="D1454" t="s">
        <v>954</v>
      </c>
      <c r="E1454" t="s">
        <v>468</v>
      </c>
    </row>
    <row r="1456" spans="1:5" x14ac:dyDescent="0.3">
      <c r="A1456" t="s">
        <v>955</v>
      </c>
    </row>
    <row r="1457" spans="1:13" x14ac:dyDescent="0.3">
      <c r="A1457" t="s">
        <v>36</v>
      </c>
      <c r="B1457" t="s">
        <v>210</v>
      </c>
      <c r="C1457" t="s">
        <v>24</v>
      </c>
      <c r="D1457" t="s">
        <v>59</v>
      </c>
      <c r="E1457" t="s">
        <v>58</v>
      </c>
    </row>
    <row r="1458" spans="1:13" x14ac:dyDescent="0.3">
      <c r="A1458" t="s">
        <v>25</v>
      </c>
      <c r="B1458" t="s">
        <v>211</v>
      </c>
      <c r="C1458">
        <v>61</v>
      </c>
      <c r="D1458" t="s">
        <v>192</v>
      </c>
      <c r="E1458" t="s">
        <v>103</v>
      </c>
    </row>
    <row r="1459" spans="1:13" s="3" customFormat="1" x14ac:dyDescent="0.3">
      <c r="A1459" s="3" t="s">
        <v>26</v>
      </c>
      <c r="B1459" s="3" t="s">
        <v>211</v>
      </c>
      <c r="C1459" s="3">
        <v>7</v>
      </c>
      <c r="D1459" s="3" t="s">
        <v>192</v>
      </c>
      <c r="E1459" s="3" t="s">
        <v>103</v>
      </c>
    </row>
    <row r="1460" spans="1:13" s="3" customFormat="1" x14ac:dyDescent="0.3">
      <c r="A1460" s="3" t="s">
        <v>26</v>
      </c>
      <c r="B1460" s="3" t="s">
        <v>212</v>
      </c>
      <c r="C1460" s="3">
        <v>6</v>
      </c>
      <c r="D1460" s="3" t="s">
        <v>192</v>
      </c>
      <c r="E1460" s="3" t="s">
        <v>103</v>
      </c>
    </row>
    <row r="1461" spans="1:13" x14ac:dyDescent="0.3">
      <c r="A1461" t="s">
        <v>29</v>
      </c>
      <c r="B1461" t="s">
        <v>211</v>
      </c>
      <c r="C1461">
        <v>133</v>
      </c>
      <c r="D1461" t="s">
        <v>325</v>
      </c>
      <c r="E1461" t="s">
        <v>139</v>
      </c>
    </row>
    <row r="1462" spans="1:13" s="3" customFormat="1" x14ac:dyDescent="0.3">
      <c r="A1462" s="3" t="s">
        <v>28</v>
      </c>
      <c r="B1462" s="3" t="s">
        <v>211</v>
      </c>
      <c r="C1462" s="3">
        <v>13</v>
      </c>
      <c r="D1462" s="3" t="s">
        <v>192</v>
      </c>
      <c r="E1462" s="3" t="s">
        <v>103</v>
      </c>
    </row>
    <row r="1463" spans="1:13" s="3" customFormat="1" x14ac:dyDescent="0.3">
      <c r="A1463" s="3" t="s">
        <v>27</v>
      </c>
      <c r="B1463" s="3" t="s">
        <v>211</v>
      </c>
      <c r="C1463" s="3">
        <v>27</v>
      </c>
      <c r="D1463" s="3" t="s">
        <v>192</v>
      </c>
      <c r="E1463" s="3" t="s">
        <v>103</v>
      </c>
    </row>
    <row r="1464" spans="1:13" s="3" customFormat="1" x14ac:dyDescent="0.3">
      <c r="A1464" s="3" t="s">
        <v>27</v>
      </c>
      <c r="B1464" s="3" t="s">
        <v>212</v>
      </c>
      <c r="C1464" s="3">
        <v>2</v>
      </c>
      <c r="D1464" s="3" t="s">
        <v>192</v>
      </c>
      <c r="E1464" s="3" t="s">
        <v>103</v>
      </c>
    </row>
    <row r="1465" spans="1:13" x14ac:dyDescent="0.3">
      <c r="A1465" t="s">
        <v>41</v>
      </c>
      <c r="B1465" t="s">
        <v>211</v>
      </c>
      <c r="C1465">
        <v>241</v>
      </c>
      <c r="D1465" t="s">
        <v>343</v>
      </c>
      <c r="E1465" t="s">
        <v>120</v>
      </c>
    </row>
    <row r="1466" spans="1:13" s="3" customFormat="1" x14ac:dyDescent="0.3">
      <c r="A1466" s="3" t="s">
        <v>41</v>
      </c>
      <c r="B1466" s="3" t="s">
        <v>212</v>
      </c>
      <c r="C1466" s="3">
        <v>8</v>
      </c>
      <c r="D1466" s="3" t="s">
        <v>192</v>
      </c>
      <c r="E1466" s="3" t="s">
        <v>103</v>
      </c>
    </row>
    <row r="1468" spans="1:13" x14ac:dyDescent="0.3">
      <c r="A1468" t="s">
        <v>956</v>
      </c>
    </row>
    <row r="1469" spans="1:13" x14ac:dyDescent="0.3">
      <c r="A1469" t="s">
        <v>36</v>
      </c>
      <c r="B1469" t="s">
        <v>24</v>
      </c>
      <c r="C1469" t="s">
        <v>957</v>
      </c>
      <c r="D1469" t="s">
        <v>958</v>
      </c>
      <c r="E1469" t="s">
        <v>959</v>
      </c>
      <c r="F1469" t="s">
        <v>960</v>
      </c>
      <c r="G1469" t="s">
        <v>961</v>
      </c>
      <c r="H1469" t="s">
        <v>962</v>
      </c>
      <c r="I1469" t="s">
        <v>963</v>
      </c>
      <c r="J1469" t="s">
        <v>964</v>
      </c>
      <c r="K1469" t="s">
        <v>965</v>
      </c>
      <c r="L1469" t="s">
        <v>89</v>
      </c>
      <c r="M1469" t="s">
        <v>966</v>
      </c>
    </row>
    <row r="1470" spans="1:13" x14ac:dyDescent="0.3">
      <c r="A1470" t="s">
        <v>25</v>
      </c>
    </row>
    <row r="1471" spans="1:13" x14ac:dyDescent="0.3">
      <c r="A1471" t="s">
        <v>26</v>
      </c>
    </row>
    <row r="1472" spans="1:13" s="3" customFormat="1" x14ac:dyDescent="0.3">
      <c r="A1472" s="3" t="s">
        <v>29</v>
      </c>
      <c r="B1472" s="3">
        <v>1</v>
      </c>
      <c r="C1472" s="3" t="s">
        <v>103</v>
      </c>
      <c r="D1472" s="3" t="s">
        <v>103</v>
      </c>
      <c r="E1472" s="3" t="s">
        <v>103</v>
      </c>
      <c r="F1472" s="3" t="s">
        <v>103</v>
      </c>
      <c r="G1472" s="3" t="s">
        <v>103</v>
      </c>
      <c r="H1472" s="3" t="s">
        <v>103</v>
      </c>
      <c r="I1472" s="3" t="s">
        <v>192</v>
      </c>
      <c r="J1472" s="3" t="s">
        <v>192</v>
      </c>
      <c r="K1472" s="3" t="s">
        <v>103</v>
      </c>
      <c r="L1472" s="3" t="s">
        <v>103</v>
      </c>
      <c r="M1472" s="3" t="s">
        <v>103</v>
      </c>
    </row>
    <row r="1473" spans="1:14" x14ac:dyDescent="0.3">
      <c r="A1473" t="s">
        <v>28</v>
      </c>
    </row>
    <row r="1474" spans="1:14" x14ac:dyDescent="0.3">
      <c r="A1474" t="s">
        <v>27</v>
      </c>
    </row>
    <row r="1475" spans="1:14" s="3" customFormat="1" x14ac:dyDescent="0.3">
      <c r="A1475" s="3" t="s">
        <v>41</v>
      </c>
      <c r="B1475" s="3">
        <v>1</v>
      </c>
      <c r="C1475" s="3" t="s">
        <v>103</v>
      </c>
      <c r="D1475" s="3" t="s">
        <v>103</v>
      </c>
      <c r="E1475" s="3" t="s">
        <v>103</v>
      </c>
      <c r="F1475" s="3" t="s">
        <v>103</v>
      </c>
      <c r="G1475" s="3" t="s">
        <v>103</v>
      </c>
      <c r="H1475" s="3" t="s">
        <v>103</v>
      </c>
      <c r="I1475" s="3" t="s">
        <v>192</v>
      </c>
      <c r="J1475" s="3" t="s">
        <v>192</v>
      </c>
      <c r="K1475" s="3" t="s">
        <v>103</v>
      </c>
      <c r="L1475" s="3" t="s">
        <v>103</v>
      </c>
      <c r="M1475" s="3" t="s">
        <v>103</v>
      </c>
    </row>
    <row r="1477" spans="1:14" x14ac:dyDescent="0.3">
      <c r="A1477" t="s">
        <v>967</v>
      </c>
    </row>
    <row r="1478" spans="1:14" x14ac:dyDescent="0.3">
      <c r="A1478" t="s">
        <v>36</v>
      </c>
      <c r="B1478" t="s">
        <v>714</v>
      </c>
      <c r="C1478" t="s">
        <v>24</v>
      </c>
      <c r="D1478" t="s">
        <v>957</v>
      </c>
      <c r="E1478" t="s">
        <v>958</v>
      </c>
      <c r="F1478" t="s">
        <v>959</v>
      </c>
      <c r="G1478" t="s">
        <v>960</v>
      </c>
      <c r="H1478" t="s">
        <v>961</v>
      </c>
      <c r="I1478" t="s">
        <v>962</v>
      </c>
      <c r="J1478" t="s">
        <v>963</v>
      </c>
      <c r="K1478" t="s">
        <v>964</v>
      </c>
      <c r="L1478" t="s">
        <v>965</v>
      </c>
      <c r="M1478" t="s">
        <v>89</v>
      </c>
      <c r="N1478" t="s">
        <v>966</v>
      </c>
    </row>
    <row r="1479" spans="1:14" x14ac:dyDescent="0.3">
      <c r="A1479" t="s">
        <v>25</v>
      </c>
      <c r="B1479" t="s">
        <v>308</v>
      </c>
    </row>
    <row r="1480" spans="1:14" x14ac:dyDescent="0.3">
      <c r="A1480" t="s">
        <v>26</v>
      </c>
      <c r="B1480" t="s">
        <v>308</v>
      </c>
    </row>
    <row r="1481" spans="1:14" s="3" customFormat="1" x14ac:dyDescent="0.3">
      <c r="A1481" s="3" t="s">
        <v>29</v>
      </c>
      <c r="B1481" s="3" t="s">
        <v>718</v>
      </c>
      <c r="C1481" s="3">
        <v>1</v>
      </c>
      <c r="D1481" s="3" t="s">
        <v>103</v>
      </c>
      <c r="E1481" s="3" t="s">
        <v>103</v>
      </c>
      <c r="F1481" s="3" t="s">
        <v>103</v>
      </c>
      <c r="G1481" s="3" t="s">
        <v>103</v>
      </c>
      <c r="H1481" s="3" t="s">
        <v>103</v>
      </c>
      <c r="I1481" s="3" t="s">
        <v>103</v>
      </c>
      <c r="J1481" s="3" t="s">
        <v>192</v>
      </c>
      <c r="K1481" s="3" t="s">
        <v>192</v>
      </c>
      <c r="L1481" s="3" t="s">
        <v>103</v>
      </c>
      <c r="M1481" s="3" t="s">
        <v>103</v>
      </c>
      <c r="N1481" s="3" t="s">
        <v>103</v>
      </c>
    </row>
    <row r="1482" spans="1:14" x14ac:dyDescent="0.3">
      <c r="A1482" t="s">
        <v>28</v>
      </c>
      <c r="B1482" t="s">
        <v>308</v>
      </c>
    </row>
    <row r="1483" spans="1:14" x14ac:dyDescent="0.3">
      <c r="A1483" t="s">
        <v>27</v>
      </c>
      <c r="B1483" t="s">
        <v>308</v>
      </c>
    </row>
    <row r="1484" spans="1:14" s="3" customFormat="1" x14ac:dyDescent="0.3">
      <c r="A1484" s="3" t="s">
        <v>41</v>
      </c>
      <c r="B1484" s="3" t="s">
        <v>718</v>
      </c>
      <c r="C1484" s="3">
        <v>1</v>
      </c>
      <c r="D1484" s="3" t="s">
        <v>103</v>
      </c>
      <c r="E1484" s="3" t="s">
        <v>103</v>
      </c>
      <c r="F1484" s="3" t="s">
        <v>103</v>
      </c>
      <c r="G1484" s="3" t="s">
        <v>103</v>
      </c>
      <c r="H1484" s="3" t="s">
        <v>103</v>
      </c>
      <c r="I1484" s="3" t="s">
        <v>103</v>
      </c>
      <c r="J1484" s="3" t="s">
        <v>192</v>
      </c>
      <c r="K1484" s="3" t="s">
        <v>192</v>
      </c>
      <c r="L1484" s="3" t="s">
        <v>103</v>
      </c>
      <c r="M1484" s="3" t="s">
        <v>103</v>
      </c>
      <c r="N1484" s="3" t="s">
        <v>103</v>
      </c>
    </row>
    <row r="1486" spans="1:14" x14ac:dyDescent="0.3">
      <c r="A1486" t="s">
        <v>968</v>
      </c>
    </row>
    <row r="1487" spans="1:14" x14ac:dyDescent="0.3">
      <c r="A1487" t="s">
        <v>36</v>
      </c>
      <c r="B1487" t="s">
        <v>843</v>
      </c>
      <c r="C1487" t="s">
        <v>24</v>
      </c>
      <c r="D1487" t="s">
        <v>957</v>
      </c>
      <c r="E1487" t="s">
        <v>958</v>
      </c>
      <c r="F1487" t="s">
        <v>959</v>
      </c>
      <c r="G1487" t="s">
        <v>960</v>
      </c>
      <c r="H1487" t="s">
        <v>961</v>
      </c>
      <c r="I1487" t="s">
        <v>962</v>
      </c>
      <c r="J1487" t="s">
        <v>963</v>
      </c>
      <c r="K1487" t="s">
        <v>964</v>
      </c>
      <c r="L1487" t="s">
        <v>965</v>
      </c>
      <c r="M1487" t="s">
        <v>89</v>
      </c>
      <c r="N1487" t="s">
        <v>966</v>
      </c>
    </row>
    <row r="1488" spans="1:14" x14ac:dyDescent="0.3">
      <c r="A1488" t="s">
        <v>25</v>
      </c>
      <c r="B1488" t="s">
        <v>308</v>
      </c>
    </row>
    <row r="1489" spans="1:14" x14ac:dyDescent="0.3">
      <c r="A1489" t="s">
        <v>26</v>
      </c>
      <c r="B1489" t="s">
        <v>308</v>
      </c>
    </row>
    <row r="1490" spans="1:14" s="3" customFormat="1" x14ac:dyDescent="0.3">
      <c r="A1490" s="3" t="s">
        <v>29</v>
      </c>
      <c r="B1490" s="3" t="s">
        <v>846</v>
      </c>
      <c r="C1490" s="3">
        <v>1</v>
      </c>
      <c r="D1490" s="3" t="s">
        <v>103</v>
      </c>
      <c r="E1490" s="3" t="s">
        <v>103</v>
      </c>
      <c r="F1490" s="3" t="s">
        <v>103</v>
      </c>
      <c r="G1490" s="3" t="s">
        <v>103</v>
      </c>
      <c r="H1490" s="3" t="s">
        <v>103</v>
      </c>
      <c r="I1490" s="3" t="s">
        <v>103</v>
      </c>
      <c r="J1490" s="3" t="s">
        <v>192</v>
      </c>
      <c r="K1490" s="3" t="s">
        <v>192</v>
      </c>
      <c r="L1490" s="3" t="s">
        <v>103</v>
      </c>
      <c r="M1490" s="3" t="s">
        <v>103</v>
      </c>
      <c r="N1490" s="3" t="s">
        <v>103</v>
      </c>
    </row>
    <row r="1491" spans="1:14" x14ac:dyDescent="0.3">
      <c r="A1491" t="s">
        <v>28</v>
      </c>
      <c r="B1491" t="s">
        <v>308</v>
      </c>
    </row>
    <row r="1492" spans="1:14" x14ac:dyDescent="0.3">
      <c r="A1492" t="s">
        <v>27</v>
      </c>
      <c r="B1492" t="s">
        <v>308</v>
      </c>
    </row>
    <row r="1493" spans="1:14" s="3" customFormat="1" x14ac:dyDescent="0.3">
      <c r="A1493" s="3" t="s">
        <v>41</v>
      </c>
      <c r="B1493" s="3" t="s">
        <v>846</v>
      </c>
      <c r="C1493" s="3">
        <v>1</v>
      </c>
      <c r="D1493" s="3" t="s">
        <v>103</v>
      </c>
      <c r="E1493" s="3" t="s">
        <v>103</v>
      </c>
      <c r="F1493" s="3" t="s">
        <v>103</v>
      </c>
      <c r="G1493" s="3" t="s">
        <v>103</v>
      </c>
      <c r="H1493" s="3" t="s">
        <v>103</v>
      </c>
      <c r="I1493" s="3" t="s">
        <v>103</v>
      </c>
      <c r="J1493" s="3" t="s">
        <v>192</v>
      </c>
      <c r="K1493" s="3" t="s">
        <v>192</v>
      </c>
      <c r="L1493" s="3" t="s">
        <v>103</v>
      </c>
      <c r="M1493" s="3" t="s">
        <v>103</v>
      </c>
      <c r="N1493" s="3" t="s">
        <v>103</v>
      </c>
    </row>
    <row r="1495" spans="1:14" x14ac:dyDescent="0.3">
      <c r="A1495" t="s">
        <v>969</v>
      </c>
    </row>
    <row r="1496" spans="1:14" x14ac:dyDescent="0.3">
      <c r="A1496" t="s">
        <v>36</v>
      </c>
      <c r="B1496" t="s">
        <v>197</v>
      </c>
      <c r="C1496" t="s">
        <v>24</v>
      </c>
      <c r="D1496" t="s">
        <v>957</v>
      </c>
      <c r="E1496" t="s">
        <v>958</v>
      </c>
      <c r="F1496" t="s">
        <v>959</v>
      </c>
      <c r="G1496" t="s">
        <v>960</v>
      </c>
      <c r="H1496" t="s">
        <v>961</v>
      </c>
      <c r="I1496" t="s">
        <v>962</v>
      </c>
      <c r="J1496" t="s">
        <v>963</v>
      </c>
      <c r="K1496" t="s">
        <v>964</v>
      </c>
      <c r="L1496" t="s">
        <v>965</v>
      </c>
      <c r="M1496" t="s">
        <v>89</v>
      </c>
      <c r="N1496" t="s">
        <v>966</v>
      </c>
    </row>
    <row r="1497" spans="1:14" x14ac:dyDescent="0.3">
      <c r="A1497" t="s">
        <v>25</v>
      </c>
      <c r="B1497" t="s">
        <v>308</v>
      </c>
    </row>
    <row r="1498" spans="1:14" x14ac:dyDescent="0.3">
      <c r="A1498" t="s">
        <v>26</v>
      </c>
      <c r="B1498" t="s">
        <v>308</v>
      </c>
    </row>
    <row r="1499" spans="1:14" s="3" customFormat="1" x14ac:dyDescent="0.3">
      <c r="A1499" s="3" t="s">
        <v>29</v>
      </c>
      <c r="B1499" s="3" t="s">
        <v>199</v>
      </c>
      <c r="C1499" s="3">
        <v>1</v>
      </c>
      <c r="D1499" s="3" t="s">
        <v>103</v>
      </c>
      <c r="E1499" s="3" t="s">
        <v>103</v>
      </c>
      <c r="F1499" s="3" t="s">
        <v>103</v>
      </c>
      <c r="G1499" s="3" t="s">
        <v>103</v>
      </c>
      <c r="H1499" s="3" t="s">
        <v>103</v>
      </c>
      <c r="I1499" s="3" t="s">
        <v>103</v>
      </c>
      <c r="J1499" s="3" t="s">
        <v>192</v>
      </c>
      <c r="K1499" s="3" t="s">
        <v>192</v>
      </c>
      <c r="L1499" s="3" t="s">
        <v>103</v>
      </c>
      <c r="M1499" s="3" t="s">
        <v>103</v>
      </c>
      <c r="N1499" s="3" t="s">
        <v>103</v>
      </c>
    </row>
    <row r="1500" spans="1:14" x14ac:dyDescent="0.3">
      <c r="A1500" t="s">
        <v>28</v>
      </c>
      <c r="B1500" t="s">
        <v>308</v>
      </c>
    </row>
    <row r="1501" spans="1:14" x14ac:dyDescent="0.3">
      <c r="A1501" t="s">
        <v>27</v>
      </c>
      <c r="B1501" t="s">
        <v>308</v>
      </c>
    </row>
    <row r="1502" spans="1:14" s="3" customFormat="1" x14ac:dyDescent="0.3">
      <c r="A1502" s="3" t="s">
        <v>41</v>
      </c>
      <c r="B1502" s="3" t="s">
        <v>199</v>
      </c>
      <c r="C1502" s="3">
        <v>1</v>
      </c>
      <c r="D1502" s="3" t="s">
        <v>103</v>
      </c>
      <c r="E1502" s="3" t="s">
        <v>103</v>
      </c>
      <c r="F1502" s="3" t="s">
        <v>103</v>
      </c>
      <c r="G1502" s="3" t="s">
        <v>103</v>
      </c>
      <c r="H1502" s="3" t="s">
        <v>103</v>
      </c>
      <c r="I1502" s="3" t="s">
        <v>103</v>
      </c>
      <c r="J1502" s="3" t="s">
        <v>192</v>
      </c>
      <c r="K1502" s="3" t="s">
        <v>192</v>
      </c>
      <c r="L1502" s="3" t="s">
        <v>103</v>
      </c>
      <c r="M1502" s="3" t="s">
        <v>103</v>
      </c>
      <c r="N1502" s="3" t="s">
        <v>103</v>
      </c>
    </row>
    <row r="1504" spans="1:14" x14ac:dyDescent="0.3">
      <c r="A1504" t="s">
        <v>970</v>
      </c>
    </row>
    <row r="1505" spans="1:14" x14ac:dyDescent="0.3">
      <c r="A1505" t="s">
        <v>36</v>
      </c>
      <c r="B1505" t="s">
        <v>310</v>
      </c>
      <c r="C1505" t="s">
        <v>24</v>
      </c>
      <c r="D1505" t="s">
        <v>957</v>
      </c>
      <c r="E1505" t="s">
        <v>958</v>
      </c>
      <c r="F1505" t="s">
        <v>959</v>
      </c>
      <c r="G1505" t="s">
        <v>960</v>
      </c>
      <c r="H1505" t="s">
        <v>961</v>
      </c>
      <c r="I1505" t="s">
        <v>962</v>
      </c>
      <c r="J1505" t="s">
        <v>963</v>
      </c>
      <c r="K1505" t="s">
        <v>964</v>
      </c>
      <c r="L1505" t="s">
        <v>965</v>
      </c>
      <c r="M1505" t="s">
        <v>89</v>
      </c>
      <c r="N1505" t="s">
        <v>966</v>
      </c>
    </row>
    <row r="1506" spans="1:14" x14ac:dyDescent="0.3">
      <c r="A1506" t="s">
        <v>25</v>
      </c>
      <c r="B1506" t="s">
        <v>308</v>
      </c>
    </row>
    <row r="1507" spans="1:14" x14ac:dyDescent="0.3">
      <c r="A1507" t="s">
        <v>26</v>
      </c>
      <c r="B1507" t="s">
        <v>308</v>
      </c>
    </row>
    <row r="1508" spans="1:14" s="3" customFormat="1" x14ac:dyDescent="0.3">
      <c r="A1508" s="3" t="s">
        <v>29</v>
      </c>
      <c r="B1508" s="3" t="s">
        <v>311</v>
      </c>
      <c r="C1508" s="3">
        <v>1</v>
      </c>
      <c r="D1508" s="3" t="s">
        <v>103</v>
      </c>
      <c r="E1508" s="3" t="s">
        <v>103</v>
      </c>
      <c r="F1508" s="3" t="s">
        <v>103</v>
      </c>
      <c r="G1508" s="3" t="s">
        <v>103</v>
      </c>
      <c r="H1508" s="3" t="s">
        <v>103</v>
      </c>
      <c r="I1508" s="3" t="s">
        <v>103</v>
      </c>
      <c r="J1508" s="3" t="s">
        <v>192</v>
      </c>
      <c r="K1508" s="3" t="s">
        <v>192</v>
      </c>
      <c r="L1508" s="3" t="s">
        <v>103</v>
      </c>
      <c r="M1508" s="3" t="s">
        <v>103</v>
      </c>
      <c r="N1508" s="3" t="s">
        <v>103</v>
      </c>
    </row>
    <row r="1509" spans="1:14" x14ac:dyDescent="0.3">
      <c r="A1509" t="s">
        <v>28</v>
      </c>
      <c r="B1509" t="s">
        <v>308</v>
      </c>
    </row>
    <row r="1510" spans="1:14" x14ac:dyDescent="0.3">
      <c r="A1510" t="s">
        <v>27</v>
      </c>
      <c r="B1510" t="s">
        <v>308</v>
      </c>
    </row>
    <row r="1511" spans="1:14" s="3" customFormat="1" x14ac:dyDescent="0.3">
      <c r="A1511" s="3" t="s">
        <v>41</v>
      </c>
      <c r="B1511" s="3" t="s">
        <v>311</v>
      </c>
      <c r="C1511" s="3">
        <v>1</v>
      </c>
      <c r="D1511" s="3" t="s">
        <v>103</v>
      </c>
      <c r="E1511" s="3" t="s">
        <v>103</v>
      </c>
      <c r="F1511" s="3" t="s">
        <v>103</v>
      </c>
      <c r="G1511" s="3" t="s">
        <v>103</v>
      </c>
      <c r="H1511" s="3" t="s">
        <v>103</v>
      </c>
      <c r="I1511" s="3" t="s">
        <v>103</v>
      </c>
      <c r="J1511" s="3" t="s">
        <v>192</v>
      </c>
      <c r="K1511" s="3" t="s">
        <v>192</v>
      </c>
      <c r="L1511" s="3" t="s">
        <v>103</v>
      </c>
      <c r="M1511" s="3" t="s">
        <v>103</v>
      </c>
      <c r="N1511" s="3" t="s">
        <v>103</v>
      </c>
    </row>
    <row r="1513" spans="1:14" x14ac:dyDescent="0.3">
      <c r="A1513" t="s">
        <v>971</v>
      </c>
    </row>
    <row r="1514" spans="1:14" x14ac:dyDescent="0.3">
      <c r="A1514" t="s">
        <v>36</v>
      </c>
      <c r="B1514" t="s">
        <v>763</v>
      </c>
      <c r="C1514" t="s">
        <v>24</v>
      </c>
      <c r="D1514" t="s">
        <v>957</v>
      </c>
      <c r="E1514" t="s">
        <v>958</v>
      </c>
      <c r="F1514" t="s">
        <v>959</v>
      </c>
      <c r="G1514" t="s">
        <v>960</v>
      </c>
      <c r="H1514" t="s">
        <v>961</v>
      </c>
      <c r="I1514" t="s">
        <v>962</v>
      </c>
      <c r="J1514" t="s">
        <v>963</v>
      </c>
      <c r="K1514" t="s">
        <v>964</v>
      </c>
      <c r="L1514" t="s">
        <v>965</v>
      </c>
      <c r="M1514" t="s">
        <v>89</v>
      </c>
      <c r="N1514" t="s">
        <v>966</v>
      </c>
    </row>
    <row r="1515" spans="1:14" x14ac:dyDescent="0.3">
      <c r="A1515" t="s">
        <v>25</v>
      </c>
      <c r="B1515" t="s">
        <v>308</v>
      </c>
    </row>
    <row r="1516" spans="1:14" x14ac:dyDescent="0.3">
      <c r="A1516" t="s">
        <v>26</v>
      </c>
      <c r="B1516" t="s">
        <v>308</v>
      </c>
    </row>
    <row r="1517" spans="1:14" s="3" customFormat="1" x14ac:dyDescent="0.3">
      <c r="A1517" s="3" t="s">
        <v>29</v>
      </c>
      <c r="B1517" s="3" t="s">
        <v>767</v>
      </c>
      <c r="C1517" s="3">
        <v>1</v>
      </c>
      <c r="D1517" s="3" t="s">
        <v>103</v>
      </c>
      <c r="E1517" s="3" t="s">
        <v>103</v>
      </c>
      <c r="F1517" s="3" t="s">
        <v>103</v>
      </c>
      <c r="G1517" s="3" t="s">
        <v>103</v>
      </c>
      <c r="H1517" s="3" t="s">
        <v>103</v>
      </c>
      <c r="I1517" s="3" t="s">
        <v>103</v>
      </c>
      <c r="J1517" s="3" t="s">
        <v>192</v>
      </c>
      <c r="K1517" s="3" t="s">
        <v>192</v>
      </c>
      <c r="L1517" s="3" t="s">
        <v>103</v>
      </c>
      <c r="M1517" s="3" t="s">
        <v>103</v>
      </c>
      <c r="N1517" s="3" t="s">
        <v>103</v>
      </c>
    </row>
    <row r="1518" spans="1:14" x14ac:dyDescent="0.3">
      <c r="A1518" t="s">
        <v>28</v>
      </c>
      <c r="B1518" t="s">
        <v>308</v>
      </c>
    </row>
    <row r="1519" spans="1:14" x14ac:dyDescent="0.3">
      <c r="A1519" t="s">
        <v>27</v>
      </c>
      <c r="B1519" t="s">
        <v>308</v>
      </c>
    </row>
    <row r="1520" spans="1:14" s="3" customFormat="1" x14ac:dyDescent="0.3">
      <c r="A1520" s="3" t="s">
        <v>41</v>
      </c>
      <c r="B1520" s="3" t="s">
        <v>767</v>
      </c>
      <c r="C1520" s="3">
        <v>1</v>
      </c>
      <c r="D1520" s="3" t="s">
        <v>103</v>
      </c>
      <c r="E1520" s="3" t="s">
        <v>103</v>
      </c>
      <c r="F1520" s="3" t="s">
        <v>103</v>
      </c>
      <c r="G1520" s="3" t="s">
        <v>103</v>
      </c>
      <c r="H1520" s="3" t="s">
        <v>103</v>
      </c>
      <c r="I1520" s="3" t="s">
        <v>103</v>
      </c>
      <c r="J1520" s="3" t="s">
        <v>192</v>
      </c>
      <c r="K1520" s="3" t="s">
        <v>192</v>
      </c>
      <c r="L1520" s="3" t="s">
        <v>103</v>
      </c>
      <c r="M1520" s="3" t="s">
        <v>103</v>
      </c>
      <c r="N1520" s="3" t="s">
        <v>103</v>
      </c>
    </row>
    <row r="1522" spans="1:14" x14ac:dyDescent="0.3">
      <c r="A1522" t="s">
        <v>972</v>
      </c>
    </row>
    <row r="1523" spans="1:14" x14ac:dyDescent="0.3">
      <c r="A1523" t="s">
        <v>36</v>
      </c>
      <c r="B1523" t="s">
        <v>210</v>
      </c>
      <c r="C1523" t="s">
        <v>24</v>
      </c>
      <c r="D1523" t="s">
        <v>957</v>
      </c>
      <c r="E1523" t="s">
        <v>958</v>
      </c>
      <c r="F1523" t="s">
        <v>959</v>
      </c>
      <c r="G1523" t="s">
        <v>960</v>
      </c>
      <c r="H1523" t="s">
        <v>961</v>
      </c>
      <c r="I1523" t="s">
        <v>962</v>
      </c>
      <c r="J1523" t="s">
        <v>963</v>
      </c>
      <c r="K1523" t="s">
        <v>964</v>
      </c>
      <c r="L1523" t="s">
        <v>965</v>
      </c>
      <c r="M1523" t="s">
        <v>89</v>
      </c>
      <c r="N1523" t="s">
        <v>966</v>
      </c>
    </row>
    <row r="1524" spans="1:14" x14ac:dyDescent="0.3">
      <c r="A1524" t="s">
        <v>25</v>
      </c>
      <c r="B1524" t="s">
        <v>308</v>
      </c>
    </row>
    <row r="1525" spans="1:14" x14ac:dyDescent="0.3">
      <c r="A1525" t="s">
        <v>26</v>
      </c>
      <c r="B1525" t="s">
        <v>308</v>
      </c>
    </row>
    <row r="1526" spans="1:14" s="3" customFormat="1" x14ac:dyDescent="0.3">
      <c r="A1526" s="3" t="s">
        <v>29</v>
      </c>
      <c r="B1526" s="3" t="s">
        <v>211</v>
      </c>
      <c r="C1526" s="3">
        <v>1</v>
      </c>
      <c r="D1526" s="3" t="s">
        <v>103</v>
      </c>
      <c r="E1526" s="3" t="s">
        <v>103</v>
      </c>
      <c r="F1526" s="3" t="s">
        <v>103</v>
      </c>
      <c r="G1526" s="3" t="s">
        <v>103</v>
      </c>
      <c r="H1526" s="3" t="s">
        <v>103</v>
      </c>
      <c r="I1526" s="3" t="s">
        <v>103</v>
      </c>
      <c r="J1526" s="3" t="s">
        <v>192</v>
      </c>
      <c r="K1526" s="3" t="s">
        <v>192</v>
      </c>
      <c r="L1526" s="3" t="s">
        <v>103</v>
      </c>
      <c r="M1526" s="3" t="s">
        <v>103</v>
      </c>
      <c r="N1526" s="3" t="s">
        <v>103</v>
      </c>
    </row>
    <row r="1527" spans="1:14" x14ac:dyDescent="0.3">
      <c r="A1527" t="s">
        <v>28</v>
      </c>
      <c r="B1527" t="s">
        <v>308</v>
      </c>
    </row>
    <row r="1528" spans="1:14" x14ac:dyDescent="0.3">
      <c r="A1528" t="s">
        <v>27</v>
      </c>
      <c r="B1528" t="s">
        <v>308</v>
      </c>
    </row>
    <row r="1529" spans="1:14" s="3" customFormat="1" x14ac:dyDescent="0.3">
      <c r="A1529" s="3" t="s">
        <v>41</v>
      </c>
      <c r="B1529" s="3" t="s">
        <v>211</v>
      </c>
      <c r="C1529" s="3">
        <v>1</v>
      </c>
      <c r="D1529" s="3" t="s">
        <v>103</v>
      </c>
      <c r="E1529" s="3" t="s">
        <v>103</v>
      </c>
      <c r="F1529" s="3" t="s">
        <v>103</v>
      </c>
      <c r="G1529" s="3" t="s">
        <v>103</v>
      </c>
      <c r="H1529" s="3" t="s">
        <v>103</v>
      </c>
      <c r="I1529" s="3" t="s">
        <v>103</v>
      </c>
      <c r="J1529" s="3" t="s">
        <v>192</v>
      </c>
      <c r="K1529" s="3" t="s">
        <v>192</v>
      </c>
      <c r="L1529" s="3" t="s">
        <v>103</v>
      </c>
      <c r="M1529" s="3" t="s">
        <v>103</v>
      </c>
      <c r="N1529" s="3" t="s">
        <v>103</v>
      </c>
    </row>
    <row r="1531" spans="1:14" x14ac:dyDescent="0.3">
      <c r="A1531" t="s">
        <v>973</v>
      </c>
    </row>
    <row r="1532" spans="1:14" x14ac:dyDescent="0.3">
      <c r="A1532" t="s">
        <v>36</v>
      </c>
      <c r="B1532" t="s">
        <v>24</v>
      </c>
      <c r="C1532" t="s">
        <v>58</v>
      </c>
      <c r="D1532" t="s">
        <v>59</v>
      </c>
      <c r="E1532" t="s">
        <v>348</v>
      </c>
    </row>
    <row r="1533" spans="1:14" x14ac:dyDescent="0.3">
      <c r="A1533" t="s">
        <v>25</v>
      </c>
      <c r="B1533">
        <v>116</v>
      </c>
      <c r="C1533" t="s">
        <v>649</v>
      </c>
      <c r="D1533" t="s">
        <v>828</v>
      </c>
      <c r="E1533" t="s">
        <v>103</v>
      </c>
    </row>
    <row r="1534" spans="1:14" x14ac:dyDescent="0.3">
      <c r="A1534" t="s">
        <v>26</v>
      </c>
      <c r="B1534">
        <v>173</v>
      </c>
      <c r="C1534" t="s">
        <v>119</v>
      </c>
      <c r="D1534" t="s">
        <v>974</v>
      </c>
      <c r="E1534" t="s">
        <v>103</v>
      </c>
    </row>
    <row r="1535" spans="1:14" x14ac:dyDescent="0.3">
      <c r="A1535" t="s">
        <v>29</v>
      </c>
      <c r="B1535">
        <v>253</v>
      </c>
      <c r="C1535" t="s">
        <v>217</v>
      </c>
      <c r="D1535" t="s">
        <v>837</v>
      </c>
      <c r="E1535" t="s">
        <v>122</v>
      </c>
    </row>
    <row r="1536" spans="1:14" x14ac:dyDescent="0.3">
      <c r="A1536" t="s">
        <v>28</v>
      </c>
      <c r="B1536">
        <v>103</v>
      </c>
      <c r="C1536" t="s">
        <v>568</v>
      </c>
      <c r="D1536" t="s">
        <v>603</v>
      </c>
      <c r="E1536" t="s">
        <v>103</v>
      </c>
    </row>
    <row r="1537" spans="1:6" x14ac:dyDescent="0.3">
      <c r="A1537" t="s">
        <v>27</v>
      </c>
      <c r="B1537">
        <v>57</v>
      </c>
      <c r="C1537" t="s">
        <v>975</v>
      </c>
      <c r="D1537" t="s">
        <v>976</v>
      </c>
      <c r="E1537" t="s">
        <v>103</v>
      </c>
    </row>
    <row r="1538" spans="1:6" x14ac:dyDescent="0.3">
      <c r="A1538" t="s">
        <v>41</v>
      </c>
      <c r="B1538">
        <v>702</v>
      </c>
      <c r="C1538" t="s">
        <v>511</v>
      </c>
      <c r="D1538" t="s">
        <v>61</v>
      </c>
      <c r="E1538" t="s">
        <v>66</v>
      </c>
    </row>
    <row r="1540" spans="1:6" x14ac:dyDescent="0.3">
      <c r="A1540" t="s">
        <v>977</v>
      </c>
    </row>
    <row r="1541" spans="1:6" x14ac:dyDescent="0.3">
      <c r="A1541" t="s">
        <v>36</v>
      </c>
      <c r="B1541" t="s">
        <v>714</v>
      </c>
      <c r="C1541" t="s">
        <v>24</v>
      </c>
      <c r="D1541" t="s">
        <v>59</v>
      </c>
      <c r="E1541" t="s">
        <v>58</v>
      </c>
      <c r="F1541" t="s">
        <v>348</v>
      </c>
    </row>
    <row r="1542" spans="1:6" s="3" customFormat="1" x14ac:dyDescent="0.3">
      <c r="A1542" s="3" t="s">
        <v>25</v>
      </c>
      <c r="B1542" s="3" t="s">
        <v>716</v>
      </c>
      <c r="C1542" s="3">
        <v>3</v>
      </c>
      <c r="D1542" s="3" t="s">
        <v>192</v>
      </c>
      <c r="E1542" s="3" t="s">
        <v>103</v>
      </c>
      <c r="F1542" s="3" t="s">
        <v>103</v>
      </c>
    </row>
    <row r="1543" spans="1:6" s="3" customFormat="1" x14ac:dyDescent="0.3">
      <c r="A1543" s="3" t="s">
        <v>25</v>
      </c>
      <c r="B1543" s="3" t="s">
        <v>718</v>
      </c>
      <c r="C1543" s="3">
        <v>1</v>
      </c>
      <c r="D1543" s="3" t="s">
        <v>192</v>
      </c>
      <c r="E1543" s="3" t="s">
        <v>103</v>
      </c>
      <c r="F1543" s="3" t="s">
        <v>103</v>
      </c>
    </row>
    <row r="1544" spans="1:6" s="3" customFormat="1" x14ac:dyDescent="0.3">
      <c r="A1544" s="3" t="s">
        <v>25</v>
      </c>
      <c r="B1544" s="3" t="s">
        <v>719</v>
      </c>
      <c r="C1544" s="3">
        <v>3</v>
      </c>
      <c r="D1544" s="3" t="s">
        <v>788</v>
      </c>
      <c r="E1544" s="3" t="s">
        <v>787</v>
      </c>
      <c r="F1544" s="3" t="s">
        <v>103</v>
      </c>
    </row>
    <row r="1545" spans="1:6" x14ac:dyDescent="0.3">
      <c r="A1545" t="s">
        <v>25</v>
      </c>
      <c r="B1545" t="s">
        <v>308</v>
      </c>
      <c r="C1545">
        <v>109</v>
      </c>
      <c r="D1545" t="s">
        <v>871</v>
      </c>
      <c r="E1545" t="s">
        <v>224</v>
      </c>
      <c r="F1545" t="s">
        <v>103</v>
      </c>
    </row>
    <row r="1546" spans="1:6" s="3" customFormat="1" x14ac:dyDescent="0.3">
      <c r="A1546" s="3" t="s">
        <v>26</v>
      </c>
      <c r="B1546" s="3" t="s">
        <v>715</v>
      </c>
      <c r="C1546" s="3">
        <v>2</v>
      </c>
      <c r="D1546" s="3" t="s">
        <v>192</v>
      </c>
      <c r="E1546" s="3" t="s">
        <v>103</v>
      </c>
      <c r="F1546" s="3" t="s">
        <v>103</v>
      </c>
    </row>
    <row r="1547" spans="1:6" s="3" customFormat="1" x14ac:dyDescent="0.3">
      <c r="A1547" s="3" t="s">
        <v>26</v>
      </c>
      <c r="B1547" s="3" t="s">
        <v>716</v>
      </c>
      <c r="C1547" s="3">
        <v>1</v>
      </c>
      <c r="D1547" s="3" t="s">
        <v>192</v>
      </c>
      <c r="E1547" s="3" t="s">
        <v>103</v>
      </c>
      <c r="F1547" s="3" t="s">
        <v>103</v>
      </c>
    </row>
    <row r="1548" spans="1:6" s="3" customFormat="1" x14ac:dyDescent="0.3">
      <c r="A1548" s="3" t="s">
        <v>26</v>
      </c>
      <c r="B1548" s="3" t="s">
        <v>719</v>
      </c>
      <c r="C1548" s="3">
        <v>1</v>
      </c>
      <c r="D1548" s="3" t="s">
        <v>192</v>
      </c>
      <c r="E1548" s="3" t="s">
        <v>103</v>
      </c>
      <c r="F1548" s="3" t="s">
        <v>103</v>
      </c>
    </row>
    <row r="1549" spans="1:6" x14ac:dyDescent="0.3">
      <c r="A1549" t="s">
        <v>26</v>
      </c>
      <c r="B1549" t="s">
        <v>308</v>
      </c>
      <c r="C1549">
        <v>169</v>
      </c>
      <c r="D1549" t="s">
        <v>742</v>
      </c>
      <c r="E1549" t="s">
        <v>111</v>
      </c>
      <c r="F1549" t="s">
        <v>103</v>
      </c>
    </row>
    <row r="1550" spans="1:6" s="3" customFormat="1" x14ac:dyDescent="0.3">
      <c r="A1550" s="3" t="s">
        <v>29</v>
      </c>
      <c r="B1550" s="3" t="s">
        <v>715</v>
      </c>
      <c r="C1550" s="3">
        <v>3</v>
      </c>
      <c r="D1550" s="3" t="s">
        <v>192</v>
      </c>
      <c r="E1550" s="3" t="s">
        <v>103</v>
      </c>
      <c r="F1550" s="3" t="s">
        <v>103</v>
      </c>
    </row>
    <row r="1551" spans="1:6" s="3" customFormat="1" x14ac:dyDescent="0.3">
      <c r="A1551" s="3" t="s">
        <v>29</v>
      </c>
      <c r="B1551" s="3" t="s">
        <v>716</v>
      </c>
      <c r="C1551" s="3">
        <v>5</v>
      </c>
      <c r="D1551" s="3" t="s">
        <v>192</v>
      </c>
      <c r="E1551" s="3" t="s">
        <v>103</v>
      </c>
      <c r="F1551" s="3" t="s">
        <v>103</v>
      </c>
    </row>
    <row r="1552" spans="1:6" s="3" customFormat="1" x14ac:dyDescent="0.3">
      <c r="A1552" s="3" t="s">
        <v>29</v>
      </c>
      <c r="B1552" s="3" t="s">
        <v>718</v>
      </c>
      <c r="C1552" s="3">
        <v>1</v>
      </c>
      <c r="D1552" s="3" t="s">
        <v>192</v>
      </c>
      <c r="E1552" s="3" t="s">
        <v>103</v>
      </c>
      <c r="F1552" s="3" t="s">
        <v>103</v>
      </c>
    </row>
    <row r="1553" spans="1:6" s="3" customFormat="1" x14ac:dyDescent="0.3">
      <c r="A1553" s="3" t="s">
        <v>29</v>
      </c>
      <c r="B1553" s="3" t="s">
        <v>723</v>
      </c>
      <c r="C1553" s="3">
        <v>1</v>
      </c>
      <c r="D1553" s="3" t="s">
        <v>192</v>
      </c>
      <c r="E1553" s="3" t="s">
        <v>103</v>
      </c>
      <c r="F1553" s="3" t="s">
        <v>103</v>
      </c>
    </row>
    <row r="1554" spans="1:6" s="3" customFormat="1" x14ac:dyDescent="0.3">
      <c r="A1554" s="3" t="s">
        <v>29</v>
      </c>
      <c r="B1554" s="3" t="s">
        <v>719</v>
      </c>
      <c r="C1554" s="3">
        <v>1</v>
      </c>
      <c r="D1554" s="3" t="s">
        <v>192</v>
      </c>
      <c r="E1554" s="3" t="s">
        <v>103</v>
      </c>
      <c r="F1554" s="3" t="s">
        <v>103</v>
      </c>
    </row>
    <row r="1555" spans="1:6" x14ac:dyDescent="0.3">
      <c r="A1555" t="s">
        <v>29</v>
      </c>
      <c r="B1555" t="s">
        <v>308</v>
      </c>
      <c r="C1555">
        <v>242</v>
      </c>
      <c r="D1555" t="s">
        <v>69</v>
      </c>
      <c r="E1555" t="s">
        <v>64</v>
      </c>
      <c r="F1555" t="s">
        <v>122</v>
      </c>
    </row>
    <row r="1556" spans="1:6" s="3" customFormat="1" x14ac:dyDescent="0.3">
      <c r="A1556" s="3" t="s">
        <v>28</v>
      </c>
      <c r="B1556" s="3" t="s">
        <v>718</v>
      </c>
      <c r="C1556" s="3">
        <v>1</v>
      </c>
      <c r="D1556" s="3" t="s">
        <v>192</v>
      </c>
      <c r="E1556" s="3" t="s">
        <v>103</v>
      </c>
      <c r="F1556" s="3" t="s">
        <v>103</v>
      </c>
    </row>
    <row r="1557" spans="1:6" s="3" customFormat="1" x14ac:dyDescent="0.3">
      <c r="A1557" s="3" t="s">
        <v>28</v>
      </c>
      <c r="B1557" s="3" t="s">
        <v>719</v>
      </c>
      <c r="C1557" s="3">
        <v>1</v>
      </c>
      <c r="D1557" s="3" t="s">
        <v>192</v>
      </c>
      <c r="E1557" s="3" t="s">
        <v>103</v>
      </c>
      <c r="F1557" s="3" t="s">
        <v>103</v>
      </c>
    </row>
    <row r="1558" spans="1:6" x14ac:dyDescent="0.3">
      <c r="A1558" t="s">
        <v>28</v>
      </c>
      <c r="B1558" t="s">
        <v>308</v>
      </c>
      <c r="C1558">
        <v>101</v>
      </c>
      <c r="D1558" t="s">
        <v>978</v>
      </c>
      <c r="E1558" t="s">
        <v>476</v>
      </c>
      <c r="F1558" t="s">
        <v>103</v>
      </c>
    </row>
    <row r="1559" spans="1:6" s="3" customFormat="1" x14ac:dyDescent="0.3">
      <c r="A1559" s="3" t="s">
        <v>27</v>
      </c>
      <c r="B1559" s="3" t="s">
        <v>718</v>
      </c>
      <c r="C1559" s="3">
        <v>2</v>
      </c>
      <c r="D1559" s="3" t="s">
        <v>192</v>
      </c>
      <c r="E1559" s="3" t="s">
        <v>103</v>
      </c>
      <c r="F1559" s="3" t="s">
        <v>103</v>
      </c>
    </row>
    <row r="1560" spans="1:6" x14ac:dyDescent="0.3">
      <c r="A1560" t="s">
        <v>27</v>
      </c>
      <c r="B1560" t="s">
        <v>308</v>
      </c>
      <c r="C1560">
        <v>55</v>
      </c>
      <c r="D1560" t="s">
        <v>408</v>
      </c>
      <c r="E1560" t="s">
        <v>520</v>
      </c>
      <c r="F1560" t="s">
        <v>103</v>
      </c>
    </row>
    <row r="1561" spans="1:6" s="3" customFormat="1" x14ac:dyDescent="0.3">
      <c r="A1561" s="3" t="s">
        <v>41</v>
      </c>
      <c r="B1561" s="3" t="s">
        <v>715</v>
      </c>
      <c r="C1561" s="3">
        <v>5</v>
      </c>
      <c r="D1561" s="3" t="s">
        <v>192</v>
      </c>
      <c r="E1561" s="3" t="s">
        <v>103</v>
      </c>
      <c r="F1561" s="3" t="s">
        <v>103</v>
      </c>
    </row>
    <row r="1562" spans="1:6" s="3" customFormat="1" x14ac:dyDescent="0.3">
      <c r="A1562" s="3" t="s">
        <v>41</v>
      </c>
      <c r="B1562" s="3" t="s">
        <v>716</v>
      </c>
      <c r="C1562" s="3">
        <v>9</v>
      </c>
      <c r="D1562" s="3" t="s">
        <v>192</v>
      </c>
      <c r="E1562" s="3" t="s">
        <v>103</v>
      </c>
      <c r="F1562" s="3" t="s">
        <v>103</v>
      </c>
    </row>
    <row r="1563" spans="1:6" s="3" customFormat="1" x14ac:dyDescent="0.3">
      <c r="A1563" s="3" t="s">
        <v>41</v>
      </c>
      <c r="B1563" s="3" t="s">
        <v>718</v>
      </c>
      <c r="C1563" s="3">
        <v>5</v>
      </c>
      <c r="D1563" s="3" t="s">
        <v>192</v>
      </c>
      <c r="E1563" s="3" t="s">
        <v>103</v>
      </c>
      <c r="F1563" s="3" t="s">
        <v>103</v>
      </c>
    </row>
    <row r="1564" spans="1:6" s="3" customFormat="1" x14ac:dyDescent="0.3">
      <c r="A1564" s="3" t="s">
        <v>41</v>
      </c>
      <c r="B1564" s="3" t="s">
        <v>723</v>
      </c>
      <c r="C1564" s="3">
        <v>1</v>
      </c>
      <c r="D1564" s="3" t="s">
        <v>192</v>
      </c>
      <c r="E1564" s="3" t="s">
        <v>103</v>
      </c>
      <c r="F1564" s="3" t="s">
        <v>103</v>
      </c>
    </row>
    <row r="1565" spans="1:6" s="3" customFormat="1" x14ac:dyDescent="0.3">
      <c r="A1565" s="3" t="s">
        <v>41</v>
      </c>
      <c r="B1565" s="3" t="s">
        <v>719</v>
      </c>
      <c r="C1565" s="3">
        <v>6</v>
      </c>
      <c r="D1565" s="3" t="s">
        <v>979</v>
      </c>
      <c r="E1565" s="3" t="s">
        <v>561</v>
      </c>
      <c r="F1565" s="3" t="s">
        <v>103</v>
      </c>
    </row>
    <row r="1566" spans="1:6" x14ac:dyDescent="0.3">
      <c r="A1566" t="s">
        <v>41</v>
      </c>
      <c r="B1566" t="s">
        <v>308</v>
      </c>
      <c r="C1566">
        <v>676</v>
      </c>
      <c r="D1566" t="s">
        <v>61</v>
      </c>
      <c r="E1566" t="s">
        <v>511</v>
      </c>
      <c r="F1566" t="s">
        <v>66</v>
      </c>
    </row>
    <row r="1568" spans="1:6" x14ac:dyDescent="0.3">
      <c r="A1568" t="s">
        <v>980</v>
      </c>
    </row>
    <row r="1569" spans="1:6" x14ac:dyDescent="0.3">
      <c r="A1569" t="s">
        <v>36</v>
      </c>
      <c r="B1569" t="s">
        <v>197</v>
      </c>
      <c r="C1569" t="s">
        <v>24</v>
      </c>
      <c r="D1569" t="s">
        <v>58</v>
      </c>
      <c r="E1569" t="s">
        <v>59</v>
      </c>
      <c r="F1569" t="s">
        <v>348</v>
      </c>
    </row>
    <row r="1570" spans="1:6" s="3" customFormat="1" x14ac:dyDescent="0.3">
      <c r="A1570" s="3" t="s">
        <v>25</v>
      </c>
      <c r="B1570" s="3" t="s">
        <v>198</v>
      </c>
      <c r="C1570" s="3">
        <v>24</v>
      </c>
      <c r="D1570" s="3" t="s">
        <v>99</v>
      </c>
      <c r="E1570" s="3" t="s">
        <v>632</v>
      </c>
      <c r="F1570" s="3" t="s">
        <v>103</v>
      </c>
    </row>
    <row r="1571" spans="1:6" x14ac:dyDescent="0.3">
      <c r="A1571" t="s">
        <v>25</v>
      </c>
      <c r="B1571" t="s">
        <v>199</v>
      </c>
      <c r="C1571">
        <v>92</v>
      </c>
      <c r="D1571" t="s">
        <v>135</v>
      </c>
      <c r="E1571" t="s">
        <v>193</v>
      </c>
      <c r="F1571" t="s">
        <v>103</v>
      </c>
    </row>
    <row r="1572" spans="1:6" s="3" customFormat="1" x14ac:dyDescent="0.3">
      <c r="A1572" s="3" t="s">
        <v>26</v>
      </c>
      <c r="B1572" s="3" t="s">
        <v>198</v>
      </c>
      <c r="C1572" s="3">
        <v>4</v>
      </c>
      <c r="D1572" s="3" t="s">
        <v>103</v>
      </c>
      <c r="E1572" s="3" t="s">
        <v>192</v>
      </c>
      <c r="F1572" s="3" t="s">
        <v>103</v>
      </c>
    </row>
    <row r="1573" spans="1:6" x14ac:dyDescent="0.3">
      <c r="A1573" t="s">
        <v>26</v>
      </c>
      <c r="B1573" t="s">
        <v>199</v>
      </c>
      <c r="C1573">
        <v>169</v>
      </c>
      <c r="D1573" t="s">
        <v>463</v>
      </c>
      <c r="E1573" t="s">
        <v>241</v>
      </c>
      <c r="F1573" t="s">
        <v>103</v>
      </c>
    </row>
    <row r="1574" spans="1:6" x14ac:dyDescent="0.3">
      <c r="A1574" t="s">
        <v>29</v>
      </c>
      <c r="B1574" t="s">
        <v>198</v>
      </c>
      <c r="C1574">
        <v>90</v>
      </c>
      <c r="D1574" t="s">
        <v>103</v>
      </c>
      <c r="E1574" t="s">
        <v>192</v>
      </c>
      <c r="F1574" t="s">
        <v>103</v>
      </c>
    </row>
    <row r="1575" spans="1:6" x14ac:dyDescent="0.3">
      <c r="A1575" t="s">
        <v>29</v>
      </c>
      <c r="B1575" t="s">
        <v>199</v>
      </c>
      <c r="C1575">
        <v>163</v>
      </c>
      <c r="D1575" t="s">
        <v>591</v>
      </c>
      <c r="E1575" t="s">
        <v>981</v>
      </c>
      <c r="F1575" t="s">
        <v>97</v>
      </c>
    </row>
    <row r="1576" spans="1:6" x14ac:dyDescent="0.3">
      <c r="A1576" t="s">
        <v>28</v>
      </c>
      <c r="B1576" t="s">
        <v>198</v>
      </c>
      <c r="C1576">
        <v>38</v>
      </c>
      <c r="D1576" t="s">
        <v>103</v>
      </c>
      <c r="E1576" t="s">
        <v>192</v>
      </c>
      <c r="F1576" t="s">
        <v>103</v>
      </c>
    </row>
    <row r="1577" spans="1:6" x14ac:dyDescent="0.3">
      <c r="A1577" t="s">
        <v>28</v>
      </c>
      <c r="B1577" t="s">
        <v>199</v>
      </c>
      <c r="C1577">
        <v>65</v>
      </c>
      <c r="D1577" t="s">
        <v>382</v>
      </c>
      <c r="E1577" t="s">
        <v>381</v>
      </c>
      <c r="F1577" t="s">
        <v>103</v>
      </c>
    </row>
    <row r="1578" spans="1:6" s="3" customFormat="1" x14ac:dyDescent="0.3">
      <c r="A1578" s="3" t="s">
        <v>27</v>
      </c>
      <c r="B1578" s="3" t="s">
        <v>198</v>
      </c>
      <c r="C1578" s="3">
        <v>29</v>
      </c>
      <c r="D1578" s="3" t="s">
        <v>465</v>
      </c>
      <c r="E1578" s="3" t="s">
        <v>982</v>
      </c>
      <c r="F1578" s="3" t="s">
        <v>103</v>
      </c>
    </row>
    <row r="1579" spans="1:6" s="3" customFormat="1" x14ac:dyDescent="0.3">
      <c r="A1579" s="3" t="s">
        <v>27</v>
      </c>
      <c r="B1579" s="3" t="s">
        <v>199</v>
      </c>
      <c r="C1579" s="3">
        <v>28</v>
      </c>
      <c r="D1579" s="3" t="s">
        <v>652</v>
      </c>
      <c r="E1579" s="3" t="s">
        <v>606</v>
      </c>
      <c r="F1579" s="3" t="s">
        <v>103</v>
      </c>
    </row>
    <row r="1580" spans="1:6" x14ac:dyDescent="0.3">
      <c r="A1580" t="s">
        <v>41</v>
      </c>
      <c r="B1580" t="s">
        <v>198</v>
      </c>
      <c r="C1580">
        <v>185</v>
      </c>
      <c r="D1580" t="s">
        <v>68</v>
      </c>
      <c r="E1580" t="s">
        <v>69</v>
      </c>
      <c r="F1580" t="s">
        <v>103</v>
      </c>
    </row>
    <row r="1581" spans="1:6" x14ac:dyDescent="0.3">
      <c r="A1581" t="s">
        <v>41</v>
      </c>
      <c r="B1581" t="s">
        <v>199</v>
      </c>
      <c r="C1581">
        <v>517</v>
      </c>
      <c r="D1581" t="s">
        <v>205</v>
      </c>
      <c r="E1581" t="s">
        <v>851</v>
      </c>
      <c r="F1581" t="s">
        <v>116</v>
      </c>
    </row>
    <row r="1583" spans="1:6" x14ac:dyDescent="0.3">
      <c r="A1583" t="s">
        <v>983</v>
      </c>
    </row>
    <row r="1584" spans="1:6" x14ac:dyDescent="0.3">
      <c r="A1584" t="s">
        <v>36</v>
      </c>
      <c r="B1584" t="s">
        <v>310</v>
      </c>
      <c r="C1584" t="s">
        <v>24</v>
      </c>
      <c r="D1584" t="s">
        <v>58</v>
      </c>
      <c r="E1584" t="s">
        <v>59</v>
      </c>
      <c r="F1584" t="s">
        <v>348</v>
      </c>
    </row>
    <row r="1585" spans="1:6" x14ac:dyDescent="0.3">
      <c r="A1585" t="s">
        <v>25</v>
      </c>
      <c r="B1585" t="s">
        <v>311</v>
      </c>
      <c r="C1585">
        <v>99</v>
      </c>
      <c r="D1585" t="s">
        <v>169</v>
      </c>
      <c r="E1585" t="s">
        <v>170</v>
      </c>
      <c r="F1585" t="s">
        <v>103</v>
      </c>
    </row>
    <row r="1586" spans="1:6" s="3" customFormat="1" x14ac:dyDescent="0.3">
      <c r="A1586" s="3" t="s">
        <v>25</v>
      </c>
      <c r="B1586" s="3" t="s">
        <v>312</v>
      </c>
      <c r="C1586" s="3">
        <v>14</v>
      </c>
      <c r="D1586" s="3" t="s">
        <v>214</v>
      </c>
      <c r="E1586" s="3" t="s">
        <v>213</v>
      </c>
      <c r="F1586" s="3" t="s">
        <v>103</v>
      </c>
    </row>
    <row r="1587" spans="1:6" x14ac:dyDescent="0.3">
      <c r="A1587" t="s">
        <v>25</v>
      </c>
      <c r="B1587" t="s">
        <v>308</v>
      </c>
      <c r="C1587">
        <v>3</v>
      </c>
      <c r="D1587" t="s">
        <v>103</v>
      </c>
      <c r="E1587" t="s">
        <v>192</v>
      </c>
      <c r="F1587" t="s">
        <v>103</v>
      </c>
    </row>
    <row r="1588" spans="1:6" x14ac:dyDescent="0.3">
      <c r="A1588" t="s">
        <v>26</v>
      </c>
      <c r="B1588" t="s">
        <v>311</v>
      </c>
      <c r="C1588">
        <v>128</v>
      </c>
      <c r="D1588" t="s">
        <v>262</v>
      </c>
      <c r="E1588" t="s">
        <v>827</v>
      </c>
      <c r="F1588" t="s">
        <v>103</v>
      </c>
    </row>
    <row r="1589" spans="1:6" s="3" customFormat="1" x14ac:dyDescent="0.3">
      <c r="A1589" s="3" t="s">
        <v>26</v>
      </c>
      <c r="B1589" s="3" t="s">
        <v>312</v>
      </c>
      <c r="C1589" s="3">
        <v>26</v>
      </c>
      <c r="D1589" s="3" t="s">
        <v>131</v>
      </c>
      <c r="E1589" s="3" t="s">
        <v>984</v>
      </c>
      <c r="F1589" s="3" t="s">
        <v>103</v>
      </c>
    </row>
    <row r="1590" spans="1:6" x14ac:dyDescent="0.3">
      <c r="A1590" t="s">
        <v>26</v>
      </c>
      <c r="B1590" t="s">
        <v>308</v>
      </c>
      <c r="C1590">
        <v>19</v>
      </c>
      <c r="D1590" t="s">
        <v>702</v>
      </c>
      <c r="E1590" t="s">
        <v>985</v>
      </c>
      <c r="F1590" t="s">
        <v>103</v>
      </c>
    </row>
    <row r="1591" spans="1:6" x14ac:dyDescent="0.3">
      <c r="A1591" t="s">
        <v>29</v>
      </c>
      <c r="B1591" t="s">
        <v>311</v>
      </c>
      <c r="C1591">
        <v>216</v>
      </c>
      <c r="D1591" t="s">
        <v>195</v>
      </c>
      <c r="E1591" t="s">
        <v>840</v>
      </c>
      <c r="F1591" t="s">
        <v>122</v>
      </c>
    </row>
    <row r="1592" spans="1:6" s="3" customFormat="1" x14ac:dyDescent="0.3">
      <c r="A1592" s="3" t="s">
        <v>29</v>
      </c>
      <c r="B1592" s="3" t="s">
        <v>312</v>
      </c>
      <c r="C1592" s="3">
        <v>19</v>
      </c>
      <c r="D1592" s="3" t="s">
        <v>103</v>
      </c>
      <c r="E1592" s="3" t="s">
        <v>192</v>
      </c>
      <c r="F1592" s="3" t="s">
        <v>103</v>
      </c>
    </row>
    <row r="1593" spans="1:6" x14ac:dyDescent="0.3">
      <c r="A1593" t="s">
        <v>29</v>
      </c>
      <c r="B1593" t="s">
        <v>308</v>
      </c>
      <c r="C1593">
        <v>18</v>
      </c>
      <c r="D1593" t="s">
        <v>103</v>
      </c>
      <c r="E1593" t="s">
        <v>192</v>
      </c>
      <c r="F1593" t="s">
        <v>103</v>
      </c>
    </row>
    <row r="1594" spans="1:6" x14ac:dyDescent="0.3">
      <c r="A1594" t="s">
        <v>28</v>
      </c>
      <c r="B1594" t="s">
        <v>311</v>
      </c>
      <c r="C1594">
        <v>81</v>
      </c>
      <c r="D1594" t="s">
        <v>295</v>
      </c>
      <c r="E1594" t="s">
        <v>296</v>
      </c>
      <c r="F1594" t="s">
        <v>103</v>
      </c>
    </row>
    <row r="1595" spans="1:6" s="3" customFormat="1" x14ac:dyDescent="0.3">
      <c r="A1595" s="3" t="s">
        <v>28</v>
      </c>
      <c r="B1595" s="3" t="s">
        <v>312</v>
      </c>
      <c r="C1595" s="3">
        <v>22</v>
      </c>
      <c r="D1595" s="3" t="s">
        <v>103</v>
      </c>
      <c r="E1595" s="3" t="s">
        <v>192</v>
      </c>
      <c r="F1595" s="3" t="s">
        <v>103</v>
      </c>
    </row>
    <row r="1596" spans="1:6" x14ac:dyDescent="0.3">
      <c r="A1596" t="s">
        <v>27</v>
      </c>
      <c r="B1596" t="s">
        <v>311</v>
      </c>
      <c r="C1596">
        <v>47</v>
      </c>
      <c r="D1596" t="s">
        <v>236</v>
      </c>
      <c r="E1596" t="s">
        <v>986</v>
      </c>
      <c r="F1596" t="s">
        <v>103</v>
      </c>
    </row>
    <row r="1597" spans="1:6" s="3" customFormat="1" x14ac:dyDescent="0.3">
      <c r="A1597" s="3" t="s">
        <v>27</v>
      </c>
      <c r="B1597" s="3" t="s">
        <v>312</v>
      </c>
      <c r="C1597" s="3">
        <v>10</v>
      </c>
      <c r="D1597" s="3" t="s">
        <v>103</v>
      </c>
      <c r="E1597" s="3" t="s">
        <v>192</v>
      </c>
      <c r="F1597" s="3" t="s">
        <v>103</v>
      </c>
    </row>
    <row r="1598" spans="1:6" x14ac:dyDescent="0.3">
      <c r="A1598" t="s">
        <v>41</v>
      </c>
      <c r="B1598" t="s">
        <v>311</v>
      </c>
      <c r="C1598">
        <v>571</v>
      </c>
      <c r="D1598" t="s">
        <v>607</v>
      </c>
      <c r="E1598" t="s">
        <v>882</v>
      </c>
      <c r="F1598" t="s">
        <v>66</v>
      </c>
    </row>
    <row r="1599" spans="1:6" x14ac:dyDescent="0.3">
      <c r="A1599" t="s">
        <v>41</v>
      </c>
      <c r="B1599" t="s">
        <v>312</v>
      </c>
      <c r="C1599">
        <v>91</v>
      </c>
      <c r="D1599" t="s">
        <v>232</v>
      </c>
      <c r="E1599" t="s">
        <v>864</v>
      </c>
      <c r="F1599" t="s">
        <v>103</v>
      </c>
    </row>
    <row r="1600" spans="1:6" x14ac:dyDescent="0.3">
      <c r="A1600" t="s">
        <v>41</v>
      </c>
      <c r="B1600" t="s">
        <v>308</v>
      </c>
      <c r="C1600">
        <v>40</v>
      </c>
      <c r="D1600" t="s">
        <v>99</v>
      </c>
      <c r="E1600" t="s">
        <v>632</v>
      </c>
      <c r="F1600" t="s">
        <v>103</v>
      </c>
    </row>
    <row r="1602" spans="1:6" x14ac:dyDescent="0.3">
      <c r="A1602" t="s">
        <v>987</v>
      </c>
    </row>
    <row r="1603" spans="1:6" x14ac:dyDescent="0.3">
      <c r="A1603" t="s">
        <v>36</v>
      </c>
      <c r="B1603" t="s">
        <v>763</v>
      </c>
      <c r="C1603" t="s">
        <v>24</v>
      </c>
      <c r="D1603" t="s">
        <v>58</v>
      </c>
      <c r="E1603" t="s">
        <v>59</v>
      </c>
      <c r="F1603" t="s">
        <v>348</v>
      </c>
    </row>
    <row r="1604" spans="1:6" x14ac:dyDescent="0.3">
      <c r="A1604" t="s">
        <v>25</v>
      </c>
      <c r="B1604" t="s">
        <v>765</v>
      </c>
      <c r="C1604">
        <v>66</v>
      </c>
      <c r="D1604" t="s">
        <v>693</v>
      </c>
      <c r="E1604" t="s">
        <v>240</v>
      </c>
      <c r="F1604" t="s">
        <v>103</v>
      </c>
    </row>
    <row r="1605" spans="1:6" x14ac:dyDescent="0.3">
      <c r="A1605" t="s">
        <v>25</v>
      </c>
      <c r="B1605" t="s">
        <v>767</v>
      </c>
      <c r="C1605">
        <v>50</v>
      </c>
      <c r="D1605" t="s">
        <v>62</v>
      </c>
      <c r="E1605" t="s">
        <v>63</v>
      </c>
      <c r="F1605" t="s">
        <v>103</v>
      </c>
    </row>
    <row r="1606" spans="1:6" s="3" customFormat="1" x14ac:dyDescent="0.3">
      <c r="A1606" s="3" t="s">
        <v>26</v>
      </c>
      <c r="B1606" s="3" t="s">
        <v>764</v>
      </c>
      <c r="C1606" s="3">
        <v>1</v>
      </c>
      <c r="D1606" s="3" t="s">
        <v>103</v>
      </c>
      <c r="E1606" s="3" t="s">
        <v>192</v>
      </c>
      <c r="F1606" s="3" t="s">
        <v>103</v>
      </c>
    </row>
    <row r="1607" spans="1:6" x14ac:dyDescent="0.3">
      <c r="A1607" t="s">
        <v>26</v>
      </c>
      <c r="B1607" t="s">
        <v>765</v>
      </c>
      <c r="C1607">
        <v>70</v>
      </c>
      <c r="D1607" t="s">
        <v>486</v>
      </c>
      <c r="E1607" t="s">
        <v>760</v>
      </c>
      <c r="F1607" t="s">
        <v>103</v>
      </c>
    </row>
    <row r="1608" spans="1:6" x14ac:dyDescent="0.3">
      <c r="A1608" t="s">
        <v>26</v>
      </c>
      <c r="B1608" t="s">
        <v>767</v>
      </c>
      <c r="C1608">
        <v>102</v>
      </c>
      <c r="D1608" t="s">
        <v>452</v>
      </c>
      <c r="E1608" t="s">
        <v>288</v>
      </c>
      <c r="F1608" t="s">
        <v>103</v>
      </c>
    </row>
    <row r="1609" spans="1:6" x14ac:dyDescent="0.3">
      <c r="A1609" t="s">
        <v>29</v>
      </c>
      <c r="B1609" t="s">
        <v>765</v>
      </c>
      <c r="C1609">
        <v>145</v>
      </c>
      <c r="D1609" t="s">
        <v>266</v>
      </c>
      <c r="E1609" t="s">
        <v>988</v>
      </c>
      <c r="F1609" t="s">
        <v>120</v>
      </c>
    </row>
    <row r="1610" spans="1:6" x14ac:dyDescent="0.3">
      <c r="A1610" t="s">
        <v>29</v>
      </c>
      <c r="B1610" t="s">
        <v>767</v>
      </c>
      <c r="C1610">
        <v>108</v>
      </c>
      <c r="D1610" t="s">
        <v>257</v>
      </c>
      <c r="E1610" t="s">
        <v>880</v>
      </c>
      <c r="F1610" t="s">
        <v>103</v>
      </c>
    </row>
    <row r="1611" spans="1:6" x14ac:dyDescent="0.3">
      <c r="A1611" t="s">
        <v>28</v>
      </c>
      <c r="B1611" t="s">
        <v>765</v>
      </c>
      <c r="C1611">
        <v>70</v>
      </c>
      <c r="D1611" t="s">
        <v>539</v>
      </c>
      <c r="E1611" t="s">
        <v>989</v>
      </c>
      <c r="F1611" t="s">
        <v>103</v>
      </c>
    </row>
    <row r="1612" spans="1:6" x14ac:dyDescent="0.3">
      <c r="A1612" t="s">
        <v>28</v>
      </c>
      <c r="B1612" t="s">
        <v>767</v>
      </c>
      <c r="C1612">
        <v>33</v>
      </c>
      <c r="D1612" t="s">
        <v>135</v>
      </c>
      <c r="E1612" t="s">
        <v>193</v>
      </c>
      <c r="F1612" t="s">
        <v>103</v>
      </c>
    </row>
    <row r="1613" spans="1:6" x14ac:dyDescent="0.3">
      <c r="A1613" t="s">
        <v>27</v>
      </c>
      <c r="B1613" t="s">
        <v>765</v>
      </c>
      <c r="C1613">
        <v>34</v>
      </c>
      <c r="D1613" t="s">
        <v>746</v>
      </c>
      <c r="E1613" t="s">
        <v>747</v>
      </c>
      <c r="F1613" t="s">
        <v>103</v>
      </c>
    </row>
    <row r="1614" spans="1:6" s="3" customFormat="1" x14ac:dyDescent="0.3">
      <c r="A1614" s="3" t="s">
        <v>27</v>
      </c>
      <c r="B1614" s="3" t="s">
        <v>767</v>
      </c>
      <c r="C1614" s="3">
        <v>23</v>
      </c>
      <c r="D1614" s="3" t="s">
        <v>900</v>
      </c>
      <c r="E1614" s="3" t="s">
        <v>899</v>
      </c>
      <c r="F1614" s="3" t="s">
        <v>103</v>
      </c>
    </row>
    <row r="1615" spans="1:6" s="3" customFormat="1" x14ac:dyDescent="0.3">
      <c r="A1615" s="3" t="s">
        <v>41</v>
      </c>
      <c r="B1615" s="3" t="s">
        <v>764</v>
      </c>
      <c r="C1615" s="3">
        <v>1</v>
      </c>
      <c r="D1615" s="3" t="s">
        <v>103</v>
      </c>
      <c r="E1615" s="3" t="s">
        <v>192</v>
      </c>
      <c r="F1615" s="3" t="s">
        <v>103</v>
      </c>
    </row>
    <row r="1616" spans="1:6" x14ac:dyDescent="0.3">
      <c r="A1616" t="s">
        <v>41</v>
      </c>
      <c r="B1616" t="s">
        <v>765</v>
      </c>
      <c r="C1616">
        <v>385</v>
      </c>
      <c r="D1616" t="s">
        <v>737</v>
      </c>
      <c r="E1616" t="s">
        <v>827</v>
      </c>
      <c r="F1616" t="s">
        <v>122</v>
      </c>
    </row>
    <row r="1617" spans="1:6" x14ac:dyDescent="0.3">
      <c r="A1617" t="s">
        <v>41</v>
      </c>
      <c r="B1617" t="s">
        <v>767</v>
      </c>
      <c r="C1617">
        <v>316</v>
      </c>
      <c r="D1617" t="s">
        <v>70</v>
      </c>
      <c r="E1617" t="s">
        <v>71</v>
      </c>
      <c r="F1617" t="s">
        <v>103</v>
      </c>
    </row>
    <row r="1619" spans="1:6" x14ac:dyDescent="0.3">
      <c r="A1619" t="s">
        <v>990</v>
      </c>
    </row>
    <row r="1620" spans="1:6" x14ac:dyDescent="0.3">
      <c r="A1620" t="s">
        <v>36</v>
      </c>
      <c r="B1620" t="s">
        <v>210</v>
      </c>
      <c r="C1620" t="s">
        <v>24</v>
      </c>
      <c r="D1620" t="s">
        <v>58</v>
      </c>
      <c r="E1620" t="s">
        <v>59</v>
      </c>
      <c r="F1620" t="s">
        <v>348</v>
      </c>
    </row>
    <row r="1621" spans="1:6" x14ac:dyDescent="0.3">
      <c r="A1621" t="s">
        <v>25</v>
      </c>
      <c r="B1621" t="s">
        <v>211</v>
      </c>
      <c r="C1621">
        <v>116</v>
      </c>
      <c r="D1621" t="s">
        <v>649</v>
      </c>
      <c r="E1621" t="s">
        <v>828</v>
      </c>
      <c r="F1621" t="s">
        <v>103</v>
      </c>
    </row>
    <row r="1622" spans="1:6" x14ac:dyDescent="0.3">
      <c r="A1622" t="s">
        <v>26</v>
      </c>
      <c r="B1622" t="s">
        <v>211</v>
      </c>
      <c r="C1622">
        <v>60</v>
      </c>
      <c r="D1622" t="s">
        <v>251</v>
      </c>
      <c r="E1622" t="s">
        <v>991</v>
      </c>
      <c r="F1622" t="s">
        <v>103</v>
      </c>
    </row>
    <row r="1623" spans="1:6" x14ac:dyDescent="0.3">
      <c r="A1623" t="s">
        <v>26</v>
      </c>
      <c r="B1623" t="s">
        <v>212</v>
      </c>
      <c r="C1623">
        <v>113</v>
      </c>
      <c r="D1623" t="s">
        <v>171</v>
      </c>
      <c r="E1623" t="s">
        <v>172</v>
      </c>
      <c r="F1623" t="s">
        <v>103</v>
      </c>
    </row>
    <row r="1624" spans="1:6" x14ac:dyDescent="0.3">
      <c r="A1624" t="s">
        <v>29</v>
      </c>
      <c r="B1624" t="s">
        <v>211</v>
      </c>
      <c r="C1624">
        <v>253</v>
      </c>
      <c r="D1624" t="s">
        <v>217</v>
      </c>
      <c r="E1624" t="s">
        <v>837</v>
      </c>
      <c r="F1624" t="s">
        <v>122</v>
      </c>
    </row>
    <row r="1625" spans="1:6" x14ac:dyDescent="0.3">
      <c r="A1625" t="s">
        <v>28</v>
      </c>
      <c r="B1625" t="s">
        <v>211</v>
      </c>
      <c r="C1625">
        <v>100</v>
      </c>
      <c r="D1625" t="s">
        <v>580</v>
      </c>
      <c r="E1625" t="s">
        <v>992</v>
      </c>
      <c r="F1625" t="s">
        <v>103</v>
      </c>
    </row>
    <row r="1626" spans="1:6" s="3" customFormat="1" x14ac:dyDescent="0.3">
      <c r="A1626" s="3" t="s">
        <v>28</v>
      </c>
      <c r="B1626" s="3" t="s">
        <v>212</v>
      </c>
      <c r="C1626" s="3">
        <v>3</v>
      </c>
      <c r="D1626" s="3" t="s">
        <v>993</v>
      </c>
      <c r="E1626" s="3" t="s">
        <v>993</v>
      </c>
      <c r="F1626" s="3" t="s">
        <v>103</v>
      </c>
    </row>
    <row r="1627" spans="1:6" x14ac:dyDescent="0.3">
      <c r="A1627" t="s">
        <v>27</v>
      </c>
      <c r="B1627" t="s">
        <v>211</v>
      </c>
      <c r="C1627">
        <v>53</v>
      </c>
      <c r="D1627" t="s">
        <v>295</v>
      </c>
      <c r="E1627" t="s">
        <v>296</v>
      </c>
      <c r="F1627" t="s">
        <v>103</v>
      </c>
    </row>
    <row r="1628" spans="1:6" s="3" customFormat="1" x14ac:dyDescent="0.3">
      <c r="A1628" s="3" t="s">
        <v>27</v>
      </c>
      <c r="B1628" s="3" t="s">
        <v>212</v>
      </c>
      <c r="C1628" s="3">
        <v>4</v>
      </c>
      <c r="D1628" s="3" t="s">
        <v>103</v>
      </c>
      <c r="E1628" s="3" t="s">
        <v>192</v>
      </c>
      <c r="F1628" s="3" t="s">
        <v>103</v>
      </c>
    </row>
    <row r="1629" spans="1:6" x14ac:dyDescent="0.3">
      <c r="A1629" t="s">
        <v>41</v>
      </c>
      <c r="B1629" t="s">
        <v>211</v>
      </c>
      <c r="C1629">
        <v>582</v>
      </c>
      <c r="D1629" t="s">
        <v>662</v>
      </c>
      <c r="E1629" t="s">
        <v>849</v>
      </c>
      <c r="F1629" t="s">
        <v>66</v>
      </c>
    </row>
    <row r="1630" spans="1:6" x14ac:dyDescent="0.3">
      <c r="A1630" t="s">
        <v>41</v>
      </c>
      <c r="B1630" t="s">
        <v>212</v>
      </c>
      <c r="C1630">
        <v>120</v>
      </c>
      <c r="D1630" t="s">
        <v>925</v>
      </c>
      <c r="E1630" t="s">
        <v>994</v>
      </c>
      <c r="F1630" t="s">
        <v>103</v>
      </c>
    </row>
    <row r="1632" spans="1:6" x14ac:dyDescent="0.3">
      <c r="A1632" t="s">
        <v>995</v>
      </c>
    </row>
    <row r="1633" spans="1:9" x14ac:dyDescent="0.3">
      <c r="A1633" t="s">
        <v>36</v>
      </c>
      <c r="B1633" t="s">
        <v>24</v>
      </c>
      <c r="C1633" t="s">
        <v>996</v>
      </c>
      <c r="D1633" t="s">
        <v>997</v>
      </c>
      <c r="E1633" t="s">
        <v>998</v>
      </c>
      <c r="F1633" t="s">
        <v>999</v>
      </c>
      <c r="G1633" t="s">
        <v>89</v>
      </c>
      <c r="H1633" t="s">
        <v>966</v>
      </c>
    </row>
    <row r="1634" spans="1:9" s="3" customFormat="1" x14ac:dyDescent="0.3">
      <c r="A1634" s="3" t="s">
        <v>25</v>
      </c>
      <c r="B1634" s="3">
        <v>12</v>
      </c>
      <c r="C1634" s="3" t="s">
        <v>103</v>
      </c>
      <c r="D1634" s="3" t="s">
        <v>213</v>
      </c>
      <c r="E1634" s="3" t="s">
        <v>405</v>
      </c>
      <c r="F1634" s="3" t="s">
        <v>103</v>
      </c>
      <c r="G1634" s="3" t="s">
        <v>103</v>
      </c>
      <c r="H1634" s="3" t="s">
        <v>103</v>
      </c>
    </row>
    <row r="1635" spans="1:9" s="3" customFormat="1" x14ac:dyDescent="0.3">
      <c r="A1635" s="3" t="s">
        <v>26</v>
      </c>
      <c r="B1635" s="3">
        <v>20</v>
      </c>
      <c r="C1635" s="3" t="s">
        <v>281</v>
      </c>
      <c r="D1635" s="3" t="s">
        <v>1000</v>
      </c>
      <c r="E1635" s="3" t="s">
        <v>204</v>
      </c>
      <c r="F1635" s="3" t="s">
        <v>103</v>
      </c>
      <c r="G1635" s="3" t="s">
        <v>103</v>
      </c>
      <c r="H1635" s="3" t="s">
        <v>103</v>
      </c>
    </row>
    <row r="1636" spans="1:9" s="3" customFormat="1" x14ac:dyDescent="0.3">
      <c r="A1636" s="3" t="s">
        <v>29</v>
      </c>
      <c r="B1636" s="3">
        <v>7</v>
      </c>
      <c r="C1636" s="3" t="s">
        <v>148</v>
      </c>
      <c r="D1636" s="3" t="s">
        <v>192</v>
      </c>
      <c r="E1636" s="3" t="s">
        <v>359</v>
      </c>
      <c r="F1636" s="3" t="s">
        <v>103</v>
      </c>
      <c r="G1636" s="3" t="s">
        <v>103</v>
      </c>
      <c r="H1636" s="3" t="s">
        <v>103</v>
      </c>
    </row>
    <row r="1637" spans="1:9" s="3" customFormat="1" x14ac:dyDescent="0.3">
      <c r="A1637" s="3" t="s">
        <v>28</v>
      </c>
      <c r="B1637" s="3">
        <v>15</v>
      </c>
      <c r="C1637" s="3" t="s">
        <v>438</v>
      </c>
      <c r="D1637" s="3" t="s">
        <v>192</v>
      </c>
      <c r="E1637" s="3" t="s">
        <v>509</v>
      </c>
      <c r="F1637" s="3" t="s">
        <v>103</v>
      </c>
      <c r="G1637" s="3" t="s">
        <v>103</v>
      </c>
      <c r="H1637" s="3" t="s">
        <v>103</v>
      </c>
    </row>
    <row r="1638" spans="1:9" s="3" customFormat="1" x14ac:dyDescent="0.3">
      <c r="A1638" s="3" t="s">
        <v>27</v>
      </c>
      <c r="B1638" s="3">
        <v>14</v>
      </c>
      <c r="C1638" s="3" t="s">
        <v>594</v>
      </c>
      <c r="D1638" s="3" t="s">
        <v>55</v>
      </c>
      <c r="E1638" s="3" t="s">
        <v>858</v>
      </c>
      <c r="F1638" s="3" t="s">
        <v>402</v>
      </c>
      <c r="G1638" s="3" t="s">
        <v>103</v>
      </c>
      <c r="H1638" s="3" t="s">
        <v>103</v>
      </c>
    </row>
    <row r="1639" spans="1:9" x14ac:dyDescent="0.3">
      <c r="A1639" t="s">
        <v>41</v>
      </c>
      <c r="B1639">
        <v>68</v>
      </c>
      <c r="C1639" t="s">
        <v>558</v>
      </c>
      <c r="D1639" t="s">
        <v>1001</v>
      </c>
      <c r="E1639" t="s">
        <v>1002</v>
      </c>
      <c r="F1639" t="s">
        <v>68</v>
      </c>
      <c r="G1639" t="s">
        <v>103</v>
      </c>
      <c r="H1639" t="s">
        <v>103</v>
      </c>
    </row>
    <row r="1641" spans="1:9" x14ac:dyDescent="0.3">
      <c r="A1641" t="s">
        <v>1003</v>
      </c>
    </row>
    <row r="1642" spans="1:9" x14ac:dyDescent="0.3">
      <c r="A1642" t="s">
        <v>36</v>
      </c>
      <c r="B1642" t="s">
        <v>714</v>
      </c>
      <c r="C1642" t="s">
        <v>24</v>
      </c>
      <c r="D1642" t="s">
        <v>996</v>
      </c>
      <c r="E1642" t="s">
        <v>997</v>
      </c>
      <c r="F1642" t="s">
        <v>998</v>
      </c>
      <c r="G1642" t="s">
        <v>999</v>
      </c>
      <c r="H1642" t="s">
        <v>89</v>
      </c>
      <c r="I1642" t="s">
        <v>966</v>
      </c>
    </row>
    <row r="1643" spans="1:9" s="3" customFormat="1" x14ac:dyDescent="0.3">
      <c r="A1643" s="3" t="s">
        <v>25</v>
      </c>
      <c r="B1643" s="3" t="s">
        <v>719</v>
      </c>
      <c r="C1643" s="3">
        <v>2</v>
      </c>
      <c r="D1643" s="3" t="s">
        <v>103</v>
      </c>
      <c r="E1643" s="3" t="s">
        <v>192</v>
      </c>
      <c r="F1643" s="3" t="s">
        <v>192</v>
      </c>
      <c r="G1643" s="3" t="s">
        <v>103</v>
      </c>
      <c r="H1643" s="3" t="s">
        <v>103</v>
      </c>
      <c r="I1643" s="3" t="s">
        <v>103</v>
      </c>
    </row>
    <row r="1644" spans="1:9" x14ac:dyDescent="0.3">
      <c r="A1644" t="s">
        <v>25</v>
      </c>
      <c r="B1644" t="s">
        <v>308</v>
      </c>
      <c r="C1644">
        <v>10</v>
      </c>
      <c r="D1644" t="s">
        <v>103</v>
      </c>
      <c r="E1644" t="s">
        <v>864</v>
      </c>
      <c r="F1644" t="s">
        <v>567</v>
      </c>
      <c r="G1644" t="s">
        <v>103</v>
      </c>
      <c r="H1644" t="s">
        <v>103</v>
      </c>
      <c r="I1644" t="s">
        <v>103</v>
      </c>
    </row>
    <row r="1645" spans="1:9" x14ac:dyDescent="0.3">
      <c r="A1645" t="s">
        <v>26</v>
      </c>
      <c r="B1645" t="s">
        <v>308</v>
      </c>
      <c r="C1645">
        <v>20</v>
      </c>
      <c r="D1645" t="s">
        <v>281</v>
      </c>
      <c r="E1645" t="s">
        <v>1000</v>
      </c>
      <c r="F1645" t="s">
        <v>204</v>
      </c>
      <c r="G1645" t="s">
        <v>103</v>
      </c>
      <c r="H1645" t="s">
        <v>103</v>
      </c>
      <c r="I1645" t="s">
        <v>103</v>
      </c>
    </row>
    <row r="1646" spans="1:9" x14ac:dyDescent="0.3">
      <c r="A1646" t="s">
        <v>29</v>
      </c>
      <c r="B1646" t="s">
        <v>308</v>
      </c>
      <c r="C1646">
        <v>7</v>
      </c>
      <c r="D1646" t="s">
        <v>148</v>
      </c>
      <c r="E1646" t="s">
        <v>192</v>
      </c>
      <c r="F1646" t="s">
        <v>359</v>
      </c>
      <c r="G1646" t="s">
        <v>103</v>
      </c>
      <c r="H1646" t="s">
        <v>103</v>
      </c>
      <c r="I1646" t="s">
        <v>103</v>
      </c>
    </row>
    <row r="1647" spans="1:9" x14ac:dyDescent="0.3">
      <c r="A1647" t="s">
        <v>28</v>
      </c>
      <c r="B1647" t="s">
        <v>308</v>
      </c>
      <c r="C1647">
        <v>15</v>
      </c>
      <c r="D1647" t="s">
        <v>438</v>
      </c>
      <c r="E1647" t="s">
        <v>192</v>
      </c>
      <c r="F1647" t="s">
        <v>509</v>
      </c>
      <c r="G1647" t="s">
        <v>103</v>
      </c>
      <c r="H1647" t="s">
        <v>103</v>
      </c>
      <c r="I1647" t="s">
        <v>103</v>
      </c>
    </row>
    <row r="1648" spans="1:9" x14ac:dyDescent="0.3">
      <c r="A1648" t="s">
        <v>27</v>
      </c>
      <c r="B1648" t="s">
        <v>308</v>
      </c>
      <c r="C1648">
        <v>14</v>
      </c>
      <c r="D1648" t="s">
        <v>594</v>
      </c>
      <c r="E1648" t="s">
        <v>55</v>
      </c>
      <c r="F1648" t="s">
        <v>858</v>
      </c>
      <c r="G1648" t="s">
        <v>402</v>
      </c>
      <c r="H1648" t="s">
        <v>103</v>
      </c>
      <c r="I1648" t="s">
        <v>103</v>
      </c>
    </row>
    <row r="1649" spans="1:9" s="3" customFormat="1" x14ac:dyDescent="0.3">
      <c r="A1649" s="3" t="s">
        <v>41</v>
      </c>
      <c r="B1649" s="3" t="s">
        <v>719</v>
      </c>
      <c r="C1649" s="3">
        <v>2</v>
      </c>
      <c r="D1649" s="3" t="s">
        <v>103</v>
      </c>
      <c r="E1649" s="3" t="s">
        <v>192</v>
      </c>
      <c r="F1649" s="3" t="s">
        <v>192</v>
      </c>
      <c r="G1649" s="3" t="s">
        <v>103</v>
      </c>
      <c r="H1649" s="3" t="s">
        <v>103</v>
      </c>
      <c r="I1649" s="3" t="s">
        <v>103</v>
      </c>
    </row>
    <row r="1650" spans="1:9" x14ac:dyDescent="0.3">
      <c r="A1650" t="s">
        <v>41</v>
      </c>
      <c r="B1650" t="s">
        <v>308</v>
      </c>
      <c r="C1650">
        <v>66</v>
      </c>
      <c r="D1650" t="s">
        <v>206</v>
      </c>
      <c r="E1650" t="s">
        <v>1004</v>
      </c>
      <c r="F1650" t="s">
        <v>414</v>
      </c>
      <c r="G1650" t="s">
        <v>272</v>
      </c>
      <c r="H1650" t="s">
        <v>103</v>
      </c>
      <c r="I1650" t="s">
        <v>103</v>
      </c>
    </row>
    <row r="1652" spans="1:9" x14ac:dyDescent="0.3">
      <c r="A1652" t="s">
        <v>1005</v>
      </c>
    </row>
    <row r="1653" spans="1:9" x14ac:dyDescent="0.3">
      <c r="A1653" t="s">
        <v>36</v>
      </c>
      <c r="B1653" t="s">
        <v>197</v>
      </c>
      <c r="C1653" t="s">
        <v>24</v>
      </c>
      <c r="D1653" t="s">
        <v>996</v>
      </c>
      <c r="E1653" t="s">
        <v>997</v>
      </c>
      <c r="F1653" t="s">
        <v>998</v>
      </c>
      <c r="G1653" t="s">
        <v>999</v>
      </c>
      <c r="H1653" t="s">
        <v>89</v>
      </c>
      <c r="I1653" t="s">
        <v>966</v>
      </c>
    </row>
    <row r="1654" spans="1:9" s="3" customFormat="1" x14ac:dyDescent="0.3">
      <c r="A1654" s="3" t="s">
        <v>25</v>
      </c>
      <c r="B1654" s="3" t="s">
        <v>198</v>
      </c>
      <c r="C1654" s="3">
        <v>2</v>
      </c>
      <c r="D1654" s="3" t="s">
        <v>103</v>
      </c>
      <c r="E1654" s="3" t="s">
        <v>192</v>
      </c>
      <c r="F1654" s="3" t="s">
        <v>993</v>
      </c>
      <c r="G1654" s="3" t="s">
        <v>103</v>
      </c>
      <c r="H1654" s="3" t="s">
        <v>103</v>
      </c>
      <c r="I1654" s="3" t="s">
        <v>103</v>
      </c>
    </row>
    <row r="1655" spans="1:9" s="3" customFormat="1" x14ac:dyDescent="0.3">
      <c r="A1655" s="3" t="s">
        <v>25</v>
      </c>
      <c r="B1655" s="3" t="s">
        <v>199</v>
      </c>
      <c r="C1655" s="3">
        <v>10</v>
      </c>
      <c r="D1655" s="3" t="s">
        <v>103</v>
      </c>
      <c r="E1655" s="3" t="s">
        <v>864</v>
      </c>
      <c r="F1655" s="3" t="s">
        <v>1006</v>
      </c>
      <c r="G1655" s="3" t="s">
        <v>103</v>
      </c>
      <c r="H1655" s="3" t="s">
        <v>103</v>
      </c>
      <c r="I1655" s="3" t="s">
        <v>103</v>
      </c>
    </row>
    <row r="1656" spans="1:9" s="3" customFormat="1" x14ac:dyDescent="0.3">
      <c r="A1656" s="3" t="s">
        <v>26</v>
      </c>
      <c r="B1656" s="3" t="s">
        <v>199</v>
      </c>
      <c r="C1656" s="3">
        <v>20</v>
      </c>
      <c r="D1656" s="3" t="s">
        <v>281</v>
      </c>
      <c r="E1656" s="3" t="s">
        <v>1000</v>
      </c>
      <c r="F1656" s="3" t="s">
        <v>204</v>
      </c>
      <c r="G1656" s="3" t="s">
        <v>103</v>
      </c>
      <c r="H1656" s="3" t="s">
        <v>103</v>
      </c>
      <c r="I1656" s="3" t="s">
        <v>103</v>
      </c>
    </row>
    <row r="1657" spans="1:9" s="3" customFormat="1" x14ac:dyDescent="0.3">
      <c r="A1657" s="3" t="s">
        <v>29</v>
      </c>
      <c r="B1657" s="3" t="s">
        <v>199</v>
      </c>
      <c r="C1657" s="3">
        <v>7</v>
      </c>
      <c r="D1657" s="3" t="s">
        <v>148</v>
      </c>
      <c r="E1657" s="3" t="s">
        <v>192</v>
      </c>
      <c r="F1657" s="3" t="s">
        <v>359</v>
      </c>
      <c r="G1657" s="3" t="s">
        <v>103</v>
      </c>
      <c r="H1657" s="3" t="s">
        <v>103</v>
      </c>
      <c r="I1657" s="3" t="s">
        <v>103</v>
      </c>
    </row>
    <row r="1658" spans="1:9" s="3" customFormat="1" x14ac:dyDescent="0.3">
      <c r="A1658" s="3" t="s">
        <v>28</v>
      </c>
      <c r="B1658" s="3" t="s">
        <v>199</v>
      </c>
      <c r="C1658" s="3">
        <v>15</v>
      </c>
      <c r="D1658" s="3" t="s">
        <v>438</v>
      </c>
      <c r="E1658" s="3" t="s">
        <v>192</v>
      </c>
      <c r="F1658" s="3" t="s">
        <v>509</v>
      </c>
      <c r="G1658" s="3" t="s">
        <v>103</v>
      </c>
      <c r="H1658" s="3" t="s">
        <v>103</v>
      </c>
      <c r="I1658" s="3" t="s">
        <v>103</v>
      </c>
    </row>
    <row r="1659" spans="1:9" s="3" customFormat="1" x14ac:dyDescent="0.3">
      <c r="A1659" s="3" t="s">
        <v>27</v>
      </c>
      <c r="B1659" s="3" t="s">
        <v>198</v>
      </c>
      <c r="C1659" s="3">
        <v>10</v>
      </c>
      <c r="D1659" s="3" t="s">
        <v>108</v>
      </c>
      <c r="E1659" s="3" t="s">
        <v>775</v>
      </c>
      <c r="F1659" s="3" t="s">
        <v>440</v>
      </c>
      <c r="G1659" s="3" t="s">
        <v>1007</v>
      </c>
      <c r="H1659" s="3" t="s">
        <v>103</v>
      </c>
      <c r="I1659" s="3" t="s">
        <v>103</v>
      </c>
    </row>
    <row r="1660" spans="1:9" s="3" customFormat="1" x14ac:dyDescent="0.3">
      <c r="A1660" s="3" t="s">
        <v>27</v>
      </c>
      <c r="B1660" s="3" t="s">
        <v>199</v>
      </c>
      <c r="C1660" s="3">
        <v>4</v>
      </c>
      <c r="D1660" s="3" t="s">
        <v>103</v>
      </c>
      <c r="E1660" s="3" t="s">
        <v>811</v>
      </c>
      <c r="F1660" s="3" t="s">
        <v>504</v>
      </c>
      <c r="G1660" s="3" t="s">
        <v>103</v>
      </c>
      <c r="H1660" s="3" t="s">
        <v>103</v>
      </c>
      <c r="I1660" s="3" t="s">
        <v>103</v>
      </c>
    </row>
    <row r="1661" spans="1:9" s="3" customFormat="1" x14ac:dyDescent="0.3">
      <c r="A1661" s="3" t="s">
        <v>41</v>
      </c>
      <c r="B1661" s="3" t="s">
        <v>198</v>
      </c>
      <c r="C1661" s="3">
        <v>12</v>
      </c>
      <c r="D1661" s="3" t="s">
        <v>133</v>
      </c>
      <c r="E1661" s="3" t="s">
        <v>241</v>
      </c>
      <c r="F1661" s="3" t="s">
        <v>659</v>
      </c>
      <c r="G1661" s="3" t="s">
        <v>1008</v>
      </c>
      <c r="H1661" s="3" t="s">
        <v>103</v>
      </c>
      <c r="I1661" s="3" t="s">
        <v>103</v>
      </c>
    </row>
    <row r="1662" spans="1:9" x14ac:dyDescent="0.3">
      <c r="A1662" t="s">
        <v>41</v>
      </c>
      <c r="B1662" t="s">
        <v>199</v>
      </c>
      <c r="C1662">
        <v>56</v>
      </c>
      <c r="D1662" t="s">
        <v>558</v>
      </c>
      <c r="E1662" t="s">
        <v>608</v>
      </c>
      <c r="F1662" t="s">
        <v>1009</v>
      </c>
      <c r="G1662" t="s">
        <v>103</v>
      </c>
      <c r="H1662" t="s">
        <v>103</v>
      </c>
      <c r="I1662" t="s">
        <v>103</v>
      </c>
    </row>
    <row r="1664" spans="1:9" x14ac:dyDescent="0.3">
      <c r="A1664" t="s">
        <v>1010</v>
      </c>
    </row>
    <row r="1665" spans="1:9" x14ac:dyDescent="0.3">
      <c r="A1665" t="s">
        <v>36</v>
      </c>
      <c r="B1665" t="s">
        <v>843</v>
      </c>
      <c r="C1665" t="s">
        <v>24</v>
      </c>
      <c r="D1665" t="s">
        <v>996</v>
      </c>
      <c r="E1665" t="s">
        <v>997</v>
      </c>
      <c r="F1665" t="s">
        <v>998</v>
      </c>
      <c r="G1665" t="s">
        <v>999</v>
      </c>
      <c r="H1665" t="s">
        <v>89</v>
      </c>
      <c r="I1665" t="s">
        <v>966</v>
      </c>
    </row>
    <row r="1666" spans="1:9" s="3" customFormat="1" x14ac:dyDescent="0.3">
      <c r="A1666" s="3" t="s">
        <v>25</v>
      </c>
      <c r="B1666" s="3" t="s">
        <v>844</v>
      </c>
      <c r="C1666" s="3">
        <v>3</v>
      </c>
      <c r="D1666" s="3" t="s">
        <v>103</v>
      </c>
      <c r="E1666" s="3" t="s">
        <v>192</v>
      </c>
      <c r="F1666" s="3" t="s">
        <v>382</v>
      </c>
      <c r="G1666" s="3" t="s">
        <v>103</v>
      </c>
      <c r="H1666" s="3" t="s">
        <v>103</v>
      </c>
      <c r="I1666" s="3" t="s">
        <v>103</v>
      </c>
    </row>
    <row r="1667" spans="1:9" s="3" customFormat="1" x14ac:dyDescent="0.3">
      <c r="A1667" s="3" t="s">
        <v>25</v>
      </c>
      <c r="B1667" s="3" t="s">
        <v>845</v>
      </c>
      <c r="C1667" s="3">
        <v>2</v>
      </c>
      <c r="D1667" s="3" t="s">
        <v>103</v>
      </c>
      <c r="E1667" s="3" t="s">
        <v>192</v>
      </c>
      <c r="F1667" s="3" t="s">
        <v>103</v>
      </c>
      <c r="G1667" s="3" t="s">
        <v>103</v>
      </c>
      <c r="H1667" s="3" t="s">
        <v>103</v>
      </c>
      <c r="I1667" s="3" t="s">
        <v>103</v>
      </c>
    </row>
    <row r="1668" spans="1:9" s="3" customFormat="1" x14ac:dyDescent="0.3">
      <c r="A1668" s="3" t="s">
        <v>25</v>
      </c>
      <c r="B1668" s="3" t="s">
        <v>846</v>
      </c>
      <c r="C1668" s="3">
        <v>3</v>
      </c>
      <c r="D1668" s="3" t="s">
        <v>103</v>
      </c>
      <c r="E1668" s="3" t="s">
        <v>861</v>
      </c>
      <c r="F1668" s="3" t="s">
        <v>380</v>
      </c>
      <c r="G1668" s="3" t="s">
        <v>103</v>
      </c>
      <c r="H1668" s="3" t="s">
        <v>103</v>
      </c>
      <c r="I1668" s="3" t="s">
        <v>103</v>
      </c>
    </row>
    <row r="1669" spans="1:9" s="3" customFormat="1" x14ac:dyDescent="0.3">
      <c r="A1669" s="3" t="s">
        <v>25</v>
      </c>
      <c r="B1669" s="3" t="s">
        <v>847</v>
      </c>
      <c r="C1669" s="3">
        <v>4</v>
      </c>
      <c r="D1669" s="3" t="s">
        <v>103</v>
      </c>
      <c r="E1669" s="3" t="s">
        <v>158</v>
      </c>
      <c r="F1669" s="3" t="s">
        <v>192</v>
      </c>
      <c r="G1669" s="3" t="s">
        <v>103</v>
      </c>
      <c r="H1669" s="3" t="s">
        <v>103</v>
      </c>
      <c r="I1669" s="3" t="s">
        <v>103</v>
      </c>
    </row>
    <row r="1670" spans="1:9" s="3" customFormat="1" x14ac:dyDescent="0.3">
      <c r="A1670" s="3" t="s">
        <v>26</v>
      </c>
      <c r="B1670" s="3" t="s">
        <v>844</v>
      </c>
      <c r="C1670" s="3">
        <v>5</v>
      </c>
      <c r="D1670" s="3" t="s">
        <v>103</v>
      </c>
      <c r="E1670" s="3" t="s">
        <v>634</v>
      </c>
      <c r="F1670" s="3" t="s">
        <v>192</v>
      </c>
      <c r="G1670" s="3" t="s">
        <v>103</v>
      </c>
      <c r="H1670" s="3" t="s">
        <v>103</v>
      </c>
      <c r="I1670" s="3" t="s">
        <v>103</v>
      </c>
    </row>
    <row r="1671" spans="1:9" s="3" customFormat="1" x14ac:dyDescent="0.3">
      <c r="A1671" s="3" t="s">
        <v>26</v>
      </c>
      <c r="B1671" s="3" t="s">
        <v>845</v>
      </c>
      <c r="C1671" s="3">
        <v>6</v>
      </c>
      <c r="D1671" s="3" t="s">
        <v>103</v>
      </c>
      <c r="E1671" s="3" t="s">
        <v>1011</v>
      </c>
      <c r="F1671" s="3" t="s">
        <v>806</v>
      </c>
      <c r="G1671" s="3" t="s">
        <v>103</v>
      </c>
      <c r="H1671" s="3" t="s">
        <v>103</v>
      </c>
      <c r="I1671" s="3" t="s">
        <v>103</v>
      </c>
    </row>
    <row r="1672" spans="1:9" s="3" customFormat="1" x14ac:dyDescent="0.3">
      <c r="A1672" s="3" t="s">
        <v>26</v>
      </c>
      <c r="B1672" s="3" t="s">
        <v>846</v>
      </c>
      <c r="C1672" s="3">
        <v>5</v>
      </c>
      <c r="D1672" s="3" t="s">
        <v>103</v>
      </c>
      <c r="E1672" s="3" t="s">
        <v>825</v>
      </c>
      <c r="F1672" s="3" t="s">
        <v>1012</v>
      </c>
      <c r="G1672" s="3" t="s">
        <v>103</v>
      </c>
      <c r="H1672" s="3" t="s">
        <v>103</v>
      </c>
      <c r="I1672" s="3" t="s">
        <v>103</v>
      </c>
    </row>
    <row r="1673" spans="1:9" s="3" customFormat="1" x14ac:dyDescent="0.3">
      <c r="A1673" s="3" t="s">
        <v>26</v>
      </c>
      <c r="B1673" s="3" t="s">
        <v>847</v>
      </c>
      <c r="C1673" s="3">
        <v>4</v>
      </c>
      <c r="D1673" s="3" t="s">
        <v>650</v>
      </c>
      <c r="E1673" s="3" t="s">
        <v>1013</v>
      </c>
      <c r="F1673" s="3" t="s">
        <v>839</v>
      </c>
      <c r="G1673" s="3" t="s">
        <v>103</v>
      </c>
      <c r="H1673" s="3" t="s">
        <v>103</v>
      </c>
      <c r="I1673" s="3" t="s">
        <v>103</v>
      </c>
    </row>
    <row r="1674" spans="1:9" s="3" customFormat="1" x14ac:dyDescent="0.3">
      <c r="A1674" s="3" t="s">
        <v>29</v>
      </c>
      <c r="B1674" s="3" t="s">
        <v>844</v>
      </c>
      <c r="C1674" s="3">
        <v>1</v>
      </c>
      <c r="D1674" s="3" t="s">
        <v>103</v>
      </c>
      <c r="E1674" s="3" t="s">
        <v>192</v>
      </c>
      <c r="F1674" s="3" t="s">
        <v>192</v>
      </c>
      <c r="G1674" s="3" t="s">
        <v>103</v>
      </c>
      <c r="H1674" s="3" t="s">
        <v>103</v>
      </c>
      <c r="I1674" s="3" t="s">
        <v>103</v>
      </c>
    </row>
    <row r="1675" spans="1:9" s="3" customFormat="1" x14ac:dyDescent="0.3">
      <c r="A1675" s="3" t="s">
        <v>29</v>
      </c>
      <c r="B1675" s="3" t="s">
        <v>845</v>
      </c>
      <c r="C1675" s="3">
        <v>1</v>
      </c>
      <c r="D1675" s="3" t="s">
        <v>103</v>
      </c>
      <c r="E1675" s="3" t="s">
        <v>192</v>
      </c>
      <c r="F1675" s="3" t="s">
        <v>192</v>
      </c>
      <c r="G1675" s="3" t="s">
        <v>103</v>
      </c>
      <c r="H1675" s="3" t="s">
        <v>103</v>
      </c>
      <c r="I1675" s="3" t="s">
        <v>103</v>
      </c>
    </row>
    <row r="1676" spans="1:9" s="3" customFormat="1" x14ac:dyDescent="0.3">
      <c r="A1676" s="3" t="s">
        <v>29</v>
      </c>
      <c r="B1676" s="3" t="s">
        <v>846</v>
      </c>
      <c r="C1676" s="3">
        <v>2</v>
      </c>
      <c r="D1676" s="3" t="s">
        <v>103</v>
      </c>
      <c r="E1676" s="3" t="s">
        <v>192</v>
      </c>
      <c r="F1676" s="3" t="s">
        <v>103</v>
      </c>
      <c r="G1676" s="3" t="s">
        <v>103</v>
      </c>
      <c r="H1676" s="3" t="s">
        <v>103</v>
      </c>
      <c r="I1676" s="3" t="s">
        <v>103</v>
      </c>
    </row>
    <row r="1677" spans="1:9" s="3" customFormat="1" x14ac:dyDescent="0.3">
      <c r="A1677" s="3" t="s">
        <v>29</v>
      </c>
      <c r="B1677" s="3" t="s">
        <v>847</v>
      </c>
      <c r="C1677" s="3">
        <v>3</v>
      </c>
      <c r="D1677" s="3" t="s">
        <v>1014</v>
      </c>
      <c r="E1677" s="3" t="s">
        <v>192</v>
      </c>
      <c r="F1677" s="3" t="s">
        <v>801</v>
      </c>
      <c r="G1677" s="3" t="s">
        <v>103</v>
      </c>
      <c r="H1677" s="3" t="s">
        <v>103</v>
      </c>
      <c r="I1677" s="3" t="s">
        <v>103</v>
      </c>
    </row>
    <row r="1678" spans="1:9" s="3" customFormat="1" x14ac:dyDescent="0.3">
      <c r="A1678" s="3" t="s">
        <v>28</v>
      </c>
      <c r="B1678" s="3" t="s">
        <v>844</v>
      </c>
      <c r="C1678" s="3">
        <v>3</v>
      </c>
      <c r="D1678" s="3" t="s">
        <v>103</v>
      </c>
      <c r="E1678" s="3" t="s">
        <v>192</v>
      </c>
      <c r="F1678" s="3" t="s">
        <v>1001</v>
      </c>
      <c r="G1678" s="3" t="s">
        <v>103</v>
      </c>
      <c r="H1678" s="3" t="s">
        <v>103</v>
      </c>
      <c r="I1678" s="3" t="s">
        <v>103</v>
      </c>
    </row>
    <row r="1679" spans="1:9" s="3" customFormat="1" x14ac:dyDescent="0.3">
      <c r="A1679" s="3" t="s">
        <v>28</v>
      </c>
      <c r="B1679" s="3" t="s">
        <v>845</v>
      </c>
      <c r="C1679" s="3">
        <v>4</v>
      </c>
      <c r="D1679" s="3" t="s">
        <v>103</v>
      </c>
      <c r="E1679" s="3" t="s">
        <v>192</v>
      </c>
      <c r="F1679" s="3" t="s">
        <v>663</v>
      </c>
      <c r="G1679" s="3" t="s">
        <v>103</v>
      </c>
      <c r="H1679" s="3" t="s">
        <v>103</v>
      </c>
      <c r="I1679" s="3" t="s">
        <v>103</v>
      </c>
    </row>
    <row r="1680" spans="1:9" s="3" customFormat="1" x14ac:dyDescent="0.3">
      <c r="A1680" s="3" t="s">
        <v>28</v>
      </c>
      <c r="B1680" s="3" t="s">
        <v>846</v>
      </c>
      <c r="C1680" s="3">
        <v>5</v>
      </c>
      <c r="D1680" s="3" t="s">
        <v>566</v>
      </c>
      <c r="E1680" s="3" t="s">
        <v>192</v>
      </c>
      <c r="F1680" s="3" t="s">
        <v>1015</v>
      </c>
      <c r="G1680" s="3" t="s">
        <v>103</v>
      </c>
      <c r="H1680" s="3" t="s">
        <v>103</v>
      </c>
      <c r="I1680" s="3" t="s">
        <v>103</v>
      </c>
    </row>
    <row r="1681" spans="1:9" s="3" customFormat="1" x14ac:dyDescent="0.3">
      <c r="A1681" s="3" t="s">
        <v>28</v>
      </c>
      <c r="B1681" s="3" t="s">
        <v>847</v>
      </c>
      <c r="C1681" s="3">
        <v>2</v>
      </c>
      <c r="D1681" s="3" t="s">
        <v>103</v>
      </c>
      <c r="E1681" s="3" t="s">
        <v>192</v>
      </c>
      <c r="F1681" s="3" t="s">
        <v>103</v>
      </c>
      <c r="G1681" s="3" t="s">
        <v>103</v>
      </c>
      <c r="H1681" s="3" t="s">
        <v>103</v>
      </c>
      <c r="I1681" s="3" t="s">
        <v>103</v>
      </c>
    </row>
    <row r="1682" spans="1:9" s="3" customFormat="1" x14ac:dyDescent="0.3">
      <c r="A1682" s="3" t="s">
        <v>28</v>
      </c>
      <c r="B1682" s="3" t="s">
        <v>848</v>
      </c>
      <c r="C1682" s="3">
        <v>1</v>
      </c>
      <c r="D1682" s="3" t="s">
        <v>103</v>
      </c>
      <c r="E1682" s="3" t="s">
        <v>192</v>
      </c>
      <c r="F1682" s="3" t="s">
        <v>103</v>
      </c>
      <c r="G1682" s="3" t="s">
        <v>103</v>
      </c>
      <c r="H1682" s="3" t="s">
        <v>103</v>
      </c>
      <c r="I1682" s="3" t="s">
        <v>103</v>
      </c>
    </row>
    <row r="1683" spans="1:9" s="3" customFormat="1" x14ac:dyDescent="0.3">
      <c r="A1683" s="3" t="s">
        <v>27</v>
      </c>
      <c r="B1683" s="3" t="s">
        <v>844</v>
      </c>
      <c r="C1683" s="3">
        <v>4</v>
      </c>
      <c r="D1683" s="3" t="s">
        <v>691</v>
      </c>
      <c r="E1683" s="3" t="s">
        <v>1016</v>
      </c>
      <c r="F1683" s="3" t="s">
        <v>691</v>
      </c>
      <c r="G1683" s="3" t="s">
        <v>691</v>
      </c>
      <c r="H1683" s="3" t="s">
        <v>103</v>
      </c>
      <c r="I1683" s="3" t="s">
        <v>103</v>
      </c>
    </row>
    <row r="1684" spans="1:9" s="3" customFormat="1" x14ac:dyDescent="0.3">
      <c r="A1684" s="3" t="s">
        <v>27</v>
      </c>
      <c r="B1684" s="3" t="s">
        <v>845</v>
      </c>
      <c r="C1684" s="3">
        <v>1</v>
      </c>
      <c r="D1684" s="3" t="s">
        <v>103</v>
      </c>
      <c r="E1684" s="3" t="s">
        <v>192</v>
      </c>
      <c r="F1684" s="3" t="s">
        <v>103</v>
      </c>
      <c r="G1684" s="3" t="s">
        <v>103</v>
      </c>
      <c r="H1684" s="3" t="s">
        <v>103</v>
      </c>
      <c r="I1684" s="3" t="s">
        <v>103</v>
      </c>
    </row>
    <row r="1685" spans="1:9" s="3" customFormat="1" x14ac:dyDescent="0.3">
      <c r="A1685" s="3" t="s">
        <v>27</v>
      </c>
      <c r="B1685" s="3" t="s">
        <v>846</v>
      </c>
      <c r="C1685" s="3">
        <v>5</v>
      </c>
      <c r="D1685" s="3" t="s">
        <v>103</v>
      </c>
      <c r="E1685" s="3" t="s">
        <v>174</v>
      </c>
      <c r="F1685" s="3" t="s">
        <v>560</v>
      </c>
      <c r="G1685" s="3" t="s">
        <v>560</v>
      </c>
      <c r="H1685" s="3" t="s">
        <v>103</v>
      </c>
      <c r="I1685" s="3" t="s">
        <v>103</v>
      </c>
    </row>
    <row r="1686" spans="1:9" s="3" customFormat="1" x14ac:dyDescent="0.3">
      <c r="A1686" s="3" t="s">
        <v>27</v>
      </c>
      <c r="B1686" s="3" t="s">
        <v>847</v>
      </c>
      <c r="C1686" s="3">
        <v>3</v>
      </c>
      <c r="D1686" s="3" t="s">
        <v>103</v>
      </c>
      <c r="E1686" s="3" t="s">
        <v>1017</v>
      </c>
      <c r="F1686" s="3" t="s">
        <v>423</v>
      </c>
      <c r="G1686" s="3" t="s">
        <v>422</v>
      </c>
      <c r="H1686" s="3" t="s">
        <v>103</v>
      </c>
      <c r="I1686" s="3" t="s">
        <v>103</v>
      </c>
    </row>
    <row r="1687" spans="1:9" s="3" customFormat="1" x14ac:dyDescent="0.3">
      <c r="A1687" s="3" t="s">
        <v>27</v>
      </c>
      <c r="B1687" s="3" t="s">
        <v>848</v>
      </c>
      <c r="C1687" s="3">
        <v>1</v>
      </c>
      <c r="D1687" s="3" t="s">
        <v>103</v>
      </c>
      <c r="E1687" s="3" t="s">
        <v>192</v>
      </c>
      <c r="F1687" s="3" t="s">
        <v>103</v>
      </c>
      <c r="G1687" s="3" t="s">
        <v>103</v>
      </c>
      <c r="H1687" s="3" t="s">
        <v>103</v>
      </c>
      <c r="I1687" s="3" t="s">
        <v>103</v>
      </c>
    </row>
    <row r="1688" spans="1:9" s="3" customFormat="1" x14ac:dyDescent="0.3">
      <c r="A1688" s="3" t="s">
        <v>41</v>
      </c>
      <c r="B1688" s="3" t="s">
        <v>844</v>
      </c>
      <c r="C1688" s="3">
        <v>16</v>
      </c>
      <c r="D1688" s="3" t="s">
        <v>266</v>
      </c>
      <c r="E1688" s="3" t="s">
        <v>776</v>
      </c>
      <c r="F1688" s="3" t="s">
        <v>1012</v>
      </c>
      <c r="G1688" s="3" t="s">
        <v>266</v>
      </c>
      <c r="H1688" s="3" t="s">
        <v>103</v>
      </c>
      <c r="I1688" s="3" t="s">
        <v>103</v>
      </c>
    </row>
    <row r="1689" spans="1:9" s="3" customFormat="1" x14ac:dyDescent="0.3">
      <c r="A1689" s="3" t="s">
        <v>41</v>
      </c>
      <c r="B1689" s="3" t="s">
        <v>845</v>
      </c>
      <c r="C1689" s="3">
        <v>14</v>
      </c>
      <c r="D1689" s="3" t="s">
        <v>103</v>
      </c>
      <c r="E1689" s="3" t="s">
        <v>892</v>
      </c>
      <c r="F1689" s="3" t="s">
        <v>1018</v>
      </c>
      <c r="G1689" s="3" t="s">
        <v>103</v>
      </c>
      <c r="H1689" s="3" t="s">
        <v>103</v>
      </c>
      <c r="I1689" s="3" t="s">
        <v>103</v>
      </c>
    </row>
    <row r="1690" spans="1:9" s="3" customFormat="1" x14ac:dyDescent="0.3">
      <c r="A1690" s="3" t="s">
        <v>41</v>
      </c>
      <c r="B1690" s="3" t="s">
        <v>846</v>
      </c>
      <c r="C1690" s="3">
        <v>20</v>
      </c>
      <c r="D1690" s="3" t="s">
        <v>194</v>
      </c>
      <c r="E1690" s="3" t="s">
        <v>741</v>
      </c>
      <c r="F1690" s="3" t="s">
        <v>490</v>
      </c>
      <c r="G1690" s="3" t="s">
        <v>186</v>
      </c>
      <c r="H1690" s="3" t="s">
        <v>103</v>
      </c>
      <c r="I1690" s="3" t="s">
        <v>103</v>
      </c>
    </row>
    <row r="1691" spans="1:9" s="3" customFormat="1" x14ac:dyDescent="0.3">
      <c r="A1691" s="3" t="s">
        <v>41</v>
      </c>
      <c r="B1691" s="3" t="s">
        <v>847</v>
      </c>
      <c r="C1691" s="3">
        <v>16</v>
      </c>
      <c r="D1691" s="3" t="s">
        <v>142</v>
      </c>
      <c r="E1691" s="3" t="s">
        <v>1019</v>
      </c>
      <c r="F1691" s="3" t="s">
        <v>866</v>
      </c>
      <c r="G1691" s="3" t="s">
        <v>32</v>
      </c>
      <c r="H1691" s="3" t="s">
        <v>103</v>
      </c>
      <c r="I1691" s="3" t="s">
        <v>103</v>
      </c>
    </row>
    <row r="1692" spans="1:9" s="3" customFormat="1" x14ac:dyDescent="0.3">
      <c r="A1692" s="3" t="s">
        <v>41</v>
      </c>
      <c r="B1692" s="3" t="s">
        <v>848</v>
      </c>
      <c r="C1692" s="3">
        <v>2</v>
      </c>
      <c r="D1692" s="3" t="s">
        <v>103</v>
      </c>
      <c r="E1692" s="3" t="s">
        <v>192</v>
      </c>
      <c r="F1692" s="3" t="s">
        <v>103</v>
      </c>
      <c r="G1692" s="3" t="s">
        <v>103</v>
      </c>
      <c r="H1692" s="3" t="s">
        <v>103</v>
      </c>
      <c r="I1692" s="3" t="s">
        <v>103</v>
      </c>
    </row>
    <row r="1694" spans="1:9" x14ac:dyDescent="0.3">
      <c r="A1694" t="s">
        <v>1020</v>
      </c>
    </row>
    <row r="1695" spans="1:9" x14ac:dyDescent="0.3">
      <c r="A1695" t="s">
        <v>36</v>
      </c>
      <c r="B1695" t="s">
        <v>310</v>
      </c>
      <c r="C1695" t="s">
        <v>24</v>
      </c>
      <c r="D1695" t="s">
        <v>996</v>
      </c>
      <c r="E1695" t="s">
        <v>997</v>
      </c>
      <c r="F1695" t="s">
        <v>998</v>
      </c>
      <c r="G1695" t="s">
        <v>999</v>
      </c>
      <c r="H1695" t="s">
        <v>89</v>
      </c>
      <c r="I1695" t="s">
        <v>966</v>
      </c>
    </row>
    <row r="1696" spans="1:9" s="3" customFormat="1" x14ac:dyDescent="0.3">
      <c r="A1696" s="3" t="s">
        <v>25</v>
      </c>
      <c r="B1696" s="3" t="s">
        <v>311</v>
      </c>
      <c r="C1696" s="3">
        <v>10</v>
      </c>
      <c r="D1696" s="3" t="s">
        <v>103</v>
      </c>
      <c r="E1696" s="3" t="s">
        <v>803</v>
      </c>
      <c r="F1696" s="3" t="s">
        <v>1021</v>
      </c>
      <c r="G1696" s="3" t="s">
        <v>103</v>
      </c>
      <c r="H1696" s="3" t="s">
        <v>103</v>
      </c>
      <c r="I1696" s="3" t="s">
        <v>103</v>
      </c>
    </row>
    <row r="1697" spans="1:9" s="3" customFormat="1" x14ac:dyDescent="0.3">
      <c r="A1697" s="3" t="s">
        <v>25</v>
      </c>
      <c r="B1697" s="3" t="s">
        <v>312</v>
      </c>
      <c r="C1697" s="3">
        <v>2</v>
      </c>
      <c r="D1697" s="3" t="s">
        <v>103</v>
      </c>
      <c r="E1697" s="3" t="s">
        <v>1004</v>
      </c>
      <c r="F1697" s="3" t="s">
        <v>554</v>
      </c>
      <c r="G1697" s="3" t="s">
        <v>103</v>
      </c>
      <c r="H1697" s="3" t="s">
        <v>103</v>
      </c>
      <c r="I1697" s="3" t="s">
        <v>103</v>
      </c>
    </row>
    <row r="1698" spans="1:9" s="3" customFormat="1" x14ac:dyDescent="0.3">
      <c r="A1698" s="3" t="s">
        <v>26</v>
      </c>
      <c r="B1698" s="3" t="s">
        <v>311</v>
      </c>
      <c r="C1698" s="3">
        <v>12</v>
      </c>
      <c r="D1698" s="3" t="s">
        <v>601</v>
      </c>
      <c r="E1698" s="3" t="s">
        <v>804</v>
      </c>
      <c r="F1698" s="3" t="s">
        <v>1022</v>
      </c>
      <c r="G1698" s="3" t="s">
        <v>103</v>
      </c>
      <c r="H1698" s="3" t="s">
        <v>103</v>
      </c>
      <c r="I1698" s="3" t="s">
        <v>103</v>
      </c>
    </row>
    <row r="1699" spans="1:9" s="3" customFormat="1" x14ac:dyDescent="0.3">
      <c r="A1699" s="3" t="s">
        <v>26</v>
      </c>
      <c r="B1699" s="3" t="s">
        <v>312</v>
      </c>
      <c r="C1699" s="3">
        <v>4</v>
      </c>
      <c r="D1699" s="3" t="s">
        <v>103</v>
      </c>
      <c r="E1699" s="3" t="s">
        <v>1023</v>
      </c>
      <c r="F1699" s="3" t="s">
        <v>192</v>
      </c>
      <c r="G1699" s="3" t="s">
        <v>103</v>
      </c>
      <c r="H1699" s="3" t="s">
        <v>103</v>
      </c>
      <c r="I1699" s="3" t="s">
        <v>103</v>
      </c>
    </row>
    <row r="1700" spans="1:9" x14ac:dyDescent="0.3">
      <c r="A1700" t="s">
        <v>26</v>
      </c>
      <c r="B1700" t="s">
        <v>308</v>
      </c>
      <c r="C1700">
        <v>4</v>
      </c>
      <c r="D1700" t="s">
        <v>103</v>
      </c>
      <c r="E1700" t="s">
        <v>755</v>
      </c>
      <c r="F1700" t="s">
        <v>1024</v>
      </c>
      <c r="G1700" t="s">
        <v>103</v>
      </c>
      <c r="H1700" t="s">
        <v>103</v>
      </c>
      <c r="I1700" t="s">
        <v>103</v>
      </c>
    </row>
    <row r="1701" spans="1:9" s="3" customFormat="1" x14ac:dyDescent="0.3">
      <c r="A1701" s="3" t="s">
        <v>29</v>
      </c>
      <c r="B1701" s="3" t="s">
        <v>311</v>
      </c>
      <c r="C1701" s="3">
        <v>7</v>
      </c>
      <c r="D1701" s="3" t="s">
        <v>148</v>
      </c>
      <c r="E1701" s="3" t="s">
        <v>192</v>
      </c>
      <c r="F1701" s="3" t="s">
        <v>359</v>
      </c>
      <c r="G1701" s="3" t="s">
        <v>103</v>
      </c>
      <c r="H1701" s="3" t="s">
        <v>103</v>
      </c>
      <c r="I1701" s="3" t="s">
        <v>103</v>
      </c>
    </row>
    <row r="1702" spans="1:9" s="3" customFormat="1" x14ac:dyDescent="0.3">
      <c r="A1702" s="3" t="s">
        <v>28</v>
      </c>
      <c r="B1702" s="3" t="s">
        <v>311</v>
      </c>
      <c r="C1702" s="3">
        <v>15</v>
      </c>
      <c r="D1702" s="3" t="s">
        <v>438</v>
      </c>
      <c r="E1702" s="3" t="s">
        <v>192</v>
      </c>
      <c r="F1702" s="3" t="s">
        <v>509</v>
      </c>
      <c r="G1702" s="3" t="s">
        <v>103</v>
      </c>
      <c r="H1702" s="3" t="s">
        <v>103</v>
      </c>
      <c r="I1702" s="3" t="s">
        <v>103</v>
      </c>
    </row>
    <row r="1703" spans="1:9" s="3" customFormat="1" x14ac:dyDescent="0.3">
      <c r="A1703" s="3" t="s">
        <v>27</v>
      </c>
      <c r="B1703" s="3" t="s">
        <v>311</v>
      </c>
      <c r="C1703" s="3">
        <v>14</v>
      </c>
      <c r="D1703" s="3" t="s">
        <v>594</v>
      </c>
      <c r="E1703" s="3" t="s">
        <v>55</v>
      </c>
      <c r="F1703" s="3" t="s">
        <v>858</v>
      </c>
      <c r="G1703" s="3" t="s">
        <v>402</v>
      </c>
      <c r="H1703" s="3" t="s">
        <v>103</v>
      </c>
      <c r="I1703" s="3" t="s">
        <v>103</v>
      </c>
    </row>
    <row r="1704" spans="1:9" x14ac:dyDescent="0.3">
      <c r="A1704" t="s">
        <v>41</v>
      </c>
      <c r="B1704" t="s">
        <v>311</v>
      </c>
      <c r="C1704">
        <v>58</v>
      </c>
      <c r="D1704" t="s">
        <v>607</v>
      </c>
      <c r="E1704" t="s">
        <v>622</v>
      </c>
      <c r="F1704" t="s">
        <v>1025</v>
      </c>
      <c r="G1704" t="s">
        <v>493</v>
      </c>
      <c r="H1704" t="s">
        <v>103</v>
      </c>
      <c r="I1704" t="s">
        <v>103</v>
      </c>
    </row>
    <row r="1705" spans="1:9" s="3" customFormat="1" x14ac:dyDescent="0.3">
      <c r="A1705" s="3" t="s">
        <v>41</v>
      </c>
      <c r="B1705" s="3" t="s">
        <v>312</v>
      </c>
      <c r="C1705" s="3">
        <v>6</v>
      </c>
      <c r="D1705" s="3" t="s">
        <v>103</v>
      </c>
      <c r="E1705" s="3" t="s">
        <v>935</v>
      </c>
      <c r="F1705" s="3" t="s">
        <v>827</v>
      </c>
      <c r="G1705" s="3" t="s">
        <v>103</v>
      </c>
      <c r="H1705" s="3" t="s">
        <v>103</v>
      </c>
      <c r="I1705" s="3" t="s">
        <v>103</v>
      </c>
    </row>
    <row r="1706" spans="1:9" x14ac:dyDescent="0.3">
      <c r="A1706" t="s">
        <v>41</v>
      </c>
      <c r="B1706" t="s">
        <v>308</v>
      </c>
      <c r="C1706">
        <v>4</v>
      </c>
      <c r="D1706" t="s">
        <v>103</v>
      </c>
      <c r="E1706" t="s">
        <v>755</v>
      </c>
      <c r="F1706" t="s">
        <v>1024</v>
      </c>
      <c r="G1706" t="s">
        <v>103</v>
      </c>
      <c r="H1706" t="s">
        <v>103</v>
      </c>
      <c r="I1706" t="s">
        <v>103</v>
      </c>
    </row>
    <row r="1708" spans="1:9" x14ac:dyDescent="0.3">
      <c r="A1708" t="s">
        <v>1026</v>
      </c>
    </row>
    <row r="1709" spans="1:9" x14ac:dyDescent="0.3">
      <c r="A1709" t="s">
        <v>36</v>
      </c>
      <c r="B1709" t="s">
        <v>763</v>
      </c>
      <c r="C1709" t="s">
        <v>24</v>
      </c>
      <c r="D1709" t="s">
        <v>996</v>
      </c>
      <c r="E1709" t="s">
        <v>997</v>
      </c>
      <c r="F1709" t="s">
        <v>998</v>
      </c>
      <c r="G1709" t="s">
        <v>999</v>
      </c>
      <c r="H1709" t="s">
        <v>89</v>
      </c>
      <c r="I1709" t="s">
        <v>966</v>
      </c>
    </row>
    <row r="1710" spans="1:9" s="3" customFormat="1" x14ac:dyDescent="0.3">
      <c r="A1710" s="3" t="s">
        <v>25</v>
      </c>
      <c r="B1710" s="3" t="s">
        <v>765</v>
      </c>
      <c r="C1710" s="3">
        <v>6</v>
      </c>
      <c r="D1710" s="3" t="s">
        <v>103</v>
      </c>
      <c r="E1710" s="3" t="s">
        <v>1027</v>
      </c>
      <c r="F1710" s="3" t="s">
        <v>1028</v>
      </c>
      <c r="G1710" s="3" t="s">
        <v>103</v>
      </c>
      <c r="H1710" s="3" t="s">
        <v>103</v>
      </c>
      <c r="I1710" s="3" t="s">
        <v>103</v>
      </c>
    </row>
    <row r="1711" spans="1:9" s="3" customFormat="1" x14ac:dyDescent="0.3">
      <c r="A1711" s="3" t="s">
        <v>25</v>
      </c>
      <c r="B1711" s="3" t="s">
        <v>767</v>
      </c>
      <c r="C1711" s="3">
        <v>6</v>
      </c>
      <c r="D1711" s="3" t="s">
        <v>103</v>
      </c>
      <c r="E1711" s="3" t="s">
        <v>852</v>
      </c>
      <c r="F1711" s="3" t="s">
        <v>1029</v>
      </c>
      <c r="G1711" s="3" t="s">
        <v>103</v>
      </c>
      <c r="H1711" s="3" t="s">
        <v>103</v>
      </c>
      <c r="I1711" s="3" t="s">
        <v>103</v>
      </c>
    </row>
    <row r="1712" spans="1:9" s="3" customFormat="1" x14ac:dyDescent="0.3">
      <c r="A1712" s="3" t="s">
        <v>26</v>
      </c>
      <c r="B1712" s="3" t="s">
        <v>765</v>
      </c>
      <c r="C1712" s="3">
        <v>14</v>
      </c>
      <c r="D1712" s="3" t="s">
        <v>103</v>
      </c>
      <c r="E1712" s="3" t="s">
        <v>1030</v>
      </c>
      <c r="F1712" s="3" t="s">
        <v>161</v>
      </c>
      <c r="G1712" s="3" t="s">
        <v>103</v>
      </c>
      <c r="H1712" s="3" t="s">
        <v>103</v>
      </c>
      <c r="I1712" s="3" t="s">
        <v>103</v>
      </c>
    </row>
    <row r="1713" spans="1:9" s="3" customFormat="1" x14ac:dyDescent="0.3">
      <c r="A1713" s="3" t="s">
        <v>26</v>
      </c>
      <c r="B1713" s="3" t="s">
        <v>767</v>
      </c>
      <c r="C1713" s="3">
        <v>6</v>
      </c>
      <c r="D1713" s="3" t="s">
        <v>578</v>
      </c>
      <c r="E1713" s="3" t="s">
        <v>385</v>
      </c>
      <c r="F1713" s="3" t="s">
        <v>866</v>
      </c>
      <c r="G1713" s="3" t="s">
        <v>103</v>
      </c>
      <c r="H1713" s="3" t="s">
        <v>103</v>
      </c>
      <c r="I1713" s="3" t="s">
        <v>103</v>
      </c>
    </row>
    <row r="1714" spans="1:9" s="3" customFormat="1" x14ac:dyDescent="0.3">
      <c r="A1714" s="3" t="s">
        <v>29</v>
      </c>
      <c r="B1714" s="3" t="s">
        <v>765</v>
      </c>
      <c r="C1714" s="3">
        <v>4</v>
      </c>
      <c r="D1714" s="3" t="s">
        <v>707</v>
      </c>
      <c r="E1714" s="3" t="s">
        <v>192</v>
      </c>
      <c r="F1714" s="3" t="s">
        <v>119</v>
      </c>
      <c r="G1714" s="3" t="s">
        <v>103</v>
      </c>
      <c r="H1714" s="3" t="s">
        <v>103</v>
      </c>
      <c r="I1714" s="3" t="s">
        <v>103</v>
      </c>
    </row>
    <row r="1715" spans="1:9" s="3" customFormat="1" x14ac:dyDescent="0.3">
      <c r="A1715" s="3" t="s">
        <v>29</v>
      </c>
      <c r="B1715" s="3" t="s">
        <v>767</v>
      </c>
      <c r="C1715" s="3">
        <v>3</v>
      </c>
      <c r="D1715" s="3" t="s">
        <v>103</v>
      </c>
      <c r="E1715" s="3" t="s">
        <v>192</v>
      </c>
      <c r="F1715" s="3" t="s">
        <v>192</v>
      </c>
      <c r="G1715" s="3" t="s">
        <v>103</v>
      </c>
      <c r="H1715" s="3" t="s">
        <v>103</v>
      </c>
      <c r="I1715" s="3" t="s">
        <v>103</v>
      </c>
    </row>
    <row r="1716" spans="1:9" s="3" customFormat="1" x14ac:dyDescent="0.3">
      <c r="A1716" s="3" t="s">
        <v>28</v>
      </c>
      <c r="B1716" s="3" t="s">
        <v>765</v>
      </c>
      <c r="C1716" s="3">
        <v>11</v>
      </c>
      <c r="D1716" s="3" t="s">
        <v>114</v>
      </c>
      <c r="E1716" s="3" t="s">
        <v>192</v>
      </c>
      <c r="F1716" s="3" t="s">
        <v>362</v>
      </c>
      <c r="G1716" s="3" t="s">
        <v>103</v>
      </c>
      <c r="H1716" s="3" t="s">
        <v>103</v>
      </c>
      <c r="I1716" s="3" t="s">
        <v>103</v>
      </c>
    </row>
    <row r="1717" spans="1:9" s="3" customFormat="1" x14ac:dyDescent="0.3">
      <c r="A1717" s="3" t="s">
        <v>28</v>
      </c>
      <c r="B1717" s="3" t="s">
        <v>767</v>
      </c>
      <c r="C1717" s="3">
        <v>4</v>
      </c>
      <c r="D1717" s="3" t="s">
        <v>103</v>
      </c>
      <c r="E1717" s="3" t="s">
        <v>192</v>
      </c>
      <c r="F1717" s="3" t="s">
        <v>103</v>
      </c>
      <c r="G1717" s="3" t="s">
        <v>103</v>
      </c>
      <c r="H1717" s="3" t="s">
        <v>103</v>
      </c>
      <c r="I1717" s="3" t="s">
        <v>103</v>
      </c>
    </row>
    <row r="1718" spans="1:9" s="3" customFormat="1" x14ac:dyDescent="0.3">
      <c r="A1718" s="3" t="s">
        <v>27</v>
      </c>
      <c r="B1718" s="3" t="s">
        <v>765</v>
      </c>
      <c r="C1718" s="3">
        <v>7</v>
      </c>
      <c r="D1718" s="3" t="s">
        <v>103</v>
      </c>
      <c r="E1718" s="3" t="s">
        <v>147</v>
      </c>
      <c r="F1718" s="3" t="s">
        <v>350</v>
      </c>
      <c r="G1718" s="3" t="s">
        <v>103</v>
      </c>
      <c r="H1718" s="3" t="s">
        <v>103</v>
      </c>
      <c r="I1718" s="3" t="s">
        <v>103</v>
      </c>
    </row>
    <row r="1719" spans="1:9" s="3" customFormat="1" x14ac:dyDescent="0.3">
      <c r="A1719" s="3" t="s">
        <v>27</v>
      </c>
      <c r="B1719" s="3" t="s">
        <v>767</v>
      </c>
      <c r="C1719" s="3">
        <v>7</v>
      </c>
      <c r="D1719" s="3" t="s">
        <v>750</v>
      </c>
      <c r="E1719" s="3" t="s">
        <v>434</v>
      </c>
      <c r="F1719" s="3" t="s">
        <v>750</v>
      </c>
      <c r="G1719" s="3" t="s">
        <v>1031</v>
      </c>
      <c r="H1719" s="3" t="s">
        <v>103</v>
      </c>
      <c r="I1719" s="3" t="s">
        <v>103</v>
      </c>
    </row>
    <row r="1720" spans="1:9" x14ac:dyDescent="0.3">
      <c r="A1720" t="s">
        <v>41</v>
      </c>
      <c r="B1720" t="s">
        <v>765</v>
      </c>
      <c r="C1720">
        <v>42</v>
      </c>
      <c r="D1720" t="s">
        <v>32</v>
      </c>
      <c r="E1720" t="s">
        <v>227</v>
      </c>
      <c r="F1720" t="s">
        <v>1032</v>
      </c>
      <c r="G1720" t="s">
        <v>103</v>
      </c>
      <c r="H1720" t="s">
        <v>103</v>
      </c>
      <c r="I1720" t="s">
        <v>103</v>
      </c>
    </row>
    <row r="1721" spans="1:9" s="3" customFormat="1" x14ac:dyDescent="0.3">
      <c r="A1721" s="3" t="s">
        <v>41</v>
      </c>
      <c r="B1721" s="3" t="s">
        <v>767</v>
      </c>
      <c r="C1721" s="3">
        <v>26</v>
      </c>
      <c r="D1721" s="3" t="s">
        <v>494</v>
      </c>
      <c r="E1721" s="3" t="s">
        <v>753</v>
      </c>
      <c r="F1721" s="3" t="s">
        <v>394</v>
      </c>
      <c r="G1721" s="3" t="s">
        <v>254</v>
      </c>
      <c r="H1721" s="3" t="s">
        <v>103</v>
      </c>
      <c r="I1721" s="3" t="s">
        <v>103</v>
      </c>
    </row>
    <row r="1723" spans="1:9" x14ac:dyDescent="0.3">
      <c r="A1723" t="s">
        <v>1033</v>
      </c>
    </row>
    <row r="1724" spans="1:9" x14ac:dyDescent="0.3">
      <c r="A1724" t="s">
        <v>36</v>
      </c>
      <c r="B1724" t="s">
        <v>210</v>
      </c>
      <c r="C1724" t="s">
        <v>24</v>
      </c>
      <c r="D1724" t="s">
        <v>996</v>
      </c>
      <c r="E1724" t="s">
        <v>997</v>
      </c>
      <c r="F1724" t="s">
        <v>998</v>
      </c>
      <c r="G1724" t="s">
        <v>999</v>
      </c>
      <c r="H1724" t="s">
        <v>89</v>
      </c>
      <c r="I1724" t="s">
        <v>966</v>
      </c>
    </row>
    <row r="1725" spans="1:9" s="3" customFormat="1" x14ac:dyDescent="0.3">
      <c r="A1725" s="3" t="s">
        <v>25</v>
      </c>
      <c r="B1725" s="3" t="s">
        <v>211</v>
      </c>
      <c r="C1725" s="3">
        <v>12</v>
      </c>
      <c r="D1725" s="3" t="s">
        <v>103</v>
      </c>
      <c r="E1725" s="3" t="s">
        <v>213</v>
      </c>
      <c r="F1725" s="3" t="s">
        <v>405</v>
      </c>
      <c r="G1725" s="3" t="s">
        <v>103</v>
      </c>
      <c r="H1725" s="3" t="s">
        <v>103</v>
      </c>
      <c r="I1725" s="3" t="s">
        <v>103</v>
      </c>
    </row>
    <row r="1726" spans="1:9" s="3" customFormat="1" x14ac:dyDescent="0.3">
      <c r="A1726" s="3" t="s">
        <v>26</v>
      </c>
      <c r="B1726" s="3" t="s">
        <v>211</v>
      </c>
      <c r="C1726" s="3">
        <v>4</v>
      </c>
      <c r="D1726" s="3" t="s">
        <v>103</v>
      </c>
      <c r="E1726" s="3" t="s">
        <v>295</v>
      </c>
      <c r="F1726" s="3" t="s">
        <v>192</v>
      </c>
      <c r="G1726" s="3" t="s">
        <v>103</v>
      </c>
      <c r="H1726" s="3" t="s">
        <v>103</v>
      </c>
      <c r="I1726" s="3" t="s">
        <v>103</v>
      </c>
    </row>
    <row r="1727" spans="1:9" s="3" customFormat="1" x14ac:dyDescent="0.3">
      <c r="A1727" s="3" t="s">
        <v>26</v>
      </c>
      <c r="B1727" s="3" t="s">
        <v>212</v>
      </c>
      <c r="C1727" s="3">
        <v>16</v>
      </c>
      <c r="D1727" s="3" t="s">
        <v>251</v>
      </c>
      <c r="E1727" s="3" t="s">
        <v>1034</v>
      </c>
      <c r="F1727" s="3" t="s">
        <v>1035</v>
      </c>
      <c r="G1727" s="3" t="s">
        <v>103</v>
      </c>
      <c r="H1727" s="3" t="s">
        <v>103</v>
      </c>
      <c r="I1727" s="3" t="s">
        <v>103</v>
      </c>
    </row>
    <row r="1728" spans="1:9" s="3" customFormat="1" x14ac:dyDescent="0.3">
      <c r="A1728" s="3" t="s">
        <v>29</v>
      </c>
      <c r="B1728" s="3" t="s">
        <v>211</v>
      </c>
      <c r="C1728" s="3">
        <v>7</v>
      </c>
      <c r="D1728" s="3" t="s">
        <v>148</v>
      </c>
      <c r="E1728" s="3" t="s">
        <v>192</v>
      </c>
      <c r="F1728" s="3" t="s">
        <v>359</v>
      </c>
      <c r="G1728" s="3" t="s">
        <v>103</v>
      </c>
      <c r="H1728" s="3" t="s">
        <v>103</v>
      </c>
      <c r="I1728" s="3" t="s">
        <v>103</v>
      </c>
    </row>
    <row r="1729" spans="1:9" s="3" customFormat="1" x14ac:dyDescent="0.3">
      <c r="A1729" s="3" t="s">
        <v>28</v>
      </c>
      <c r="B1729" s="3" t="s">
        <v>211</v>
      </c>
      <c r="C1729" s="3">
        <v>13</v>
      </c>
      <c r="D1729" s="3" t="s">
        <v>125</v>
      </c>
      <c r="E1729" s="3" t="s">
        <v>192</v>
      </c>
      <c r="F1729" s="3" t="s">
        <v>355</v>
      </c>
      <c r="G1729" s="3" t="s">
        <v>103</v>
      </c>
      <c r="H1729" s="3" t="s">
        <v>103</v>
      </c>
      <c r="I1729" s="3" t="s">
        <v>103</v>
      </c>
    </row>
    <row r="1730" spans="1:9" s="3" customFormat="1" x14ac:dyDescent="0.3">
      <c r="A1730" s="3" t="s">
        <v>28</v>
      </c>
      <c r="B1730" s="3" t="s">
        <v>212</v>
      </c>
      <c r="C1730" s="3">
        <v>2</v>
      </c>
      <c r="D1730" s="3" t="s">
        <v>103</v>
      </c>
      <c r="E1730" s="3" t="s">
        <v>192</v>
      </c>
      <c r="F1730" s="3" t="s">
        <v>103</v>
      </c>
      <c r="G1730" s="3" t="s">
        <v>103</v>
      </c>
      <c r="H1730" s="3" t="s">
        <v>103</v>
      </c>
      <c r="I1730" s="3" t="s">
        <v>103</v>
      </c>
    </row>
    <row r="1731" spans="1:9" s="3" customFormat="1" x14ac:dyDescent="0.3">
      <c r="A1731" s="3" t="s">
        <v>27</v>
      </c>
      <c r="B1731" s="3" t="s">
        <v>211</v>
      </c>
      <c r="C1731" s="3">
        <v>14</v>
      </c>
      <c r="D1731" s="3" t="s">
        <v>594</v>
      </c>
      <c r="E1731" s="3" t="s">
        <v>55</v>
      </c>
      <c r="F1731" s="3" t="s">
        <v>858</v>
      </c>
      <c r="G1731" s="3" t="s">
        <v>402</v>
      </c>
      <c r="H1731" s="3" t="s">
        <v>103</v>
      </c>
      <c r="I1731" s="3" t="s">
        <v>103</v>
      </c>
    </row>
    <row r="1732" spans="1:9" x14ac:dyDescent="0.3">
      <c r="A1732" t="s">
        <v>41</v>
      </c>
      <c r="B1732" t="s">
        <v>211</v>
      </c>
      <c r="C1732">
        <v>50</v>
      </c>
      <c r="D1732" t="s">
        <v>133</v>
      </c>
      <c r="E1732" t="s">
        <v>599</v>
      </c>
      <c r="F1732" t="s">
        <v>423</v>
      </c>
      <c r="G1732" t="s">
        <v>201</v>
      </c>
      <c r="H1732" t="s">
        <v>103</v>
      </c>
      <c r="I1732" t="s">
        <v>103</v>
      </c>
    </row>
    <row r="1733" spans="1:9" s="3" customFormat="1" x14ac:dyDescent="0.3">
      <c r="A1733" s="3" t="s">
        <v>41</v>
      </c>
      <c r="B1733" s="3" t="s">
        <v>212</v>
      </c>
      <c r="C1733" s="3">
        <v>18</v>
      </c>
      <c r="D1733" s="3" t="s">
        <v>94</v>
      </c>
      <c r="E1733" s="3" t="s">
        <v>395</v>
      </c>
      <c r="F1733" s="3" t="s">
        <v>302</v>
      </c>
      <c r="G1733" s="3" t="s">
        <v>103</v>
      </c>
      <c r="H1733" s="3" t="s">
        <v>103</v>
      </c>
      <c r="I1733" s="3" t="s">
        <v>103</v>
      </c>
    </row>
    <row r="1735" spans="1:9" x14ac:dyDescent="0.3">
      <c r="A1735" t="s">
        <v>1036</v>
      </c>
    </row>
    <row r="1736" spans="1:9" x14ac:dyDescent="0.3">
      <c r="A1736" t="s">
        <v>36</v>
      </c>
      <c r="B1736" t="s">
        <v>24</v>
      </c>
      <c r="C1736" t="s">
        <v>58</v>
      </c>
      <c r="D1736" t="s">
        <v>59</v>
      </c>
    </row>
    <row r="1737" spans="1:9" s="3" customFormat="1" x14ac:dyDescent="0.3">
      <c r="A1737" s="3" t="s">
        <v>25</v>
      </c>
      <c r="B1737" s="3">
        <v>30</v>
      </c>
      <c r="C1737" s="3" t="s">
        <v>1037</v>
      </c>
      <c r="D1737" s="3" t="s">
        <v>1038</v>
      </c>
    </row>
    <row r="1738" spans="1:9" x14ac:dyDescent="0.3">
      <c r="A1738" t="s">
        <v>26</v>
      </c>
      <c r="B1738">
        <v>43</v>
      </c>
      <c r="C1738" t="s">
        <v>302</v>
      </c>
      <c r="D1738" t="s">
        <v>301</v>
      </c>
    </row>
    <row r="1739" spans="1:9" x14ac:dyDescent="0.3">
      <c r="A1739" t="s">
        <v>29</v>
      </c>
      <c r="B1739">
        <v>66</v>
      </c>
      <c r="C1739" t="s">
        <v>1039</v>
      </c>
      <c r="D1739" t="s">
        <v>512</v>
      </c>
    </row>
    <row r="1740" spans="1:9" s="3" customFormat="1" x14ac:dyDescent="0.3">
      <c r="A1740" s="3" t="s">
        <v>28</v>
      </c>
      <c r="B1740" s="3">
        <v>26</v>
      </c>
      <c r="C1740" s="3" t="s">
        <v>1040</v>
      </c>
      <c r="D1740" s="3" t="s">
        <v>707</v>
      </c>
    </row>
    <row r="1741" spans="1:9" s="3" customFormat="1" x14ac:dyDescent="0.3">
      <c r="A1741" s="3" t="s">
        <v>27</v>
      </c>
      <c r="B1741" s="3">
        <v>16</v>
      </c>
      <c r="C1741" s="3" t="s">
        <v>258</v>
      </c>
      <c r="D1741" s="3" t="s">
        <v>1041</v>
      </c>
    </row>
    <row r="1742" spans="1:9" x14ac:dyDescent="0.3">
      <c r="A1742" t="s">
        <v>41</v>
      </c>
      <c r="B1742">
        <v>181</v>
      </c>
      <c r="C1742" t="s">
        <v>982</v>
      </c>
      <c r="D1742" t="s">
        <v>465</v>
      </c>
    </row>
    <row r="1744" spans="1:9" x14ac:dyDescent="0.3">
      <c r="A1744" t="s">
        <v>1042</v>
      </c>
    </row>
    <row r="1745" spans="1:5" x14ac:dyDescent="0.3">
      <c r="A1745" t="s">
        <v>36</v>
      </c>
      <c r="B1745" t="s">
        <v>714</v>
      </c>
      <c r="C1745" t="s">
        <v>24</v>
      </c>
      <c r="D1745" t="s">
        <v>58</v>
      </c>
      <c r="E1745" t="s">
        <v>59</v>
      </c>
    </row>
    <row r="1746" spans="1:5" x14ac:dyDescent="0.3">
      <c r="A1746" t="s">
        <v>25</v>
      </c>
      <c r="B1746" t="s">
        <v>308</v>
      </c>
      <c r="C1746">
        <v>30</v>
      </c>
      <c r="D1746" t="s">
        <v>1037</v>
      </c>
      <c r="E1746" t="s">
        <v>1038</v>
      </c>
    </row>
    <row r="1747" spans="1:5" x14ac:dyDescent="0.3">
      <c r="A1747" t="s">
        <v>26</v>
      </c>
      <c r="B1747" t="s">
        <v>308</v>
      </c>
      <c r="C1747">
        <v>43</v>
      </c>
      <c r="D1747" t="s">
        <v>302</v>
      </c>
      <c r="E1747" t="s">
        <v>301</v>
      </c>
    </row>
    <row r="1748" spans="1:5" s="3" customFormat="1" x14ac:dyDescent="0.3">
      <c r="A1748" s="3" t="s">
        <v>29</v>
      </c>
      <c r="B1748" s="3" t="s">
        <v>723</v>
      </c>
      <c r="C1748" s="3">
        <v>1</v>
      </c>
      <c r="D1748" s="3" t="s">
        <v>103</v>
      </c>
      <c r="E1748" s="3" t="s">
        <v>192</v>
      </c>
    </row>
    <row r="1749" spans="1:5" x14ac:dyDescent="0.3">
      <c r="A1749" t="s">
        <v>29</v>
      </c>
      <c r="B1749" t="s">
        <v>308</v>
      </c>
      <c r="C1749">
        <v>65</v>
      </c>
      <c r="D1749" t="s">
        <v>793</v>
      </c>
      <c r="E1749" t="s">
        <v>1043</v>
      </c>
    </row>
    <row r="1750" spans="1:5" x14ac:dyDescent="0.3">
      <c r="A1750" t="s">
        <v>28</v>
      </c>
      <c r="B1750" t="s">
        <v>308</v>
      </c>
      <c r="C1750">
        <v>26</v>
      </c>
      <c r="D1750" t="s">
        <v>1040</v>
      </c>
      <c r="E1750" t="s">
        <v>707</v>
      </c>
    </row>
    <row r="1751" spans="1:5" x14ac:dyDescent="0.3">
      <c r="A1751" t="s">
        <v>27</v>
      </c>
      <c r="B1751" t="s">
        <v>308</v>
      </c>
      <c r="C1751">
        <v>16</v>
      </c>
      <c r="D1751" t="s">
        <v>258</v>
      </c>
      <c r="E1751" t="s">
        <v>1041</v>
      </c>
    </row>
    <row r="1752" spans="1:5" s="3" customFormat="1" x14ac:dyDescent="0.3">
      <c r="A1752" s="3" t="s">
        <v>41</v>
      </c>
      <c r="B1752" s="3" t="s">
        <v>723</v>
      </c>
      <c r="C1752" s="3">
        <v>1</v>
      </c>
      <c r="D1752" s="3" t="s">
        <v>103</v>
      </c>
      <c r="E1752" s="3" t="s">
        <v>192</v>
      </c>
    </row>
    <row r="1753" spans="1:5" x14ac:dyDescent="0.3">
      <c r="A1753" t="s">
        <v>41</v>
      </c>
      <c r="B1753" t="s">
        <v>308</v>
      </c>
      <c r="C1753">
        <v>180</v>
      </c>
      <c r="D1753" t="s">
        <v>1044</v>
      </c>
      <c r="E1753" t="s">
        <v>464</v>
      </c>
    </row>
    <row r="1755" spans="1:5" x14ac:dyDescent="0.3">
      <c r="A1755" t="s">
        <v>1045</v>
      </c>
    </row>
    <row r="1756" spans="1:5" x14ac:dyDescent="0.3">
      <c r="A1756" t="s">
        <v>36</v>
      </c>
      <c r="B1756" t="s">
        <v>197</v>
      </c>
      <c r="C1756" t="s">
        <v>24</v>
      </c>
      <c r="D1756" t="s">
        <v>58</v>
      </c>
      <c r="E1756" t="s">
        <v>59</v>
      </c>
    </row>
    <row r="1757" spans="1:5" s="3" customFormat="1" x14ac:dyDescent="0.3">
      <c r="A1757" s="3" t="s">
        <v>25</v>
      </c>
      <c r="B1757" s="3" t="s">
        <v>198</v>
      </c>
      <c r="C1757" s="3">
        <v>5</v>
      </c>
      <c r="D1757" s="3" t="s">
        <v>1046</v>
      </c>
      <c r="E1757" s="3" t="s">
        <v>651</v>
      </c>
    </row>
    <row r="1758" spans="1:5" s="3" customFormat="1" x14ac:dyDescent="0.3">
      <c r="A1758" s="3" t="s">
        <v>25</v>
      </c>
      <c r="B1758" s="3" t="s">
        <v>199</v>
      </c>
      <c r="C1758" s="3">
        <v>25</v>
      </c>
      <c r="D1758" s="3" t="s">
        <v>1047</v>
      </c>
      <c r="E1758" s="3" t="s">
        <v>541</v>
      </c>
    </row>
    <row r="1759" spans="1:5" s="3" customFormat="1" x14ac:dyDescent="0.3">
      <c r="A1759" s="3" t="s">
        <v>26</v>
      </c>
      <c r="B1759" s="3" t="s">
        <v>198</v>
      </c>
      <c r="C1759" s="3">
        <v>5</v>
      </c>
      <c r="D1759" s="3" t="s">
        <v>192</v>
      </c>
      <c r="E1759" s="3" t="s">
        <v>103</v>
      </c>
    </row>
    <row r="1760" spans="1:5" x14ac:dyDescent="0.3">
      <c r="A1760" t="s">
        <v>26</v>
      </c>
      <c r="B1760" t="s">
        <v>199</v>
      </c>
      <c r="C1760">
        <v>38</v>
      </c>
      <c r="D1760" t="s">
        <v>1037</v>
      </c>
      <c r="E1760" t="s">
        <v>1038</v>
      </c>
    </row>
    <row r="1761" spans="1:5" s="3" customFormat="1" x14ac:dyDescent="0.3">
      <c r="A1761" s="3" t="s">
        <v>29</v>
      </c>
      <c r="B1761" s="3" t="s">
        <v>198</v>
      </c>
      <c r="C1761" s="3">
        <v>29</v>
      </c>
      <c r="D1761" s="3" t="s">
        <v>1048</v>
      </c>
      <c r="E1761" s="3" t="s">
        <v>498</v>
      </c>
    </row>
    <row r="1762" spans="1:5" x14ac:dyDescent="0.3">
      <c r="A1762" t="s">
        <v>29</v>
      </c>
      <c r="B1762" t="s">
        <v>199</v>
      </c>
      <c r="C1762">
        <v>37</v>
      </c>
      <c r="D1762" t="s">
        <v>431</v>
      </c>
      <c r="E1762" t="s">
        <v>1049</v>
      </c>
    </row>
    <row r="1763" spans="1:5" s="3" customFormat="1" x14ac:dyDescent="0.3">
      <c r="A1763" s="3" t="s">
        <v>28</v>
      </c>
      <c r="B1763" s="3" t="s">
        <v>198</v>
      </c>
      <c r="C1763" s="3">
        <v>7</v>
      </c>
      <c r="D1763" s="3" t="s">
        <v>827</v>
      </c>
      <c r="E1763" s="3" t="s">
        <v>262</v>
      </c>
    </row>
    <row r="1764" spans="1:5" s="3" customFormat="1" x14ac:dyDescent="0.3">
      <c r="A1764" s="3" t="s">
        <v>28</v>
      </c>
      <c r="B1764" s="3" t="s">
        <v>199</v>
      </c>
      <c r="C1764" s="3">
        <v>19</v>
      </c>
      <c r="D1764" s="3" t="s">
        <v>944</v>
      </c>
      <c r="E1764" s="3" t="s">
        <v>920</v>
      </c>
    </row>
    <row r="1765" spans="1:5" s="3" customFormat="1" x14ac:dyDescent="0.3">
      <c r="A1765" s="3" t="s">
        <v>27</v>
      </c>
      <c r="B1765" s="3" t="s">
        <v>198</v>
      </c>
      <c r="C1765" s="3">
        <v>7</v>
      </c>
      <c r="D1765" s="3" t="s">
        <v>276</v>
      </c>
      <c r="E1765" s="3" t="s">
        <v>682</v>
      </c>
    </row>
    <row r="1766" spans="1:5" s="3" customFormat="1" x14ac:dyDescent="0.3">
      <c r="A1766" s="3" t="s">
        <v>27</v>
      </c>
      <c r="B1766" s="3" t="s">
        <v>199</v>
      </c>
      <c r="C1766" s="3">
        <v>9</v>
      </c>
      <c r="D1766" s="3" t="s">
        <v>357</v>
      </c>
      <c r="E1766" s="3" t="s">
        <v>726</v>
      </c>
    </row>
    <row r="1767" spans="1:5" x14ac:dyDescent="0.3">
      <c r="A1767" t="s">
        <v>41</v>
      </c>
      <c r="B1767" t="s">
        <v>198</v>
      </c>
      <c r="C1767">
        <v>53</v>
      </c>
      <c r="D1767" t="s">
        <v>831</v>
      </c>
      <c r="E1767" t="s">
        <v>1050</v>
      </c>
    </row>
    <row r="1768" spans="1:5" x14ac:dyDescent="0.3">
      <c r="A1768" t="s">
        <v>41</v>
      </c>
      <c r="B1768" t="s">
        <v>199</v>
      </c>
      <c r="C1768">
        <v>128</v>
      </c>
      <c r="D1768" t="s">
        <v>419</v>
      </c>
      <c r="E1768" t="s">
        <v>367</v>
      </c>
    </row>
    <row r="1770" spans="1:5" x14ac:dyDescent="0.3">
      <c r="A1770" t="s">
        <v>1051</v>
      </c>
    </row>
    <row r="1771" spans="1:5" x14ac:dyDescent="0.3">
      <c r="A1771" t="s">
        <v>36</v>
      </c>
      <c r="B1771" t="s">
        <v>310</v>
      </c>
      <c r="C1771" t="s">
        <v>24</v>
      </c>
      <c r="D1771" t="s">
        <v>58</v>
      </c>
      <c r="E1771" t="s">
        <v>59</v>
      </c>
    </row>
    <row r="1772" spans="1:5" s="3" customFormat="1" x14ac:dyDescent="0.3">
      <c r="A1772" s="3" t="s">
        <v>25</v>
      </c>
      <c r="B1772" s="3" t="s">
        <v>311</v>
      </c>
      <c r="C1772" s="3">
        <v>27</v>
      </c>
      <c r="D1772" s="3" t="s">
        <v>784</v>
      </c>
      <c r="E1772" s="3" t="s">
        <v>699</v>
      </c>
    </row>
    <row r="1773" spans="1:5" s="3" customFormat="1" x14ac:dyDescent="0.3">
      <c r="A1773" s="3" t="s">
        <v>25</v>
      </c>
      <c r="B1773" s="3" t="s">
        <v>312</v>
      </c>
      <c r="C1773" s="3">
        <v>1</v>
      </c>
      <c r="D1773" s="3" t="s">
        <v>192</v>
      </c>
      <c r="E1773" s="3" t="s">
        <v>103</v>
      </c>
    </row>
    <row r="1774" spans="1:5" x14ac:dyDescent="0.3">
      <c r="A1774" t="s">
        <v>25</v>
      </c>
      <c r="B1774" t="s">
        <v>308</v>
      </c>
      <c r="C1774">
        <v>2</v>
      </c>
      <c r="D1774" t="s">
        <v>397</v>
      </c>
      <c r="E1774" t="s">
        <v>398</v>
      </c>
    </row>
    <row r="1775" spans="1:5" x14ac:dyDescent="0.3">
      <c r="A1775" t="s">
        <v>26</v>
      </c>
      <c r="B1775" t="s">
        <v>311</v>
      </c>
      <c r="C1775">
        <v>34</v>
      </c>
      <c r="D1775" t="s">
        <v>381</v>
      </c>
      <c r="E1775" t="s">
        <v>382</v>
      </c>
    </row>
    <row r="1776" spans="1:5" s="3" customFormat="1" x14ac:dyDescent="0.3">
      <c r="A1776" s="3" t="s">
        <v>26</v>
      </c>
      <c r="B1776" s="3" t="s">
        <v>312</v>
      </c>
      <c r="C1776" s="3">
        <v>7</v>
      </c>
      <c r="D1776" s="3" t="s">
        <v>192</v>
      </c>
      <c r="E1776" s="3" t="s">
        <v>103</v>
      </c>
    </row>
    <row r="1777" spans="1:5" x14ac:dyDescent="0.3">
      <c r="A1777" t="s">
        <v>26</v>
      </c>
      <c r="B1777" t="s">
        <v>308</v>
      </c>
      <c r="C1777">
        <v>2</v>
      </c>
      <c r="D1777" t="s">
        <v>1052</v>
      </c>
      <c r="E1777" t="s">
        <v>1023</v>
      </c>
    </row>
    <row r="1778" spans="1:5" x14ac:dyDescent="0.3">
      <c r="A1778" t="s">
        <v>29</v>
      </c>
      <c r="B1778" t="s">
        <v>311</v>
      </c>
      <c r="C1778">
        <v>48</v>
      </c>
      <c r="D1778" t="s">
        <v>1053</v>
      </c>
      <c r="E1778" t="s">
        <v>1054</v>
      </c>
    </row>
    <row r="1779" spans="1:5" s="3" customFormat="1" x14ac:dyDescent="0.3">
      <c r="A1779" s="3" t="s">
        <v>29</v>
      </c>
      <c r="B1779" s="3" t="s">
        <v>312</v>
      </c>
      <c r="C1779" s="3">
        <v>13</v>
      </c>
      <c r="D1779" s="3" t="s">
        <v>1055</v>
      </c>
      <c r="E1779" s="3" t="s">
        <v>231</v>
      </c>
    </row>
    <row r="1780" spans="1:5" x14ac:dyDescent="0.3">
      <c r="A1780" t="s">
        <v>29</v>
      </c>
      <c r="B1780" t="s">
        <v>308</v>
      </c>
      <c r="C1780">
        <v>5</v>
      </c>
      <c r="D1780" t="s">
        <v>192</v>
      </c>
      <c r="E1780" t="s">
        <v>103</v>
      </c>
    </row>
    <row r="1781" spans="1:5" s="3" customFormat="1" x14ac:dyDescent="0.3">
      <c r="A1781" s="3" t="s">
        <v>28</v>
      </c>
      <c r="B1781" s="3" t="s">
        <v>311</v>
      </c>
      <c r="C1781" s="3">
        <v>23</v>
      </c>
      <c r="D1781" s="3" t="s">
        <v>1056</v>
      </c>
      <c r="E1781" s="3" t="s">
        <v>256</v>
      </c>
    </row>
    <row r="1782" spans="1:5" s="3" customFormat="1" x14ac:dyDescent="0.3">
      <c r="A1782" s="3" t="s">
        <v>28</v>
      </c>
      <c r="B1782" s="3" t="s">
        <v>312</v>
      </c>
      <c r="C1782" s="3">
        <v>3</v>
      </c>
      <c r="D1782" s="3" t="s">
        <v>620</v>
      </c>
      <c r="E1782" s="3" t="s">
        <v>1057</v>
      </c>
    </row>
    <row r="1783" spans="1:5" s="3" customFormat="1" x14ac:dyDescent="0.3">
      <c r="A1783" s="3" t="s">
        <v>27</v>
      </c>
      <c r="B1783" s="3" t="s">
        <v>311</v>
      </c>
      <c r="C1783" s="3">
        <v>16</v>
      </c>
      <c r="D1783" s="3" t="s">
        <v>258</v>
      </c>
      <c r="E1783" s="3" t="s">
        <v>1041</v>
      </c>
    </row>
    <row r="1784" spans="1:5" x14ac:dyDescent="0.3">
      <c r="A1784" t="s">
        <v>41</v>
      </c>
      <c r="B1784" t="s">
        <v>311</v>
      </c>
      <c r="C1784">
        <v>148</v>
      </c>
      <c r="D1784" t="s">
        <v>1058</v>
      </c>
      <c r="E1784" t="s">
        <v>352</v>
      </c>
    </row>
    <row r="1785" spans="1:5" s="3" customFormat="1" x14ac:dyDescent="0.3">
      <c r="A1785" s="3" t="s">
        <v>41</v>
      </c>
      <c r="B1785" s="3" t="s">
        <v>312</v>
      </c>
      <c r="C1785" s="3">
        <v>24</v>
      </c>
      <c r="D1785" s="3" t="s">
        <v>1059</v>
      </c>
      <c r="E1785" s="3" t="s">
        <v>1060</v>
      </c>
    </row>
    <row r="1786" spans="1:5" x14ac:dyDescent="0.3">
      <c r="A1786" t="s">
        <v>41</v>
      </c>
      <c r="B1786" t="s">
        <v>308</v>
      </c>
      <c r="C1786">
        <v>9</v>
      </c>
      <c r="D1786" t="s">
        <v>147</v>
      </c>
      <c r="E1786" t="s">
        <v>146</v>
      </c>
    </row>
    <row r="1788" spans="1:5" x14ac:dyDescent="0.3">
      <c r="A1788" t="s">
        <v>1061</v>
      </c>
    </row>
    <row r="1789" spans="1:5" x14ac:dyDescent="0.3">
      <c r="A1789" t="s">
        <v>36</v>
      </c>
      <c r="B1789" t="s">
        <v>763</v>
      </c>
      <c r="C1789" t="s">
        <v>24</v>
      </c>
      <c r="D1789" t="s">
        <v>58</v>
      </c>
      <c r="E1789" t="s">
        <v>59</v>
      </c>
    </row>
    <row r="1790" spans="1:5" s="3" customFormat="1" x14ac:dyDescent="0.3">
      <c r="A1790" s="3" t="s">
        <v>25</v>
      </c>
      <c r="B1790" s="3" t="s">
        <v>765</v>
      </c>
      <c r="C1790" s="3">
        <v>14</v>
      </c>
      <c r="D1790" s="3" t="s">
        <v>775</v>
      </c>
      <c r="E1790" s="3" t="s">
        <v>521</v>
      </c>
    </row>
    <row r="1791" spans="1:5" s="3" customFormat="1" x14ac:dyDescent="0.3">
      <c r="A1791" s="3" t="s">
        <v>25</v>
      </c>
      <c r="B1791" s="3" t="s">
        <v>767</v>
      </c>
      <c r="C1791" s="3">
        <v>16</v>
      </c>
      <c r="D1791" s="3" t="s">
        <v>1059</v>
      </c>
      <c r="E1791" s="3" t="s">
        <v>1060</v>
      </c>
    </row>
    <row r="1792" spans="1:5" s="3" customFormat="1" x14ac:dyDescent="0.3">
      <c r="A1792" s="3" t="s">
        <v>26</v>
      </c>
      <c r="B1792" s="3" t="s">
        <v>765</v>
      </c>
      <c r="C1792" s="3">
        <v>24</v>
      </c>
      <c r="D1792" s="3" t="s">
        <v>1062</v>
      </c>
      <c r="E1792" s="3" t="s">
        <v>480</v>
      </c>
    </row>
    <row r="1793" spans="1:5" s="3" customFormat="1" x14ac:dyDescent="0.3">
      <c r="A1793" s="3" t="s">
        <v>26</v>
      </c>
      <c r="B1793" s="3" t="s">
        <v>767</v>
      </c>
      <c r="C1793" s="3">
        <v>19</v>
      </c>
      <c r="D1793" s="3" t="s">
        <v>1063</v>
      </c>
      <c r="E1793" s="3" t="s">
        <v>565</v>
      </c>
    </row>
    <row r="1794" spans="1:5" x14ac:dyDescent="0.3">
      <c r="A1794" t="s">
        <v>29</v>
      </c>
      <c r="B1794" t="s">
        <v>765</v>
      </c>
      <c r="C1794">
        <v>38</v>
      </c>
      <c r="D1794" t="s">
        <v>1064</v>
      </c>
      <c r="E1794" t="s">
        <v>627</v>
      </c>
    </row>
    <row r="1795" spans="1:5" s="3" customFormat="1" x14ac:dyDescent="0.3">
      <c r="A1795" s="3" t="s">
        <v>29</v>
      </c>
      <c r="B1795" s="3" t="s">
        <v>767</v>
      </c>
      <c r="C1795" s="3">
        <v>28</v>
      </c>
      <c r="D1795" s="3" t="s">
        <v>657</v>
      </c>
      <c r="E1795" s="3" t="s">
        <v>1065</v>
      </c>
    </row>
    <row r="1796" spans="1:5" s="3" customFormat="1" x14ac:dyDescent="0.3">
      <c r="A1796" s="3" t="s">
        <v>28</v>
      </c>
      <c r="B1796" s="3" t="s">
        <v>765</v>
      </c>
      <c r="C1796" s="3">
        <v>24</v>
      </c>
      <c r="D1796" s="3" t="s">
        <v>238</v>
      </c>
      <c r="E1796" s="3" t="s">
        <v>550</v>
      </c>
    </row>
    <row r="1797" spans="1:5" s="3" customFormat="1" x14ac:dyDescent="0.3">
      <c r="A1797" s="3" t="s">
        <v>28</v>
      </c>
      <c r="B1797" s="3" t="s">
        <v>767</v>
      </c>
      <c r="C1797" s="3">
        <v>2</v>
      </c>
      <c r="D1797" s="3" t="s">
        <v>103</v>
      </c>
      <c r="E1797" s="3" t="s">
        <v>192</v>
      </c>
    </row>
    <row r="1798" spans="1:5" s="3" customFormat="1" x14ac:dyDescent="0.3">
      <c r="A1798" s="3" t="s">
        <v>27</v>
      </c>
      <c r="B1798" s="3" t="s">
        <v>765</v>
      </c>
      <c r="C1798" s="3">
        <v>8</v>
      </c>
      <c r="D1798" s="3" t="s">
        <v>1066</v>
      </c>
      <c r="E1798" s="3" t="s">
        <v>1067</v>
      </c>
    </row>
    <row r="1799" spans="1:5" s="3" customFormat="1" x14ac:dyDescent="0.3">
      <c r="A1799" s="3" t="s">
        <v>27</v>
      </c>
      <c r="B1799" s="3" t="s">
        <v>767</v>
      </c>
      <c r="C1799" s="3">
        <v>8</v>
      </c>
      <c r="D1799" s="3" t="s">
        <v>428</v>
      </c>
      <c r="E1799" s="3" t="s">
        <v>429</v>
      </c>
    </row>
    <row r="1800" spans="1:5" x14ac:dyDescent="0.3">
      <c r="A1800" t="s">
        <v>41</v>
      </c>
      <c r="B1800" t="s">
        <v>765</v>
      </c>
      <c r="C1800">
        <v>108</v>
      </c>
      <c r="D1800" t="s">
        <v>784</v>
      </c>
      <c r="E1800" t="s">
        <v>699</v>
      </c>
    </row>
    <row r="1801" spans="1:5" x14ac:dyDescent="0.3">
      <c r="A1801" t="s">
        <v>41</v>
      </c>
      <c r="B1801" t="s">
        <v>767</v>
      </c>
      <c r="C1801">
        <v>73</v>
      </c>
      <c r="D1801" t="s">
        <v>1068</v>
      </c>
      <c r="E1801" t="s">
        <v>226</v>
      </c>
    </row>
    <row r="1803" spans="1:5" x14ac:dyDescent="0.3">
      <c r="A1803" t="s">
        <v>1069</v>
      </c>
    </row>
    <row r="1804" spans="1:5" x14ac:dyDescent="0.3">
      <c r="A1804" t="s">
        <v>36</v>
      </c>
      <c r="B1804" t="s">
        <v>210</v>
      </c>
      <c r="C1804" t="s">
        <v>24</v>
      </c>
      <c r="D1804" t="s">
        <v>58</v>
      </c>
      <c r="E1804" t="s">
        <v>59</v>
      </c>
    </row>
    <row r="1805" spans="1:5" s="3" customFormat="1" x14ac:dyDescent="0.3">
      <c r="A1805" s="3" t="s">
        <v>25</v>
      </c>
      <c r="B1805" s="3" t="s">
        <v>211</v>
      </c>
      <c r="C1805" s="3">
        <v>30</v>
      </c>
      <c r="D1805" s="3" t="s">
        <v>1037</v>
      </c>
      <c r="E1805" s="3" t="s">
        <v>1038</v>
      </c>
    </row>
    <row r="1806" spans="1:5" s="3" customFormat="1" x14ac:dyDescent="0.3">
      <c r="A1806" s="3" t="s">
        <v>26</v>
      </c>
      <c r="B1806" s="3" t="s">
        <v>211</v>
      </c>
      <c r="C1806" s="3">
        <v>7</v>
      </c>
      <c r="D1806" s="3" t="s">
        <v>696</v>
      </c>
      <c r="E1806" s="3" t="s">
        <v>770</v>
      </c>
    </row>
    <row r="1807" spans="1:5" x14ac:dyDescent="0.3">
      <c r="A1807" t="s">
        <v>26</v>
      </c>
      <c r="B1807" t="s">
        <v>212</v>
      </c>
      <c r="C1807">
        <v>36</v>
      </c>
      <c r="D1807" t="s">
        <v>811</v>
      </c>
      <c r="E1807" t="s">
        <v>504</v>
      </c>
    </row>
    <row r="1808" spans="1:5" x14ac:dyDescent="0.3">
      <c r="A1808" t="s">
        <v>29</v>
      </c>
      <c r="B1808" t="s">
        <v>211</v>
      </c>
      <c r="C1808">
        <v>66</v>
      </c>
      <c r="D1808" t="s">
        <v>1039</v>
      </c>
      <c r="E1808" t="s">
        <v>512</v>
      </c>
    </row>
    <row r="1809" spans="1:12" s="3" customFormat="1" x14ac:dyDescent="0.3">
      <c r="A1809" s="3" t="s">
        <v>28</v>
      </c>
      <c r="B1809" s="3" t="s">
        <v>211</v>
      </c>
      <c r="C1809" s="3">
        <v>26</v>
      </c>
      <c r="D1809" s="3" t="s">
        <v>1040</v>
      </c>
      <c r="E1809" s="3" t="s">
        <v>707</v>
      </c>
    </row>
    <row r="1810" spans="1:12" s="3" customFormat="1" x14ac:dyDescent="0.3">
      <c r="A1810" s="3" t="s">
        <v>27</v>
      </c>
      <c r="B1810" s="3" t="s">
        <v>211</v>
      </c>
      <c r="C1810" s="3">
        <v>13</v>
      </c>
      <c r="D1810" s="3" t="s">
        <v>364</v>
      </c>
      <c r="E1810" s="3" t="s">
        <v>1070</v>
      </c>
    </row>
    <row r="1811" spans="1:12" s="3" customFormat="1" x14ac:dyDescent="0.3">
      <c r="A1811" s="3" t="s">
        <v>27</v>
      </c>
      <c r="B1811" s="3" t="s">
        <v>212</v>
      </c>
      <c r="C1811" s="3">
        <v>3</v>
      </c>
      <c r="D1811" s="3" t="s">
        <v>56</v>
      </c>
      <c r="E1811" s="3" t="s">
        <v>55</v>
      </c>
    </row>
    <row r="1812" spans="1:12" x14ac:dyDescent="0.3">
      <c r="A1812" t="s">
        <v>41</v>
      </c>
      <c r="B1812" t="s">
        <v>211</v>
      </c>
      <c r="C1812">
        <v>142</v>
      </c>
      <c r="D1812" t="s">
        <v>1071</v>
      </c>
      <c r="E1812" t="s">
        <v>453</v>
      </c>
    </row>
    <row r="1813" spans="1:12" x14ac:dyDescent="0.3">
      <c r="A1813" t="s">
        <v>41</v>
      </c>
      <c r="B1813" t="s">
        <v>212</v>
      </c>
      <c r="C1813">
        <v>39</v>
      </c>
      <c r="D1813" t="s">
        <v>821</v>
      </c>
      <c r="E1813" t="s">
        <v>477</v>
      </c>
    </row>
    <row r="1815" spans="1:12" x14ac:dyDescent="0.3">
      <c r="A1815" t="s">
        <v>1072</v>
      </c>
    </row>
    <row r="1816" spans="1:12" x14ac:dyDescent="0.3">
      <c r="A1816" t="s">
        <v>36</v>
      </c>
      <c r="B1816" t="s">
        <v>24</v>
      </c>
      <c r="C1816" t="s">
        <v>1073</v>
      </c>
      <c r="D1816" t="s">
        <v>1074</v>
      </c>
      <c r="E1816" t="s">
        <v>1075</v>
      </c>
      <c r="F1816" t="s">
        <v>1076</v>
      </c>
      <c r="G1816" t="s">
        <v>1077</v>
      </c>
      <c r="H1816" t="s">
        <v>909</v>
      </c>
      <c r="I1816" t="s">
        <v>1078</v>
      </c>
      <c r="J1816" t="s">
        <v>1079</v>
      </c>
      <c r="K1816" t="s">
        <v>848</v>
      </c>
      <c r="L1816" t="s">
        <v>1080</v>
      </c>
    </row>
    <row r="1817" spans="1:12" s="3" customFormat="1" x14ac:dyDescent="0.3">
      <c r="A1817" s="3" t="s">
        <v>25</v>
      </c>
      <c r="B1817" s="3">
        <v>20</v>
      </c>
      <c r="C1817" s="3" t="s">
        <v>470</v>
      </c>
      <c r="D1817" s="3" t="s">
        <v>488</v>
      </c>
      <c r="E1817" s="3" t="s">
        <v>33</v>
      </c>
      <c r="F1817" s="3" t="s">
        <v>131</v>
      </c>
      <c r="G1817" s="3" t="s">
        <v>103</v>
      </c>
      <c r="H1817" s="3" t="s">
        <v>103</v>
      </c>
      <c r="I1817" s="3" t="s">
        <v>727</v>
      </c>
      <c r="J1817" s="3" t="s">
        <v>230</v>
      </c>
      <c r="K1817" s="3" t="s">
        <v>591</v>
      </c>
      <c r="L1817" s="3" t="s">
        <v>550</v>
      </c>
    </row>
    <row r="1818" spans="1:12" x14ac:dyDescent="0.3">
      <c r="A1818" t="s">
        <v>26</v>
      </c>
      <c r="B1818">
        <v>34</v>
      </c>
      <c r="C1818" t="s">
        <v>146</v>
      </c>
      <c r="D1818" t="s">
        <v>1081</v>
      </c>
      <c r="E1818" t="s">
        <v>103</v>
      </c>
      <c r="F1818" t="s">
        <v>103</v>
      </c>
      <c r="G1818" t="s">
        <v>278</v>
      </c>
      <c r="H1818" t="s">
        <v>103</v>
      </c>
      <c r="I1818" t="s">
        <v>820</v>
      </c>
      <c r="J1818" t="s">
        <v>515</v>
      </c>
      <c r="K1818" t="s">
        <v>103</v>
      </c>
      <c r="L1818" t="s">
        <v>232</v>
      </c>
    </row>
    <row r="1819" spans="1:12" x14ac:dyDescent="0.3">
      <c r="A1819" t="s">
        <v>29</v>
      </c>
      <c r="B1819">
        <v>38</v>
      </c>
      <c r="C1819" t="s">
        <v>829</v>
      </c>
      <c r="D1819" t="s">
        <v>272</v>
      </c>
      <c r="E1819" t="s">
        <v>103</v>
      </c>
      <c r="F1819" t="s">
        <v>536</v>
      </c>
      <c r="G1819" t="s">
        <v>329</v>
      </c>
      <c r="H1819" t="s">
        <v>103</v>
      </c>
      <c r="I1819" t="s">
        <v>353</v>
      </c>
      <c r="J1819" t="s">
        <v>667</v>
      </c>
      <c r="K1819" t="s">
        <v>103</v>
      </c>
      <c r="L1819" t="s">
        <v>68</v>
      </c>
    </row>
    <row r="1820" spans="1:12" s="3" customFormat="1" x14ac:dyDescent="0.3">
      <c r="A1820" s="3" t="s">
        <v>28</v>
      </c>
      <c r="B1820" s="3">
        <v>19</v>
      </c>
      <c r="C1820" s="3" t="s">
        <v>103</v>
      </c>
      <c r="D1820" s="3" t="s">
        <v>234</v>
      </c>
      <c r="E1820" s="3" t="s">
        <v>1082</v>
      </c>
      <c r="F1820" s="3" t="s">
        <v>525</v>
      </c>
      <c r="G1820" s="3" t="s">
        <v>552</v>
      </c>
      <c r="H1820" s="3" t="s">
        <v>60</v>
      </c>
      <c r="I1820" s="3" t="s">
        <v>918</v>
      </c>
      <c r="J1820" s="3" t="s">
        <v>56</v>
      </c>
      <c r="K1820" s="3" t="s">
        <v>103</v>
      </c>
      <c r="L1820" s="3" t="s">
        <v>103</v>
      </c>
    </row>
    <row r="1821" spans="1:12" s="3" customFormat="1" x14ac:dyDescent="0.3">
      <c r="A1821" s="3" t="s">
        <v>27</v>
      </c>
      <c r="B1821" s="3">
        <v>9</v>
      </c>
      <c r="C1821" s="3" t="s">
        <v>1083</v>
      </c>
      <c r="D1821" s="3" t="s">
        <v>477</v>
      </c>
      <c r="E1821" s="3" t="s">
        <v>103</v>
      </c>
      <c r="F1821" s="3" t="s">
        <v>1084</v>
      </c>
      <c r="G1821" s="3" t="s">
        <v>103</v>
      </c>
      <c r="H1821" s="3" t="s">
        <v>103</v>
      </c>
      <c r="I1821" s="3" t="s">
        <v>562</v>
      </c>
      <c r="J1821" s="3" t="s">
        <v>103</v>
      </c>
      <c r="K1821" s="3" t="s">
        <v>103</v>
      </c>
      <c r="L1821" s="3" t="s">
        <v>103</v>
      </c>
    </row>
    <row r="1822" spans="1:12" x14ac:dyDescent="0.3">
      <c r="A1822" t="s">
        <v>41</v>
      </c>
      <c r="B1822">
        <v>120</v>
      </c>
      <c r="C1822" t="s">
        <v>131</v>
      </c>
      <c r="D1822" t="s">
        <v>485</v>
      </c>
      <c r="E1822" t="s">
        <v>341</v>
      </c>
      <c r="F1822" t="s">
        <v>693</v>
      </c>
      <c r="G1822" t="s">
        <v>467</v>
      </c>
      <c r="H1822" t="s">
        <v>116</v>
      </c>
      <c r="I1822" t="s">
        <v>489</v>
      </c>
      <c r="J1822" t="s">
        <v>476</v>
      </c>
      <c r="K1822" t="s">
        <v>95</v>
      </c>
      <c r="L1822" t="s">
        <v>206</v>
      </c>
    </row>
    <row r="1824" spans="1:12" x14ac:dyDescent="0.3">
      <c r="A1824" t="s">
        <v>1085</v>
      </c>
    </row>
    <row r="1825" spans="1:13" x14ac:dyDescent="0.3">
      <c r="A1825" t="s">
        <v>36</v>
      </c>
      <c r="B1825" t="s">
        <v>714</v>
      </c>
      <c r="C1825" t="s">
        <v>24</v>
      </c>
      <c r="D1825" t="s">
        <v>1073</v>
      </c>
      <c r="E1825" t="s">
        <v>1074</v>
      </c>
      <c r="F1825" t="s">
        <v>1075</v>
      </c>
      <c r="G1825" t="s">
        <v>1076</v>
      </c>
      <c r="H1825" t="s">
        <v>1077</v>
      </c>
      <c r="I1825" t="s">
        <v>909</v>
      </c>
      <c r="J1825" t="s">
        <v>1078</v>
      </c>
      <c r="K1825" t="s">
        <v>1079</v>
      </c>
      <c r="L1825" t="s">
        <v>848</v>
      </c>
      <c r="M1825" t="s">
        <v>1080</v>
      </c>
    </row>
    <row r="1826" spans="1:13" x14ac:dyDescent="0.3">
      <c r="A1826" t="s">
        <v>25</v>
      </c>
      <c r="B1826" t="s">
        <v>308</v>
      </c>
      <c r="C1826">
        <v>20</v>
      </c>
      <c r="D1826" t="s">
        <v>470</v>
      </c>
      <c r="E1826" t="s">
        <v>488</v>
      </c>
      <c r="F1826" t="s">
        <v>33</v>
      </c>
      <c r="G1826" t="s">
        <v>131</v>
      </c>
      <c r="H1826" t="s">
        <v>103</v>
      </c>
      <c r="I1826" t="s">
        <v>103</v>
      </c>
      <c r="J1826" t="s">
        <v>727</v>
      </c>
      <c r="K1826" t="s">
        <v>230</v>
      </c>
      <c r="L1826" t="s">
        <v>591</v>
      </c>
      <c r="M1826" t="s">
        <v>550</v>
      </c>
    </row>
    <row r="1827" spans="1:13" x14ac:dyDescent="0.3">
      <c r="A1827" t="s">
        <v>26</v>
      </c>
      <c r="B1827" t="s">
        <v>308</v>
      </c>
      <c r="C1827">
        <v>34</v>
      </c>
      <c r="D1827" t="s">
        <v>146</v>
      </c>
      <c r="E1827" t="s">
        <v>1081</v>
      </c>
      <c r="F1827" t="s">
        <v>103</v>
      </c>
      <c r="G1827" t="s">
        <v>103</v>
      </c>
      <c r="H1827" t="s">
        <v>278</v>
      </c>
      <c r="I1827" t="s">
        <v>103</v>
      </c>
      <c r="J1827" t="s">
        <v>820</v>
      </c>
      <c r="K1827" t="s">
        <v>515</v>
      </c>
      <c r="L1827" t="s">
        <v>103</v>
      </c>
      <c r="M1827" t="s">
        <v>232</v>
      </c>
    </row>
    <row r="1828" spans="1:13" x14ac:dyDescent="0.3">
      <c r="A1828" t="s">
        <v>29</v>
      </c>
      <c r="B1828" t="s">
        <v>308</v>
      </c>
      <c r="C1828">
        <v>38</v>
      </c>
      <c r="D1828" t="s">
        <v>829</v>
      </c>
      <c r="E1828" t="s">
        <v>272</v>
      </c>
      <c r="F1828" t="s">
        <v>103</v>
      </c>
      <c r="G1828" t="s">
        <v>536</v>
      </c>
      <c r="H1828" t="s">
        <v>329</v>
      </c>
      <c r="I1828" t="s">
        <v>103</v>
      </c>
      <c r="J1828" t="s">
        <v>353</v>
      </c>
      <c r="K1828" t="s">
        <v>667</v>
      </c>
      <c r="L1828" t="s">
        <v>103</v>
      </c>
      <c r="M1828" t="s">
        <v>68</v>
      </c>
    </row>
    <row r="1829" spans="1:13" x14ac:dyDescent="0.3">
      <c r="A1829" t="s">
        <v>28</v>
      </c>
      <c r="B1829" t="s">
        <v>308</v>
      </c>
      <c r="C1829">
        <v>19</v>
      </c>
      <c r="D1829" t="s">
        <v>103</v>
      </c>
      <c r="E1829" t="s">
        <v>234</v>
      </c>
      <c r="F1829" t="s">
        <v>1082</v>
      </c>
      <c r="G1829" t="s">
        <v>525</v>
      </c>
      <c r="H1829" t="s">
        <v>552</v>
      </c>
      <c r="I1829" t="s">
        <v>60</v>
      </c>
      <c r="J1829" t="s">
        <v>918</v>
      </c>
      <c r="K1829" t="s">
        <v>56</v>
      </c>
      <c r="L1829" t="s">
        <v>103</v>
      </c>
      <c r="M1829" t="s">
        <v>103</v>
      </c>
    </row>
    <row r="1830" spans="1:13" x14ac:dyDescent="0.3">
      <c r="A1830" t="s">
        <v>27</v>
      </c>
      <c r="B1830" t="s">
        <v>308</v>
      </c>
      <c r="C1830">
        <v>9</v>
      </c>
      <c r="D1830" t="s">
        <v>1083</v>
      </c>
      <c r="E1830" t="s">
        <v>477</v>
      </c>
      <c r="F1830" t="s">
        <v>103</v>
      </c>
      <c r="G1830" t="s">
        <v>1084</v>
      </c>
      <c r="H1830" t="s">
        <v>103</v>
      </c>
      <c r="I1830" t="s">
        <v>103</v>
      </c>
      <c r="J1830" t="s">
        <v>562</v>
      </c>
      <c r="K1830" t="s">
        <v>103</v>
      </c>
      <c r="L1830" t="s">
        <v>103</v>
      </c>
      <c r="M1830" t="s">
        <v>103</v>
      </c>
    </row>
    <row r="1831" spans="1:13" x14ac:dyDescent="0.3">
      <c r="A1831" t="s">
        <v>41</v>
      </c>
      <c r="B1831" t="s">
        <v>308</v>
      </c>
      <c r="C1831">
        <v>120</v>
      </c>
      <c r="D1831" t="s">
        <v>131</v>
      </c>
      <c r="E1831" t="s">
        <v>485</v>
      </c>
      <c r="F1831" t="s">
        <v>341</v>
      </c>
      <c r="G1831" t="s">
        <v>693</v>
      </c>
      <c r="H1831" t="s">
        <v>467</v>
      </c>
      <c r="I1831" t="s">
        <v>116</v>
      </c>
      <c r="J1831" t="s">
        <v>489</v>
      </c>
      <c r="K1831" t="s">
        <v>476</v>
      </c>
      <c r="L1831" t="s">
        <v>95</v>
      </c>
      <c r="M1831" t="s">
        <v>206</v>
      </c>
    </row>
    <row r="1833" spans="1:13" x14ac:dyDescent="0.3">
      <c r="A1833" t="s">
        <v>1086</v>
      </c>
    </row>
    <row r="1834" spans="1:13" x14ac:dyDescent="0.3">
      <c r="A1834" t="s">
        <v>36</v>
      </c>
      <c r="B1834" t="s">
        <v>197</v>
      </c>
      <c r="C1834" t="s">
        <v>24</v>
      </c>
      <c r="D1834" t="s">
        <v>1073</v>
      </c>
      <c r="E1834" t="s">
        <v>1074</v>
      </c>
      <c r="F1834" t="s">
        <v>1075</v>
      </c>
      <c r="G1834" t="s">
        <v>1076</v>
      </c>
      <c r="H1834" t="s">
        <v>1077</v>
      </c>
      <c r="I1834" t="s">
        <v>909</v>
      </c>
      <c r="J1834" t="s">
        <v>1078</v>
      </c>
      <c r="K1834" t="s">
        <v>1079</v>
      </c>
      <c r="L1834" t="s">
        <v>848</v>
      </c>
      <c r="M1834" t="s">
        <v>1080</v>
      </c>
    </row>
    <row r="1835" spans="1:13" s="3" customFormat="1" x14ac:dyDescent="0.3">
      <c r="A1835" s="3" t="s">
        <v>25</v>
      </c>
      <c r="B1835" s="3" t="s">
        <v>198</v>
      </c>
      <c r="C1835" s="3">
        <v>3</v>
      </c>
      <c r="D1835" s="3" t="s">
        <v>103</v>
      </c>
      <c r="E1835" s="3" t="s">
        <v>1087</v>
      </c>
      <c r="F1835" s="3" t="s">
        <v>103</v>
      </c>
      <c r="G1835" s="3" t="s">
        <v>103</v>
      </c>
      <c r="H1835" s="3" t="s">
        <v>103</v>
      </c>
      <c r="I1835" s="3" t="s">
        <v>103</v>
      </c>
      <c r="J1835" s="3" t="s">
        <v>138</v>
      </c>
      <c r="K1835" s="3" t="s">
        <v>103</v>
      </c>
      <c r="L1835" s="3" t="s">
        <v>275</v>
      </c>
      <c r="M1835" s="3" t="s">
        <v>103</v>
      </c>
    </row>
    <row r="1836" spans="1:13" s="3" customFormat="1" x14ac:dyDescent="0.3">
      <c r="A1836" s="3" t="s">
        <v>25</v>
      </c>
      <c r="B1836" s="3" t="s">
        <v>199</v>
      </c>
      <c r="C1836" s="3">
        <v>17</v>
      </c>
      <c r="D1836" s="3" t="s">
        <v>658</v>
      </c>
      <c r="E1836" s="3" t="s">
        <v>95</v>
      </c>
      <c r="F1836" s="3" t="s">
        <v>140</v>
      </c>
      <c r="G1836" s="3" t="s">
        <v>50</v>
      </c>
      <c r="H1836" s="3" t="s">
        <v>103</v>
      </c>
      <c r="I1836" s="3" t="s">
        <v>103</v>
      </c>
      <c r="J1836" s="3" t="s">
        <v>173</v>
      </c>
      <c r="K1836" s="3" t="s">
        <v>421</v>
      </c>
      <c r="L1836" s="3" t="s">
        <v>103</v>
      </c>
      <c r="M1836" s="3" t="s">
        <v>478</v>
      </c>
    </row>
    <row r="1837" spans="1:13" s="3" customFormat="1" x14ac:dyDescent="0.3">
      <c r="A1837" s="3" t="s">
        <v>26</v>
      </c>
      <c r="B1837" s="3" t="s">
        <v>198</v>
      </c>
      <c r="C1837" s="3">
        <v>5</v>
      </c>
      <c r="D1837" s="3" t="s">
        <v>1088</v>
      </c>
      <c r="E1837" s="3" t="s">
        <v>704</v>
      </c>
      <c r="F1837" s="3" t="s">
        <v>103</v>
      </c>
      <c r="G1837" s="3" t="s">
        <v>103</v>
      </c>
      <c r="H1837" s="3" t="s">
        <v>103</v>
      </c>
      <c r="I1837" s="3" t="s">
        <v>103</v>
      </c>
      <c r="J1837" s="3" t="s">
        <v>103</v>
      </c>
      <c r="K1837" s="3" t="s">
        <v>103</v>
      </c>
      <c r="L1837" s="3" t="s">
        <v>103</v>
      </c>
      <c r="M1837" s="3" t="s">
        <v>103</v>
      </c>
    </row>
    <row r="1838" spans="1:13" s="3" customFormat="1" x14ac:dyDescent="0.3">
      <c r="A1838" s="3" t="s">
        <v>26</v>
      </c>
      <c r="B1838" s="3" t="s">
        <v>199</v>
      </c>
      <c r="C1838" s="3">
        <v>29</v>
      </c>
      <c r="D1838" s="3" t="s">
        <v>575</v>
      </c>
      <c r="E1838" s="3" t="s">
        <v>453</v>
      </c>
      <c r="F1838" s="3" t="s">
        <v>103</v>
      </c>
      <c r="G1838" s="3" t="s">
        <v>103</v>
      </c>
      <c r="H1838" s="3" t="s">
        <v>558</v>
      </c>
      <c r="I1838" s="3" t="s">
        <v>103</v>
      </c>
      <c r="J1838" s="3" t="s">
        <v>52</v>
      </c>
      <c r="K1838" s="3" t="s">
        <v>473</v>
      </c>
      <c r="L1838" s="3" t="s">
        <v>103</v>
      </c>
      <c r="M1838" s="3" t="s">
        <v>251</v>
      </c>
    </row>
    <row r="1839" spans="1:13" s="3" customFormat="1" x14ac:dyDescent="0.3">
      <c r="A1839" s="3" t="s">
        <v>29</v>
      </c>
      <c r="B1839" s="3" t="s">
        <v>198</v>
      </c>
      <c r="C1839" s="3">
        <v>17</v>
      </c>
      <c r="D1839" s="3" t="s">
        <v>273</v>
      </c>
      <c r="E1839" s="3" t="s">
        <v>127</v>
      </c>
      <c r="F1839" s="3" t="s">
        <v>103</v>
      </c>
      <c r="G1839" s="3" t="s">
        <v>652</v>
      </c>
      <c r="H1839" s="3" t="s">
        <v>284</v>
      </c>
      <c r="I1839" s="3" t="s">
        <v>103</v>
      </c>
      <c r="J1839" s="3" t="s">
        <v>415</v>
      </c>
      <c r="K1839" s="3" t="s">
        <v>516</v>
      </c>
      <c r="L1839" s="3" t="s">
        <v>103</v>
      </c>
      <c r="M1839" s="3" t="s">
        <v>103</v>
      </c>
    </row>
    <row r="1840" spans="1:13" s="3" customFormat="1" x14ac:dyDescent="0.3">
      <c r="A1840" s="3" t="s">
        <v>29</v>
      </c>
      <c r="B1840" s="3" t="s">
        <v>199</v>
      </c>
      <c r="C1840" s="3">
        <v>21</v>
      </c>
      <c r="D1840" s="3" t="s">
        <v>474</v>
      </c>
      <c r="E1840" s="3" t="s">
        <v>103</v>
      </c>
      <c r="F1840" s="3" t="s">
        <v>103</v>
      </c>
      <c r="G1840" s="3" t="s">
        <v>164</v>
      </c>
      <c r="H1840" s="3" t="s">
        <v>103</v>
      </c>
      <c r="I1840" s="3" t="s">
        <v>103</v>
      </c>
      <c r="J1840" s="3" t="s">
        <v>659</v>
      </c>
      <c r="K1840" s="3" t="s">
        <v>234</v>
      </c>
      <c r="L1840" s="3" t="s">
        <v>103</v>
      </c>
      <c r="M1840" s="3" t="s">
        <v>70</v>
      </c>
    </row>
    <row r="1841" spans="1:13" s="3" customFormat="1" x14ac:dyDescent="0.3">
      <c r="A1841" s="3" t="s">
        <v>28</v>
      </c>
      <c r="B1841" s="3" t="s">
        <v>198</v>
      </c>
      <c r="C1841" s="3">
        <v>6</v>
      </c>
      <c r="D1841" s="3" t="s">
        <v>103</v>
      </c>
      <c r="E1841" s="3" t="s">
        <v>103</v>
      </c>
      <c r="F1841" s="3" t="s">
        <v>485</v>
      </c>
      <c r="G1841" s="3" t="s">
        <v>103</v>
      </c>
      <c r="H1841" s="3" t="s">
        <v>1089</v>
      </c>
      <c r="I1841" s="3" t="s">
        <v>103</v>
      </c>
      <c r="J1841" s="3" t="s">
        <v>103</v>
      </c>
      <c r="K1841" s="3" t="s">
        <v>1090</v>
      </c>
      <c r="L1841" s="3" t="s">
        <v>103</v>
      </c>
      <c r="M1841" s="3" t="s">
        <v>103</v>
      </c>
    </row>
    <row r="1842" spans="1:13" s="3" customFormat="1" x14ac:dyDescent="0.3">
      <c r="A1842" s="3" t="s">
        <v>28</v>
      </c>
      <c r="B1842" s="3" t="s">
        <v>199</v>
      </c>
      <c r="C1842" s="3">
        <v>13</v>
      </c>
      <c r="D1842" s="3" t="s">
        <v>103</v>
      </c>
      <c r="E1842" s="3" t="s">
        <v>399</v>
      </c>
      <c r="F1842" s="3" t="s">
        <v>583</v>
      </c>
      <c r="G1842" s="3" t="s">
        <v>545</v>
      </c>
      <c r="H1842" s="3" t="s">
        <v>103</v>
      </c>
      <c r="I1842" s="3" t="s">
        <v>157</v>
      </c>
      <c r="J1842" s="3" t="s">
        <v>30</v>
      </c>
      <c r="K1842" s="3" t="s">
        <v>144</v>
      </c>
      <c r="L1842" s="3" t="s">
        <v>103</v>
      </c>
      <c r="M1842" s="3" t="s">
        <v>103</v>
      </c>
    </row>
    <row r="1843" spans="1:13" s="3" customFormat="1" x14ac:dyDescent="0.3">
      <c r="A1843" s="3" t="s">
        <v>27</v>
      </c>
      <c r="B1843" s="3" t="s">
        <v>198</v>
      </c>
      <c r="C1843" s="3">
        <v>6</v>
      </c>
      <c r="D1843" s="3" t="s">
        <v>647</v>
      </c>
      <c r="E1843" s="3" t="s">
        <v>492</v>
      </c>
      <c r="F1843" s="3" t="s">
        <v>103</v>
      </c>
      <c r="G1843" s="3" t="s">
        <v>560</v>
      </c>
      <c r="H1843" s="3" t="s">
        <v>103</v>
      </c>
      <c r="I1843" s="3" t="s">
        <v>103</v>
      </c>
      <c r="J1843" s="3" t="s">
        <v>578</v>
      </c>
      <c r="K1843" s="3" t="s">
        <v>103</v>
      </c>
      <c r="L1843" s="3" t="s">
        <v>103</v>
      </c>
      <c r="M1843" s="3" t="s">
        <v>103</v>
      </c>
    </row>
    <row r="1844" spans="1:13" s="3" customFormat="1" x14ac:dyDescent="0.3">
      <c r="A1844" s="3" t="s">
        <v>27</v>
      </c>
      <c r="B1844" s="3" t="s">
        <v>199</v>
      </c>
      <c r="C1844" s="3">
        <v>3</v>
      </c>
      <c r="D1844" s="3" t="s">
        <v>103</v>
      </c>
      <c r="E1844" s="3" t="s">
        <v>103</v>
      </c>
      <c r="F1844" s="3" t="s">
        <v>103</v>
      </c>
      <c r="G1844" s="3" t="s">
        <v>103</v>
      </c>
      <c r="H1844" s="3" t="s">
        <v>103</v>
      </c>
      <c r="I1844" s="3" t="s">
        <v>103</v>
      </c>
      <c r="J1844" s="3" t="s">
        <v>192</v>
      </c>
      <c r="K1844" s="3" t="s">
        <v>103</v>
      </c>
      <c r="L1844" s="3" t="s">
        <v>103</v>
      </c>
      <c r="M1844" s="3" t="s">
        <v>103</v>
      </c>
    </row>
    <row r="1845" spans="1:13" x14ac:dyDescent="0.3">
      <c r="A1845" t="s">
        <v>41</v>
      </c>
      <c r="B1845" t="s">
        <v>198</v>
      </c>
      <c r="C1845">
        <v>37</v>
      </c>
      <c r="D1845" t="s">
        <v>173</v>
      </c>
      <c r="E1845" t="s">
        <v>568</v>
      </c>
      <c r="F1845" t="s">
        <v>98</v>
      </c>
      <c r="G1845" t="s">
        <v>737</v>
      </c>
      <c r="H1845" t="s">
        <v>452</v>
      </c>
      <c r="I1845" t="s">
        <v>103</v>
      </c>
      <c r="J1845" t="s">
        <v>1091</v>
      </c>
      <c r="K1845" t="s">
        <v>517</v>
      </c>
      <c r="L1845" t="s">
        <v>93</v>
      </c>
      <c r="M1845" t="s">
        <v>103</v>
      </c>
    </row>
    <row r="1846" spans="1:13" x14ac:dyDescent="0.3">
      <c r="A1846" t="s">
        <v>41</v>
      </c>
      <c r="B1846" t="s">
        <v>199</v>
      </c>
      <c r="C1846">
        <v>83</v>
      </c>
      <c r="D1846" t="s">
        <v>92</v>
      </c>
      <c r="E1846" t="s">
        <v>734</v>
      </c>
      <c r="F1846" t="s">
        <v>128</v>
      </c>
      <c r="G1846" t="s">
        <v>459</v>
      </c>
      <c r="H1846" t="s">
        <v>329</v>
      </c>
      <c r="I1846" t="s">
        <v>122</v>
      </c>
      <c r="J1846" t="s">
        <v>435</v>
      </c>
      <c r="K1846" t="s">
        <v>398</v>
      </c>
      <c r="L1846" t="s">
        <v>103</v>
      </c>
      <c r="M1846" t="s">
        <v>571</v>
      </c>
    </row>
    <row r="1848" spans="1:13" x14ac:dyDescent="0.3">
      <c r="A1848" t="s">
        <v>1092</v>
      </c>
    </row>
    <row r="1849" spans="1:13" x14ac:dyDescent="0.3">
      <c r="A1849" t="s">
        <v>36</v>
      </c>
      <c r="B1849" t="s">
        <v>310</v>
      </c>
      <c r="C1849" t="s">
        <v>24</v>
      </c>
      <c r="D1849" t="s">
        <v>1073</v>
      </c>
      <c r="E1849" t="s">
        <v>1074</v>
      </c>
      <c r="F1849" t="s">
        <v>1075</v>
      </c>
      <c r="G1849" t="s">
        <v>1076</v>
      </c>
      <c r="H1849" t="s">
        <v>1077</v>
      </c>
      <c r="I1849" t="s">
        <v>909</v>
      </c>
      <c r="J1849" t="s">
        <v>1078</v>
      </c>
      <c r="K1849" t="s">
        <v>1079</v>
      </c>
      <c r="L1849" t="s">
        <v>848</v>
      </c>
      <c r="M1849" t="s">
        <v>1080</v>
      </c>
    </row>
    <row r="1850" spans="1:13" s="3" customFormat="1" x14ac:dyDescent="0.3">
      <c r="A1850" s="3" t="s">
        <v>25</v>
      </c>
      <c r="B1850" s="3" t="s">
        <v>311</v>
      </c>
      <c r="C1850" s="3">
        <v>18</v>
      </c>
      <c r="D1850" s="3" t="s">
        <v>580</v>
      </c>
      <c r="E1850" s="3" t="s">
        <v>120</v>
      </c>
      <c r="F1850" s="3" t="s">
        <v>452</v>
      </c>
      <c r="G1850" s="3" t="s">
        <v>473</v>
      </c>
      <c r="H1850" s="3" t="s">
        <v>103</v>
      </c>
      <c r="I1850" s="3" t="s">
        <v>103</v>
      </c>
      <c r="J1850" s="3" t="s">
        <v>551</v>
      </c>
      <c r="K1850" s="3" t="s">
        <v>458</v>
      </c>
      <c r="L1850" s="3" t="s">
        <v>33</v>
      </c>
      <c r="M1850" s="3" t="s">
        <v>479</v>
      </c>
    </row>
    <row r="1851" spans="1:13" s="3" customFormat="1" x14ac:dyDescent="0.3">
      <c r="A1851" s="3" t="s">
        <v>25</v>
      </c>
      <c r="B1851" s="3" t="s">
        <v>312</v>
      </c>
      <c r="C1851" s="3">
        <v>1</v>
      </c>
      <c r="D1851" s="3" t="s">
        <v>103</v>
      </c>
      <c r="E1851" s="3" t="s">
        <v>103</v>
      </c>
      <c r="F1851" s="3" t="s">
        <v>103</v>
      </c>
      <c r="G1851" s="3" t="s">
        <v>103</v>
      </c>
      <c r="H1851" s="3" t="s">
        <v>103</v>
      </c>
      <c r="I1851" s="3" t="s">
        <v>103</v>
      </c>
      <c r="J1851" s="3" t="s">
        <v>192</v>
      </c>
      <c r="K1851" s="3" t="s">
        <v>103</v>
      </c>
      <c r="L1851" s="3" t="s">
        <v>103</v>
      </c>
      <c r="M1851" s="3" t="s">
        <v>103</v>
      </c>
    </row>
    <row r="1852" spans="1:13" x14ac:dyDescent="0.3">
      <c r="A1852" t="s">
        <v>25</v>
      </c>
      <c r="B1852" t="s">
        <v>308</v>
      </c>
      <c r="C1852">
        <v>1</v>
      </c>
      <c r="D1852" t="s">
        <v>103</v>
      </c>
      <c r="E1852" t="s">
        <v>192</v>
      </c>
      <c r="F1852" t="s">
        <v>103</v>
      </c>
      <c r="G1852" t="s">
        <v>103</v>
      </c>
      <c r="H1852" t="s">
        <v>103</v>
      </c>
      <c r="I1852" t="s">
        <v>103</v>
      </c>
      <c r="J1852" t="s">
        <v>103</v>
      </c>
      <c r="K1852" t="s">
        <v>103</v>
      </c>
      <c r="L1852" t="s">
        <v>103</v>
      </c>
      <c r="M1852" t="s">
        <v>103</v>
      </c>
    </row>
    <row r="1853" spans="1:13" s="3" customFormat="1" x14ac:dyDescent="0.3">
      <c r="A1853" s="3" t="s">
        <v>26</v>
      </c>
      <c r="B1853" s="3" t="s">
        <v>311</v>
      </c>
      <c r="C1853" s="3">
        <v>26</v>
      </c>
      <c r="D1853" s="3" t="s">
        <v>144</v>
      </c>
      <c r="E1853" s="3" t="s">
        <v>993</v>
      </c>
      <c r="F1853" s="3" t="s">
        <v>103</v>
      </c>
      <c r="G1853" s="3" t="s">
        <v>103</v>
      </c>
      <c r="H1853" s="3" t="s">
        <v>466</v>
      </c>
      <c r="I1853" s="3" t="s">
        <v>103</v>
      </c>
      <c r="J1853" s="3" t="s">
        <v>54</v>
      </c>
      <c r="K1853" s="3" t="s">
        <v>551</v>
      </c>
      <c r="L1853" s="3" t="s">
        <v>103</v>
      </c>
      <c r="M1853" s="3" t="s">
        <v>195</v>
      </c>
    </row>
    <row r="1854" spans="1:13" s="3" customFormat="1" x14ac:dyDescent="0.3">
      <c r="A1854" s="3" t="s">
        <v>26</v>
      </c>
      <c r="B1854" s="3" t="s">
        <v>312</v>
      </c>
      <c r="C1854" s="3">
        <v>7</v>
      </c>
      <c r="D1854" s="3" t="s">
        <v>103</v>
      </c>
      <c r="E1854" s="3" t="s">
        <v>232</v>
      </c>
      <c r="F1854" s="3" t="s">
        <v>103</v>
      </c>
      <c r="G1854" s="3" t="s">
        <v>103</v>
      </c>
      <c r="H1854" s="3" t="s">
        <v>103</v>
      </c>
      <c r="I1854" s="3" t="s">
        <v>103</v>
      </c>
      <c r="J1854" s="3" t="s">
        <v>758</v>
      </c>
      <c r="K1854" s="3" t="s">
        <v>536</v>
      </c>
      <c r="L1854" s="3" t="s">
        <v>103</v>
      </c>
      <c r="M1854" s="3" t="s">
        <v>103</v>
      </c>
    </row>
    <row r="1855" spans="1:13" x14ac:dyDescent="0.3">
      <c r="A1855" t="s">
        <v>26</v>
      </c>
      <c r="B1855" t="s">
        <v>308</v>
      </c>
      <c r="C1855">
        <v>1</v>
      </c>
      <c r="D1855" t="s">
        <v>103</v>
      </c>
      <c r="E1855" t="s">
        <v>103</v>
      </c>
      <c r="F1855" t="s">
        <v>103</v>
      </c>
      <c r="G1855" t="s">
        <v>103</v>
      </c>
      <c r="H1855" t="s">
        <v>103</v>
      </c>
      <c r="I1855" t="s">
        <v>103</v>
      </c>
      <c r="J1855" t="s">
        <v>103</v>
      </c>
      <c r="K1855" t="s">
        <v>103</v>
      </c>
      <c r="L1855" t="s">
        <v>103</v>
      </c>
      <c r="M1855" t="s">
        <v>192</v>
      </c>
    </row>
    <row r="1856" spans="1:13" s="3" customFormat="1" x14ac:dyDescent="0.3">
      <c r="A1856" s="3" t="s">
        <v>29</v>
      </c>
      <c r="B1856" s="3" t="s">
        <v>311</v>
      </c>
      <c r="C1856" s="3">
        <v>28</v>
      </c>
      <c r="D1856" s="3" t="s">
        <v>756</v>
      </c>
      <c r="E1856" s="3" t="s">
        <v>113</v>
      </c>
      <c r="F1856" s="3" t="s">
        <v>103</v>
      </c>
      <c r="G1856" s="3" t="s">
        <v>515</v>
      </c>
      <c r="H1856" s="3" t="s">
        <v>64</v>
      </c>
      <c r="I1856" s="3" t="s">
        <v>103</v>
      </c>
      <c r="J1856" s="3" t="s">
        <v>729</v>
      </c>
      <c r="K1856" s="3" t="s">
        <v>539</v>
      </c>
      <c r="L1856" s="3" t="s">
        <v>103</v>
      </c>
      <c r="M1856" s="3" t="s">
        <v>103</v>
      </c>
    </row>
    <row r="1857" spans="1:13" s="3" customFormat="1" x14ac:dyDescent="0.3">
      <c r="A1857" s="3" t="s">
        <v>29</v>
      </c>
      <c r="B1857" s="3" t="s">
        <v>312</v>
      </c>
      <c r="C1857" s="3">
        <v>5</v>
      </c>
      <c r="D1857" s="3" t="s">
        <v>103</v>
      </c>
      <c r="E1857" s="3" t="s">
        <v>103</v>
      </c>
      <c r="F1857" s="3" t="s">
        <v>103</v>
      </c>
      <c r="G1857" s="3" t="s">
        <v>103</v>
      </c>
      <c r="H1857" s="3" t="s">
        <v>103</v>
      </c>
      <c r="I1857" s="3" t="s">
        <v>103</v>
      </c>
      <c r="J1857" s="3" t="s">
        <v>621</v>
      </c>
      <c r="K1857" s="3" t="s">
        <v>578</v>
      </c>
      <c r="L1857" s="3" t="s">
        <v>103</v>
      </c>
      <c r="M1857" s="3" t="s">
        <v>975</v>
      </c>
    </row>
    <row r="1858" spans="1:13" x14ac:dyDescent="0.3">
      <c r="A1858" t="s">
        <v>29</v>
      </c>
      <c r="B1858" t="s">
        <v>308</v>
      </c>
      <c r="C1858">
        <v>5</v>
      </c>
      <c r="D1858" t="s">
        <v>813</v>
      </c>
      <c r="E1858" t="s">
        <v>103</v>
      </c>
      <c r="F1858" t="s">
        <v>103</v>
      </c>
      <c r="G1858" t="s">
        <v>103</v>
      </c>
      <c r="H1858" t="s">
        <v>103</v>
      </c>
      <c r="I1858" t="s">
        <v>103</v>
      </c>
      <c r="J1858" t="s">
        <v>1019</v>
      </c>
      <c r="K1858" t="s">
        <v>813</v>
      </c>
      <c r="L1858" t="s">
        <v>103</v>
      </c>
      <c r="M1858" t="s">
        <v>103</v>
      </c>
    </row>
    <row r="1859" spans="1:13" s="3" customFormat="1" x14ac:dyDescent="0.3">
      <c r="A1859" s="3" t="s">
        <v>28</v>
      </c>
      <c r="B1859" s="3" t="s">
        <v>311</v>
      </c>
      <c r="C1859" s="3">
        <v>17</v>
      </c>
      <c r="D1859" s="3" t="s">
        <v>103</v>
      </c>
      <c r="E1859" s="3" t="s">
        <v>568</v>
      </c>
      <c r="F1859" s="3" t="s">
        <v>1093</v>
      </c>
      <c r="G1859" s="3" t="s">
        <v>568</v>
      </c>
      <c r="H1859" s="3" t="s">
        <v>900</v>
      </c>
      <c r="I1859" s="3" t="s">
        <v>126</v>
      </c>
      <c r="J1859" s="3" t="s">
        <v>150</v>
      </c>
      <c r="K1859" s="3" t="s">
        <v>506</v>
      </c>
      <c r="L1859" s="3" t="s">
        <v>103</v>
      </c>
      <c r="M1859" s="3" t="s">
        <v>103</v>
      </c>
    </row>
    <row r="1860" spans="1:13" s="3" customFormat="1" x14ac:dyDescent="0.3">
      <c r="A1860" s="3" t="s">
        <v>28</v>
      </c>
      <c r="B1860" s="3" t="s">
        <v>312</v>
      </c>
      <c r="C1860" s="3">
        <v>2</v>
      </c>
      <c r="D1860" s="3" t="s">
        <v>103</v>
      </c>
      <c r="E1860" s="3" t="s">
        <v>192</v>
      </c>
      <c r="F1860" s="3" t="s">
        <v>103</v>
      </c>
      <c r="G1860" s="3" t="s">
        <v>496</v>
      </c>
      <c r="H1860" s="3" t="s">
        <v>103</v>
      </c>
      <c r="I1860" s="3" t="s">
        <v>103</v>
      </c>
      <c r="J1860" s="3" t="s">
        <v>103</v>
      </c>
      <c r="K1860" s="3" t="s">
        <v>103</v>
      </c>
      <c r="L1860" s="3" t="s">
        <v>103</v>
      </c>
      <c r="M1860" s="3" t="s">
        <v>103</v>
      </c>
    </row>
    <row r="1861" spans="1:13" s="3" customFormat="1" x14ac:dyDescent="0.3">
      <c r="A1861" s="3" t="s">
        <v>27</v>
      </c>
      <c r="B1861" s="3" t="s">
        <v>311</v>
      </c>
      <c r="C1861" s="3">
        <v>9</v>
      </c>
      <c r="D1861" s="3" t="s">
        <v>1083</v>
      </c>
      <c r="E1861" s="3" t="s">
        <v>477</v>
      </c>
      <c r="F1861" s="3" t="s">
        <v>103</v>
      </c>
      <c r="G1861" s="3" t="s">
        <v>1084</v>
      </c>
      <c r="H1861" s="3" t="s">
        <v>103</v>
      </c>
      <c r="I1861" s="3" t="s">
        <v>103</v>
      </c>
      <c r="J1861" s="3" t="s">
        <v>562</v>
      </c>
      <c r="K1861" s="3" t="s">
        <v>103</v>
      </c>
      <c r="L1861" s="3" t="s">
        <v>103</v>
      </c>
      <c r="M1861" s="3" t="s">
        <v>103</v>
      </c>
    </row>
    <row r="1862" spans="1:13" x14ac:dyDescent="0.3">
      <c r="A1862" t="s">
        <v>41</v>
      </c>
      <c r="B1862" t="s">
        <v>311</v>
      </c>
      <c r="C1862">
        <v>98</v>
      </c>
      <c r="D1862" t="s">
        <v>578</v>
      </c>
      <c r="E1862" t="s">
        <v>56</v>
      </c>
      <c r="F1862" t="s">
        <v>118</v>
      </c>
      <c r="G1862" t="s">
        <v>536</v>
      </c>
      <c r="H1862" t="s">
        <v>107</v>
      </c>
      <c r="I1862" t="s">
        <v>122</v>
      </c>
      <c r="J1862" t="s">
        <v>259</v>
      </c>
      <c r="K1862" t="s">
        <v>1023</v>
      </c>
      <c r="L1862" t="s">
        <v>139</v>
      </c>
      <c r="M1862" t="s">
        <v>113</v>
      </c>
    </row>
    <row r="1863" spans="1:13" s="3" customFormat="1" x14ac:dyDescent="0.3">
      <c r="A1863" s="3" t="s">
        <v>41</v>
      </c>
      <c r="B1863" s="3" t="s">
        <v>312</v>
      </c>
      <c r="C1863" s="3">
        <v>15</v>
      </c>
      <c r="D1863" s="3" t="s">
        <v>103</v>
      </c>
      <c r="E1863" s="3" t="s">
        <v>281</v>
      </c>
      <c r="F1863" s="3" t="s">
        <v>103</v>
      </c>
      <c r="G1863" s="3" t="s">
        <v>110</v>
      </c>
      <c r="H1863" s="3" t="s">
        <v>103</v>
      </c>
      <c r="I1863" s="3" t="s">
        <v>103</v>
      </c>
      <c r="J1863" s="3" t="s">
        <v>1094</v>
      </c>
      <c r="K1863" s="3" t="s">
        <v>175</v>
      </c>
      <c r="L1863" s="3" t="s">
        <v>103</v>
      </c>
      <c r="M1863" s="3" t="s">
        <v>813</v>
      </c>
    </row>
    <row r="1864" spans="1:13" x14ac:dyDescent="0.3">
      <c r="A1864" t="s">
        <v>41</v>
      </c>
      <c r="B1864" t="s">
        <v>308</v>
      </c>
      <c r="C1864">
        <v>7</v>
      </c>
      <c r="D1864" t="s">
        <v>224</v>
      </c>
      <c r="E1864" t="s">
        <v>820</v>
      </c>
      <c r="F1864" t="s">
        <v>103</v>
      </c>
      <c r="G1864" t="s">
        <v>103</v>
      </c>
      <c r="H1864" t="s">
        <v>103</v>
      </c>
      <c r="I1864" t="s">
        <v>103</v>
      </c>
      <c r="J1864" t="s">
        <v>748</v>
      </c>
      <c r="K1864" t="s">
        <v>224</v>
      </c>
      <c r="L1864" t="s">
        <v>103</v>
      </c>
      <c r="M1864" t="s">
        <v>169</v>
      </c>
    </row>
    <row r="1866" spans="1:13" x14ac:dyDescent="0.3">
      <c r="A1866" t="s">
        <v>1095</v>
      </c>
    </row>
    <row r="1867" spans="1:13" x14ac:dyDescent="0.3">
      <c r="A1867" t="s">
        <v>36</v>
      </c>
      <c r="B1867" t="s">
        <v>763</v>
      </c>
      <c r="C1867" t="s">
        <v>24</v>
      </c>
      <c r="D1867" t="s">
        <v>1073</v>
      </c>
      <c r="E1867" t="s">
        <v>1074</v>
      </c>
      <c r="F1867" t="s">
        <v>1075</v>
      </c>
      <c r="G1867" t="s">
        <v>1076</v>
      </c>
      <c r="H1867" t="s">
        <v>1077</v>
      </c>
      <c r="I1867" t="s">
        <v>909</v>
      </c>
      <c r="J1867" t="s">
        <v>1078</v>
      </c>
      <c r="K1867" t="s">
        <v>1079</v>
      </c>
      <c r="L1867" t="s">
        <v>848</v>
      </c>
      <c r="M1867" t="s">
        <v>1080</v>
      </c>
    </row>
    <row r="1868" spans="1:13" s="3" customFormat="1" x14ac:dyDescent="0.3">
      <c r="A1868" s="3" t="s">
        <v>25</v>
      </c>
      <c r="B1868" s="3" t="s">
        <v>765</v>
      </c>
      <c r="C1868" s="3">
        <v>11</v>
      </c>
      <c r="D1868" s="3" t="s">
        <v>652</v>
      </c>
      <c r="E1868" s="3" t="s">
        <v>103</v>
      </c>
      <c r="F1868" s="3" t="s">
        <v>133</v>
      </c>
      <c r="G1868" s="3" t="s">
        <v>133</v>
      </c>
      <c r="H1868" s="3" t="s">
        <v>103</v>
      </c>
      <c r="I1868" s="3" t="s">
        <v>103</v>
      </c>
      <c r="J1868" s="3" t="s">
        <v>539</v>
      </c>
      <c r="K1868" s="3" t="s">
        <v>705</v>
      </c>
      <c r="L1868" s="3" t="s">
        <v>103</v>
      </c>
      <c r="M1868" s="3" t="s">
        <v>301</v>
      </c>
    </row>
    <row r="1869" spans="1:13" s="3" customFormat="1" x14ac:dyDescent="0.3">
      <c r="A1869" s="3" t="s">
        <v>25</v>
      </c>
      <c r="B1869" s="3" t="s">
        <v>767</v>
      </c>
      <c r="C1869" s="3">
        <v>9</v>
      </c>
      <c r="D1869" s="3" t="s">
        <v>820</v>
      </c>
      <c r="E1869" s="3" t="s">
        <v>542</v>
      </c>
      <c r="F1869" s="3" t="s">
        <v>107</v>
      </c>
      <c r="G1869" s="3" t="s">
        <v>484</v>
      </c>
      <c r="H1869" s="3" t="s">
        <v>103</v>
      </c>
      <c r="I1869" s="3" t="s">
        <v>103</v>
      </c>
      <c r="J1869" s="3" t="s">
        <v>130</v>
      </c>
      <c r="K1869" s="3" t="s">
        <v>660</v>
      </c>
      <c r="L1869" s="3" t="s">
        <v>482</v>
      </c>
      <c r="M1869" s="3" t="s">
        <v>103</v>
      </c>
    </row>
    <row r="1870" spans="1:13" s="3" customFormat="1" x14ac:dyDescent="0.3">
      <c r="A1870" s="3" t="s">
        <v>26</v>
      </c>
      <c r="B1870" s="3" t="s">
        <v>765</v>
      </c>
      <c r="C1870" s="3">
        <v>20</v>
      </c>
      <c r="D1870" s="3" t="s">
        <v>123</v>
      </c>
      <c r="E1870" s="3" t="s">
        <v>1096</v>
      </c>
      <c r="F1870" s="3" t="s">
        <v>103</v>
      </c>
      <c r="G1870" s="3" t="s">
        <v>103</v>
      </c>
      <c r="H1870" s="3" t="s">
        <v>438</v>
      </c>
      <c r="I1870" s="3" t="s">
        <v>103</v>
      </c>
      <c r="J1870" s="3" t="s">
        <v>269</v>
      </c>
      <c r="K1870" s="3" t="s">
        <v>164</v>
      </c>
      <c r="L1870" s="3" t="s">
        <v>103</v>
      </c>
      <c r="M1870" s="3" t="s">
        <v>254</v>
      </c>
    </row>
    <row r="1871" spans="1:13" s="3" customFormat="1" x14ac:dyDescent="0.3">
      <c r="A1871" s="3" t="s">
        <v>26</v>
      </c>
      <c r="B1871" s="3" t="s">
        <v>767</v>
      </c>
      <c r="C1871" s="3">
        <v>14</v>
      </c>
      <c r="D1871" s="3" t="s">
        <v>549</v>
      </c>
      <c r="E1871" s="3" t="s">
        <v>672</v>
      </c>
      <c r="F1871" s="3" t="s">
        <v>103</v>
      </c>
      <c r="G1871" s="3" t="s">
        <v>103</v>
      </c>
      <c r="H1871" s="3" t="s">
        <v>549</v>
      </c>
      <c r="I1871" s="3" t="s">
        <v>103</v>
      </c>
      <c r="J1871" s="3" t="s">
        <v>487</v>
      </c>
      <c r="K1871" s="3" t="s">
        <v>697</v>
      </c>
      <c r="L1871" s="3" t="s">
        <v>103</v>
      </c>
      <c r="M1871" s="3" t="s">
        <v>103</v>
      </c>
    </row>
    <row r="1872" spans="1:13" s="3" customFormat="1" x14ac:dyDescent="0.3">
      <c r="A1872" s="3" t="s">
        <v>29</v>
      </c>
      <c r="B1872" s="3" t="s">
        <v>765</v>
      </c>
      <c r="C1872" s="3">
        <v>25</v>
      </c>
      <c r="D1872" s="3" t="s">
        <v>570</v>
      </c>
      <c r="E1872" s="3" t="s">
        <v>133</v>
      </c>
      <c r="F1872" s="3" t="s">
        <v>103</v>
      </c>
      <c r="G1872" s="3" t="s">
        <v>580</v>
      </c>
      <c r="H1872" s="3" t="s">
        <v>102</v>
      </c>
      <c r="I1872" s="3" t="s">
        <v>103</v>
      </c>
      <c r="J1872" s="3" t="s">
        <v>1097</v>
      </c>
      <c r="K1872" s="3" t="s">
        <v>754</v>
      </c>
      <c r="L1872" s="3" t="s">
        <v>103</v>
      </c>
      <c r="M1872" s="3" t="s">
        <v>281</v>
      </c>
    </row>
    <row r="1873" spans="1:13" s="3" customFormat="1" x14ac:dyDescent="0.3">
      <c r="A1873" s="3" t="s">
        <v>29</v>
      </c>
      <c r="B1873" s="3" t="s">
        <v>767</v>
      </c>
      <c r="C1873" s="3">
        <v>13</v>
      </c>
      <c r="D1873" s="3" t="s">
        <v>268</v>
      </c>
      <c r="E1873" s="3" t="s">
        <v>103</v>
      </c>
      <c r="F1873" s="3" t="s">
        <v>103</v>
      </c>
      <c r="G1873" s="3" t="s">
        <v>103</v>
      </c>
      <c r="H1873" s="3" t="s">
        <v>103</v>
      </c>
      <c r="I1873" s="3" t="s">
        <v>103</v>
      </c>
      <c r="J1873" s="3" t="s">
        <v>417</v>
      </c>
      <c r="K1873" s="3" t="s">
        <v>568</v>
      </c>
      <c r="L1873" s="3" t="s">
        <v>103</v>
      </c>
      <c r="M1873" s="3" t="s">
        <v>103</v>
      </c>
    </row>
    <row r="1874" spans="1:13" s="3" customFormat="1" x14ac:dyDescent="0.3">
      <c r="A1874" s="3" t="s">
        <v>28</v>
      </c>
      <c r="B1874" s="3" t="s">
        <v>765</v>
      </c>
      <c r="C1874" s="3">
        <v>19</v>
      </c>
      <c r="D1874" s="3" t="s">
        <v>103</v>
      </c>
      <c r="E1874" s="3" t="s">
        <v>234</v>
      </c>
      <c r="F1874" s="3" t="s">
        <v>1082</v>
      </c>
      <c r="G1874" s="3" t="s">
        <v>525</v>
      </c>
      <c r="H1874" s="3" t="s">
        <v>552</v>
      </c>
      <c r="I1874" s="3" t="s">
        <v>60</v>
      </c>
      <c r="J1874" s="3" t="s">
        <v>918</v>
      </c>
      <c r="K1874" s="3" t="s">
        <v>56</v>
      </c>
      <c r="L1874" s="3" t="s">
        <v>103</v>
      </c>
      <c r="M1874" s="3" t="s">
        <v>103</v>
      </c>
    </row>
    <row r="1875" spans="1:13" s="3" customFormat="1" x14ac:dyDescent="0.3">
      <c r="A1875" s="3" t="s">
        <v>27</v>
      </c>
      <c r="B1875" s="3" t="s">
        <v>765</v>
      </c>
      <c r="C1875" s="3">
        <v>4</v>
      </c>
      <c r="D1875" s="3" t="s">
        <v>746</v>
      </c>
      <c r="E1875" s="3" t="s">
        <v>103</v>
      </c>
      <c r="F1875" s="3" t="s">
        <v>103</v>
      </c>
      <c r="G1875" s="3" t="s">
        <v>103</v>
      </c>
      <c r="H1875" s="3" t="s">
        <v>103</v>
      </c>
      <c r="I1875" s="3" t="s">
        <v>103</v>
      </c>
      <c r="J1875" s="3" t="s">
        <v>747</v>
      </c>
      <c r="K1875" s="3" t="s">
        <v>103</v>
      </c>
      <c r="L1875" s="3" t="s">
        <v>103</v>
      </c>
      <c r="M1875" s="3" t="s">
        <v>103</v>
      </c>
    </row>
    <row r="1876" spans="1:13" s="3" customFormat="1" x14ac:dyDescent="0.3">
      <c r="A1876" s="3" t="s">
        <v>27</v>
      </c>
      <c r="B1876" s="3" t="s">
        <v>767</v>
      </c>
      <c r="C1876" s="3">
        <v>5</v>
      </c>
      <c r="D1876" s="3" t="s">
        <v>681</v>
      </c>
      <c r="E1876" s="3" t="s">
        <v>1098</v>
      </c>
      <c r="F1876" s="3" t="s">
        <v>103</v>
      </c>
      <c r="G1876" s="3" t="s">
        <v>407</v>
      </c>
      <c r="H1876" s="3" t="s">
        <v>103</v>
      </c>
      <c r="I1876" s="3" t="s">
        <v>103</v>
      </c>
      <c r="J1876" s="3" t="s">
        <v>681</v>
      </c>
      <c r="K1876" s="3" t="s">
        <v>103</v>
      </c>
      <c r="L1876" s="3" t="s">
        <v>103</v>
      </c>
      <c r="M1876" s="3" t="s">
        <v>103</v>
      </c>
    </row>
    <row r="1877" spans="1:13" x14ac:dyDescent="0.3">
      <c r="A1877" t="s">
        <v>41</v>
      </c>
      <c r="B1877" t="s">
        <v>765</v>
      </c>
      <c r="C1877">
        <v>79</v>
      </c>
      <c r="D1877" t="s">
        <v>115</v>
      </c>
      <c r="E1877" t="s">
        <v>476</v>
      </c>
      <c r="F1877" t="s">
        <v>217</v>
      </c>
      <c r="G1877" t="s">
        <v>157</v>
      </c>
      <c r="H1877" t="s">
        <v>591</v>
      </c>
      <c r="I1877" t="s">
        <v>97</v>
      </c>
      <c r="J1877" t="s">
        <v>875</v>
      </c>
      <c r="K1877" t="s">
        <v>476</v>
      </c>
      <c r="L1877" t="s">
        <v>103</v>
      </c>
      <c r="M1877" t="s">
        <v>99</v>
      </c>
    </row>
    <row r="1878" spans="1:13" x14ac:dyDescent="0.3">
      <c r="A1878" t="s">
        <v>41</v>
      </c>
      <c r="B1878" t="s">
        <v>767</v>
      </c>
      <c r="C1878">
        <v>41</v>
      </c>
      <c r="D1878" t="s">
        <v>550</v>
      </c>
      <c r="E1878" t="s">
        <v>130</v>
      </c>
      <c r="F1878" t="s">
        <v>139</v>
      </c>
      <c r="G1878" t="s">
        <v>531</v>
      </c>
      <c r="H1878" t="s">
        <v>93</v>
      </c>
      <c r="I1878" t="s">
        <v>103</v>
      </c>
      <c r="J1878" t="s">
        <v>943</v>
      </c>
      <c r="K1878" t="s">
        <v>476</v>
      </c>
      <c r="L1878" t="s">
        <v>245</v>
      </c>
      <c r="M1878" t="s">
        <v>103</v>
      </c>
    </row>
    <row r="1880" spans="1:13" x14ac:dyDescent="0.3">
      <c r="A1880" t="s">
        <v>1099</v>
      </c>
    </row>
    <row r="1881" spans="1:13" x14ac:dyDescent="0.3">
      <c r="A1881" t="s">
        <v>36</v>
      </c>
      <c r="B1881" t="s">
        <v>210</v>
      </c>
      <c r="C1881" t="s">
        <v>24</v>
      </c>
      <c r="D1881" t="s">
        <v>1073</v>
      </c>
      <c r="E1881" t="s">
        <v>1074</v>
      </c>
      <c r="F1881" t="s">
        <v>1075</v>
      </c>
      <c r="G1881" t="s">
        <v>1076</v>
      </c>
      <c r="H1881" t="s">
        <v>1077</v>
      </c>
      <c r="I1881" t="s">
        <v>909</v>
      </c>
      <c r="J1881" t="s">
        <v>1078</v>
      </c>
      <c r="K1881" t="s">
        <v>1079</v>
      </c>
      <c r="L1881" t="s">
        <v>848</v>
      </c>
      <c r="M1881" t="s">
        <v>1080</v>
      </c>
    </row>
    <row r="1882" spans="1:13" s="3" customFormat="1" x14ac:dyDescent="0.3">
      <c r="A1882" s="3" t="s">
        <v>25</v>
      </c>
      <c r="B1882" s="3" t="s">
        <v>211</v>
      </c>
      <c r="C1882" s="3">
        <v>20</v>
      </c>
      <c r="D1882" s="3" t="s">
        <v>470</v>
      </c>
      <c r="E1882" s="3" t="s">
        <v>488</v>
      </c>
      <c r="F1882" s="3" t="s">
        <v>33</v>
      </c>
      <c r="G1882" s="3" t="s">
        <v>131</v>
      </c>
      <c r="H1882" s="3" t="s">
        <v>103</v>
      </c>
      <c r="I1882" s="3" t="s">
        <v>103</v>
      </c>
      <c r="J1882" s="3" t="s">
        <v>727</v>
      </c>
      <c r="K1882" s="3" t="s">
        <v>230</v>
      </c>
      <c r="L1882" s="3" t="s">
        <v>591</v>
      </c>
      <c r="M1882" s="3" t="s">
        <v>550</v>
      </c>
    </row>
    <row r="1883" spans="1:13" s="3" customFormat="1" x14ac:dyDescent="0.3">
      <c r="A1883" s="3" t="s">
        <v>26</v>
      </c>
      <c r="B1883" s="3" t="s">
        <v>211</v>
      </c>
      <c r="C1883" s="3">
        <v>4</v>
      </c>
      <c r="D1883" s="3" t="s">
        <v>103</v>
      </c>
      <c r="E1883" s="3" t="s">
        <v>192</v>
      </c>
      <c r="F1883" s="3" t="s">
        <v>103</v>
      </c>
      <c r="G1883" s="3" t="s">
        <v>103</v>
      </c>
      <c r="H1883" s="3" t="s">
        <v>103</v>
      </c>
      <c r="I1883" s="3" t="s">
        <v>103</v>
      </c>
      <c r="J1883" s="3" t="s">
        <v>103</v>
      </c>
      <c r="K1883" s="3" t="s">
        <v>103</v>
      </c>
      <c r="L1883" s="3" t="s">
        <v>103</v>
      </c>
      <c r="M1883" s="3" t="s">
        <v>103</v>
      </c>
    </row>
    <row r="1884" spans="1:13" s="3" customFormat="1" x14ac:dyDescent="0.3">
      <c r="A1884" s="3" t="s">
        <v>26</v>
      </c>
      <c r="B1884" s="3" t="s">
        <v>212</v>
      </c>
      <c r="C1884" s="3">
        <v>30</v>
      </c>
      <c r="D1884" s="3" t="s">
        <v>136</v>
      </c>
      <c r="E1884" s="3" t="s">
        <v>393</v>
      </c>
      <c r="F1884" s="3" t="s">
        <v>103</v>
      </c>
      <c r="G1884" s="3" t="s">
        <v>103</v>
      </c>
      <c r="H1884" s="3" t="s">
        <v>112</v>
      </c>
      <c r="I1884" s="3" t="s">
        <v>103</v>
      </c>
      <c r="J1884" s="3" t="s">
        <v>461</v>
      </c>
      <c r="K1884" s="3" t="s">
        <v>268</v>
      </c>
      <c r="L1884" s="3" t="s">
        <v>103</v>
      </c>
      <c r="M1884" s="3" t="s">
        <v>594</v>
      </c>
    </row>
    <row r="1885" spans="1:13" x14ac:dyDescent="0.3">
      <c r="A1885" t="s">
        <v>29</v>
      </c>
      <c r="B1885" t="s">
        <v>211</v>
      </c>
      <c r="C1885">
        <v>38</v>
      </c>
      <c r="D1885" t="s">
        <v>829</v>
      </c>
      <c r="E1885" t="s">
        <v>272</v>
      </c>
      <c r="F1885" t="s">
        <v>103</v>
      </c>
      <c r="G1885" t="s">
        <v>536</v>
      </c>
      <c r="H1885" t="s">
        <v>329</v>
      </c>
      <c r="I1885" t="s">
        <v>103</v>
      </c>
      <c r="J1885" t="s">
        <v>353</v>
      </c>
      <c r="K1885" t="s">
        <v>667</v>
      </c>
      <c r="L1885" t="s">
        <v>103</v>
      </c>
      <c r="M1885" t="s">
        <v>68</v>
      </c>
    </row>
    <row r="1886" spans="1:13" s="3" customFormat="1" x14ac:dyDescent="0.3">
      <c r="A1886" s="3" t="s">
        <v>28</v>
      </c>
      <c r="B1886" s="3" t="s">
        <v>211</v>
      </c>
      <c r="C1886" s="3">
        <v>19</v>
      </c>
      <c r="D1886" s="3" t="s">
        <v>103</v>
      </c>
      <c r="E1886" s="3" t="s">
        <v>234</v>
      </c>
      <c r="F1886" s="3" t="s">
        <v>1082</v>
      </c>
      <c r="G1886" s="3" t="s">
        <v>525</v>
      </c>
      <c r="H1886" s="3" t="s">
        <v>552</v>
      </c>
      <c r="I1886" s="3" t="s">
        <v>60</v>
      </c>
      <c r="J1886" s="3" t="s">
        <v>918</v>
      </c>
      <c r="K1886" s="3" t="s">
        <v>56</v>
      </c>
      <c r="L1886" s="3" t="s">
        <v>103</v>
      </c>
      <c r="M1886" s="3" t="s">
        <v>103</v>
      </c>
    </row>
    <row r="1887" spans="1:13" s="3" customFormat="1" x14ac:dyDescent="0.3">
      <c r="A1887" s="3" t="s">
        <v>27</v>
      </c>
      <c r="B1887" s="3" t="s">
        <v>211</v>
      </c>
      <c r="C1887" s="3">
        <v>8</v>
      </c>
      <c r="D1887" s="3" t="s">
        <v>478</v>
      </c>
      <c r="E1887" s="3" t="s">
        <v>574</v>
      </c>
      <c r="F1887" s="3" t="s">
        <v>103</v>
      </c>
      <c r="G1887" s="3" t="s">
        <v>691</v>
      </c>
      <c r="H1887" s="3" t="s">
        <v>103</v>
      </c>
      <c r="I1887" s="3" t="s">
        <v>103</v>
      </c>
      <c r="J1887" s="3" t="s">
        <v>293</v>
      </c>
      <c r="K1887" s="3" t="s">
        <v>103</v>
      </c>
      <c r="L1887" s="3" t="s">
        <v>103</v>
      </c>
      <c r="M1887" s="3" t="s">
        <v>103</v>
      </c>
    </row>
    <row r="1888" spans="1:13" s="3" customFormat="1" x14ac:dyDescent="0.3">
      <c r="A1888" s="3" t="s">
        <v>27</v>
      </c>
      <c r="B1888" s="3" t="s">
        <v>212</v>
      </c>
      <c r="C1888" s="3">
        <v>1</v>
      </c>
      <c r="D1888" s="3" t="s">
        <v>103</v>
      </c>
      <c r="E1888" s="3" t="s">
        <v>103</v>
      </c>
      <c r="F1888" s="3" t="s">
        <v>103</v>
      </c>
      <c r="G1888" s="3" t="s">
        <v>103</v>
      </c>
      <c r="H1888" s="3" t="s">
        <v>103</v>
      </c>
      <c r="I1888" s="3" t="s">
        <v>103</v>
      </c>
      <c r="J1888" s="3" t="s">
        <v>192</v>
      </c>
      <c r="K1888" s="3" t="s">
        <v>103</v>
      </c>
      <c r="L1888" s="3" t="s">
        <v>103</v>
      </c>
      <c r="M1888" s="3" t="s">
        <v>103</v>
      </c>
    </row>
    <row r="1889" spans="1:13" x14ac:dyDescent="0.3">
      <c r="A1889" t="s">
        <v>41</v>
      </c>
      <c r="B1889" t="s">
        <v>211</v>
      </c>
      <c r="C1889">
        <v>89</v>
      </c>
      <c r="D1889" t="s">
        <v>273</v>
      </c>
      <c r="E1889" t="s">
        <v>890</v>
      </c>
      <c r="F1889" t="s">
        <v>217</v>
      </c>
      <c r="G1889" t="s">
        <v>813</v>
      </c>
      <c r="H1889" t="s">
        <v>257</v>
      </c>
      <c r="I1889" t="s">
        <v>122</v>
      </c>
      <c r="J1889" t="s">
        <v>643</v>
      </c>
      <c r="K1889" t="s">
        <v>805</v>
      </c>
      <c r="L1889" t="s">
        <v>98</v>
      </c>
      <c r="M1889" t="s">
        <v>558</v>
      </c>
    </row>
    <row r="1890" spans="1:13" x14ac:dyDescent="0.3">
      <c r="A1890" t="s">
        <v>41</v>
      </c>
      <c r="B1890" t="s">
        <v>212</v>
      </c>
      <c r="C1890">
        <v>31</v>
      </c>
      <c r="D1890" t="s">
        <v>123</v>
      </c>
      <c r="E1890" t="s">
        <v>635</v>
      </c>
      <c r="F1890" t="s">
        <v>103</v>
      </c>
      <c r="G1890" t="s">
        <v>103</v>
      </c>
      <c r="H1890" t="s">
        <v>112</v>
      </c>
      <c r="I1890" t="s">
        <v>103</v>
      </c>
      <c r="J1890" t="s">
        <v>684</v>
      </c>
      <c r="K1890" t="s">
        <v>268</v>
      </c>
      <c r="L1890" t="s">
        <v>103</v>
      </c>
      <c r="M1890" t="s">
        <v>594</v>
      </c>
    </row>
    <row r="1892" spans="1:13" x14ac:dyDescent="0.3">
      <c r="A1892" t="s">
        <v>1100</v>
      </c>
    </row>
    <row r="1893" spans="1:13" x14ac:dyDescent="0.3">
      <c r="A1893" t="s">
        <v>36</v>
      </c>
      <c r="B1893" t="s">
        <v>24</v>
      </c>
      <c r="C1893" t="s">
        <v>1101</v>
      </c>
    </row>
    <row r="1894" spans="1:13" x14ac:dyDescent="0.3">
      <c r="A1894" t="s">
        <v>25</v>
      </c>
      <c r="B1894">
        <v>414</v>
      </c>
      <c r="C1894" t="s">
        <v>192</v>
      </c>
    </row>
    <row r="1895" spans="1:13" x14ac:dyDescent="0.3">
      <c r="A1895" t="s">
        <v>26</v>
      </c>
      <c r="B1895">
        <v>477</v>
      </c>
      <c r="C1895" t="s">
        <v>192</v>
      </c>
    </row>
    <row r="1896" spans="1:13" x14ac:dyDescent="0.3">
      <c r="A1896" t="s">
        <v>29</v>
      </c>
      <c r="B1896">
        <v>530</v>
      </c>
      <c r="C1896" t="s">
        <v>192</v>
      </c>
    </row>
    <row r="1897" spans="1:13" x14ac:dyDescent="0.3">
      <c r="A1897" t="s">
        <v>28</v>
      </c>
      <c r="B1897">
        <v>317</v>
      </c>
      <c r="C1897" t="s">
        <v>192</v>
      </c>
    </row>
    <row r="1898" spans="1:13" x14ac:dyDescent="0.3">
      <c r="A1898" t="s">
        <v>27</v>
      </c>
      <c r="B1898">
        <v>300</v>
      </c>
      <c r="C1898" t="s">
        <v>192</v>
      </c>
    </row>
    <row r="1899" spans="1:13" x14ac:dyDescent="0.3">
      <c r="A1899" t="s">
        <v>41</v>
      </c>
      <c r="B1899">
        <v>2038</v>
      </c>
      <c r="C1899" t="s">
        <v>192</v>
      </c>
    </row>
    <row r="1901" spans="1:13" x14ac:dyDescent="0.3">
      <c r="A1901" t="s">
        <v>1102</v>
      </c>
    </row>
    <row r="1902" spans="1:13" x14ac:dyDescent="0.3">
      <c r="A1902" t="s">
        <v>36</v>
      </c>
      <c r="B1902" t="s">
        <v>307</v>
      </c>
      <c r="C1902" t="s">
        <v>24</v>
      </c>
      <c r="D1902" t="s">
        <v>1101</v>
      </c>
    </row>
    <row r="1903" spans="1:13" x14ac:dyDescent="0.3">
      <c r="A1903" t="s">
        <v>25</v>
      </c>
      <c r="B1903" t="s">
        <v>291</v>
      </c>
      <c r="C1903">
        <v>156</v>
      </c>
      <c r="D1903" t="s">
        <v>192</v>
      </c>
    </row>
    <row r="1904" spans="1:13" x14ac:dyDescent="0.3">
      <c r="A1904" t="s">
        <v>25</v>
      </c>
      <c r="B1904" t="s">
        <v>292</v>
      </c>
      <c r="C1904">
        <v>254</v>
      </c>
      <c r="D1904" t="s">
        <v>192</v>
      </c>
    </row>
    <row r="1905" spans="1:4" x14ac:dyDescent="0.3">
      <c r="A1905" t="s">
        <v>25</v>
      </c>
      <c r="B1905" t="s">
        <v>308</v>
      </c>
      <c r="C1905">
        <v>4</v>
      </c>
      <c r="D1905" t="s">
        <v>192</v>
      </c>
    </row>
    <row r="1906" spans="1:4" x14ac:dyDescent="0.3">
      <c r="A1906" t="s">
        <v>26</v>
      </c>
      <c r="B1906" t="s">
        <v>291</v>
      </c>
      <c r="C1906">
        <v>122</v>
      </c>
      <c r="D1906" t="s">
        <v>192</v>
      </c>
    </row>
    <row r="1907" spans="1:4" x14ac:dyDescent="0.3">
      <c r="A1907" t="s">
        <v>26</v>
      </c>
      <c r="B1907" t="s">
        <v>292</v>
      </c>
      <c r="C1907">
        <v>352</v>
      </c>
      <c r="D1907" t="s">
        <v>192</v>
      </c>
    </row>
    <row r="1908" spans="1:4" x14ac:dyDescent="0.3">
      <c r="A1908" t="s">
        <v>26</v>
      </c>
      <c r="B1908" t="s">
        <v>308</v>
      </c>
      <c r="C1908">
        <v>3</v>
      </c>
      <c r="D1908" t="s">
        <v>192</v>
      </c>
    </row>
    <row r="1909" spans="1:4" x14ac:dyDescent="0.3">
      <c r="A1909" t="s">
        <v>29</v>
      </c>
      <c r="B1909" t="s">
        <v>291</v>
      </c>
      <c r="C1909">
        <v>205</v>
      </c>
      <c r="D1909" t="s">
        <v>192</v>
      </c>
    </row>
    <row r="1910" spans="1:4" x14ac:dyDescent="0.3">
      <c r="A1910" t="s">
        <v>29</v>
      </c>
      <c r="B1910" t="s">
        <v>292</v>
      </c>
      <c r="C1910">
        <v>325</v>
      </c>
      <c r="D1910" t="s">
        <v>192</v>
      </c>
    </row>
    <row r="1911" spans="1:4" x14ac:dyDescent="0.3">
      <c r="A1911" t="s">
        <v>28</v>
      </c>
      <c r="B1911" t="s">
        <v>291</v>
      </c>
      <c r="C1911">
        <v>114</v>
      </c>
      <c r="D1911" t="s">
        <v>192</v>
      </c>
    </row>
    <row r="1912" spans="1:4" x14ac:dyDescent="0.3">
      <c r="A1912" t="s">
        <v>28</v>
      </c>
      <c r="B1912" t="s">
        <v>292</v>
      </c>
      <c r="C1912">
        <v>191</v>
      </c>
      <c r="D1912" t="s">
        <v>192</v>
      </c>
    </row>
    <row r="1913" spans="1:4" x14ac:dyDescent="0.3">
      <c r="A1913" t="s">
        <v>28</v>
      </c>
      <c r="B1913" t="s">
        <v>308</v>
      </c>
      <c r="C1913">
        <v>12</v>
      </c>
      <c r="D1913" t="s">
        <v>192</v>
      </c>
    </row>
    <row r="1914" spans="1:4" x14ac:dyDescent="0.3">
      <c r="A1914" t="s">
        <v>27</v>
      </c>
      <c r="B1914" t="s">
        <v>291</v>
      </c>
      <c r="C1914">
        <v>95</v>
      </c>
      <c r="D1914" t="s">
        <v>192</v>
      </c>
    </row>
    <row r="1915" spans="1:4" x14ac:dyDescent="0.3">
      <c r="A1915" t="s">
        <v>27</v>
      </c>
      <c r="B1915" t="s">
        <v>292</v>
      </c>
      <c r="C1915">
        <v>198</v>
      </c>
      <c r="D1915" t="s">
        <v>192</v>
      </c>
    </row>
    <row r="1916" spans="1:4" x14ac:dyDescent="0.3">
      <c r="A1916" t="s">
        <v>27</v>
      </c>
      <c r="B1916" t="s">
        <v>308</v>
      </c>
      <c r="C1916">
        <v>7</v>
      </c>
      <c r="D1916" t="s">
        <v>192</v>
      </c>
    </row>
    <row r="1917" spans="1:4" x14ac:dyDescent="0.3">
      <c r="A1917" t="s">
        <v>41</v>
      </c>
      <c r="B1917" t="s">
        <v>291</v>
      </c>
      <c r="C1917">
        <v>692</v>
      </c>
      <c r="D1917" t="s">
        <v>192</v>
      </c>
    </row>
    <row r="1918" spans="1:4" x14ac:dyDescent="0.3">
      <c r="A1918" t="s">
        <v>41</v>
      </c>
      <c r="B1918" t="s">
        <v>292</v>
      </c>
      <c r="C1918">
        <v>1320</v>
      </c>
      <c r="D1918" t="s">
        <v>192</v>
      </c>
    </row>
    <row r="1919" spans="1:4" x14ac:dyDescent="0.3">
      <c r="A1919" t="s">
        <v>41</v>
      </c>
      <c r="B1919" t="s">
        <v>308</v>
      </c>
      <c r="C1919">
        <v>26</v>
      </c>
      <c r="D1919" t="s">
        <v>192</v>
      </c>
    </row>
    <row r="1921" spans="1:4" x14ac:dyDescent="0.3">
      <c r="A1921" t="s">
        <v>1103</v>
      </c>
    </row>
    <row r="1922" spans="1:4" x14ac:dyDescent="0.3">
      <c r="A1922" t="s">
        <v>36</v>
      </c>
      <c r="B1922" t="s">
        <v>310</v>
      </c>
      <c r="C1922" t="s">
        <v>24</v>
      </c>
      <c r="D1922" t="s">
        <v>1101</v>
      </c>
    </row>
    <row r="1923" spans="1:4" x14ac:dyDescent="0.3">
      <c r="A1923" t="s">
        <v>25</v>
      </c>
      <c r="B1923" t="s">
        <v>311</v>
      </c>
      <c r="C1923">
        <v>324</v>
      </c>
      <c r="D1923" t="s">
        <v>192</v>
      </c>
    </row>
    <row r="1924" spans="1:4" x14ac:dyDescent="0.3">
      <c r="A1924" t="s">
        <v>25</v>
      </c>
      <c r="B1924" t="s">
        <v>312</v>
      </c>
      <c r="C1924">
        <v>80</v>
      </c>
      <c r="D1924" t="s">
        <v>192</v>
      </c>
    </row>
    <row r="1925" spans="1:4" x14ac:dyDescent="0.3">
      <c r="A1925" t="s">
        <v>25</v>
      </c>
      <c r="B1925" t="s">
        <v>308</v>
      </c>
      <c r="C1925">
        <v>10</v>
      </c>
      <c r="D1925" t="s">
        <v>192</v>
      </c>
    </row>
    <row r="1926" spans="1:4" x14ac:dyDescent="0.3">
      <c r="A1926" t="s">
        <v>26</v>
      </c>
      <c r="B1926" t="s">
        <v>311</v>
      </c>
      <c r="C1926">
        <v>343</v>
      </c>
      <c r="D1926" t="s">
        <v>192</v>
      </c>
    </row>
    <row r="1927" spans="1:4" x14ac:dyDescent="0.3">
      <c r="A1927" t="s">
        <v>26</v>
      </c>
      <c r="B1927" t="s">
        <v>312</v>
      </c>
      <c r="C1927">
        <v>96</v>
      </c>
      <c r="D1927" t="s">
        <v>192</v>
      </c>
    </row>
    <row r="1928" spans="1:4" x14ac:dyDescent="0.3">
      <c r="A1928" t="s">
        <v>26</v>
      </c>
      <c r="B1928" t="s">
        <v>308</v>
      </c>
      <c r="C1928">
        <v>38</v>
      </c>
      <c r="D1928" t="s">
        <v>192</v>
      </c>
    </row>
    <row r="1929" spans="1:4" x14ac:dyDescent="0.3">
      <c r="A1929" t="s">
        <v>29</v>
      </c>
      <c r="B1929" t="s">
        <v>311</v>
      </c>
      <c r="C1929">
        <v>414</v>
      </c>
      <c r="D1929" t="s">
        <v>192</v>
      </c>
    </row>
    <row r="1930" spans="1:4" x14ac:dyDescent="0.3">
      <c r="A1930" t="s">
        <v>29</v>
      </c>
      <c r="B1930" t="s">
        <v>312</v>
      </c>
      <c r="C1930">
        <v>103</v>
      </c>
      <c r="D1930" t="s">
        <v>192</v>
      </c>
    </row>
    <row r="1931" spans="1:4" x14ac:dyDescent="0.3">
      <c r="A1931" t="s">
        <v>29</v>
      </c>
      <c r="B1931" t="s">
        <v>308</v>
      </c>
      <c r="C1931">
        <v>13</v>
      </c>
      <c r="D1931" t="s">
        <v>192</v>
      </c>
    </row>
    <row r="1932" spans="1:4" x14ac:dyDescent="0.3">
      <c r="A1932" t="s">
        <v>28</v>
      </c>
      <c r="B1932" t="s">
        <v>311</v>
      </c>
      <c r="C1932">
        <v>223</v>
      </c>
      <c r="D1932" t="s">
        <v>192</v>
      </c>
    </row>
    <row r="1933" spans="1:4" x14ac:dyDescent="0.3">
      <c r="A1933" t="s">
        <v>28</v>
      </c>
      <c r="B1933" t="s">
        <v>312</v>
      </c>
      <c r="C1933">
        <v>93</v>
      </c>
      <c r="D1933" t="s">
        <v>192</v>
      </c>
    </row>
    <row r="1934" spans="1:4" x14ac:dyDescent="0.3">
      <c r="A1934" t="s">
        <v>28</v>
      </c>
      <c r="B1934" t="s">
        <v>308</v>
      </c>
      <c r="C1934">
        <v>1</v>
      </c>
      <c r="D1934" t="s">
        <v>192</v>
      </c>
    </row>
    <row r="1935" spans="1:4" x14ac:dyDescent="0.3">
      <c r="A1935" t="s">
        <v>27</v>
      </c>
      <c r="B1935" t="s">
        <v>311</v>
      </c>
      <c r="C1935">
        <v>237</v>
      </c>
      <c r="D1935" t="s">
        <v>192</v>
      </c>
    </row>
    <row r="1936" spans="1:4" x14ac:dyDescent="0.3">
      <c r="A1936" t="s">
        <v>27</v>
      </c>
      <c r="B1936" t="s">
        <v>312</v>
      </c>
      <c r="C1936">
        <v>60</v>
      </c>
      <c r="D1936" t="s">
        <v>192</v>
      </c>
    </row>
    <row r="1937" spans="1:4" x14ac:dyDescent="0.3">
      <c r="A1937" t="s">
        <v>27</v>
      </c>
      <c r="B1937" t="s">
        <v>308</v>
      </c>
      <c r="C1937">
        <v>3</v>
      </c>
      <c r="D1937" t="s">
        <v>192</v>
      </c>
    </row>
    <row r="1938" spans="1:4" x14ac:dyDescent="0.3">
      <c r="A1938" t="s">
        <v>41</v>
      </c>
      <c r="B1938" t="s">
        <v>311</v>
      </c>
      <c r="C1938">
        <v>1541</v>
      </c>
      <c r="D1938" t="s">
        <v>192</v>
      </c>
    </row>
    <row r="1939" spans="1:4" x14ac:dyDescent="0.3">
      <c r="A1939" t="s">
        <v>41</v>
      </c>
      <c r="B1939" t="s">
        <v>312</v>
      </c>
      <c r="C1939">
        <v>432</v>
      </c>
      <c r="D1939" t="s">
        <v>192</v>
      </c>
    </row>
    <row r="1940" spans="1:4" x14ac:dyDescent="0.3">
      <c r="A1940" t="s">
        <v>41</v>
      </c>
      <c r="B1940" t="s">
        <v>308</v>
      </c>
      <c r="C1940">
        <v>65</v>
      </c>
      <c r="D1940" t="s">
        <v>192</v>
      </c>
    </row>
    <row r="1942" spans="1:4" x14ac:dyDescent="0.3">
      <c r="A1942" t="s">
        <v>1104</v>
      </c>
    </row>
    <row r="1943" spans="1:4" x14ac:dyDescent="0.3">
      <c r="A1943" t="s">
        <v>36</v>
      </c>
      <c r="B1943" t="s">
        <v>197</v>
      </c>
      <c r="C1943" t="s">
        <v>24</v>
      </c>
      <c r="D1943" t="s">
        <v>1101</v>
      </c>
    </row>
    <row r="1944" spans="1:4" x14ac:dyDescent="0.3">
      <c r="A1944" t="s">
        <v>25</v>
      </c>
      <c r="B1944" t="s">
        <v>198</v>
      </c>
      <c r="C1944">
        <v>104</v>
      </c>
      <c r="D1944" t="s">
        <v>192</v>
      </c>
    </row>
    <row r="1945" spans="1:4" x14ac:dyDescent="0.3">
      <c r="A1945" t="s">
        <v>25</v>
      </c>
      <c r="B1945" t="s">
        <v>199</v>
      </c>
      <c r="C1945">
        <v>310</v>
      </c>
      <c r="D1945" t="s">
        <v>192</v>
      </c>
    </row>
    <row r="1946" spans="1:4" x14ac:dyDescent="0.3">
      <c r="A1946" t="s">
        <v>26</v>
      </c>
      <c r="B1946" t="s">
        <v>198</v>
      </c>
      <c r="C1946">
        <v>41</v>
      </c>
      <c r="D1946" t="s">
        <v>192</v>
      </c>
    </row>
    <row r="1947" spans="1:4" x14ac:dyDescent="0.3">
      <c r="A1947" t="s">
        <v>26</v>
      </c>
      <c r="B1947" t="s">
        <v>199</v>
      </c>
      <c r="C1947">
        <v>436</v>
      </c>
      <c r="D1947" t="s">
        <v>192</v>
      </c>
    </row>
    <row r="1948" spans="1:4" x14ac:dyDescent="0.3">
      <c r="A1948" t="s">
        <v>29</v>
      </c>
      <c r="B1948" t="s">
        <v>198</v>
      </c>
      <c r="C1948">
        <v>170</v>
      </c>
      <c r="D1948" t="s">
        <v>192</v>
      </c>
    </row>
    <row r="1949" spans="1:4" x14ac:dyDescent="0.3">
      <c r="A1949" t="s">
        <v>29</v>
      </c>
      <c r="B1949" t="s">
        <v>199</v>
      </c>
      <c r="C1949">
        <v>360</v>
      </c>
      <c r="D1949" t="s">
        <v>192</v>
      </c>
    </row>
    <row r="1950" spans="1:4" x14ac:dyDescent="0.3">
      <c r="A1950" t="s">
        <v>28</v>
      </c>
      <c r="B1950" t="s">
        <v>198</v>
      </c>
      <c r="C1950">
        <v>70</v>
      </c>
      <c r="D1950" t="s">
        <v>192</v>
      </c>
    </row>
    <row r="1951" spans="1:4" x14ac:dyDescent="0.3">
      <c r="A1951" t="s">
        <v>28</v>
      </c>
      <c r="B1951" t="s">
        <v>199</v>
      </c>
      <c r="C1951">
        <v>247</v>
      </c>
      <c r="D1951" t="s">
        <v>192</v>
      </c>
    </row>
    <row r="1952" spans="1:4" x14ac:dyDescent="0.3">
      <c r="A1952" t="s">
        <v>27</v>
      </c>
      <c r="B1952" t="s">
        <v>198</v>
      </c>
      <c r="C1952">
        <v>136</v>
      </c>
      <c r="D1952" t="s">
        <v>192</v>
      </c>
    </row>
    <row r="1953" spans="1:4" x14ac:dyDescent="0.3">
      <c r="A1953" t="s">
        <v>27</v>
      </c>
      <c r="B1953" t="s">
        <v>199</v>
      </c>
      <c r="C1953">
        <v>164</v>
      </c>
      <c r="D1953" t="s">
        <v>192</v>
      </c>
    </row>
    <row r="1954" spans="1:4" x14ac:dyDescent="0.3">
      <c r="A1954" t="s">
        <v>41</v>
      </c>
      <c r="B1954" t="s">
        <v>198</v>
      </c>
      <c r="C1954">
        <v>521</v>
      </c>
      <c r="D1954" t="s">
        <v>192</v>
      </c>
    </row>
    <row r="1955" spans="1:4" x14ac:dyDescent="0.3">
      <c r="A1955" t="s">
        <v>41</v>
      </c>
      <c r="B1955" t="s">
        <v>199</v>
      </c>
      <c r="C1955">
        <v>1517</v>
      </c>
      <c r="D1955" t="s">
        <v>192</v>
      </c>
    </row>
    <row r="1957" spans="1:4" x14ac:dyDescent="0.3">
      <c r="A1957" t="s">
        <v>1105</v>
      </c>
    </row>
    <row r="1958" spans="1:4" x14ac:dyDescent="0.3">
      <c r="A1958" t="s">
        <v>36</v>
      </c>
      <c r="B1958" t="s">
        <v>1106</v>
      </c>
      <c r="C1958" t="s">
        <v>24</v>
      </c>
      <c r="D1958" t="s">
        <v>1101</v>
      </c>
    </row>
    <row r="1959" spans="1:4" x14ac:dyDescent="0.3">
      <c r="A1959" t="s">
        <v>25</v>
      </c>
      <c r="B1959" t="s">
        <v>1107</v>
      </c>
      <c r="C1959">
        <v>414</v>
      </c>
      <c r="D1959" t="s">
        <v>192</v>
      </c>
    </row>
    <row r="1960" spans="1:4" x14ac:dyDescent="0.3">
      <c r="A1960" t="s">
        <v>26</v>
      </c>
      <c r="B1960" t="s">
        <v>1107</v>
      </c>
      <c r="C1960">
        <v>476</v>
      </c>
      <c r="D1960" t="s">
        <v>192</v>
      </c>
    </row>
    <row r="1961" spans="1:4" s="3" customFormat="1" x14ac:dyDescent="0.3">
      <c r="A1961" s="3" t="s">
        <v>26</v>
      </c>
      <c r="B1961" s="3" t="s">
        <v>1108</v>
      </c>
      <c r="C1961" s="3">
        <v>1</v>
      </c>
      <c r="D1961" s="3" t="s">
        <v>192</v>
      </c>
    </row>
    <row r="1962" spans="1:4" x14ac:dyDescent="0.3">
      <c r="A1962" t="s">
        <v>29</v>
      </c>
      <c r="B1962" t="s">
        <v>1107</v>
      </c>
      <c r="C1962">
        <v>527</v>
      </c>
      <c r="D1962" t="s">
        <v>192</v>
      </c>
    </row>
    <row r="1963" spans="1:4" s="3" customFormat="1" x14ac:dyDescent="0.3">
      <c r="A1963" s="3" t="s">
        <v>29</v>
      </c>
      <c r="B1963" s="3" t="s">
        <v>1109</v>
      </c>
      <c r="C1963" s="3">
        <v>1</v>
      </c>
      <c r="D1963" s="3" t="s">
        <v>192</v>
      </c>
    </row>
    <row r="1964" spans="1:4" s="3" customFormat="1" x14ac:dyDescent="0.3">
      <c r="A1964" s="3" t="s">
        <v>29</v>
      </c>
      <c r="B1964" s="3" t="s">
        <v>1108</v>
      </c>
      <c r="C1964" s="3">
        <v>2</v>
      </c>
      <c r="D1964" s="3" t="s">
        <v>192</v>
      </c>
    </row>
    <row r="1965" spans="1:4" x14ac:dyDescent="0.3">
      <c r="A1965" t="s">
        <v>28</v>
      </c>
      <c r="B1965" t="s">
        <v>1107</v>
      </c>
      <c r="C1965">
        <v>317</v>
      </c>
      <c r="D1965" t="s">
        <v>192</v>
      </c>
    </row>
    <row r="1966" spans="1:4" x14ac:dyDescent="0.3">
      <c r="A1966" t="s">
        <v>27</v>
      </c>
      <c r="B1966" t="s">
        <v>1107</v>
      </c>
      <c r="C1966">
        <v>293</v>
      </c>
      <c r="D1966" t="s">
        <v>192</v>
      </c>
    </row>
    <row r="1967" spans="1:4" s="3" customFormat="1" x14ac:dyDescent="0.3">
      <c r="A1967" s="3" t="s">
        <v>27</v>
      </c>
      <c r="B1967" s="3" t="s">
        <v>1109</v>
      </c>
      <c r="C1967" s="3">
        <v>3</v>
      </c>
      <c r="D1967" s="3" t="s">
        <v>192</v>
      </c>
    </row>
    <row r="1968" spans="1:4" s="3" customFormat="1" x14ac:dyDescent="0.3">
      <c r="A1968" s="3" t="s">
        <v>27</v>
      </c>
      <c r="B1968" s="3" t="s">
        <v>1108</v>
      </c>
      <c r="C1968" s="3">
        <v>3</v>
      </c>
      <c r="D1968" s="3" t="s">
        <v>192</v>
      </c>
    </row>
    <row r="1969" spans="1:4" x14ac:dyDescent="0.3">
      <c r="A1969" t="s">
        <v>27</v>
      </c>
      <c r="B1969" t="s">
        <v>308</v>
      </c>
      <c r="C1969">
        <v>1</v>
      </c>
      <c r="D1969" t="s">
        <v>192</v>
      </c>
    </row>
    <row r="1970" spans="1:4" x14ac:dyDescent="0.3">
      <c r="A1970" t="s">
        <v>41</v>
      </c>
      <c r="B1970" t="s">
        <v>1107</v>
      </c>
      <c r="C1970">
        <v>2027</v>
      </c>
      <c r="D1970" t="s">
        <v>192</v>
      </c>
    </row>
    <row r="1971" spans="1:4" s="3" customFormat="1" x14ac:dyDescent="0.3">
      <c r="A1971" s="3" t="s">
        <v>41</v>
      </c>
      <c r="B1971" s="3" t="s">
        <v>1109</v>
      </c>
      <c r="C1971" s="3">
        <v>4</v>
      </c>
      <c r="D1971" s="3" t="s">
        <v>192</v>
      </c>
    </row>
    <row r="1972" spans="1:4" s="3" customFormat="1" x14ac:dyDescent="0.3">
      <c r="A1972" s="3" t="s">
        <v>41</v>
      </c>
      <c r="B1972" s="3" t="s">
        <v>1108</v>
      </c>
      <c r="C1972" s="3">
        <v>6</v>
      </c>
      <c r="D1972" s="3" t="s">
        <v>192</v>
      </c>
    </row>
    <row r="1973" spans="1:4" x14ac:dyDescent="0.3">
      <c r="A1973" t="s">
        <v>41</v>
      </c>
      <c r="B1973" t="s">
        <v>308</v>
      </c>
      <c r="C1973">
        <v>1</v>
      </c>
      <c r="D1973" t="s">
        <v>192</v>
      </c>
    </row>
    <row r="1975" spans="1:4" x14ac:dyDescent="0.3">
      <c r="A1975" t="s">
        <v>1110</v>
      </c>
    </row>
    <row r="1976" spans="1:4" x14ac:dyDescent="0.3">
      <c r="A1976" t="s">
        <v>36</v>
      </c>
      <c r="B1976" t="s">
        <v>1111</v>
      </c>
      <c r="C1976" t="s">
        <v>24</v>
      </c>
      <c r="D1976" t="s">
        <v>1101</v>
      </c>
    </row>
    <row r="1977" spans="1:4" x14ac:dyDescent="0.3">
      <c r="A1977" t="s">
        <v>25</v>
      </c>
      <c r="B1977" t="s">
        <v>1112</v>
      </c>
      <c r="C1977">
        <v>411</v>
      </c>
      <c r="D1977" t="s">
        <v>192</v>
      </c>
    </row>
    <row r="1978" spans="1:4" s="3" customFormat="1" x14ac:dyDescent="0.3">
      <c r="A1978" s="3" t="s">
        <v>25</v>
      </c>
      <c r="B1978" s="3" t="s">
        <v>1113</v>
      </c>
      <c r="C1978" s="3">
        <v>1</v>
      </c>
      <c r="D1978" s="3" t="s">
        <v>192</v>
      </c>
    </row>
    <row r="1979" spans="1:4" s="3" customFormat="1" x14ac:dyDescent="0.3">
      <c r="A1979" s="3" t="s">
        <v>25</v>
      </c>
      <c r="B1979" s="3" t="s">
        <v>1114</v>
      </c>
      <c r="C1979" s="3">
        <v>2</v>
      </c>
      <c r="D1979" s="3" t="s">
        <v>192</v>
      </c>
    </row>
    <row r="1980" spans="1:4" x14ac:dyDescent="0.3">
      <c r="A1980" t="s">
        <v>26</v>
      </c>
      <c r="B1980" t="s">
        <v>1112</v>
      </c>
      <c r="C1980">
        <v>476</v>
      </c>
      <c r="D1980" t="s">
        <v>192</v>
      </c>
    </row>
    <row r="1981" spans="1:4" s="3" customFormat="1" x14ac:dyDescent="0.3">
      <c r="A1981" s="3" t="s">
        <v>26</v>
      </c>
      <c r="B1981" s="3" t="s">
        <v>1114</v>
      </c>
      <c r="C1981" s="3">
        <v>1</v>
      </c>
      <c r="D1981" s="3" t="s">
        <v>192</v>
      </c>
    </row>
    <row r="1982" spans="1:4" x14ac:dyDescent="0.3">
      <c r="A1982" t="s">
        <v>29</v>
      </c>
      <c r="B1982" t="s">
        <v>1112</v>
      </c>
      <c r="C1982">
        <v>525</v>
      </c>
      <c r="D1982" t="s">
        <v>192</v>
      </c>
    </row>
    <row r="1983" spans="1:4" s="3" customFormat="1" x14ac:dyDescent="0.3">
      <c r="A1983" s="3" t="s">
        <v>29</v>
      </c>
      <c r="B1983" s="3" t="s">
        <v>1113</v>
      </c>
      <c r="C1983" s="3">
        <v>2</v>
      </c>
      <c r="D1983" s="3" t="s">
        <v>192</v>
      </c>
    </row>
    <row r="1984" spans="1:4" s="3" customFormat="1" x14ac:dyDescent="0.3">
      <c r="A1984" s="3" t="s">
        <v>29</v>
      </c>
      <c r="B1984" s="3" t="s">
        <v>1114</v>
      </c>
      <c r="C1984" s="3">
        <v>3</v>
      </c>
      <c r="D1984" s="3" t="s">
        <v>192</v>
      </c>
    </row>
    <row r="1985" spans="1:4" x14ac:dyDescent="0.3">
      <c r="A1985" t="s">
        <v>28</v>
      </c>
      <c r="B1985" t="s">
        <v>1112</v>
      </c>
      <c r="C1985">
        <v>317</v>
      </c>
      <c r="D1985" t="s">
        <v>192</v>
      </c>
    </row>
    <row r="1986" spans="1:4" x14ac:dyDescent="0.3">
      <c r="A1986" t="s">
        <v>27</v>
      </c>
      <c r="B1986" t="s">
        <v>1112</v>
      </c>
      <c r="C1986">
        <v>299</v>
      </c>
      <c r="D1986" t="s">
        <v>192</v>
      </c>
    </row>
    <row r="1987" spans="1:4" s="3" customFormat="1" x14ac:dyDescent="0.3">
      <c r="A1987" s="3" t="s">
        <v>27</v>
      </c>
      <c r="B1987" s="3" t="s">
        <v>1114</v>
      </c>
      <c r="C1987" s="3">
        <v>1</v>
      </c>
      <c r="D1987" s="3" t="s">
        <v>192</v>
      </c>
    </row>
    <row r="1988" spans="1:4" x14ac:dyDescent="0.3">
      <c r="A1988" t="s">
        <v>41</v>
      </c>
      <c r="B1988" t="s">
        <v>1112</v>
      </c>
      <c r="C1988">
        <v>2028</v>
      </c>
      <c r="D1988" t="s">
        <v>192</v>
      </c>
    </row>
    <row r="1989" spans="1:4" s="3" customFormat="1" x14ac:dyDescent="0.3">
      <c r="A1989" s="3" t="s">
        <v>41</v>
      </c>
      <c r="B1989" s="3" t="s">
        <v>1113</v>
      </c>
      <c r="C1989" s="3">
        <v>3</v>
      </c>
      <c r="D1989" s="3" t="s">
        <v>192</v>
      </c>
    </row>
    <row r="1990" spans="1:4" s="3" customFormat="1" x14ac:dyDescent="0.3">
      <c r="A1990" s="3" t="s">
        <v>41</v>
      </c>
      <c r="B1990" s="3" t="s">
        <v>1114</v>
      </c>
      <c r="C1990" s="3">
        <v>7</v>
      </c>
      <c r="D1990" s="3" t="s">
        <v>192</v>
      </c>
    </row>
    <row r="1992" spans="1:4" x14ac:dyDescent="0.3">
      <c r="A1992" t="s">
        <v>1115</v>
      </c>
    </row>
    <row r="1993" spans="1:4" x14ac:dyDescent="0.3">
      <c r="A1993" t="s">
        <v>36</v>
      </c>
      <c r="B1993" t="s">
        <v>763</v>
      </c>
      <c r="C1993" t="s">
        <v>24</v>
      </c>
      <c r="D1993" t="s">
        <v>1101</v>
      </c>
    </row>
    <row r="1994" spans="1:4" x14ac:dyDescent="0.3">
      <c r="A1994" t="s">
        <v>25</v>
      </c>
      <c r="B1994" t="s">
        <v>764</v>
      </c>
      <c r="C1994">
        <v>31</v>
      </c>
      <c r="D1994" t="s">
        <v>192</v>
      </c>
    </row>
    <row r="1995" spans="1:4" x14ac:dyDescent="0.3">
      <c r="A1995" t="s">
        <v>25</v>
      </c>
      <c r="B1995" t="s">
        <v>765</v>
      </c>
      <c r="C1995">
        <v>280</v>
      </c>
      <c r="D1995" t="s">
        <v>192</v>
      </c>
    </row>
    <row r="1996" spans="1:4" x14ac:dyDescent="0.3">
      <c r="A1996" t="s">
        <v>25</v>
      </c>
      <c r="B1996" t="s">
        <v>767</v>
      </c>
      <c r="C1996">
        <v>103</v>
      </c>
      <c r="D1996" t="s">
        <v>192</v>
      </c>
    </row>
    <row r="1997" spans="1:4" x14ac:dyDescent="0.3">
      <c r="A1997" t="s">
        <v>26</v>
      </c>
      <c r="B1997" t="s">
        <v>764</v>
      </c>
      <c r="C1997">
        <v>58</v>
      </c>
      <c r="D1997" t="s">
        <v>192</v>
      </c>
    </row>
    <row r="1998" spans="1:4" x14ac:dyDescent="0.3">
      <c r="A1998" t="s">
        <v>26</v>
      </c>
      <c r="B1998" t="s">
        <v>765</v>
      </c>
      <c r="C1998">
        <v>278</v>
      </c>
      <c r="D1998" t="s">
        <v>192</v>
      </c>
    </row>
    <row r="1999" spans="1:4" x14ac:dyDescent="0.3">
      <c r="A1999" t="s">
        <v>26</v>
      </c>
      <c r="B1999" t="s">
        <v>767</v>
      </c>
      <c r="C1999">
        <v>141</v>
      </c>
      <c r="D1999" t="s">
        <v>192</v>
      </c>
    </row>
    <row r="2000" spans="1:4" s="3" customFormat="1" x14ac:dyDescent="0.3">
      <c r="A2000" s="3" t="s">
        <v>29</v>
      </c>
      <c r="B2000" s="3" t="s">
        <v>764</v>
      </c>
      <c r="C2000" s="3">
        <v>11</v>
      </c>
      <c r="D2000" s="3" t="s">
        <v>192</v>
      </c>
    </row>
    <row r="2001" spans="1:19" x14ac:dyDescent="0.3">
      <c r="A2001" t="s">
        <v>29</v>
      </c>
      <c r="B2001" t="s">
        <v>765</v>
      </c>
      <c r="C2001">
        <v>365</v>
      </c>
      <c r="D2001" t="s">
        <v>192</v>
      </c>
    </row>
    <row r="2002" spans="1:19" x14ac:dyDescent="0.3">
      <c r="A2002" t="s">
        <v>29</v>
      </c>
      <c r="B2002" t="s">
        <v>767</v>
      </c>
      <c r="C2002">
        <v>154</v>
      </c>
      <c r="D2002" t="s">
        <v>192</v>
      </c>
    </row>
    <row r="2003" spans="1:19" s="3" customFormat="1" x14ac:dyDescent="0.3">
      <c r="A2003" s="3" t="s">
        <v>28</v>
      </c>
      <c r="B2003" s="3" t="s">
        <v>764</v>
      </c>
      <c r="C2003" s="3">
        <v>20</v>
      </c>
      <c r="D2003" s="3" t="s">
        <v>192</v>
      </c>
    </row>
    <row r="2004" spans="1:19" x14ac:dyDescent="0.3">
      <c r="A2004" t="s">
        <v>28</v>
      </c>
      <c r="B2004" t="s">
        <v>765</v>
      </c>
      <c r="C2004">
        <v>260</v>
      </c>
      <c r="D2004" t="s">
        <v>192</v>
      </c>
    </row>
    <row r="2005" spans="1:19" x14ac:dyDescent="0.3">
      <c r="A2005" t="s">
        <v>28</v>
      </c>
      <c r="B2005" t="s">
        <v>767</v>
      </c>
      <c r="C2005">
        <v>37</v>
      </c>
      <c r="D2005" t="s">
        <v>192</v>
      </c>
    </row>
    <row r="2006" spans="1:19" s="3" customFormat="1" x14ac:dyDescent="0.3">
      <c r="A2006" s="3" t="s">
        <v>27</v>
      </c>
      <c r="B2006" s="3" t="s">
        <v>764</v>
      </c>
      <c r="C2006" s="3">
        <v>29</v>
      </c>
      <c r="D2006" s="3" t="s">
        <v>192</v>
      </c>
    </row>
    <row r="2007" spans="1:19" x14ac:dyDescent="0.3">
      <c r="A2007" t="s">
        <v>27</v>
      </c>
      <c r="B2007" t="s">
        <v>765</v>
      </c>
      <c r="C2007">
        <v>209</v>
      </c>
      <c r="D2007" t="s">
        <v>192</v>
      </c>
    </row>
    <row r="2008" spans="1:19" x14ac:dyDescent="0.3">
      <c r="A2008" t="s">
        <v>27</v>
      </c>
      <c r="B2008" t="s">
        <v>767</v>
      </c>
      <c r="C2008">
        <v>62</v>
      </c>
      <c r="D2008" t="s">
        <v>192</v>
      </c>
    </row>
    <row r="2009" spans="1:19" x14ac:dyDescent="0.3">
      <c r="A2009" t="s">
        <v>41</v>
      </c>
      <c r="B2009" t="s">
        <v>764</v>
      </c>
      <c r="C2009">
        <v>149</v>
      </c>
      <c r="D2009" t="s">
        <v>192</v>
      </c>
    </row>
    <row r="2010" spans="1:19" x14ac:dyDescent="0.3">
      <c r="A2010" t="s">
        <v>41</v>
      </c>
      <c r="B2010" t="s">
        <v>765</v>
      </c>
      <c r="C2010">
        <v>1392</v>
      </c>
      <c r="D2010" t="s">
        <v>192</v>
      </c>
    </row>
    <row r="2011" spans="1:19" x14ac:dyDescent="0.3">
      <c r="A2011" t="s">
        <v>41</v>
      </c>
      <c r="B2011" t="s">
        <v>767</v>
      </c>
      <c r="C2011">
        <v>497</v>
      </c>
      <c r="D2011" t="s">
        <v>192</v>
      </c>
    </row>
    <row r="2013" spans="1:19" x14ac:dyDescent="0.3">
      <c r="A2013" t="s">
        <v>1116</v>
      </c>
    </row>
    <row r="2014" spans="1:19" x14ac:dyDescent="0.3">
      <c r="A2014" t="s">
        <v>36</v>
      </c>
      <c r="B2014" t="s">
        <v>24</v>
      </c>
      <c r="C2014" t="s">
        <v>1117</v>
      </c>
      <c r="D2014" t="s">
        <v>1118</v>
      </c>
      <c r="E2014" t="s">
        <v>1119</v>
      </c>
      <c r="F2014" t="s">
        <v>1120</v>
      </c>
      <c r="G2014" t="s">
        <v>1121</v>
      </c>
      <c r="H2014" t="s">
        <v>1122</v>
      </c>
      <c r="I2014" t="s">
        <v>1123</v>
      </c>
      <c r="J2014" t="s">
        <v>1124</v>
      </c>
      <c r="K2014" t="s">
        <v>1125</v>
      </c>
      <c r="L2014" t="s">
        <v>1126</v>
      </c>
      <c r="M2014" t="s">
        <v>1127</v>
      </c>
      <c r="N2014" t="s">
        <v>1128</v>
      </c>
      <c r="O2014" t="s">
        <v>1129</v>
      </c>
      <c r="P2014" t="s">
        <v>1130</v>
      </c>
      <c r="Q2014" t="s">
        <v>183</v>
      </c>
      <c r="R2014" t="s">
        <v>87</v>
      </c>
      <c r="S2014" t="s">
        <v>181</v>
      </c>
    </row>
    <row r="2015" spans="1:19" x14ac:dyDescent="0.3">
      <c r="A2015" t="s">
        <v>25</v>
      </c>
      <c r="B2015">
        <v>414</v>
      </c>
      <c r="C2015" t="s">
        <v>768</v>
      </c>
      <c r="D2015" t="s">
        <v>120</v>
      </c>
      <c r="E2015" t="s">
        <v>103</v>
      </c>
      <c r="F2015" t="s">
        <v>120</v>
      </c>
      <c r="G2015" t="s">
        <v>103</v>
      </c>
      <c r="H2015" t="s">
        <v>103</v>
      </c>
      <c r="I2015" t="s">
        <v>120</v>
      </c>
      <c r="J2015" t="s">
        <v>120</v>
      </c>
      <c r="K2015" t="s">
        <v>116</v>
      </c>
      <c r="L2015" t="s">
        <v>103</v>
      </c>
      <c r="M2015" t="s">
        <v>139</v>
      </c>
      <c r="N2015" t="s">
        <v>103</v>
      </c>
      <c r="O2015" t="s">
        <v>103</v>
      </c>
      <c r="P2015" t="s">
        <v>103</v>
      </c>
      <c r="Q2015" t="s">
        <v>103</v>
      </c>
      <c r="R2015" t="s">
        <v>66</v>
      </c>
      <c r="S2015" t="s">
        <v>103</v>
      </c>
    </row>
    <row r="2016" spans="1:19" x14ac:dyDescent="0.3">
      <c r="A2016" t="s">
        <v>26</v>
      </c>
      <c r="B2016">
        <v>477</v>
      </c>
      <c r="C2016" t="s">
        <v>724</v>
      </c>
      <c r="D2016" t="s">
        <v>118</v>
      </c>
      <c r="E2016" t="s">
        <v>97</v>
      </c>
      <c r="F2016" t="s">
        <v>571</v>
      </c>
      <c r="G2016" t="s">
        <v>329</v>
      </c>
      <c r="H2016" t="s">
        <v>266</v>
      </c>
      <c r="I2016" t="s">
        <v>68</v>
      </c>
      <c r="J2016" t="s">
        <v>460</v>
      </c>
      <c r="K2016" t="s">
        <v>128</v>
      </c>
      <c r="L2016" t="s">
        <v>123</v>
      </c>
      <c r="M2016" t="s">
        <v>341</v>
      </c>
      <c r="N2016" t="s">
        <v>120</v>
      </c>
      <c r="O2016" t="s">
        <v>120</v>
      </c>
      <c r="P2016" t="s">
        <v>103</v>
      </c>
      <c r="Q2016" t="s">
        <v>66</v>
      </c>
      <c r="R2016" t="s">
        <v>98</v>
      </c>
      <c r="S2016" t="s">
        <v>103</v>
      </c>
    </row>
    <row r="2017" spans="1:20" x14ac:dyDescent="0.3">
      <c r="A2017" t="s">
        <v>29</v>
      </c>
      <c r="B2017">
        <v>530</v>
      </c>
      <c r="C2017" t="s">
        <v>193</v>
      </c>
      <c r="D2017" t="s">
        <v>266</v>
      </c>
      <c r="E2017" t="s">
        <v>98</v>
      </c>
      <c r="F2017" t="s">
        <v>125</v>
      </c>
      <c r="G2017" t="s">
        <v>239</v>
      </c>
      <c r="H2017" t="s">
        <v>208</v>
      </c>
      <c r="I2017" t="s">
        <v>95</v>
      </c>
      <c r="J2017" t="s">
        <v>468</v>
      </c>
      <c r="K2017" t="s">
        <v>128</v>
      </c>
      <c r="L2017" t="s">
        <v>194</v>
      </c>
      <c r="M2017" t="s">
        <v>329</v>
      </c>
      <c r="N2017" t="s">
        <v>120</v>
      </c>
      <c r="O2017" t="s">
        <v>66</v>
      </c>
      <c r="P2017" t="s">
        <v>120</v>
      </c>
      <c r="Q2017" t="s">
        <v>103</v>
      </c>
      <c r="R2017" t="s">
        <v>282</v>
      </c>
      <c r="S2017" t="s">
        <v>122</v>
      </c>
    </row>
    <row r="2018" spans="1:20" x14ac:dyDescent="0.3">
      <c r="A2018" t="s">
        <v>28</v>
      </c>
      <c r="B2018">
        <v>317</v>
      </c>
      <c r="C2018" t="s">
        <v>1131</v>
      </c>
      <c r="D2018" t="s">
        <v>493</v>
      </c>
      <c r="E2018" t="s">
        <v>107</v>
      </c>
      <c r="F2018" t="s">
        <v>571</v>
      </c>
      <c r="G2018" t="s">
        <v>532</v>
      </c>
      <c r="H2018" t="s">
        <v>242</v>
      </c>
      <c r="I2018" t="s">
        <v>120</v>
      </c>
      <c r="J2018" t="s">
        <v>103</v>
      </c>
      <c r="K2018" t="s">
        <v>93</v>
      </c>
      <c r="L2018" t="s">
        <v>110</v>
      </c>
      <c r="M2018" t="s">
        <v>105</v>
      </c>
      <c r="N2018" t="s">
        <v>97</v>
      </c>
      <c r="O2018" t="s">
        <v>64</v>
      </c>
      <c r="P2018" t="s">
        <v>122</v>
      </c>
      <c r="Q2018" t="s">
        <v>103</v>
      </c>
      <c r="R2018" t="s">
        <v>239</v>
      </c>
      <c r="S2018" t="s">
        <v>103</v>
      </c>
    </row>
    <row r="2019" spans="1:20" x14ac:dyDescent="0.3">
      <c r="A2019" t="s">
        <v>27</v>
      </c>
      <c r="B2019">
        <v>300</v>
      </c>
      <c r="C2019" t="s">
        <v>703</v>
      </c>
      <c r="D2019" t="s">
        <v>98</v>
      </c>
      <c r="E2019" t="s">
        <v>468</v>
      </c>
      <c r="F2019" t="s">
        <v>195</v>
      </c>
      <c r="G2019" t="s">
        <v>93</v>
      </c>
      <c r="H2019" t="s">
        <v>64</v>
      </c>
      <c r="I2019" t="s">
        <v>245</v>
      </c>
      <c r="J2019" t="s">
        <v>474</v>
      </c>
      <c r="K2019" t="s">
        <v>549</v>
      </c>
      <c r="L2019" t="s">
        <v>520</v>
      </c>
      <c r="M2019" t="s">
        <v>216</v>
      </c>
      <c r="N2019" t="s">
        <v>103</v>
      </c>
      <c r="O2019" t="s">
        <v>103</v>
      </c>
      <c r="P2019" t="s">
        <v>116</v>
      </c>
      <c r="Q2019" t="s">
        <v>122</v>
      </c>
      <c r="R2019" t="s">
        <v>282</v>
      </c>
      <c r="S2019" t="s">
        <v>91</v>
      </c>
    </row>
    <row r="2020" spans="1:20" x14ac:dyDescent="0.3">
      <c r="A2020" t="s">
        <v>41</v>
      </c>
      <c r="B2020">
        <v>2038</v>
      </c>
      <c r="C2020" t="s">
        <v>149</v>
      </c>
      <c r="D2020" t="s">
        <v>93</v>
      </c>
      <c r="E2020" t="s">
        <v>139</v>
      </c>
      <c r="F2020" t="s">
        <v>201</v>
      </c>
      <c r="G2020" t="s">
        <v>239</v>
      </c>
      <c r="H2020" t="s">
        <v>329</v>
      </c>
      <c r="I2020" t="s">
        <v>194</v>
      </c>
      <c r="J2020" t="s">
        <v>467</v>
      </c>
      <c r="K2020" t="s">
        <v>93</v>
      </c>
      <c r="L2020" t="s">
        <v>532</v>
      </c>
      <c r="M2020" t="s">
        <v>105</v>
      </c>
      <c r="N2020" t="s">
        <v>97</v>
      </c>
      <c r="O2020" t="s">
        <v>122</v>
      </c>
      <c r="P2020" t="s">
        <v>116</v>
      </c>
      <c r="Q2020" t="s">
        <v>91</v>
      </c>
      <c r="R2020" t="s">
        <v>139</v>
      </c>
      <c r="S2020" t="s">
        <v>66</v>
      </c>
    </row>
    <row r="2022" spans="1:20" x14ac:dyDescent="0.3">
      <c r="A2022" t="s">
        <v>1132</v>
      </c>
    </row>
    <row r="2023" spans="1:20" x14ac:dyDescent="0.3">
      <c r="A2023" t="s">
        <v>36</v>
      </c>
      <c r="B2023" t="s">
        <v>307</v>
      </c>
      <c r="C2023" t="s">
        <v>24</v>
      </c>
      <c r="D2023" t="s">
        <v>1117</v>
      </c>
      <c r="E2023" t="s">
        <v>1118</v>
      </c>
      <c r="F2023" t="s">
        <v>1119</v>
      </c>
      <c r="G2023" t="s">
        <v>1120</v>
      </c>
      <c r="H2023" t="s">
        <v>1121</v>
      </c>
      <c r="I2023" t="s">
        <v>1122</v>
      </c>
      <c r="J2023" t="s">
        <v>1123</v>
      </c>
      <c r="K2023" t="s">
        <v>1124</v>
      </c>
      <c r="L2023" t="s">
        <v>1125</v>
      </c>
      <c r="M2023" t="s">
        <v>1126</v>
      </c>
      <c r="N2023" t="s">
        <v>1127</v>
      </c>
      <c r="O2023" t="s">
        <v>1128</v>
      </c>
      <c r="P2023" t="s">
        <v>1129</v>
      </c>
      <c r="Q2023" t="s">
        <v>1130</v>
      </c>
      <c r="R2023" t="s">
        <v>183</v>
      </c>
      <c r="S2023" t="s">
        <v>87</v>
      </c>
      <c r="T2023" t="s">
        <v>181</v>
      </c>
    </row>
    <row r="2024" spans="1:20" x14ac:dyDescent="0.3">
      <c r="A2024" t="s">
        <v>25</v>
      </c>
      <c r="B2024" t="s">
        <v>291</v>
      </c>
      <c r="C2024">
        <v>156</v>
      </c>
      <c r="D2024" t="s">
        <v>69</v>
      </c>
      <c r="E2024" t="s">
        <v>103</v>
      </c>
      <c r="F2024" t="s">
        <v>103</v>
      </c>
      <c r="G2024" t="s">
        <v>95</v>
      </c>
      <c r="H2024" t="s">
        <v>103</v>
      </c>
      <c r="I2024" t="s">
        <v>103</v>
      </c>
      <c r="J2024" t="s">
        <v>98</v>
      </c>
      <c r="K2024" t="s">
        <v>239</v>
      </c>
      <c r="L2024" t="s">
        <v>103</v>
      </c>
      <c r="M2024" t="s">
        <v>103</v>
      </c>
      <c r="N2024" t="s">
        <v>103</v>
      </c>
      <c r="O2024" t="s">
        <v>103</v>
      </c>
      <c r="P2024" t="s">
        <v>103</v>
      </c>
      <c r="Q2024" t="s">
        <v>103</v>
      </c>
      <c r="R2024" t="s">
        <v>103</v>
      </c>
      <c r="S2024" t="s">
        <v>103</v>
      </c>
      <c r="T2024" t="s">
        <v>103</v>
      </c>
    </row>
    <row r="2025" spans="1:20" x14ac:dyDescent="0.3">
      <c r="A2025" t="s">
        <v>25</v>
      </c>
      <c r="B2025" t="s">
        <v>292</v>
      </c>
      <c r="C2025">
        <v>254</v>
      </c>
      <c r="D2025" t="s">
        <v>852</v>
      </c>
      <c r="E2025" t="s">
        <v>282</v>
      </c>
      <c r="F2025" t="s">
        <v>103</v>
      </c>
      <c r="G2025" t="s">
        <v>97</v>
      </c>
      <c r="H2025" t="s">
        <v>103</v>
      </c>
      <c r="I2025" t="s">
        <v>103</v>
      </c>
      <c r="J2025" t="s">
        <v>122</v>
      </c>
      <c r="K2025" t="s">
        <v>103</v>
      </c>
      <c r="L2025" t="s">
        <v>97</v>
      </c>
      <c r="M2025" t="s">
        <v>103</v>
      </c>
      <c r="N2025" t="s">
        <v>194</v>
      </c>
      <c r="O2025" t="s">
        <v>103</v>
      </c>
      <c r="P2025" t="s">
        <v>103</v>
      </c>
      <c r="Q2025" t="s">
        <v>103</v>
      </c>
      <c r="R2025" t="s">
        <v>103</v>
      </c>
      <c r="S2025" t="s">
        <v>116</v>
      </c>
      <c r="T2025" t="s">
        <v>103</v>
      </c>
    </row>
    <row r="2026" spans="1:20" x14ac:dyDescent="0.3">
      <c r="A2026" t="s">
        <v>25</v>
      </c>
      <c r="B2026" t="s">
        <v>308</v>
      </c>
      <c r="C2026">
        <v>4</v>
      </c>
      <c r="D2026" t="s">
        <v>192</v>
      </c>
      <c r="E2026" t="s">
        <v>103</v>
      </c>
      <c r="F2026" t="s">
        <v>103</v>
      </c>
      <c r="G2026" t="s">
        <v>103</v>
      </c>
      <c r="H2026" t="s">
        <v>103</v>
      </c>
      <c r="I2026" t="s">
        <v>103</v>
      </c>
      <c r="J2026" t="s">
        <v>103</v>
      </c>
      <c r="K2026" t="s">
        <v>103</v>
      </c>
      <c r="L2026" t="s">
        <v>103</v>
      </c>
      <c r="M2026" t="s">
        <v>103</v>
      </c>
      <c r="N2026" t="s">
        <v>103</v>
      </c>
      <c r="O2026" t="s">
        <v>103</v>
      </c>
      <c r="P2026" t="s">
        <v>103</v>
      </c>
      <c r="Q2026" t="s">
        <v>103</v>
      </c>
      <c r="R2026" t="s">
        <v>103</v>
      </c>
      <c r="S2026" t="s">
        <v>103</v>
      </c>
      <c r="T2026" t="s">
        <v>103</v>
      </c>
    </row>
    <row r="2027" spans="1:20" x14ac:dyDescent="0.3">
      <c r="A2027" t="s">
        <v>26</v>
      </c>
      <c r="B2027" t="s">
        <v>291</v>
      </c>
      <c r="C2027">
        <v>122</v>
      </c>
      <c r="D2027" t="s">
        <v>1133</v>
      </c>
      <c r="E2027" t="s">
        <v>532</v>
      </c>
      <c r="F2027" t="s">
        <v>282</v>
      </c>
      <c r="G2027" t="s">
        <v>813</v>
      </c>
      <c r="H2027" t="s">
        <v>438</v>
      </c>
      <c r="I2027" t="s">
        <v>133</v>
      </c>
      <c r="J2027" t="s">
        <v>607</v>
      </c>
      <c r="K2027" t="s">
        <v>544</v>
      </c>
      <c r="L2027" t="s">
        <v>140</v>
      </c>
      <c r="M2027" t="s">
        <v>471</v>
      </c>
      <c r="N2027" t="s">
        <v>493</v>
      </c>
      <c r="O2027" t="s">
        <v>139</v>
      </c>
      <c r="P2027" t="s">
        <v>139</v>
      </c>
      <c r="Q2027" t="s">
        <v>103</v>
      </c>
      <c r="R2027" t="s">
        <v>282</v>
      </c>
      <c r="S2027" t="s">
        <v>105</v>
      </c>
      <c r="T2027" t="s">
        <v>103</v>
      </c>
    </row>
    <row r="2028" spans="1:20" x14ac:dyDescent="0.3">
      <c r="A2028" t="s">
        <v>26</v>
      </c>
      <c r="B2028" t="s">
        <v>292</v>
      </c>
      <c r="C2028">
        <v>352</v>
      </c>
      <c r="D2028" t="s">
        <v>49</v>
      </c>
      <c r="E2028" t="s">
        <v>245</v>
      </c>
      <c r="F2028" t="s">
        <v>116</v>
      </c>
      <c r="G2028" t="s">
        <v>140</v>
      </c>
      <c r="H2028" t="s">
        <v>245</v>
      </c>
      <c r="I2028" t="s">
        <v>105</v>
      </c>
      <c r="J2028" t="s">
        <v>105</v>
      </c>
      <c r="K2028" t="s">
        <v>662</v>
      </c>
      <c r="L2028" t="s">
        <v>98</v>
      </c>
      <c r="M2028" t="s">
        <v>90</v>
      </c>
      <c r="N2028" t="s">
        <v>194</v>
      </c>
      <c r="O2028" t="s">
        <v>120</v>
      </c>
      <c r="P2028" t="s">
        <v>120</v>
      </c>
      <c r="Q2028" t="s">
        <v>103</v>
      </c>
      <c r="R2028" t="s">
        <v>103</v>
      </c>
      <c r="S2028" t="s">
        <v>120</v>
      </c>
      <c r="T2028" t="s">
        <v>103</v>
      </c>
    </row>
    <row r="2029" spans="1:20" x14ac:dyDescent="0.3">
      <c r="A2029" t="s">
        <v>26</v>
      </c>
      <c r="B2029" t="s">
        <v>308</v>
      </c>
      <c r="C2029">
        <v>3</v>
      </c>
      <c r="D2029" t="s">
        <v>784</v>
      </c>
      <c r="E2029" t="s">
        <v>103</v>
      </c>
      <c r="F2029" t="s">
        <v>103</v>
      </c>
      <c r="G2029" t="s">
        <v>699</v>
      </c>
      <c r="H2029" t="s">
        <v>103</v>
      </c>
      <c r="I2029" t="s">
        <v>103</v>
      </c>
      <c r="J2029" t="s">
        <v>103</v>
      </c>
      <c r="K2029" t="s">
        <v>103</v>
      </c>
      <c r="L2029" t="s">
        <v>103</v>
      </c>
      <c r="M2029" t="s">
        <v>103</v>
      </c>
      <c r="N2029" t="s">
        <v>103</v>
      </c>
      <c r="O2029" t="s">
        <v>103</v>
      </c>
      <c r="P2029" t="s">
        <v>103</v>
      </c>
      <c r="Q2029" t="s">
        <v>103</v>
      </c>
      <c r="R2029" t="s">
        <v>103</v>
      </c>
      <c r="S2029" t="s">
        <v>103</v>
      </c>
      <c r="T2029" t="s">
        <v>103</v>
      </c>
    </row>
    <row r="2030" spans="1:20" x14ac:dyDescent="0.3">
      <c r="A2030" t="s">
        <v>29</v>
      </c>
      <c r="B2030" t="s">
        <v>291</v>
      </c>
      <c r="C2030">
        <v>205</v>
      </c>
      <c r="D2030" t="s">
        <v>771</v>
      </c>
      <c r="E2030" t="s">
        <v>128</v>
      </c>
      <c r="F2030" t="s">
        <v>468</v>
      </c>
      <c r="G2030" t="s">
        <v>188</v>
      </c>
      <c r="H2030" t="s">
        <v>128</v>
      </c>
      <c r="I2030" t="s">
        <v>128</v>
      </c>
      <c r="J2030" t="s">
        <v>103</v>
      </c>
      <c r="K2030" t="s">
        <v>239</v>
      </c>
      <c r="L2030" t="s">
        <v>217</v>
      </c>
      <c r="M2030" t="s">
        <v>245</v>
      </c>
      <c r="N2030" t="s">
        <v>93</v>
      </c>
      <c r="O2030" t="s">
        <v>120</v>
      </c>
      <c r="P2030" t="s">
        <v>103</v>
      </c>
      <c r="Q2030" t="s">
        <v>345</v>
      </c>
      <c r="R2030" t="s">
        <v>103</v>
      </c>
      <c r="S2030" t="s">
        <v>345</v>
      </c>
      <c r="T2030" t="s">
        <v>122</v>
      </c>
    </row>
    <row r="2031" spans="1:20" x14ac:dyDescent="0.3">
      <c r="A2031" t="s">
        <v>29</v>
      </c>
      <c r="B2031" t="s">
        <v>292</v>
      </c>
      <c r="C2031">
        <v>325</v>
      </c>
      <c r="D2031" t="s">
        <v>1134</v>
      </c>
      <c r="E2031" t="s">
        <v>270</v>
      </c>
      <c r="F2031" t="s">
        <v>95</v>
      </c>
      <c r="G2031" t="s">
        <v>102</v>
      </c>
      <c r="H2031" t="s">
        <v>282</v>
      </c>
      <c r="I2031" t="s">
        <v>245</v>
      </c>
      <c r="J2031" t="s">
        <v>468</v>
      </c>
      <c r="K2031" t="s">
        <v>345</v>
      </c>
      <c r="L2031" t="s">
        <v>208</v>
      </c>
      <c r="M2031" t="s">
        <v>345</v>
      </c>
      <c r="N2031" t="s">
        <v>329</v>
      </c>
      <c r="O2031" t="s">
        <v>120</v>
      </c>
      <c r="P2031" t="s">
        <v>116</v>
      </c>
      <c r="Q2031" t="s">
        <v>116</v>
      </c>
      <c r="R2031" t="s">
        <v>103</v>
      </c>
      <c r="S2031" t="s">
        <v>282</v>
      </c>
      <c r="T2031" t="s">
        <v>122</v>
      </c>
    </row>
    <row r="2032" spans="1:20" x14ac:dyDescent="0.3">
      <c r="A2032" t="s">
        <v>28</v>
      </c>
      <c r="B2032" t="s">
        <v>291</v>
      </c>
      <c r="C2032">
        <v>114</v>
      </c>
      <c r="D2032" t="s">
        <v>1135</v>
      </c>
      <c r="E2032" t="s">
        <v>214</v>
      </c>
      <c r="F2032" t="s">
        <v>140</v>
      </c>
      <c r="G2032" t="s">
        <v>175</v>
      </c>
      <c r="H2032" t="s">
        <v>615</v>
      </c>
      <c r="I2032" t="s">
        <v>549</v>
      </c>
      <c r="J2032" t="s">
        <v>95</v>
      </c>
      <c r="K2032" t="s">
        <v>103</v>
      </c>
      <c r="L2032" t="s">
        <v>64</v>
      </c>
      <c r="M2032" t="s">
        <v>105</v>
      </c>
      <c r="N2032" t="s">
        <v>438</v>
      </c>
      <c r="O2032" t="s">
        <v>110</v>
      </c>
      <c r="P2032" t="s">
        <v>113</v>
      </c>
      <c r="Q2032" t="s">
        <v>98</v>
      </c>
      <c r="R2032" t="s">
        <v>103</v>
      </c>
      <c r="S2032" t="s">
        <v>103</v>
      </c>
      <c r="T2032" t="s">
        <v>103</v>
      </c>
    </row>
    <row r="2033" spans="1:20" x14ac:dyDescent="0.3">
      <c r="A2033" t="s">
        <v>28</v>
      </c>
      <c r="B2033" t="s">
        <v>292</v>
      </c>
      <c r="C2033">
        <v>191</v>
      </c>
      <c r="D2033" t="s">
        <v>149</v>
      </c>
      <c r="E2033" t="s">
        <v>272</v>
      </c>
      <c r="F2033" t="s">
        <v>93</v>
      </c>
      <c r="G2033" t="s">
        <v>278</v>
      </c>
      <c r="H2033" t="s">
        <v>186</v>
      </c>
      <c r="I2033" t="s">
        <v>60</v>
      </c>
      <c r="J2033" t="s">
        <v>103</v>
      </c>
      <c r="K2033" t="s">
        <v>103</v>
      </c>
      <c r="L2033" t="s">
        <v>208</v>
      </c>
      <c r="M2033" t="s">
        <v>468</v>
      </c>
      <c r="N2033" t="s">
        <v>139</v>
      </c>
      <c r="O2033" t="s">
        <v>103</v>
      </c>
      <c r="P2033" t="s">
        <v>208</v>
      </c>
      <c r="Q2033" t="s">
        <v>103</v>
      </c>
      <c r="R2033" t="s">
        <v>103</v>
      </c>
      <c r="S2033" t="s">
        <v>217</v>
      </c>
      <c r="T2033" t="s">
        <v>103</v>
      </c>
    </row>
    <row r="2034" spans="1:20" x14ac:dyDescent="0.3">
      <c r="A2034" t="s">
        <v>28</v>
      </c>
      <c r="B2034" t="s">
        <v>308</v>
      </c>
      <c r="C2034">
        <v>12</v>
      </c>
      <c r="D2034" t="s">
        <v>1136</v>
      </c>
      <c r="E2034" t="s">
        <v>103</v>
      </c>
      <c r="F2034" t="s">
        <v>459</v>
      </c>
      <c r="G2034" t="s">
        <v>459</v>
      </c>
      <c r="H2034" t="s">
        <v>459</v>
      </c>
      <c r="I2034" t="s">
        <v>682</v>
      </c>
      <c r="J2034" t="s">
        <v>459</v>
      </c>
      <c r="K2034" t="s">
        <v>103</v>
      </c>
      <c r="L2034" t="s">
        <v>103</v>
      </c>
      <c r="M2034" t="s">
        <v>103</v>
      </c>
      <c r="N2034" t="s">
        <v>103</v>
      </c>
      <c r="O2034" t="s">
        <v>103</v>
      </c>
      <c r="P2034" t="s">
        <v>103</v>
      </c>
      <c r="Q2034" t="s">
        <v>103</v>
      </c>
      <c r="R2034" t="s">
        <v>103</v>
      </c>
      <c r="S2034" t="s">
        <v>103</v>
      </c>
      <c r="T2034" t="s">
        <v>103</v>
      </c>
    </row>
    <row r="2035" spans="1:20" x14ac:dyDescent="0.3">
      <c r="A2035" t="s">
        <v>27</v>
      </c>
      <c r="B2035" t="s">
        <v>291</v>
      </c>
      <c r="C2035">
        <v>95</v>
      </c>
      <c r="D2035" t="s">
        <v>229</v>
      </c>
      <c r="E2035" t="s">
        <v>345</v>
      </c>
      <c r="F2035" t="s">
        <v>139</v>
      </c>
      <c r="G2035" t="s">
        <v>139</v>
      </c>
      <c r="H2035" t="s">
        <v>105</v>
      </c>
      <c r="I2035" t="s">
        <v>270</v>
      </c>
      <c r="J2035" t="s">
        <v>128</v>
      </c>
      <c r="K2035" t="s">
        <v>54</v>
      </c>
      <c r="L2035" t="s">
        <v>482</v>
      </c>
      <c r="M2035" t="s">
        <v>645</v>
      </c>
      <c r="N2035" t="s">
        <v>468</v>
      </c>
      <c r="O2035" t="s">
        <v>103</v>
      </c>
      <c r="P2035" t="s">
        <v>103</v>
      </c>
      <c r="Q2035" t="s">
        <v>468</v>
      </c>
      <c r="R2035" t="s">
        <v>239</v>
      </c>
      <c r="S2035" t="s">
        <v>128</v>
      </c>
      <c r="T2035" t="s">
        <v>116</v>
      </c>
    </row>
    <row r="2036" spans="1:20" x14ac:dyDescent="0.3">
      <c r="A2036" t="s">
        <v>27</v>
      </c>
      <c r="B2036" t="s">
        <v>292</v>
      </c>
      <c r="C2036">
        <v>198</v>
      </c>
      <c r="D2036" t="s">
        <v>1137</v>
      </c>
      <c r="E2036" t="s">
        <v>98</v>
      </c>
      <c r="F2036" t="s">
        <v>110</v>
      </c>
      <c r="G2036" t="s">
        <v>186</v>
      </c>
      <c r="H2036" t="s">
        <v>118</v>
      </c>
      <c r="I2036" t="s">
        <v>64</v>
      </c>
      <c r="J2036" t="s">
        <v>239</v>
      </c>
      <c r="K2036" t="s">
        <v>48</v>
      </c>
      <c r="L2036" t="s">
        <v>254</v>
      </c>
      <c r="M2036" t="s">
        <v>644</v>
      </c>
      <c r="N2036" t="s">
        <v>105</v>
      </c>
      <c r="O2036" t="s">
        <v>103</v>
      </c>
      <c r="P2036" t="s">
        <v>103</v>
      </c>
      <c r="Q2036" t="s">
        <v>103</v>
      </c>
      <c r="R2036" t="s">
        <v>103</v>
      </c>
      <c r="S2036" t="s">
        <v>97</v>
      </c>
      <c r="T2036" t="s">
        <v>103</v>
      </c>
    </row>
    <row r="2037" spans="1:20" x14ac:dyDescent="0.3">
      <c r="A2037" t="s">
        <v>27</v>
      </c>
      <c r="B2037" t="s">
        <v>308</v>
      </c>
      <c r="C2037">
        <v>7</v>
      </c>
      <c r="D2037" t="s">
        <v>984</v>
      </c>
      <c r="E2037" t="s">
        <v>103</v>
      </c>
      <c r="F2037" t="s">
        <v>103</v>
      </c>
      <c r="G2037" t="s">
        <v>103</v>
      </c>
      <c r="H2037" t="s">
        <v>103</v>
      </c>
      <c r="I2037" t="s">
        <v>103</v>
      </c>
      <c r="J2037" t="s">
        <v>103</v>
      </c>
      <c r="K2037" t="s">
        <v>131</v>
      </c>
      <c r="L2037" t="s">
        <v>103</v>
      </c>
      <c r="M2037" t="s">
        <v>103</v>
      </c>
      <c r="N2037" t="s">
        <v>103</v>
      </c>
      <c r="O2037" t="s">
        <v>103</v>
      </c>
      <c r="P2037" t="s">
        <v>103</v>
      </c>
      <c r="Q2037" t="s">
        <v>103</v>
      </c>
      <c r="R2037" t="s">
        <v>103</v>
      </c>
      <c r="S2037" t="s">
        <v>103</v>
      </c>
      <c r="T2037" t="s">
        <v>103</v>
      </c>
    </row>
    <row r="2038" spans="1:20" x14ac:dyDescent="0.3">
      <c r="A2038" t="s">
        <v>41</v>
      </c>
      <c r="B2038" t="s">
        <v>291</v>
      </c>
      <c r="C2038">
        <v>692</v>
      </c>
      <c r="D2038" t="s">
        <v>174</v>
      </c>
      <c r="E2038" t="s">
        <v>128</v>
      </c>
      <c r="F2038" t="s">
        <v>468</v>
      </c>
      <c r="G2038" t="s">
        <v>278</v>
      </c>
      <c r="H2038" t="s">
        <v>329</v>
      </c>
      <c r="I2038" t="s">
        <v>266</v>
      </c>
      <c r="J2038" t="s">
        <v>239</v>
      </c>
      <c r="K2038" t="s">
        <v>188</v>
      </c>
      <c r="L2038" t="s">
        <v>195</v>
      </c>
      <c r="M2038" t="s">
        <v>112</v>
      </c>
      <c r="N2038" t="s">
        <v>208</v>
      </c>
      <c r="O2038" t="s">
        <v>97</v>
      </c>
      <c r="P2038" t="s">
        <v>122</v>
      </c>
      <c r="Q2038" t="s">
        <v>95</v>
      </c>
      <c r="R2038" t="s">
        <v>66</v>
      </c>
      <c r="S2038" t="s">
        <v>282</v>
      </c>
      <c r="T2038" t="s">
        <v>66</v>
      </c>
    </row>
    <row r="2039" spans="1:20" x14ac:dyDescent="0.3">
      <c r="A2039" t="s">
        <v>41</v>
      </c>
      <c r="B2039" t="s">
        <v>292</v>
      </c>
      <c r="C2039">
        <v>1320</v>
      </c>
      <c r="D2039" t="s">
        <v>749</v>
      </c>
      <c r="E2039" t="s">
        <v>329</v>
      </c>
      <c r="F2039" t="s">
        <v>120</v>
      </c>
      <c r="G2039" t="s">
        <v>114</v>
      </c>
      <c r="H2039" t="s">
        <v>468</v>
      </c>
      <c r="I2039" t="s">
        <v>245</v>
      </c>
      <c r="J2039" t="s">
        <v>468</v>
      </c>
      <c r="K2039" t="s">
        <v>195</v>
      </c>
      <c r="L2039" t="s">
        <v>105</v>
      </c>
      <c r="M2039" t="s">
        <v>591</v>
      </c>
      <c r="N2039" t="s">
        <v>245</v>
      </c>
      <c r="O2039" t="s">
        <v>122</v>
      </c>
      <c r="P2039" t="s">
        <v>122</v>
      </c>
      <c r="Q2039" t="s">
        <v>91</v>
      </c>
      <c r="R2039" t="s">
        <v>103</v>
      </c>
      <c r="S2039" t="s">
        <v>139</v>
      </c>
      <c r="T2039" t="s">
        <v>66</v>
      </c>
    </row>
    <row r="2040" spans="1:20" x14ac:dyDescent="0.3">
      <c r="A2040" t="s">
        <v>41</v>
      </c>
      <c r="B2040" t="s">
        <v>308</v>
      </c>
      <c r="C2040">
        <v>26</v>
      </c>
      <c r="D2040" t="s">
        <v>1138</v>
      </c>
      <c r="E2040" t="s">
        <v>103</v>
      </c>
      <c r="F2040" t="s">
        <v>64</v>
      </c>
      <c r="G2040" t="s">
        <v>119</v>
      </c>
      <c r="H2040" t="s">
        <v>64</v>
      </c>
      <c r="I2040" t="s">
        <v>615</v>
      </c>
      <c r="J2040" t="s">
        <v>64</v>
      </c>
      <c r="K2040" t="s">
        <v>266</v>
      </c>
      <c r="L2040" t="s">
        <v>103</v>
      </c>
      <c r="M2040" t="s">
        <v>103</v>
      </c>
      <c r="N2040" t="s">
        <v>103</v>
      </c>
      <c r="O2040" t="s">
        <v>103</v>
      </c>
      <c r="P2040" t="s">
        <v>103</v>
      </c>
      <c r="Q2040" t="s">
        <v>103</v>
      </c>
      <c r="R2040" t="s">
        <v>103</v>
      </c>
      <c r="S2040" t="s">
        <v>103</v>
      </c>
      <c r="T2040" t="s">
        <v>103</v>
      </c>
    </row>
    <row r="2042" spans="1:20" x14ac:dyDescent="0.3">
      <c r="A2042" t="s">
        <v>1139</v>
      </c>
    </row>
    <row r="2043" spans="1:20" x14ac:dyDescent="0.3">
      <c r="A2043" t="s">
        <v>36</v>
      </c>
      <c r="B2043" t="s">
        <v>310</v>
      </c>
      <c r="C2043" t="s">
        <v>24</v>
      </c>
      <c r="D2043" t="s">
        <v>1117</v>
      </c>
      <c r="E2043" t="s">
        <v>1118</v>
      </c>
      <c r="F2043" t="s">
        <v>1119</v>
      </c>
      <c r="G2043" t="s">
        <v>1120</v>
      </c>
      <c r="H2043" t="s">
        <v>1121</v>
      </c>
      <c r="I2043" t="s">
        <v>1122</v>
      </c>
      <c r="J2043" t="s">
        <v>1123</v>
      </c>
      <c r="K2043" t="s">
        <v>1124</v>
      </c>
      <c r="L2043" t="s">
        <v>1125</v>
      </c>
      <c r="M2043" t="s">
        <v>1126</v>
      </c>
      <c r="N2043" t="s">
        <v>1127</v>
      </c>
      <c r="O2043" t="s">
        <v>1128</v>
      </c>
      <c r="P2043" t="s">
        <v>1129</v>
      </c>
      <c r="Q2043" t="s">
        <v>1130</v>
      </c>
      <c r="R2043" t="s">
        <v>183</v>
      </c>
      <c r="S2043" t="s">
        <v>87</v>
      </c>
      <c r="T2043" t="s">
        <v>181</v>
      </c>
    </row>
    <row r="2044" spans="1:20" x14ac:dyDescent="0.3">
      <c r="A2044" t="s">
        <v>25</v>
      </c>
      <c r="B2044" t="s">
        <v>311</v>
      </c>
      <c r="C2044">
        <v>324</v>
      </c>
      <c r="D2044" t="s">
        <v>837</v>
      </c>
      <c r="E2044" t="s">
        <v>139</v>
      </c>
      <c r="F2044" t="s">
        <v>103</v>
      </c>
      <c r="G2044" t="s">
        <v>122</v>
      </c>
      <c r="H2044" t="s">
        <v>103</v>
      </c>
      <c r="I2044" t="s">
        <v>103</v>
      </c>
      <c r="J2044" t="s">
        <v>95</v>
      </c>
      <c r="K2044" t="s">
        <v>95</v>
      </c>
      <c r="L2044" t="s">
        <v>122</v>
      </c>
      <c r="M2044" t="s">
        <v>103</v>
      </c>
      <c r="N2044" t="s">
        <v>282</v>
      </c>
      <c r="O2044" t="s">
        <v>103</v>
      </c>
      <c r="P2044" t="s">
        <v>103</v>
      </c>
      <c r="Q2044" t="s">
        <v>103</v>
      </c>
      <c r="R2044" t="s">
        <v>103</v>
      </c>
      <c r="S2044" t="s">
        <v>66</v>
      </c>
      <c r="T2044" t="s">
        <v>103</v>
      </c>
    </row>
    <row r="2045" spans="1:20" x14ac:dyDescent="0.3">
      <c r="A2045" t="s">
        <v>25</v>
      </c>
      <c r="B2045" t="s">
        <v>312</v>
      </c>
      <c r="C2045">
        <v>80</v>
      </c>
      <c r="D2045" t="s">
        <v>346</v>
      </c>
      <c r="E2045" t="s">
        <v>103</v>
      </c>
      <c r="F2045" t="s">
        <v>103</v>
      </c>
      <c r="G2045" t="s">
        <v>345</v>
      </c>
      <c r="H2045" t="s">
        <v>103</v>
      </c>
      <c r="I2045" t="s">
        <v>103</v>
      </c>
      <c r="J2045" t="s">
        <v>103</v>
      </c>
      <c r="K2045" t="s">
        <v>103</v>
      </c>
      <c r="L2045" t="s">
        <v>103</v>
      </c>
      <c r="M2045" t="s">
        <v>103</v>
      </c>
      <c r="N2045" t="s">
        <v>103</v>
      </c>
      <c r="O2045" t="s">
        <v>103</v>
      </c>
      <c r="P2045" t="s">
        <v>103</v>
      </c>
      <c r="Q2045" t="s">
        <v>103</v>
      </c>
      <c r="R2045" t="s">
        <v>103</v>
      </c>
      <c r="S2045" t="s">
        <v>103</v>
      </c>
      <c r="T2045" t="s">
        <v>103</v>
      </c>
    </row>
    <row r="2046" spans="1:20" x14ac:dyDescent="0.3">
      <c r="A2046" t="s">
        <v>25</v>
      </c>
      <c r="B2046" t="s">
        <v>308</v>
      </c>
      <c r="C2046">
        <v>10</v>
      </c>
      <c r="D2046" t="s">
        <v>192</v>
      </c>
      <c r="E2046" t="s">
        <v>103</v>
      </c>
      <c r="F2046" t="s">
        <v>103</v>
      </c>
      <c r="G2046" t="s">
        <v>103</v>
      </c>
      <c r="H2046" t="s">
        <v>103</v>
      </c>
      <c r="I2046" t="s">
        <v>103</v>
      </c>
      <c r="J2046" t="s">
        <v>103</v>
      </c>
      <c r="K2046" t="s">
        <v>103</v>
      </c>
      <c r="L2046" t="s">
        <v>103</v>
      </c>
      <c r="M2046" t="s">
        <v>103</v>
      </c>
      <c r="N2046" t="s">
        <v>103</v>
      </c>
      <c r="O2046" t="s">
        <v>103</v>
      </c>
      <c r="P2046" t="s">
        <v>103</v>
      </c>
      <c r="Q2046" t="s">
        <v>103</v>
      </c>
      <c r="R2046" t="s">
        <v>103</v>
      </c>
      <c r="S2046" t="s">
        <v>103</v>
      </c>
      <c r="T2046" t="s">
        <v>103</v>
      </c>
    </row>
    <row r="2047" spans="1:20" x14ac:dyDescent="0.3">
      <c r="A2047" t="s">
        <v>26</v>
      </c>
      <c r="B2047" t="s">
        <v>311</v>
      </c>
      <c r="C2047">
        <v>343</v>
      </c>
      <c r="D2047" t="s">
        <v>1140</v>
      </c>
      <c r="E2047" t="s">
        <v>128</v>
      </c>
      <c r="F2047" t="s">
        <v>116</v>
      </c>
      <c r="G2047" t="s">
        <v>90</v>
      </c>
      <c r="H2047" t="s">
        <v>217</v>
      </c>
      <c r="I2047" t="s">
        <v>68</v>
      </c>
      <c r="J2047" t="s">
        <v>114</v>
      </c>
      <c r="K2047" t="s">
        <v>205</v>
      </c>
      <c r="L2047" t="s">
        <v>64</v>
      </c>
      <c r="M2047" t="s">
        <v>244</v>
      </c>
      <c r="N2047" t="s">
        <v>239</v>
      </c>
      <c r="O2047" t="s">
        <v>120</v>
      </c>
      <c r="P2047" t="s">
        <v>120</v>
      </c>
      <c r="Q2047" t="s">
        <v>103</v>
      </c>
      <c r="R2047" t="s">
        <v>116</v>
      </c>
      <c r="S2047" t="s">
        <v>468</v>
      </c>
      <c r="T2047" t="s">
        <v>103</v>
      </c>
    </row>
    <row r="2048" spans="1:20" x14ac:dyDescent="0.3">
      <c r="A2048" t="s">
        <v>26</v>
      </c>
      <c r="B2048" t="s">
        <v>312</v>
      </c>
      <c r="C2048">
        <v>96</v>
      </c>
      <c r="D2048" t="s">
        <v>1141</v>
      </c>
      <c r="E2048" t="s">
        <v>257</v>
      </c>
      <c r="F2048" t="s">
        <v>110</v>
      </c>
      <c r="G2048" t="s">
        <v>737</v>
      </c>
      <c r="H2048" t="s">
        <v>345</v>
      </c>
      <c r="I2048" t="s">
        <v>93</v>
      </c>
      <c r="J2048" t="s">
        <v>345</v>
      </c>
      <c r="K2048" t="s">
        <v>615</v>
      </c>
      <c r="L2048" t="s">
        <v>239</v>
      </c>
      <c r="M2048" t="s">
        <v>571</v>
      </c>
      <c r="N2048" t="s">
        <v>125</v>
      </c>
      <c r="O2048" t="s">
        <v>345</v>
      </c>
      <c r="P2048" t="s">
        <v>345</v>
      </c>
      <c r="Q2048" t="s">
        <v>103</v>
      </c>
      <c r="R2048" t="s">
        <v>103</v>
      </c>
      <c r="S2048" t="s">
        <v>103</v>
      </c>
      <c r="T2048" t="s">
        <v>103</v>
      </c>
    </row>
    <row r="2049" spans="1:20" x14ac:dyDescent="0.3">
      <c r="A2049" t="s">
        <v>26</v>
      </c>
      <c r="B2049" t="s">
        <v>308</v>
      </c>
      <c r="C2049">
        <v>38</v>
      </c>
      <c r="D2049" t="s">
        <v>47</v>
      </c>
      <c r="E2049" t="s">
        <v>118</v>
      </c>
      <c r="F2049" t="s">
        <v>103</v>
      </c>
      <c r="G2049" t="s">
        <v>543</v>
      </c>
      <c r="H2049" t="s">
        <v>103</v>
      </c>
      <c r="I2049" t="s">
        <v>103</v>
      </c>
      <c r="J2049" t="s">
        <v>103</v>
      </c>
      <c r="K2049" t="s">
        <v>70</v>
      </c>
      <c r="L2049" t="s">
        <v>103</v>
      </c>
      <c r="M2049" t="s">
        <v>571</v>
      </c>
      <c r="N2049" t="s">
        <v>118</v>
      </c>
      <c r="O2049" t="s">
        <v>103</v>
      </c>
      <c r="P2049" t="s">
        <v>103</v>
      </c>
      <c r="Q2049" t="s">
        <v>103</v>
      </c>
      <c r="R2049" t="s">
        <v>103</v>
      </c>
      <c r="S2049" t="s">
        <v>103</v>
      </c>
      <c r="T2049" t="s">
        <v>103</v>
      </c>
    </row>
    <row r="2050" spans="1:20" x14ac:dyDescent="0.3">
      <c r="A2050" t="s">
        <v>29</v>
      </c>
      <c r="B2050" t="s">
        <v>311</v>
      </c>
      <c r="C2050">
        <v>414</v>
      </c>
      <c r="D2050" t="s">
        <v>632</v>
      </c>
      <c r="E2050" t="s">
        <v>270</v>
      </c>
      <c r="F2050" t="s">
        <v>98</v>
      </c>
      <c r="G2050" t="s">
        <v>438</v>
      </c>
      <c r="H2050" t="s">
        <v>110</v>
      </c>
      <c r="I2050" t="s">
        <v>239</v>
      </c>
      <c r="J2050" t="s">
        <v>98</v>
      </c>
      <c r="K2050" t="s">
        <v>282</v>
      </c>
      <c r="L2050" t="s">
        <v>93</v>
      </c>
      <c r="M2050" t="s">
        <v>345</v>
      </c>
      <c r="N2050" t="s">
        <v>118</v>
      </c>
      <c r="O2050" t="s">
        <v>120</v>
      </c>
      <c r="P2050" t="s">
        <v>103</v>
      </c>
      <c r="Q2050" t="s">
        <v>116</v>
      </c>
      <c r="R2050" t="s">
        <v>103</v>
      </c>
      <c r="S2050" t="s">
        <v>97</v>
      </c>
      <c r="T2050" t="s">
        <v>97</v>
      </c>
    </row>
    <row r="2051" spans="1:20" x14ac:dyDescent="0.3">
      <c r="A2051" t="s">
        <v>29</v>
      </c>
      <c r="B2051" t="s">
        <v>312</v>
      </c>
      <c r="C2051">
        <v>103</v>
      </c>
      <c r="D2051" t="s">
        <v>598</v>
      </c>
      <c r="E2051" t="s">
        <v>468</v>
      </c>
      <c r="F2051" t="s">
        <v>345</v>
      </c>
      <c r="G2051" t="s">
        <v>107</v>
      </c>
      <c r="H2051" t="s">
        <v>329</v>
      </c>
      <c r="I2051" t="s">
        <v>272</v>
      </c>
      <c r="J2051" t="s">
        <v>103</v>
      </c>
      <c r="K2051" t="s">
        <v>282</v>
      </c>
      <c r="L2051" t="s">
        <v>195</v>
      </c>
      <c r="M2051" t="s">
        <v>257</v>
      </c>
      <c r="N2051" t="s">
        <v>282</v>
      </c>
      <c r="O2051" t="s">
        <v>282</v>
      </c>
      <c r="P2051" t="s">
        <v>282</v>
      </c>
      <c r="Q2051" t="s">
        <v>329</v>
      </c>
      <c r="R2051" t="s">
        <v>103</v>
      </c>
      <c r="S2051" t="s">
        <v>93</v>
      </c>
      <c r="T2051" t="s">
        <v>103</v>
      </c>
    </row>
    <row r="2052" spans="1:20" x14ac:dyDescent="0.3">
      <c r="A2052" t="s">
        <v>29</v>
      </c>
      <c r="B2052" t="s">
        <v>308</v>
      </c>
      <c r="C2052">
        <v>13</v>
      </c>
      <c r="D2052" t="s">
        <v>1142</v>
      </c>
      <c r="E2052" t="s">
        <v>126</v>
      </c>
      <c r="F2052" t="s">
        <v>103</v>
      </c>
      <c r="G2052" t="s">
        <v>126</v>
      </c>
      <c r="H2052" t="s">
        <v>103</v>
      </c>
      <c r="I2052" t="s">
        <v>126</v>
      </c>
      <c r="J2052" t="s">
        <v>103</v>
      </c>
      <c r="K2052" t="s">
        <v>146</v>
      </c>
      <c r="L2052" t="s">
        <v>103</v>
      </c>
      <c r="M2052" t="s">
        <v>103</v>
      </c>
      <c r="N2052" t="s">
        <v>103</v>
      </c>
      <c r="O2052" t="s">
        <v>103</v>
      </c>
      <c r="P2052" t="s">
        <v>103</v>
      </c>
      <c r="Q2052" t="s">
        <v>103</v>
      </c>
      <c r="R2052" t="s">
        <v>103</v>
      </c>
      <c r="S2052" t="s">
        <v>99</v>
      </c>
      <c r="T2052" t="s">
        <v>103</v>
      </c>
    </row>
    <row r="2053" spans="1:20" x14ac:dyDescent="0.3">
      <c r="A2053" t="s">
        <v>28</v>
      </c>
      <c r="B2053" t="s">
        <v>311</v>
      </c>
      <c r="C2053">
        <v>223</v>
      </c>
      <c r="D2053" t="s">
        <v>1131</v>
      </c>
      <c r="E2053" t="s">
        <v>493</v>
      </c>
      <c r="F2053" t="s">
        <v>133</v>
      </c>
      <c r="G2053" t="s">
        <v>262</v>
      </c>
      <c r="H2053" t="s">
        <v>278</v>
      </c>
      <c r="I2053" t="s">
        <v>494</v>
      </c>
      <c r="J2053" t="s">
        <v>97</v>
      </c>
      <c r="K2053" t="s">
        <v>103</v>
      </c>
      <c r="L2053" t="s">
        <v>345</v>
      </c>
      <c r="M2053" t="s">
        <v>97</v>
      </c>
      <c r="N2053" t="s">
        <v>118</v>
      </c>
      <c r="O2053" t="s">
        <v>122</v>
      </c>
      <c r="P2053" t="s">
        <v>216</v>
      </c>
      <c r="Q2053" t="s">
        <v>103</v>
      </c>
      <c r="R2053" t="s">
        <v>103</v>
      </c>
      <c r="S2053" t="s">
        <v>216</v>
      </c>
      <c r="T2053" t="s">
        <v>103</v>
      </c>
    </row>
    <row r="2054" spans="1:20" x14ac:dyDescent="0.3">
      <c r="A2054" t="s">
        <v>28</v>
      </c>
      <c r="B2054" t="s">
        <v>312</v>
      </c>
      <c r="C2054">
        <v>93</v>
      </c>
      <c r="D2054" t="s">
        <v>161</v>
      </c>
      <c r="E2054" t="s">
        <v>493</v>
      </c>
      <c r="F2054" t="s">
        <v>95</v>
      </c>
      <c r="G2054" t="s">
        <v>127</v>
      </c>
      <c r="H2054" t="s">
        <v>270</v>
      </c>
      <c r="I2054" t="s">
        <v>652</v>
      </c>
      <c r="J2054" t="s">
        <v>282</v>
      </c>
      <c r="K2054" t="s">
        <v>103</v>
      </c>
      <c r="L2054" t="s">
        <v>133</v>
      </c>
      <c r="M2054" t="s">
        <v>591</v>
      </c>
      <c r="N2054" t="s">
        <v>103</v>
      </c>
      <c r="O2054" t="s">
        <v>282</v>
      </c>
      <c r="P2054" t="s">
        <v>594</v>
      </c>
      <c r="Q2054" t="s">
        <v>194</v>
      </c>
      <c r="R2054" t="s">
        <v>103</v>
      </c>
      <c r="S2054" t="s">
        <v>110</v>
      </c>
      <c r="T2054" t="s">
        <v>103</v>
      </c>
    </row>
    <row r="2055" spans="1:20" x14ac:dyDescent="0.3">
      <c r="A2055" t="s">
        <v>28</v>
      </c>
      <c r="B2055" t="s">
        <v>308</v>
      </c>
      <c r="C2055">
        <v>1</v>
      </c>
      <c r="D2055" t="s">
        <v>192</v>
      </c>
      <c r="E2055" t="s">
        <v>103</v>
      </c>
      <c r="F2055" t="s">
        <v>103</v>
      </c>
      <c r="G2055" t="s">
        <v>103</v>
      </c>
      <c r="H2055" t="s">
        <v>103</v>
      </c>
      <c r="I2055" t="s">
        <v>103</v>
      </c>
      <c r="J2055" t="s">
        <v>103</v>
      </c>
      <c r="K2055" t="s">
        <v>103</v>
      </c>
      <c r="L2055" t="s">
        <v>103</v>
      </c>
      <c r="M2055" t="s">
        <v>103</v>
      </c>
      <c r="N2055" t="s">
        <v>103</v>
      </c>
      <c r="O2055" t="s">
        <v>103</v>
      </c>
      <c r="P2055" t="s">
        <v>103</v>
      </c>
      <c r="Q2055" t="s">
        <v>103</v>
      </c>
      <c r="R2055" t="s">
        <v>103</v>
      </c>
      <c r="S2055" t="s">
        <v>103</v>
      </c>
      <c r="T2055" t="s">
        <v>103</v>
      </c>
    </row>
    <row r="2056" spans="1:20" x14ac:dyDescent="0.3">
      <c r="A2056" t="s">
        <v>27</v>
      </c>
      <c r="B2056" t="s">
        <v>311</v>
      </c>
      <c r="C2056">
        <v>237</v>
      </c>
      <c r="D2056" t="s">
        <v>704</v>
      </c>
      <c r="E2056" t="s">
        <v>345</v>
      </c>
      <c r="F2056" t="s">
        <v>468</v>
      </c>
      <c r="G2056" t="s">
        <v>64</v>
      </c>
      <c r="H2056" t="s">
        <v>118</v>
      </c>
      <c r="I2056" t="s">
        <v>68</v>
      </c>
      <c r="J2056" t="s">
        <v>208</v>
      </c>
      <c r="K2056" t="s">
        <v>579</v>
      </c>
      <c r="L2056" t="s">
        <v>737</v>
      </c>
      <c r="M2056" t="s">
        <v>1143</v>
      </c>
      <c r="N2056" t="s">
        <v>341</v>
      </c>
      <c r="O2056" t="s">
        <v>103</v>
      </c>
      <c r="P2056" t="s">
        <v>103</v>
      </c>
      <c r="Q2056" t="s">
        <v>122</v>
      </c>
      <c r="R2056" t="s">
        <v>97</v>
      </c>
      <c r="S2056" t="s">
        <v>468</v>
      </c>
      <c r="T2056" t="s">
        <v>91</v>
      </c>
    </row>
    <row r="2057" spans="1:20" x14ac:dyDescent="0.3">
      <c r="A2057" t="s">
        <v>27</v>
      </c>
      <c r="B2057" t="s">
        <v>312</v>
      </c>
      <c r="C2057">
        <v>60</v>
      </c>
      <c r="D2057" t="s">
        <v>602</v>
      </c>
      <c r="E2057" t="s">
        <v>103</v>
      </c>
      <c r="F2057" t="s">
        <v>194</v>
      </c>
      <c r="G2057" t="s">
        <v>201</v>
      </c>
      <c r="H2057" t="s">
        <v>194</v>
      </c>
      <c r="I2057" t="s">
        <v>194</v>
      </c>
      <c r="J2057" t="s">
        <v>103</v>
      </c>
      <c r="K2057" t="s">
        <v>518</v>
      </c>
      <c r="L2057" t="s">
        <v>269</v>
      </c>
      <c r="M2057" t="s">
        <v>526</v>
      </c>
      <c r="N2057" t="s">
        <v>103</v>
      </c>
      <c r="O2057" t="s">
        <v>103</v>
      </c>
      <c r="P2057" t="s">
        <v>103</v>
      </c>
      <c r="Q2057" t="s">
        <v>103</v>
      </c>
      <c r="R2057" t="s">
        <v>103</v>
      </c>
      <c r="S2057" t="s">
        <v>103</v>
      </c>
      <c r="T2057" t="s">
        <v>103</v>
      </c>
    </row>
    <row r="2058" spans="1:20" x14ac:dyDescent="0.3">
      <c r="A2058" t="s">
        <v>27</v>
      </c>
      <c r="B2058" t="s">
        <v>308</v>
      </c>
      <c r="C2058">
        <v>3</v>
      </c>
      <c r="D2058" t="s">
        <v>192</v>
      </c>
      <c r="E2058" t="s">
        <v>103</v>
      </c>
      <c r="F2058" t="s">
        <v>103</v>
      </c>
      <c r="G2058" t="s">
        <v>103</v>
      </c>
      <c r="H2058" t="s">
        <v>103</v>
      </c>
      <c r="I2058" t="s">
        <v>103</v>
      </c>
      <c r="J2058" t="s">
        <v>103</v>
      </c>
      <c r="K2058" t="s">
        <v>103</v>
      </c>
      <c r="L2058" t="s">
        <v>103</v>
      </c>
      <c r="M2058" t="s">
        <v>103</v>
      </c>
      <c r="N2058" t="s">
        <v>103</v>
      </c>
      <c r="O2058" t="s">
        <v>103</v>
      </c>
      <c r="P2058" t="s">
        <v>103</v>
      </c>
      <c r="Q2058" t="s">
        <v>103</v>
      </c>
      <c r="R2058" t="s">
        <v>103</v>
      </c>
      <c r="S2058" t="s">
        <v>103</v>
      </c>
      <c r="T2058" t="s">
        <v>103</v>
      </c>
    </row>
    <row r="2059" spans="1:20" x14ac:dyDescent="0.3">
      <c r="A2059" t="s">
        <v>41</v>
      </c>
      <c r="B2059" t="s">
        <v>311</v>
      </c>
      <c r="C2059">
        <v>1541</v>
      </c>
      <c r="D2059" t="s">
        <v>168</v>
      </c>
      <c r="E2059" t="s">
        <v>128</v>
      </c>
      <c r="F2059" t="s">
        <v>139</v>
      </c>
      <c r="G2059" t="s">
        <v>186</v>
      </c>
      <c r="H2059" t="s">
        <v>216</v>
      </c>
      <c r="I2059" t="s">
        <v>341</v>
      </c>
      <c r="J2059" t="s">
        <v>216</v>
      </c>
      <c r="K2059" t="s">
        <v>438</v>
      </c>
      <c r="L2059" t="s">
        <v>93</v>
      </c>
      <c r="M2059" t="s">
        <v>532</v>
      </c>
      <c r="N2059" t="s">
        <v>341</v>
      </c>
      <c r="O2059" t="s">
        <v>122</v>
      </c>
      <c r="P2059" t="s">
        <v>66</v>
      </c>
      <c r="Q2059" t="s">
        <v>66</v>
      </c>
      <c r="R2059" t="s">
        <v>91</v>
      </c>
      <c r="S2059" t="s">
        <v>95</v>
      </c>
      <c r="T2059" t="s">
        <v>66</v>
      </c>
    </row>
    <row r="2060" spans="1:20" x14ac:dyDescent="0.3">
      <c r="A2060" t="s">
        <v>41</v>
      </c>
      <c r="B2060" t="s">
        <v>312</v>
      </c>
      <c r="C2060">
        <v>432</v>
      </c>
      <c r="D2060" t="s">
        <v>170</v>
      </c>
      <c r="E2060" t="s">
        <v>110</v>
      </c>
      <c r="F2060" t="s">
        <v>98</v>
      </c>
      <c r="G2060" t="s">
        <v>32</v>
      </c>
      <c r="H2060" t="s">
        <v>239</v>
      </c>
      <c r="I2060" t="s">
        <v>266</v>
      </c>
      <c r="J2060" t="s">
        <v>116</v>
      </c>
      <c r="K2060" t="s">
        <v>93</v>
      </c>
      <c r="L2060" t="s">
        <v>217</v>
      </c>
      <c r="M2060" t="s">
        <v>113</v>
      </c>
      <c r="N2060" t="s">
        <v>194</v>
      </c>
      <c r="O2060" t="s">
        <v>139</v>
      </c>
      <c r="P2060" t="s">
        <v>468</v>
      </c>
      <c r="Q2060" t="s">
        <v>345</v>
      </c>
      <c r="R2060" t="s">
        <v>103</v>
      </c>
      <c r="S2060" t="s">
        <v>345</v>
      </c>
      <c r="T2060" t="s">
        <v>103</v>
      </c>
    </row>
    <row r="2061" spans="1:20" x14ac:dyDescent="0.3">
      <c r="A2061" t="s">
        <v>41</v>
      </c>
      <c r="B2061" t="s">
        <v>308</v>
      </c>
      <c r="C2061">
        <v>65</v>
      </c>
      <c r="D2061" t="s">
        <v>1144</v>
      </c>
      <c r="E2061" t="s">
        <v>438</v>
      </c>
      <c r="F2061" t="s">
        <v>103</v>
      </c>
      <c r="G2061" t="s">
        <v>108</v>
      </c>
      <c r="H2061" t="s">
        <v>103</v>
      </c>
      <c r="I2061" t="s">
        <v>329</v>
      </c>
      <c r="J2061" t="s">
        <v>103</v>
      </c>
      <c r="K2061" t="s">
        <v>558</v>
      </c>
      <c r="L2061" t="s">
        <v>103</v>
      </c>
      <c r="M2061" t="s">
        <v>214</v>
      </c>
      <c r="N2061" t="s">
        <v>110</v>
      </c>
      <c r="O2061" t="s">
        <v>103</v>
      </c>
      <c r="P2061" t="s">
        <v>103</v>
      </c>
      <c r="Q2061" t="s">
        <v>103</v>
      </c>
      <c r="R2061" t="s">
        <v>103</v>
      </c>
      <c r="S2061" t="s">
        <v>217</v>
      </c>
      <c r="T2061" t="s">
        <v>103</v>
      </c>
    </row>
    <row r="2063" spans="1:20" x14ac:dyDescent="0.3">
      <c r="A2063" t="s">
        <v>1145</v>
      </c>
    </row>
    <row r="2064" spans="1:20" x14ac:dyDescent="0.3">
      <c r="A2064" t="s">
        <v>36</v>
      </c>
      <c r="B2064" t="s">
        <v>197</v>
      </c>
      <c r="C2064" t="s">
        <v>24</v>
      </c>
      <c r="D2064" t="s">
        <v>1117</v>
      </c>
      <c r="E2064" t="s">
        <v>1118</v>
      </c>
      <c r="F2064" t="s">
        <v>1119</v>
      </c>
      <c r="G2064" t="s">
        <v>1120</v>
      </c>
      <c r="H2064" t="s">
        <v>1121</v>
      </c>
      <c r="I2064" t="s">
        <v>1122</v>
      </c>
      <c r="J2064" t="s">
        <v>1123</v>
      </c>
      <c r="K2064" t="s">
        <v>1124</v>
      </c>
      <c r="L2064" t="s">
        <v>1125</v>
      </c>
      <c r="M2064" t="s">
        <v>1126</v>
      </c>
      <c r="N2064" t="s">
        <v>1127</v>
      </c>
      <c r="O2064" t="s">
        <v>1128</v>
      </c>
      <c r="P2064" t="s">
        <v>1129</v>
      </c>
      <c r="Q2064" t="s">
        <v>1130</v>
      </c>
      <c r="R2064" t="s">
        <v>183</v>
      </c>
      <c r="S2064" t="s">
        <v>87</v>
      </c>
      <c r="T2064" t="s">
        <v>181</v>
      </c>
    </row>
    <row r="2065" spans="1:20" x14ac:dyDescent="0.3">
      <c r="A2065" t="s">
        <v>25</v>
      </c>
      <c r="B2065" t="s">
        <v>198</v>
      </c>
      <c r="C2065">
        <v>104</v>
      </c>
      <c r="D2065" t="s">
        <v>861</v>
      </c>
      <c r="E2065" t="s">
        <v>105</v>
      </c>
      <c r="F2065" t="s">
        <v>103</v>
      </c>
      <c r="G2065" t="s">
        <v>97</v>
      </c>
      <c r="H2065" t="s">
        <v>103</v>
      </c>
      <c r="I2065" t="s">
        <v>103</v>
      </c>
      <c r="J2065" t="s">
        <v>216</v>
      </c>
      <c r="K2065" t="s">
        <v>103</v>
      </c>
      <c r="L2065" t="s">
        <v>239</v>
      </c>
      <c r="M2065" t="s">
        <v>103</v>
      </c>
      <c r="N2065" t="s">
        <v>217</v>
      </c>
      <c r="O2065" t="s">
        <v>103</v>
      </c>
      <c r="P2065" t="s">
        <v>103</v>
      </c>
      <c r="Q2065" t="s">
        <v>103</v>
      </c>
      <c r="R2065" t="s">
        <v>103</v>
      </c>
      <c r="S2065" t="s">
        <v>103</v>
      </c>
      <c r="T2065" t="s">
        <v>103</v>
      </c>
    </row>
    <row r="2066" spans="1:20" x14ac:dyDescent="0.3">
      <c r="A2066" t="s">
        <v>25</v>
      </c>
      <c r="B2066" t="s">
        <v>199</v>
      </c>
      <c r="C2066">
        <v>310</v>
      </c>
      <c r="D2066" t="s">
        <v>328</v>
      </c>
      <c r="E2066" t="s">
        <v>116</v>
      </c>
      <c r="F2066" t="s">
        <v>103</v>
      </c>
      <c r="G2066" t="s">
        <v>120</v>
      </c>
      <c r="H2066" t="s">
        <v>103</v>
      </c>
      <c r="I2066" t="s">
        <v>103</v>
      </c>
      <c r="J2066" t="s">
        <v>116</v>
      </c>
      <c r="K2066" t="s">
        <v>95</v>
      </c>
      <c r="L2066" t="s">
        <v>103</v>
      </c>
      <c r="M2066" t="s">
        <v>103</v>
      </c>
      <c r="N2066" t="s">
        <v>116</v>
      </c>
      <c r="O2066" t="s">
        <v>103</v>
      </c>
      <c r="P2066" t="s">
        <v>103</v>
      </c>
      <c r="Q2066" t="s">
        <v>103</v>
      </c>
      <c r="R2066" t="s">
        <v>103</v>
      </c>
      <c r="S2066" t="s">
        <v>66</v>
      </c>
      <c r="T2066" t="s">
        <v>103</v>
      </c>
    </row>
    <row r="2067" spans="1:20" x14ac:dyDescent="0.3">
      <c r="A2067" t="s">
        <v>26</v>
      </c>
      <c r="B2067" t="s">
        <v>198</v>
      </c>
      <c r="C2067">
        <v>41</v>
      </c>
      <c r="D2067" t="s">
        <v>974</v>
      </c>
      <c r="E2067" t="s">
        <v>201</v>
      </c>
      <c r="F2067" t="s">
        <v>103</v>
      </c>
      <c r="G2067" t="s">
        <v>103</v>
      </c>
      <c r="H2067" t="s">
        <v>118</v>
      </c>
      <c r="I2067" t="s">
        <v>103</v>
      </c>
      <c r="J2067" t="s">
        <v>113</v>
      </c>
      <c r="K2067" t="s">
        <v>607</v>
      </c>
      <c r="L2067" t="s">
        <v>103</v>
      </c>
      <c r="M2067" t="s">
        <v>607</v>
      </c>
      <c r="N2067" t="s">
        <v>103</v>
      </c>
      <c r="O2067" t="s">
        <v>103</v>
      </c>
      <c r="P2067" t="s">
        <v>103</v>
      </c>
      <c r="Q2067" t="s">
        <v>103</v>
      </c>
      <c r="R2067" t="s">
        <v>103</v>
      </c>
      <c r="S2067" t="s">
        <v>103</v>
      </c>
      <c r="T2067" t="s">
        <v>103</v>
      </c>
    </row>
    <row r="2068" spans="1:20" x14ac:dyDescent="0.3">
      <c r="A2068" t="s">
        <v>26</v>
      </c>
      <c r="B2068" t="s">
        <v>199</v>
      </c>
      <c r="C2068">
        <v>436</v>
      </c>
      <c r="D2068" t="s">
        <v>755</v>
      </c>
      <c r="E2068" t="s">
        <v>128</v>
      </c>
      <c r="F2068" t="s">
        <v>97</v>
      </c>
      <c r="G2068" t="s">
        <v>601</v>
      </c>
      <c r="H2068" t="s">
        <v>329</v>
      </c>
      <c r="I2068" t="s">
        <v>64</v>
      </c>
      <c r="J2068" t="s">
        <v>195</v>
      </c>
      <c r="K2068" t="s">
        <v>460</v>
      </c>
      <c r="L2068" t="s">
        <v>257</v>
      </c>
      <c r="M2068" t="s">
        <v>119</v>
      </c>
      <c r="N2068" t="s">
        <v>208</v>
      </c>
      <c r="O2068" t="s">
        <v>95</v>
      </c>
      <c r="P2068" t="s">
        <v>95</v>
      </c>
      <c r="Q2068" t="s">
        <v>103</v>
      </c>
      <c r="R2068" t="s">
        <v>116</v>
      </c>
      <c r="S2068" t="s">
        <v>98</v>
      </c>
      <c r="T2068" t="s">
        <v>103</v>
      </c>
    </row>
    <row r="2069" spans="1:20" x14ac:dyDescent="0.3">
      <c r="A2069" t="s">
        <v>29</v>
      </c>
      <c r="B2069" t="s">
        <v>198</v>
      </c>
      <c r="C2069">
        <v>170</v>
      </c>
      <c r="D2069" t="s">
        <v>632</v>
      </c>
      <c r="E2069" t="s">
        <v>270</v>
      </c>
      <c r="F2069" t="s">
        <v>139</v>
      </c>
      <c r="G2069" t="s">
        <v>532</v>
      </c>
      <c r="H2069" t="s">
        <v>110</v>
      </c>
      <c r="I2069" t="s">
        <v>208</v>
      </c>
      <c r="J2069" t="s">
        <v>103</v>
      </c>
      <c r="K2069" t="s">
        <v>341</v>
      </c>
      <c r="L2069" t="s">
        <v>95</v>
      </c>
      <c r="M2069" t="s">
        <v>194</v>
      </c>
      <c r="N2069" t="s">
        <v>217</v>
      </c>
      <c r="O2069" t="s">
        <v>103</v>
      </c>
      <c r="P2069" t="s">
        <v>103</v>
      </c>
      <c r="Q2069" t="s">
        <v>103</v>
      </c>
      <c r="R2069" t="s">
        <v>103</v>
      </c>
      <c r="S2069" t="s">
        <v>66</v>
      </c>
      <c r="T2069" t="s">
        <v>122</v>
      </c>
    </row>
    <row r="2070" spans="1:20" x14ac:dyDescent="0.3">
      <c r="A2070" t="s">
        <v>29</v>
      </c>
      <c r="B2070" t="s">
        <v>199</v>
      </c>
      <c r="C2070">
        <v>360</v>
      </c>
      <c r="D2070" t="s">
        <v>818</v>
      </c>
      <c r="E2070" t="s">
        <v>217</v>
      </c>
      <c r="F2070" t="s">
        <v>98</v>
      </c>
      <c r="G2070" t="s">
        <v>467</v>
      </c>
      <c r="H2070" t="s">
        <v>239</v>
      </c>
      <c r="I2070" t="s">
        <v>341</v>
      </c>
      <c r="J2070" t="s">
        <v>345</v>
      </c>
      <c r="K2070" t="s">
        <v>98</v>
      </c>
      <c r="L2070" t="s">
        <v>195</v>
      </c>
      <c r="M2070" t="s">
        <v>194</v>
      </c>
      <c r="N2070" t="s">
        <v>341</v>
      </c>
      <c r="O2070" t="s">
        <v>98</v>
      </c>
      <c r="P2070" t="s">
        <v>116</v>
      </c>
      <c r="Q2070" t="s">
        <v>98</v>
      </c>
      <c r="R2070" t="s">
        <v>103</v>
      </c>
      <c r="S2070" t="s">
        <v>110</v>
      </c>
      <c r="T2070" t="s">
        <v>116</v>
      </c>
    </row>
    <row r="2071" spans="1:20" x14ac:dyDescent="0.3">
      <c r="A2071" t="s">
        <v>28</v>
      </c>
      <c r="B2071" t="s">
        <v>198</v>
      </c>
      <c r="C2071">
        <v>70</v>
      </c>
      <c r="D2071" t="s">
        <v>704</v>
      </c>
      <c r="E2071" t="s">
        <v>127</v>
      </c>
      <c r="F2071" t="s">
        <v>536</v>
      </c>
      <c r="G2071" t="s">
        <v>813</v>
      </c>
      <c r="H2071" t="s">
        <v>536</v>
      </c>
      <c r="I2071" t="s">
        <v>789</v>
      </c>
      <c r="J2071" t="s">
        <v>239</v>
      </c>
      <c r="K2071" t="s">
        <v>103</v>
      </c>
      <c r="L2071" t="s">
        <v>341</v>
      </c>
      <c r="M2071" t="s">
        <v>103</v>
      </c>
      <c r="N2071" t="s">
        <v>98</v>
      </c>
      <c r="O2071" t="s">
        <v>103</v>
      </c>
      <c r="P2071" t="s">
        <v>64</v>
      </c>
      <c r="Q2071" t="s">
        <v>103</v>
      </c>
      <c r="R2071" t="s">
        <v>103</v>
      </c>
      <c r="S2071" t="s">
        <v>558</v>
      </c>
      <c r="T2071" t="s">
        <v>103</v>
      </c>
    </row>
    <row r="2072" spans="1:20" x14ac:dyDescent="0.3">
      <c r="A2072" t="s">
        <v>28</v>
      </c>
      <c r="B2072" t="s">
        <v>199</v>
      </c>
      <c r="C2072">
        <v>247</v>
      </c>
      <c r="D2072" t="s">
        <v>606</v>
      </c>
      <c r="E2072" t="s">
        <v>118</v>
      </c>
      <c r="F2072" t="s">
        <v>245</v>
      </c>
      <c r="G2072" t="s">
        <v>511</v>
      </c>
      <c r="H2072" t="s">
        <v>329</v>
      </c>
      <c r="I2072" t="s">
        <v>125</v>
      </c>
      <c r="J2072" t="s">
        <v>122</v>
      </c>
      <c r="K2072" t="s">
        <v>103</v>
      </c>
      <c r="L2072" t="s">
        <v>128</v>
      </c>
      <c r="M2072" t="s">
        <v>341</v>
      </c>
      <c r="N2072" t="s">
        <v>208</v>
      </c>
      <c r="O2072" t="s">
        <v>95</v>
      </c>
      <c r="P2072" t="s">
        <v>64</v>
      </c>
      <c r="Q2072" t="s">
        <v>97</v>
      </c>
      <c r="R2072" t="s">
        <v>103</v>
      </c>
      <c r="S2072" t="s">
        <v>66</v>
      </c>
      <c r="T2072" t="s">
        <v>103</v>
      </c>
    </row>
    <row r="2073" spans="1:20" x14ac:dyDescent="0.3">
      <c r="A2073" t="s">
        <v>27</v>
      </c>
      <c r="B2073" t="s">
        <v>198</v>
      </c>
      <c r="C2073">
        <v>136</v>
      </c>
      <c r="D2073" t="s">
        <v>403</v>
      </c>
      <c r="E2073" t="s">
        <v>468</v>
      </c>
      <c r="F2073" t="s">
        <v>122</v>
      </c>
      <c r="G2073" t="s">
        <v>122</v>
      </c>
      <c r="H2073" t="s">
        <v>345</v>
      </c>
      <c r="I2073" t="s">
        <v>128</v>
      </c>
      <c r="J2073" t="s">
        <v>194</v>
      </c>
      <c r="K2073" t="s">
        <v>579</v>
      </c>
      <c r="L2073" t="s">
        <v>90</v>
      </c>
      <c r="M2073" t="s">
        <v>484</v>
      </c>
      <c r="N2073" t="s">
        <v>217</v>
      </c>
      <c r="O2073" t="s">
        <v>103</v>
      </c>
      <c r="P2073" t="s">
        <v>103</v>
      </c>
      <c r="Q2073" t="s">
        <v>103</v>
      </c>
      <c r="R2073" t="s">
        <v>98</v>
      </c>
      <c r="S2073" t="s">
        <v>110</v>
      </c>
      <c r="T2073" t="s">
        <v>103</v>
      </c>
    </row>
    <row r="2074" spans="1:20" x14ac:dyDescent="0.3">
      <c r="A2074" t="s">
        <v>27</v>
      </c>
      <c r="B2074" t="s">
        <v>199</v>
      </c>
      <c r="C2074">
        <v>164</v>
      </c>
      <c r="D2074" t="s">
        <v>1146</v>
      </c>
      <c r="E2074" t="s">
        <v>120</v>
      </c>
      <c r="F2074" t="s">
        <v>341</v>
      </c>
      <c r="G2074" t="s">
        <v>112</v>
      </c>
      <c r="H2074" t="s">
        <v>272</v>
      </c>
      <c r="I2074" t="s">
        <v>272</v>
      </c>
      <c r="J2074" t="s">
        <v>208</v>
      </c>
      <c r="K2074" t="s">
        <v>268</v>
      </c>
      <c r="L2074" t="s">
        <v>482</v>
      </c>
      <c r="M2074" t="s">
        <v>975</v>
      </c>
      <c r="N2074" t="s">
        <v>95</v>
      </c>
      <c r="O2074" t="s">
        <v>103</v>
      </c>
      <c r="P2074" t="s">
        <v>103</v>
      </c>
      <c r="Q2074" t="s">
        <v>95</v>
      </c>
      <c r="R2074" t="s">
        <v>103</v>
      </c>
      <c r="S2074" t="s">
        <v>120</v>
      </c>
      <c r="T2074" t="s">
        <v>66</v>
      </c>
    </row>
    <row r="2075" spans="1:20" x14ac:dyDescent="0.3">
      <c r="A2075" t="s">
        <v>41</v>
      </c>
      <c r="B2075" t="s">
        <v>198</v>
      </c>
      <c r="C2075">
        <v>521</v>
      </c>
      <c r="D2075" t="s">
        <v>246</v>
      </c>
      <c r="E2075" t="s">
        <v>270</v>
      </c>
      <c r="F2075" t="s">
        <v>345</v>
      </c>
      <c r="G2075" t="s">
        <v>125</v>
      </c>
      <c r="H2075" t="s">
        <v>245</v>
      </c>
      <c r="I2075" t="s">
        <v>257</v>
      </c>
      <c r="J2075" t="s">
        <v>95</v>
      </c>
      <c r="K2075" t="s">
        <v>438</v>
      </c>
      <c r="L2075" t="s">
        <v>216</v>
      </c>
      <c r="M2075" t="s">
        <v>493</v>
      </c>
      <c r="N2075" t="s">
        <v>128</v>
      </c>
      <c r="O2075" t="s">
        <v>103</v>
      </c>
      <c r="P2075" t="s">
        <v>91</v>
      </c>
      <c r="Q2075" t="s">
        <v>103</v>
      </c>
      <c r="R2075" t="s">
        <v>91</v>
      </c>
      <c r="S2075" t="s">
        <v>97</v>
      </c>
      <c r="T2075" t="s">
        <v>116</v>
      </c>
    </row>
    <row r="2076" spans="1:20" x14ac:dyDescent="0.3">
      <c r="A2076" t="s">
        <v>41</v>
      </c>
      <c r="B2076" t="s">
        <v>199</v>
      </c>
      <c r="C2076">
        <v>1517</v>
      </c>
      <c r="D2076" t="s">
        <v>165</v>
      </c>
      <c r="E2076" t="s">
        <v>341</v>
      </c>
      <c r="F2076" t="s">
        <v>95</v>
      </c>
      <c r="G2076" t="s">
        <v>615</v>
      </c>
      <c r="H2076" t="s">
        <v>239</v>
      </c>
      <c r="I2076" t="s">
        <v>341</v>
      </c>
      <c r="J2076" t="s">
        <v>239</v>
      </c>
      <c r="K2076" t="s">
        <v>272</v>
      </c>
      <c r="L2076" t="s">
        <v>118</v>
      </c>
      <c r="M2076" t="s">
        <v>214</v>
      </c>
      <c r="N2076" t="s">
        <v>216</v>
      </c>
      <c r="O2076" t="s">
        <v>120</v>
      </c>
      <c r="P2076" t="s">
        <v>122</v>
      </c>
      <c r="Q2076" t="s">
        <v>122</v>
      </c>
      <c r="R2076" t="s">
        <v>91</v>
      </c>
      <c r="S2076" t="s">
        <v>98</v>
      </c>
      <c r="T2076" t="s">
        <v>66</v>
      </c>
    </row>
    <row r="2078" spans="1:20" x14ac:dyDescent="0.3">
      <c r="A2078" t="s">
        <v>1147</v>
      </c>
    </row>
    <row r="2079" spans="1:20" x14ac:dyDescent="0.3">
      <c r="A2079" t="s">
        <v>36</v>
      </c>
      <c r="B2079" t="s">
        <v>210</v>
      </c>
      <c r="C2079" t="s">
        <v>24</v>
      </c>
      <c r="D2079" t="s">
        <v>1117</v>
      </c>
      <c r="E2079" t="s">
        <v>1118</v>
      </c>
      <c r="F2079" t="s">
        <v>1119</v>
      </c>
      <c r="G2079" t="s">
        <v>1120</v>
      </c>
      <c r="H2079" t="s">
        <v>1121</v>
      </c>
      <c r="I2079" t="s">
        <v>1122</v>
      </c>
      <c r="J2079" t="s">
        <v>1123</v>
      </c>
      <c r="K2079" t="s">
        <v>1124</v>
      </c>
      <c r="L2079" t="s">
        <v>1125</v>
      </c>
      <c r="M2079" t="s">
        <v>1126</v>
      </c>
      <c r="N2079" t="s">
        <v>1127</v>
      </c>
      <c r="O2079" t="s">
        <v>1128</v>
      </c>
      <c r="P2079" t="s">
        <v>1129</v>
      </c>
      <c r="Q2079" t="s">
        <v>1130</v>
      </c>
      <c r="R2079" t="s">
        <v>183</v>
      </c>
      <c r="S2079" t="s">
        <v>87</v>
      </c>
      <c r="T2079" t="s">
        <v>181</v>
      </c>
    </row>
    <row r="2080" spans="1:20" x14ac:dyDescent="0.3">
      <c r="A2080" t="s">
        <v>25</v>
      </c>
      <c r="B2080" t="s">
        <v>211</v>
      </c>
      <c r="C2080">
        <v>414</v>
      </c>
      <c r="D2080" t="s">
        <v>768</v>
      </c>
      <c r="E2080" t="s">
        <v>120</v>
      </c>
      <c r="F2080" t="s">
        <v>103</v>
      </c>
      <c r="G2080" t="s">
        <v>120</v>
      </c>
      <c r="H2080" t="s">
        <v>103</v>
      </c>
      <c r="I2080" t="s">
        <v>103</v>
      </c>
      <c r="J2080" t="s">
        <v>120</v>
      </c>
      <c r="K2080" t="s">
        <v>120</v>
      </c>
      <c r="L2080" t="s">
        <v>116</v>
      </c>
      <c r="M2080" t="s">
        <v>103</v>
      </c>
      <c r="N2080" t="s">
        <v>139</v>
      </c>
      <c r="O2080" t="s">
        <v>103</v>
      </c>
      <c r="P2080" t="s">
        <v>103</v>
      </c>
      <c r="Q2080" t="s">
        <v>103</v>
      </c>
      <c r="R2080" t="s">
        <v>103</v>
      </c>
      <c r="S2080" t="s">
        <v>66</v>
      </c>
      <c r="T2080" t="s">
        <v>103</v>
      </c>
    </row>
    <row r="2081" spans="1:20" x14ac:dyDescent="0.3">
      <c r="A2081" t="s">
        <v>26</v>
      </c>
      <c r="B2081" t="s">
        <v>211</v>
      </c>
      <c r="C2081">
        <v>223</v>
      </c>
      <c r="D2081" t="s">
        <v>636</v>
      </c>
      <c r="E2081" t="s">
        <v>139</v>
      </c>
      <c r="F2081" t="s">
        <v>103</v>
      </c>
      <c r="G2081" t="s">
        <v>68</v>
      </c>
      <c r="H2081" t="s">
        <v>103</v>
      </c>
      <c r="I2081" t="s">
        <v>103</v>
      </c>
      <c r="J2081" t="s">
        <v>97</v>
      </c>
      <c r="K2081" t="s">
        <v>105</v>
      </c>
      <c r="L2081" t="s">
        <v>103</v>
      </c>
      <c r="M2081" t="s">
        <v>103</v>
      </c>
      <c r="N2081" t="s">
        <v>103</v>
      </c>
      <c r="O2081" t="s">
        <v>103</v>
      </c>
      <c r="P2081" t="s">
        <v>103</v>
      </c>
      <c r="Q2081" t="s">
        <v>103</v>
      </c>
      <c r="R2081" t="s">
        <v>103</v>
      </c>
      <c r="S2081" t="s">
        <v>122</v>
      </c>
      <c r="T2081" t="s">
        <v>103</v>
      </c>
    </row>
    <row r="2082" spans="1:20" x14ac:dyDescent="0.3">
      <c r="A2082" t="s">
        <v>26</v>
      </c>
      <c r="B2082" t="s">
        <v>212</v>
      </c>
      <c r="C2082">
        <v>254</v>
      </c>
      <c r="D2082" t="s">
        <v>690</v>
      </c>
      <c r="E2082" t="s">
        <v>188</v>
      </c>
      <c r="F2082" t="s">
        <v>98</v>
      </c>
      <c r="G2082" t="s">
        <v>167</v>
      </c>
      <c r="H2082" t="s">
        <v>591</v>
      </c>
      <c r="I2082" t="s">
        <v>278</v>
      </c>
      <c r="J2082" t="s">
        <v>133</v>
      </c>
      <c r="K2082" t="s">
        <v>918</v>
      </c>
      <c r="L2082" t="s">
        <v>532</v>
      </c>
      <c r="M2082" t="s">
        <v>506</v>
      </c>
      <c r="N2082" t="s">
        <v>493</v>
      </c>
      <c r="O2082" t="s">
        <v>468</v>
      </c>
      <c r="P2082" t="s">
        <v>468</v>
      </c>
      <c r="Q2082" t="s">
        <v>103</v>
      </c>
      <c r="R2082" t="s">
        <v>97</v>
      </c>
      <c r="S2082" t="s">
        <v>194</v>
      </c>
      <c r="T2082" t="s">
        <v>103</v>
      </c>
    </row>
    <row r="2083" spans="1:20" x14ac:dyDescent="0.3">
      <c r="A2083" t="s">
        <v>29</v>
      </c>
      <c r="B2083" t="s">
        <v>211</v>
      </c>
      <c r="C2083">
        <v>530</v>
      </c>
      <c r="D2083" t="s">
        <v>193</v>
      </c>
      <c r="E2083" t="s">
        <v>266</v>
      </c>
      <c r="F2083" t="s">
        <v>98</v>
      </c>
      <c r="G2083" t="s">
        <v>125</v>
      </c>
      <c r="H2083" t="s">
        <v>239</v>
      </c>
      <c r="I2083" t="s">
        <v>208</v>
      </c>
      <c r="J2083" t="s">
        <v>95</v>
      </c>
      <c r="K2083" t="s">
        <v>468</v>
      </c>
      <c r="L2083" t="s">
        <v>128</v>
      </c>
      <c r="M2083" t="s">
        <v>194</v>
      </c>
      <c r="N2083" t="s">
        <v>329</v>
      </c>
      <c r="O2083" t="s">
        <v>120</v>
      </c>
      <c r="P2083" t="s">
        <v>66</v>
      </c>
      <c r="Q2083" t="s">
        <v>120</v>
      </c>
      <c r="R2083" t="s">
        <v>103</v>
      </c>
      <c r="S2083" t="s">
        <v>282</v>
      </c>
      <c r="T2083" t="s">
        <v>122</v>
      </c>
    </row>
    <row r="2084" spans="1:20" x14ac:dyDescent="0.3">
      <c r="A2084" t="s">
        <v>28</v>
      </c>
      <c r="B2084" t="s">
        <v>211</v>
      </c>
      <c r="C2084">
        <v>277</v>
      </c>
      <c r="D2084" t="s">
        <v>189</v>
      </c>
      <c r="E2084" t="s">
        <v>188</v>
      </c>
      <c r="F2084" t="s">
        <v>214</v>
      </c>
      <c r="G2084" t="s">
        <v>629</v>
      </c>
      <c r="H2084" t="s">
        <v>214</v>
      </c>
      <c r="I2084" t="s">
        <v>137</v>
      </c>
      <c r="J2084" t="s">
        <v>122</v>
      </c>
      <c r="K2084" t="s">
        <v>103</v>
      </c>
      <c r="L2084" t="s">
        <v>257</v>
      </c>
      <c r="M2084" t="s">
        <v>216</v>
      </c>
      <c r="N2084" t="s">
        <v>208</v>
      </c>
      <c r="O2084" t="s">
        <v>103</v>
      </c>
      <c r="P2084" t="s">
        <v>68</v>
      </c>
      <c r="Q2084" t="s">
        <v>122</v>
      </c>
      <c r="R2084" t="s">
        <v>103</v>
      </c>
      <c r="S2084" t="s">
        <v>245</v>
      </c>
      <c r="T2084" t="s">
        <v>103</v>
      </c>
    </row>
    <row r="2085" spans="1:20" x14ac:dyDescent="0.3">
      <c r="A2085" t="s">
        <v>28</v>
      </c>
      <c r="B2085" t="s">
        <v>212</v>
      </c>
      <c r="C2085">
        <v>40</v>
      </c>
      <c r="D2085" t="s">
        <v>283</v>
      </c>
      <c r="E2085" t="s">
        <v>217</v>
      </c>
      <c r="F2085" t="s">
        <v>103</v>
      </c>
      <c r="G2085" t="s">
        <v>103</v>
      </c>
      <c r="H2085" t="s">
        <v>217</v>
      </c>
      <c r="I2085" t="s">
        <v>103</v>
      </c>
      <c r="J2085" t="s">
        <v>217</v>
      </c>
      <c r="K2085" t="s">
        <v>103</v>
      </c>
      <c r="L2085" t="s">
        <v>103</v>
      </c>
      <c r="M2085" t="s">
        <v>103</v>
      </c>
      <c r="N2085" t="s">
        <v>103</v>
      </c>
      <c r="O2085" t="s">
        <v>70</v>
      </c>
      <c r="P2085" t="s">
        <v>103</v>
      </c>
      <c r="Q2085" t="s">
        <v>103</v>
      </c>
      <c r="R2085" t="s">
        <v>103</v>
      </c>
      <c r="S2085" t="s">
        <v>103</v>
      </c>
      <c r="T2085" t="s">
        <v>103</v>
      </c>
    </row>
    <row r="2086" spans="1:20" x14ac:dyDescent="0.3">
      <c r="A2086" t="s">
        <v>27</v>
      </c>
      <c r="B2086" t="s">
        <v>211</v>
      </c>
      <c r="C2086">
        <v>270</v>
      </c>
      <c r="D2086" t="s">
        <v>822</v>
      </c>
      <c r="E2086" t="s">
        <v>282</v>
      </c>
      <c r="F2086" t="s">
        <v>194</v>
      </c>
      <c r="G2086" t="s">
        <v>266</v>
      </c>
      <c r="H2086" t="s">
        <v>128</v>
      </c>
      <c r="I2086" t="s">
        <v>270</v>
      </c>
      <c r="J2086" t="s">
        <v>245</v>
      </c>
      <c r="K2086" t="s">
        <v>132</v>
      </c>
      <c r="L2086" t="s">
        <v>482</v>
      </c>
      <c r="M2086" t="s">
        <v>565</v>
      </c>
      <c r="N2086" t="s">
        <v>245</v>
      </c>
      <c r="O2086" t="s">
        <v>103</v>
      </c>
      <c r="P2086" t="s">
        <v>103</v>
      </c>
      <c r="Q2086" t="s">
        <v>122</v>
      </c>
      <c r="R2086" t="s">
        <v>122</v>
      </c>
      <c r="S2086" t="s">
        <v>282</v>
      </c>
      <c r="T2086" t="s">
        <v>91</v>
      </c>
    </row>
    <row r="2087" spans="1:20" s="3" customFormat="1" x14ac:dyDescent="0.3">
      <c r="A2087" s="3" t="s">
        <v>27</v>
      </c>
      <c r="B2087" s="3" t="s">
        <v>212</v>
      </c>
      <c r="C2087" s="3">
        <v>30</v>
      </c>
      <c r="D2087" s="3" t="s">
        <v>606</v>
      </c>
      <c r="E2087" s="3" t="s">
        <v>103</v>
      </c>
      <c r="F2087" s="3" t="s">
        <v>103</v>
      </c>
      <c r="G2087" s="3" t="s">
        <v>652</v>
      </c>
      <c r="H2087" s="3" t="s">
        <v>103</v>
      </c>
      <c r="I2087" s="3" t="s">
        <v>103</v>
      </c>
      <c r="J2087" s="3" t="s">
        <v>103</v>
      </c>
      <c r="K2087" s="3" t="s">
        <v>103</v>
      </c>
      <c r="L2087" s="3" t="s">
        <v>103</v>
      </c>
      <c r="M2087" s="3" t="s">
        <v>652</v>
      </c>
      <c r="N2087" s="3" t="s">
        <v>103</v>
      </c>
      <c r="O2087" s="3" t="s">
        <v>103</v>
      </c>
      <c r="P2087" s="3" t="s">
        <v>103</v>
      </c>
      <c r="Q2087" s="3" t="s">
        <v>103</v>
      </c>
      <c r="R2087" s="3" t="s">
        <v>103</v>
      </c>
      <c r="S2087" s="3" t="s">
        <v>103</v>
      </c>
      <c r="T2087" s="3" t="s">
        <v>103</v>
      </c>
    </row>
    <row r="2088" spans="1:20" x14ac:dyDescent="0.3">
      <c r="A2088" t="s">
        <v>41</v>
      </c>
      <c r="B2088" t="s">
        <v>211</v>
      </c>
      <c r="C2088">
        <v>1714</v>
      </c>
      <c r="D2088" t="s">
        <v>1134</v>
      </c>
      <c r="E2088" t="s">
        <v>341</v>
      </c>
      <c r="F2088" t="s">
        <v>139</v>
      </c>
      <c r="G2088" t="s">
        <v>68</v>
      </c>
      <c r="H2088" t="s">
        <v>468</v>
      </c>
      <c r="I2088" t="s">
        <v>245</v>
      </c>
      <c r="J2088" t="s">
        <v>95</v>
      </c>
      <c r="K2088" t="s">
        <v>208</v>
      </c>
      <c r="L2088" t="s">
        <v>341</v>
      </c>
      <c r="M2088" t="s">
        <v>329</v>
      </c>
      <c r="N2088" t="s">
        <v>239</v>
      </c>
      <c r="O2088" t="s">
        <v>116</v>
      </c>
      <c r="P2088" t="s">
        <v>116</v>
      </c>
      <c r="Q2088" t="s">
        <v>122</v>
      </c>
      <c r="R2088" t="s">
        <v>103</v>
      </c>
      <c r="S2088" t="s">
        <v>139</v>
      </c>
      <c r="T2088" t="s">
        <v>66</v>
      </c>
    </row>
    <row r="2089" spans="1:20" x14ac:dyDescent="0.3">
      <c r="A2089" t="s">
        <v>41</v>
      </c>
      <c r="B2089" t="s">
        <v>212</v>
      </c>
      <c r="C2089">
        <v>324</v>
      </c>
      <c r="D2089" t="s">
        <v>620</v>
      </c>
      <c r="E2089" t="s">
        <v>493</v>
      </c>
      <c r="F2089" t="s">
        <v>98</v>
      </c>
      <c r="G2089" t="s">
        <v>130</v>
      </c>
      <c r="H2089" t="s">
        <v>114</v>
      </c>
      <c r="I2089" t="s">
        <v>32</v>
      </c>
      <c r="J2089" t="s">
        <v>281</v>
      </c>
      <c r="K2089" t="s">
        <v>111</v>
      </c>
      <c r="L2089" t="s">
        <v>107</v>
      </c>
      <c r="M2089" t="s">
        <v>256</v>
      </c>
      <c r="N2089" t="s">
        <v>102</v>
      </c>
      <c r="O2089" t="s">
        <v>194</v>
      </c>
      <c r="P2089" t="s">
        <v>345</v>
      </c>
      <c r="Q2089" t="s">
        <v>103</v>
      </c>
      <c r="R2089" t="s">
        <v>122</v>
      </c>
      <c r="S2089" t="s">
        <v>468</v>
      </c>
      <c r="T2089" t="s">
        <v>103</v>
      </c>
    </row>
    <row r="2091" spans="1:20" x14ac:dyDescent="0.3">
      <c r="A2091" t="s">
        <v>1148</v>
      </c>
    </row>
    <row r="2092" spans="1:20" x14ac:dyDescent="0.3">
      <c r="A2092" t="s">
        <v>36</v>
      </c>
      <c r="B2092" t="s">
        <v>1149</v>
      </c>
      <c r="C2092" t="s">
        <v>24</v>
      </c>
      <c r="D2092" t="s">
        <v>1117</v>
      </c>
      <c r="E2092" t="s">
        <v>1118</v>
      </c>
      <c r="F2092" t="s">
        <v>1119</v>
      </c>
      <c r="G2092" t="s">
        <v>1120</v>
      </c>
      <c r="H2092" t="s">
        <v>1121</v>
      </c>
      <c r="I2092" t="s">
        <v>1122</v>
      </c>
      <c r="J2092" t="s">
        <v>1123</v>
      </c>
      <c r="K2092" t="s">
        <v>1124</v>
      </c>
      <c r="L2092" t="s">
        <v>1125</v>
      </c>
      <c r="M2092" t="s">
        <v>1126</v>
      </c>
      <c r="N2092" t="s">
        <v>1127</v>
      </c>
      <c r="O2092" t="s">
        <v>1128</v>
      </c>
      <c r="P2092" t="s">
        <v>1129</v>
      </c>
      <c r="Q2092" t="s">
        <v>1130</v>
      </c>
      <c r="R2092" t="s">
        <v>183</v>
      </c>
      <c r="S2092" t="s">
        <v>87</v>
      </c>
      <c r="T2092" t="s">
        <v>181</v>
      </c>
    </row>
    <row r="2093" spans="1:20" x14ac:dyDescent="0.3">
      <c r="A2093" t="s">
        <v>25</v>
      </c>
      <c r="B2093" t="s">
        <v>1150</v>
      </c>
      <c r="C2093">
        <v>74</v>
      </c>
      <c r="D2093" t="s">
        <v>71</v>
      </c>
      <c r="E2093" t="s">
        <v>93</v>
      </c>
      <c r="F2093" t="s">
        <v>103</v>
      </c>
      <c r="G2093" t="s">
        <v>110</v>
      </c>
      <c r="H2093" t="s">
        <v>103</v>
      </c>
      <c r="I2093" t="s">
        <v>103</v>
      </c>
      <c r="J2093" t="s">
        <v>103</v>
      </c>
      <c r="K2093" t="s">
        <v>245</v>
      </c>
      <c r="L2093" t="s">
        <v>103</v>
      </c>
      <c r="M2093" t="s">
        <v>103</v>
      </c>
      <c r="N2093" t="s">
        <v>110</v>
      </c>
      <c r="O2093" t="s">
        <v>103</v>
      </c>
      <c r="P2093" t="s">
        <v>103</v>
      </c>
      <c r="Q2093" t="s">
        <v>103</v>
      </c>
      <c r="R2093" t="s">
        <v>103</v>
      </c>
      <c r="S2093" t="s">
        <v>103</v>
      </c>
      <c r="T2093" t="s">
        <v>103</v>
      </c>
    </row>
    <row r="2094" spans="1:20" x14ac:dyDescent="0.3">
      <c r="A2094" t="s">
        <v>25</v>
      </c>
      <c r="B2094" t="s">
        <v>1151</v>
      </c>
      <c r="C2094">
        <v>321</v>
      </c>
      <c r="D2094" t="s">
        <v>328</v>
      </c>
      <c r="E2094" t="s">
        <v>116</v>
      </c>
      <c r="F2094" t="s">
        <v>103</v>
      </c>
      <c r="G2094" t="s">
        <v>122</v>
      </c>
      <c r="H2094" t="s">
        <v>103</v>
      </c>
      <c r="I2094" t="s">
        <v>103</v>
      </c>
      <c r="J2094" t="s">
        <v>139</v>
      </c>
      <c r="K2094" t="s">
        <v>122</v>
      </c>
      <c r="L2094" t="s">
        <v>122</v>
      </c>
      <c r="M2094" t="s">
        <v>103</v>
      </c>
      <c r="N2094" t="s">
        <v>95</v>
      </c>
      <c r="O2094" t="s">
        <v>103</v>
      </c>
      <c r="P2094" t="s">
        <v>103</v>
      </c>
      <c r="Q2094" t="s">
        <v>103</v>
      </c>
      <c r="R2094" t="s">
        <v>103</v>
      </c>
      <c r="S2094" t="s">
        <v>66</v>
      </c>
      <c r="T2094" t="s">
        <v>103</v>
      </c>
    </row>
    <row r="2095" spans="1:20" s="3" customFormat="1" x14ac:dyDescent="0.3">
      <c r="A2095" s="3" t="s">
        <v>25</v>
      </c>
      <c r="B2095" s="3" t="s">
        <v>1152</v>
      </c>
      <c r="C2095" s="3">
        <v>19</v>
      </c>
      <c r="D2095" s="3" t="s">
        <v>192</v>
      </c>
      <c r="E2095" s="3" t="s">
        <v>103</v>
      </c>
      <c r="F2095" s="3" t="s">
        <v>103</v>
      </c>
      <c r="G2095" s="3" t="s">
        <v>103</v>
      </c>
      <c r="H2095" s="3" t="s">
        <v>103</v>
      </c>
      <c r="I2095" s="3" t="s">
        <v>103</v>
      </c>
      <c r="J2095" s="3" t="s">
        <v>103</v>
      </c>
      <c r="K2095" s="3" t="s">
        <v>103</v>
      </c>
      <c r="L2095" s="3" t="s">
        <v>103</v>
      </c>
      <c r="M2095" s="3" t="s">
        <v>103</v>
      </c>
      <c r="N2095" s="3" t="s">
        <v>103</v>
      </c>
      <c r="O2095" s="3" t="s">
        <v>103</v>
      </c>
      <c r="P2095" s="3" t="s">
        <v>103</v>
      </c>
      <c r="Q2095" s="3" t="s">
        <v>103</v>
      </c>
      <c r="R2095" s="3" t="s">
        <v>103</v>
      </c>
      <c r="S2095" s="3" t="s">
        <v>103</v>
      </c>
      <c r="T2095" s="3" t="s">
        <v>103</v>
      </c>
    </row>
    <row r="2096" spans="1:20" x14ac:dyDescent="0.3">
      <c r="A2096" t="s">
        <v>26</v>
      </c>
      <c r="B2096" t="s">
        <v>1150</v>
      </c>
      <c r="C2096">
        <v>72</v>
      </c>
      <c r="D2096" t="s">
        <v>1141</v>
      </c>
      <c r="E2096" t="s">
        <v>270</v>
      </c>
      <c r="F2096" t="s">
        <v>103</v>
      </c>
      <c r="G2096" t="s">
        <v>743</v>
      </c>
      <c r="H2096" t="s">
        <v>103</v>
      </c>
      <c r="I2096" t="s">
        <v>103</v>
      </c>
      <c r="J2096" t="s">
        <v>103</v>
      </c>
      <c r="K2096" t="s">
        <v>239</v>
      </c>
      <c r="L2096" t="s">
        <v>103</v>
      </c>
      <c r="M2096" t="s">
        <v>224</v>
      </c>
      <c r="N2096" t="s">
        <v>103</v>
      </c>
      <c r="O2096" t="s">
        <v>103</v>
      </c>
      <c r="P2096" t="s">
        <v>103</v>
      </c>
      <c r="Q2096" t="s">
        <v>103</v>
      </c>
      <c r="R2096" t="s">
        <v>103</v>
      </c>
      <c r="S2096" t="s">
        <v>103</v>
      </c>
      <c r="T2096" t="s">
        <v>103</v>
      </c>
    </row>
    <row r="2097" spans="1:20" x14ac:dyDescent="0.3">
      <c r="A2097" t="s">
        <v>26</v>
      </c>
      <c r="B2097" t="s">
        <v>1151</v>
      </c>
      <c r="C2097">
        <v>336</v>
      </c>
      <c r="D2097" t="s">
        <v>1153</v>
      </c>
      <c r="E2097" t="s">
        <v>468</v>
      </c>
      <c r="F2097" t="s">
        <v>122</v>
      </c>
      <c r="G2097" t="s">
        <v>575</v>
      </c>
      <c r="H2097" t="s">
        <v>208</v>
      </c>
      <c r="I2097" t="s">
        <v>272</v>
      </c>
      <c r="J2097" t="s">
        <v>239</v>
      </c>
      <c r="K2097" t="s">
        <v>214</v>
      </c>
      <c r="L2097" t="s">
        <v>329</v>
      </c>
      <c r="M2097" t="s">
        <v>99</v>
      </c>
      <c r="N2097" t="s">
        <v>329</v>
      </c>
      <c r="O2097" t="s">
        <v>116</v>
      </c>
      <c r="P2097" t="s">
        <v>116</v>
      </c>
      <c r="Q2097" t="s">
        <v>103</v>
      </c>
      <c r="R2097" t="s">
        <v>103</v>
      </c>
      <c r="S2097" t="s">
        <v>98</v>
      </c>
      <c r="T2097" t="s">
        <v>103</v>
      </c>
    </row>
    <row r="2098" spans="1:20" x14ac:dyDescent="0.3">
      <c r="A2098" t="s">
        <v>26</v>
      </c>
      <c r="B2098" t="s">
        <v>1152</v>
      </c>
      <c r="C2098">
        <v>69</v>
      </c>
      <c r="D2098" t="s">
        <v>294</v>
      </c>
      <c r="E2098" t="s">
        <v>60</v>
      </c>
      <c r="F2098" t="s">
        <v>239</v>
      </c>
      <c r="G2098" t="s">
        <v>224</v>
      </c>
      <c r="H2098" t="s">
        <v>107</v>
      </c>
      <c r="I2098" t="s">
        <v>217</v>
      </c>
      <c r="J2098" t="s">
        <v>813</v>
      </c>
      <c r="K2098" t="s">
        <v>644</v>
      </c>
      <c r="L2098" t="s">
        <v>70</v>
      </c>
      <c r="M2098" t="s">
        <v>50</v>
      </c>
      <c r="N2098" t="s">
        <v>257</v>
      </c>
      <c r="O2098" t="s">
        <v>217</v>
      </c>
      <c r="P2098" t="s">
        <v>217</v>
      </c>
      <c r="Q2098" t="s">
        <v>103</v>
      </c>
      <c r="R2098" t="s">
        <v>216</v>
      </c>
      <c r="S2098" t="s">
        <v>239</v>
      </c>
      <c r="T2098" t="s">
        <v>103</v>
      </c>
    </row>
    <row r="2099" spans="1:20" x14ac:dyDescent="0.3">
      <c r="A2099" t="s">
        <v>29</v>
      </c>
      <c r="B2099" t="s">
        <v>1150</v>
      </c>
      <c r="C2099">
        <v>133</v>
      </c>
      <c r="D2099" t="s">
        <v>828</v>
      </c>
      <c r="E2099" t="s">
        <v>128</v>
      </c>
      <c r="F2099" t="s">
        <v>139</v>
      </c>
      <c r="G2099" t="s">
        <v>272</v>
      </c>
      <c r="H2099" t="s">
        <v>139</v>
      </c>
      <c r="I2099" t="s">
        <v>139</v>
      </c>
      <c r="J2099" t="s">
        <v>103</v>
      </c>
      <c r="K2099" t="s">
        <v>103</v>
      </c>
      <c r="L2099" t="s">
        <v>217</v>
      </c>
      <c r="M2099" t="s">
        <v>105</v>
      </c>
      <c r="N2099" t="s">
        <v>216</v>
      </c>
      <c r="O2099" t="s">
        <v>103</v>
      </c>
      <c r="P2099" t="s">
        <v>103</v>
      </c>
      <c r="Q2099" t="s">
        <v>139</v>
      </c>
      <c r="R2099" t="s">
        <v>103</v>
      </c>
      <c r="S2099" t="s">
        <v>118</v>
      </c>
      <c r="T2099" t="s">
        <v>103</v>
      </c>
    </row>
    <row r="2100" spans="1:20" x14ac:dyDescent="0.3">
      <c r="A2100" t="s">
        <v>29</v>
      </c>
      <c r="B2100" t="s">
        <v>1151</v>
      </c>
      <c r="C2100">
        <v>316</v>
      </c>
      <c r="D2100" t="s">
        <v>827</v>
      </c>
      <c r="E2100" t="s">
        <v>105</v>
      </c>
      <c r="F2100" t="s">
        <v>139</v>
      </c>
      <c r="G2100" t="s">
        <v>68</v>
      </c>
      <c r="H2100" t="s">
        <v>105</v>
      </c>
      <c r="I2100" t="s">
        <v>341</v>
      </c>
      <c r="J2100" t="s">
        <v>468</v>
      </c>
      <c r="K2100" t="s">
        <v>245</v>
      </c>
      <c r="L2100" t="s">
        <v>266</v>
      </c>
      <c r="M2100" t="s">
        <v>345</v>
      </c>
      <c r="N2100" t="s">
        <v>329</v>
      </c>
      <c r="O2100" t="s">
        <v>345</v>
      </c>
      <c r="P2100" t="s">
        <v>116</v>
      </c>
      <c r="Q2100" t="s">
        <v>95</v>
      </c>
      <c r="R2100" t="s">
        <v>103</v>
      </c>
      <c r="S2100" t="s">
        <v>120</v>
      </c>
      <c r="T2100" t="s">
        <v>120</v>
      </c>
    </row>
    <row r="2101" spans="1:20" x14ac:dyDescent="0.3">
      <c r="A2101" t="s">
        <v>29</v>
      </c>
      <c r="B2101" t="s">
        <v>1152</v>
      </c>
      <c r="C2101">
        <v>68</v>
      </c>
      <c r="D2101" t="s">
        <v>53</v>
      </c>
      <c r="E2101" t="s">
        <v>126</v>
      </c>
      <c r="F2101" t="s">
        <v>245</v>
      </c>
      <c r="G2101" t="s">
        <v>594</v>
      </c>
      <c r="H2101" t="s">
        <v>245</v>
      </c>
      <c r="I2101" t="s">
        <v>532</v>
      </c>
      <c r="J2101" t="s">
        <v>103</v>
      </c>
      <c r="K2101" t="s">
        <v>245</v>
      </c>
      <c r="L2101" t="s">
        <v>103</v>
      </c>
      <c r="M2101" t="s">
        <v>66</v>
      </c>
      <c r="N2101" t="s">
        <v>102</v>
      </c>
      <c r="O2101" t="s">
        <v>103</v>
      </c>
      <c r="P2101" t="s">
        <v>103</v>
      </c>
      <c r="Q2101" t="s">
        <v>103</v>
      </c>
      <c r="R2101" t="s">
        <v>103</v>
      </c>
      <c r="S2101" t="s">
        <v>122</v>
      </c>
      <c r="T2101" t="s">
        <v>103</v>
      </c>
    </row>
    <row r="2102" spans="1:20" x14ac:dyDescent="0.3">
      <c r="A2102" t="s">
        <v>29</v>
      </c>
      <c r="B2102" t="s">
        <v>308</v>
      </c>
      <c r="C2102">
        <v>13</v>
      </c>
      <c r="D2102" t="s">
        <v>818</v>
      </c>
      <c r="E2102" t="s">
        <v>103</v>
      </c>
      <c r="F2102" t="s">
        <v>103</v>
      </c>
      <c r="G2102" t="s">
        <v>254</v>
      </c>
      <c r="H2102" t="s">
        <v>103</v>
      </c>
      <c r="I2102" t="s">
        <v>103</v>
      </c>
      <c r="J2102" t="s">
        <v>103</v>
      </c>
      <c r="K2102" t="s">
        <v>103</v>
      </c>
      <c r="L2102" t="s">
        <v>103</v>
      </c>
      <c r="M2102" t="s">
        <v>254</v>
      </c>
      <c r="N2102" t="s">
        <v>103</v>
      </c>
      <c r="O2102" t="s">
        <v>103</v>
      </c>
      <c r="P2102" t="s">
        <v>103</v>
      </c>
      <c r="Q2102" t="s">
        <v>103</v>
      </c>
      <c r="R2102" t="s">
        <v>103</v>
      </c>
      <c r="S2102" t="s">
        <v>103</v>
      </c>
      <c r="T2102" t="s">
        <v>345</v>
      </c>
    </row>
    <row r="2103" spans="1:20" x14ac:dyDescent="0.3">
      <c r="A2103" t="s">
        <v>28</v>
      </c>
      <c r="B2103" t="s">
        <v>1150</v>
      </c>
      <c r="C2103">
        <v>32</v>
      </c>
      <c r="D2103" t="s">
        <v>1153</v>
      </c>
      <c r="E2103" t="s">
        <v>112</v>
      </c>
      <c r="F2103" t="s">
        <v>511</v>
      </c>
      <c r="G2103" t="s">
        <v>123</v>
      </c>
      <c r="H2103" t="s">
        <v>544</v>
      </c>
      <c r="I2103" t="s">
        <v>140</v>
      </c>
      <c r="J2103" t="s">
        <v>103</v>
      </c>
      <c r="K2103" t="s">
        <v>103</v>
      </c>
      <c r="L2103" t="s">
        <v>103</v>
      </c>
      <c r="M2103" t="s">
        <v>103</v>
      </c>
      <c r="N2103" t="s">
        <v>270</v>
      </c>
      <c r="O2103" t="s">
        <v>103</v>
      </c>
      <c r="P2103" t="s">
        <v>103</v>
      </c>
      <c r="Q2103" t="s">
        <v>103</v>
      </c>
      <c r="R2103" t="s">
        <v>103</v>
      </c>
      <c r="S2103" t="s">
        <v>103</v>
      </c>
      <c r="T2103" t="s">
        <v>103</v>
      </c>
    </row>
    <row r="2104" spans="1:20" x14ac:dyDescent="0.3">
      <c r="A2104" t="s">
        <v>28</v>
      </c>
      <c r="B2104" t="s">
        <v>1151</v>
      </c>
      <c r="C2104">
        <v>280</v>
      </c>
      <c r="D2104" t="s">
        <v>721</v>
      </c>
      <c r="E2104" t="s">
        <v>272</v>
      </c>
      <c r="F2104" t="s">
        <v>591</v>
      </c>
      <c r="G2104" t="s">
        <v>737</v>
      </c>
      <c r="H2104" t="s">
        <v>188</v>
      </c>
      <c r="I2104" t="s">
        <v>737</v>
      </c>
      <c r="J2104" t="s">
        <v>95</v>
      </c>
      <c r="K2104" t="s">
        <v>103</v>
      </c>
      <c r="L2104" t="s">
        <v>257</v>
      </c>
      <c r="M2104" t="s">
        <v>216</v>
      </c>
      <c r="N2104" t="s">
        <v>245</v>
      </c>
      <c r="O2104" t="s">
        <v>116</v>
      </c>
      <c r="P2104" t="s">
        <v>68</v>
      </c>
      <c r="Q2104" t="s">
        <v>122</v>
      </c>
      <c r="R2104" t="s">
        <v>103</v>
      </c>
      <c r="S2104" t="s">
        <v>245</v>
      </c>
      <c r="T2104" t="s">
        <v>103</v>
      </c>
    </row>
    <row r="2105" spans="1:20" s="3" customFormat="1" x14ac:dyDescent="0.3">
      <c r="A2105" s="3" t="s">
        <v>28</v>
      </c>
      <c r="B2105" s="3" t="s">
        <v>1152</v>
      </c>
      <c r="C2105" s="3">
        <v>4</v>
      </c>
      <c r="D2105" s="3" t="s">
        <v>976</v>
      </c>
      <c r="E2105" s="3" t="s">
        <v>975</v>
      </c>
      <c r="F2105" s="3" t="s">
        <v>103</v>
      </c>
      <c r="G2105" s="3" t="s">
        <v>103</v>
      </c>
      <c r="H2105" s="3" t="s">
        <v>103</v>
      </c>
      <c r="I2105" s="3" t="s">
        <v>103</v>
      </c>
      <c r="J2105" s="3" t="s">
        <v>103</v>
      </c>
      <c r="K2105" s="3" t="s">
        <v>103</v>
      </c>
      <c r="L2105" s="3" t="s">
        <v>103</v>
      </c>
      <c r="M2105" s="3" t="s">
        <v>103</v>
      </c>
      <c r="N2105" s="3" t="s">
        <v>103</v>
      </c>
      <c r="O2105" s="3" t="s">
        <v>975</v>
      </c>
      <c r="P2105" s="3" t="s">
        <v>103</v>
      </c>
      <c r="Q2105" s="3" t="s">
        <v>103</v>
      </c>
      <c r="R2105" s="3" t="s">
        <v>103</v>
      </c>
      <c r="S2105" s="3" t="s">
        <v>103</v>
      </c>
      <c r="T2105" s="3" t="s">
        <v>103</v>
      </c>
    </row>
    <row r="2106" spans="1:20" x14ac:dyDescent="0.3">
      <c r="A2106" t="s">
        <v>28</v>
      </c>
      <c r="B2106" t="s">
        <v>308</v>
      </c>
      <c r="C2106">
        <v>1</v>
      </c>
      <c r="D2106" t="s">
        <v>192</v>
      </c>
      <c r="E2106" t="s">
        <v>103</v>
      </c>
      <c r="F2106" t="s">
        <v>103</v>
      </c>
      <c r="G2106" t="s">
        <v>103</v>
      </c>
      <c r="H2106" t="s">
        <v>103</v>
      </c>
      <c r="I2106" t="s">
        <v>103</v>
      </c>
      <c r="J2106" t="s">
        <v>103</v>
      </c>
      <c r="K2106" t="s">
        <v>103</v>
      </c>
      <c r="L2106" t="s">
        <v>103</v>
      </c>
      <c r="M2106" t="s">
        <v>103</v>
      </c>
      <c r="N2106" t="s">
        <v>103</v>
      </c>
      <c r="O2106" t="s">
        <v>103</v>
      </c>
      <c r="P2106" t="s">
        <v>103</v>
      </c>
      <c r="Q2106" t="s">
        <v>103</v>
      </c>
      <c r="R2106" t="s">
        <v>103</v>
      </c>
      <c r="S2106" t="s">
        <v>103</v>
      </c>
      <c r="T2106" t="s">
        <v>103</v>
      </c>
    </row>
    <row r="2107" spans="1:20" x14ac:dyDescent="0.3">
      <c r="A2107" t="s">
        <v>27</v>
      </c>
      <c r="B2107" t="s">
        <v>1150</v>
      </c>
      <c r="C2107">
        <v>88</v>
      </c>
      <c r="D2107" t="s">
        <v>1154</v>
      </c>
      <c r="E2107" t="s">
        <v>103</v>
      </c>
      <c r="F2107" t="s">
        <v>103</v>
      </c>
      <c r="G2107" t="s">
        <v>103</v>
      </c>
      <c r="H2107" t="s">
        <v>103</v>
      </c>
      <c r="I2107" t="s">
        <v>103</v>
      </c>
      <c r="J2107" t="s">
        <v>257</v>
      </c>
      <c r="K2107" t="s">
        <v>607</v>
      </c>
      <c r="L2107" t="s">
        <v>32</v>
      </c>
      <c r="M2107" t="s">
        <v>514</v>
      </c>
      <c r="N2107" t="s">
        <v>194</v>
      </c>
      <c r="O2107" t="s">
        <v>103</v>
      </c>
      <c r="P2107" t="s">
        <v>103</v>
      </c>
      <c r="Q2107" t="s">
        <v>194</v>
      </c>
      <c r="R2107" t="s">
        <v>103</v>
      </c>
      <c r="S2107" t="s">
        <v>103</v>
      </c>
      <c r="T2107" t="s">
        <v>116</v>
      </c>
    </row>
    <row r="2108" spans="1:20" x14ac:dyDescent="0.3">
      <c r="A2108" t="s">
        <v>27</v>
      </c>
      <c r="B2108" t="s">
        <v>1151</v>
      </c>
      <c r="C2108">
        <v>205</v>
      </c>
      <c r="D2108" t="s">
        <v>1133</v>
      </c>
      <c r="E2108" t="s">
        <v>194</v>
      </c>
      <c r="F2108" t="s">
        <v>110</v>
      </c>
      <c r="G2108" t="s">
        <v>114</v>
      </c>
      <c r="H2108" t="s">
        <v>266</v>
      </c>
      <c r="I2108" t="s">
        <v>102</v>
      </c>
      <c r="J2108" t="s">
        <v>110</v>
      </c>
      <c r="K2108" t="s">
        <v>789</v>
      </c>
      <c r="L2108" t="s">
        <v>135</v>
      </c>
      <c r="M2108" t="s">
        <v>250</v>
      </c>
      <c r="N2108" t="s">
        <v>245</v>
      </c>
      <c r="O2108" t="s">
        <v>103</v>
      </c>
      <c r="P2108" t="s">
        <v>103</v>
      </c>
      <c r="Q2108" t="s">
        <v>103</v>
      </c>
      <c r="R2108" t="s">
        <v>120</v>
      </c>
      <c r="S2108" t="s">
        <v>194</v>
      </c>
      <c r="T2108" t="s">
        <v>103</v>
      </c>
    </row>
    <row r="2109" spans="1:20" s="3" customFormat="1" x14ac:dyDescent="0.3">
      <c r="A2109" s="3" t="s">
        <v>27</v>
      </c>
      <c r="B2109" s="3" t="s">
        <v>1152</v>
      </c>
      <c r="C2109" s="3">
        <v>6</v>
      </c>
      <c r="D2109" s="3" t="s">
        <v>417</v>
      </c>
      <c r="E2109" s="3" t="s">
        <v>103</v>
      </c>
      <c r="F2109" s="3" t="s">
        <v>516</v>
      </c>
      <c r="G2109" s="3" t="s">
        <v>516</v>
      </c>
      <c r="H2109" s="3" t="s">
        <v>516</v>
      </c>
      <c r="I2109" s="3" t="s">
        <v>516</v>
      </c>
      <c r="J2109" s="3" t="s">
        <v>103</v>
      </c>
      <c r="K2109" s="3" t="s">
        <v>644</v>
      </c>
      <c r="L2109" s="3" t="s">
        <v>644</v>
      </c>
      <c r="M2109" s="3" t="s">
        <v>644</v>
      </c>
      <c r="N2109" s="3" t="s">
        <v>103</v>
      </c>
      <c r="O2109" s="3" t="s">
        <v>103</v>
      </c>
      <c r="P2109" s="3" t="s">
        <v>103</v>
      </c>
      <c r="Q2109" s="3" t="s">
        <v>103</v>
      </c>
      <c r="R2109" s="3" t="s">
        <v>103</v>
      </c>
      <c r="S2109" s="3" t="s">
        <v>103</v>
      </c>
      <c r="T2109" s="3" t="s">
        <v>103</v>
      </c>
    </row>
    <row r="2110" spans="1:20" x14ac:dyDescent="0.3">
      <c r="A2110" t="s">
        <v>27</v>
      </c>
      <c r="B2110" t="s">
        <v>308</v>
      </c>
      <c r="C2110">
        <v>1</v>
      </c>
      <c r="D2110" t="s">
        <v>192</v>
      </c>
      <c r="E2110" t="s">
        <v>103</v>
      </c>
      <c r="F2110" t="s">
        <v>103</v>
      </c>
      <c r="G2110" t="s">
        <v>103</v>
      </c>
      <c r="H2110" t="s">
        <v>103</v>
      </c>
      <c r="I2110" t="s">
        <v>103</v>
      </c>
      <c r="J2110" t="s">
        <v>103</v>
      </c>
      <c r="K2110" t="s">
        <v>103</v>
      </c>
      <c r="L2110" t="s">
        <v>103</v>
      </c>
      <c r="M2110" t="s">
        <v>103</v>
      </c>
      <c r="N2110" t="s">
        <v>103</v>
      </c>
      <c r="O2110" t="s">
        <v>103</v>
      </c>
      <c r="P2110" t="s">
        <v>103</v>
      </c>
      <c r="Q2110" t="s">
        <v>103</v>
      </c>
      <c r="R2110" t="s">
        <v>103</v>
      </c>
      <c r="S2110" t="s">
        <v>103</v>
      </c>
      <c r="T2110" t="s">
        <v>103</v>
      </c>
    </row>
    <row r="2111" spans="1:20" x14ac:dyDescent="0.3">
      <c r="A2111" t="s">
        <v>41</v>
      </c>
      <c r="B2111" t="s">
        <v>1150</v>
      </c>
      <c r="C2111">
        <v>399</v>
      </c>
      <c r="D2111" t="s">
        <v>974</v>
      </c>
      <c r="E2111" t="s">
        <v>128</v>
      </c>
      <c r="F2111" t="s">
        <v>120</v>
      </c>
      <c r="G2111" t="s">
        <v>107</v>
      </c>
      <c r="H2111" t="s">
        <v>95</v>
      </c>
      <c r="I2111" t="s">
        <v>120</v>
      </c>
      <c r="J2111" t="s">
        <v>66</v>
      </c>
      <c r="K2111" t="s">
        <v>98</v>
      </c>
      <c r="L2111" t="s">
        <v>105</v>
      </c>
      <c r="M2111" t="s">
        <v>102</v>
      </c>
      <c r="N2111" t="s">
        <v>194</v>
      </c>
      <c r="O2111" t="s">
        <v>103</v>
      </c>
      <c r="P2111" t="s">
        <v>103</v>
      </c>
      <c r="Q2111" t="s">
        <v>120</v>
      </c>
      <c r="R2111" t="s">
        <v>103</v>
      </c>
      <c r="S2111" t="s">
        <v>110</v>
      </c>
      <c r="T2111" t="s">
        <v>103</v>
      </c>
    </row>
    <row r="2112" spans="1:20" x14ac:dyDescent="0.3">
      <c r="A2112" t="s">
        <v>41</v>
      </c>
      <c r="B2112" t="s">
        <v>1151</v>
      </c>
      <c r="C2112">
        <v>1458</v>
      </c>
      <c r="D2112" t="s">
        <v>712</v>
      </c>
      <c r="E2112" t="s">
        <v>110</v>
      </c>
      <c r="F2112" t="s">
        <v>95</v>
      </c>
      <c r="G2112" t="s">
        <v>591</v>
      </c>
      <c r="H2112" t="s">
        <v>216</v>
      </c>
      <c r="I2112" t="s">
        <v>128</v>
      </c>
      <c r="J2112" t="s">
        <v>468</v>
      </c>
      <c r="K2112" t="s">
        <v>68</v>
      </c>
      <c r="L2112" t="s">
        <v>118</v>
      </c>
      <c r="M2112" t="s">
        <v>113</v>
      </c>
      <c r="N2112" t="s">
        <v>105</v>
      </c>
      <c r="O2112" t="s">
        <v>97</v>
      </c>
      <c r="P2112" t="s">
        <v>122</v>
      </c>
      <c r="Q2112" t="s">
        <v>116</v>
      </c>
      <c r="R2112" t="s">
        <v>103</v>
      </c>
      <c r="S2112" t="s">
        <v>95</v>
      </c>
      <c r="T2112" t="s">
        <v>66</v>
      </c>
    </row>
    <row r="2113" spans="1:20" x14ac:dyDescent="0.3">
      <c r="A2113" t="s">
        <v>41</v>
      </c>
      <c r="B2113" t="s">
        <v>1152</v>
      </c>
      <c r="C2113">
        <v>166</v>
      </c>
      <c r="D2113" t="s">
        <v>1004</v>
      </c>
      <c r="E2113" t="s">
        <v>607</v>
      </c>
      <c r="F2113" t="s">
        <v>216</v>
      </c>
      <c r="G2113" t="s">
        <v>94</v>
      </c>
      <c r="H2113" t="s">
        <v>257</v>
      </c>
      <c r="I2113" t="s">
        <v>102</v>
      </c>
      <c r="J2113" t="s">
        <v>532</v>
      </c>
      <c r="K2113" t="s">
        <v>482</v>
      </c>
      <c r="L2113" t="s">
        <v>208</v>
      </c>
      <c r="M2113" t="s">
        <v>511</v>
      </c>
      <c r="N2113" t="s">
        <v>64</v>
      </c>
      <c r="O2113" t="s">
        <v>282</v>
      </c>
      <c r="P2113" t="s">
        <v>98</v>
      </c>
      <c r="Q2113" t="s">
        <v>103</v>
      </c>
      <c r="R2113" t="s">
        <v>120</v>
      </c>
      <c r="S2113" t="s">
        <v>139</v>
      </c>
      <c r="T2113" t="s">
        <v>103</v>
      </c>
    </row>
    <row r="2114" spans="1:20" x14ac:dyDescent="0.3">
      <c r="A2114" t="s">
        <v>41</v>
      </c>
      <c r="B2114" t="s">
        <v>308</v>
      </c>
      <c r="C2114">
        <v>15</v>
      </c>
      <c r="D2114" t="s">
        <v>863</v>
      </c>
      <c r="E2114" t="s">
        <v>103</v>
      </c>
      <c r="F2114" t="s">
        <v>103</v>
      </c>
      <c r="G2114" t="s">
        <v>224</v>
      </c>
      <c r="H2114" t="s">
        <v>103</v>
      </c>
      <c r="I2114" t="s">
        <v>103</v>
      </c>
      <c r="J2114" t="s">
        <v>103</v>
      </c>
      <c r="K2114" t="s">
        <v>103</v>
      </c>
      <c r="L2114" t="s">
        <v>103</v>
      </c>
      <c r="M2114" t="s">
        <v>224</v>
      </c>
      <c r="N2114" t="s">
        <v>103</v>
      </c>
      <c r="O2114" t="s">
        <v>103</v>
      </c>
      <c r="P2114" t="s">
        <v>103</v>
      </c>
      <c r="Q2114" t="s">
        <v>103</v>
      </c>
      <c r="R2114" t="s">
        <v>103</v>
      </c>
      <c r="S2114" t="s">
        <v>103</v>
      </c>
      <c r="T2114" t="s">
        <v>345</v>
      </c>
    </row>
    <row r="2116" spans="1:20" x14ac:dyDescent="0.3">
      <c r="A2116" t="s">
        <v>1155</v>
      </c>
    </row>
    <row r="2117" spans="1:20" x14ac:dyDescent="0.3">
      <c r="A2117" t="s">
        <v>36</v>
      </c>
      <c r="B2117" t="s">
        <v>24</v>
      </c>
      <c r="C2117" t="s">
        <v>1156</v>
      </c>
      <c r="D2117" t="s">
        <v>1157</v>
      </c>
      <c r="E2117" t="s">
        <v>1158</v>
      </c>
      <c r="F2117" t="s">
        <v>1159</v>
      </c>
      <c r="G2117" t="s">
        <v>1160</v>
      </c>
      <c r="H2117" t="s">
        <v>1161</v>
      </c>
      <c r="I2117" t="s">
        <v>1162</v>
      </c>
      <c r="J2117" t="s">
        <v>1163</v>
      </c>
      <c r="K2117" t="s">
        <v>1164</v>
      </c>
      <c r="L2117" t="s">
        <v>1165</v>
      </c>
      <c r="M2117" t="s">
        <v>183</v>
      </c>
      <c r="N2117" t="s">
        <v>1166</v>
      </c>
    </row>
    <row r="2118" spans="1:20" x14ac:dyDescent="0.3">
      <c r="A2118" t="s">
        <v>25</v>
      </c>
      <c r="B2118">
        <v>414</v>
      </c>
      <c r="C2118" t="s">
        <v>122</v>
      </c>
      <c r="D2118" t="s">
        <v>270</v>
      </c>
      <c r="E2118" t="s">
        <v>120</v>
      </c>
      <c r="F2118" t="s">
        <v>188</v>
      </c>
      <c r="G2118" t="s">
        <v>245</v>
      </c>
      <c r="H2118" t="s">
        <v>217</v>
      </c>
      <c r="I2118" t="s">
        <v>254</v>
      </c>
      <c r="J2118" t="s">
        <v>594</v>
      </c>
      <c r="K2118" t="s">
        <v>64</v>
      </c>
      <c r="L2118" t="s">
        <v>724</v>
      </c>
      <c r="M2118" t="s">
        <v>282</v>
      </c>
      <c r="N2118" t="s">
        <v>103</v>
      </c>
    </row>
    <row r="2119" spans="1:20" x14ac:dyDescent="0.3">
      <c r="A2119" t="s">
        <v>26</v>
      </c>
      <c r="B2119">
        <v>477</v>
      </c>
      <c r="C2119" t="s">
        <v>116</v>
      </c>
      <c r="D2119" t="s">
        <v>615</v>
      </c>
      <c r="E2119" t="s">
        <v>467</v>
      </c>
      <c r="F2119" t="s">
        <v>247</v>
      </c>
      <c r="G2119" t="s">
        <v>195</v>
      </c>
      <c r="H2119" t="s">
        <v>239</v>
      </c>
      <c r="I2119" t="s">
        <v>99</v>
      </c>
      <c r="J2119" t="s">
        <v>629</v>
      </c>
      <c r="K2119" t="s">
        <v>558</v>
      </c>
      <c r="L2119" t="s">
        <v>233</v>
      </c>
      <c r="M2119" t="s">
        <v>116</v>
      </c>
      <c r="N2119" t="s">
        <v>122</v>
      </c>
    </row>
    <row r="2120" spans="1:20" x14ac:dyDescent="0.3">
      <c r="A2120" t="s">
        <v>29</v>
      </c>
      <c r="B2120">
        <v>529</v>
      </c>
      <c r="C2120" t="s">
        <v>91</v>
      </c>
      <c r="D2120" t="s">
        <v>201</v>
      </c>
      <c r="E2120" t="s">
        <v>245</v>
      </c>
      <c r="F2120" t="s">
        <v>532</v>
      </c>
      <c r="G2120" t="s">
        <v>201</v>
      </c>
      <c r="H2120" t="s">
        <v>102</v>
      </c>
      <c r="I2120" t="s">
        <v>459</v>
      </c>
      <c r="J2120" t="s">
        <v>133</v>
      </c>
      <c r="K2120" t="s">
        <v>467</v>
      </c>
      <c r="L2120" t="s">
        <v>761</v>
      </c>
      <c r="M2120" t="s">
        <v>103</v>
      </c>
      <c r="N2120" t="s">
        <v>95</v>
      </c>
    </row>
    <row r="2121" spans="1:20" x14ac:dyDescent="0.3">
      <c r="A2121" t="s">
        <v>28</v>
      </c>
      <c r="B2121">
        <v>317</v>
      </c>
      <c r="C2121" t="s">
        <v>116</v>
      </c>
      <c r="D2121" t="s">
        <v>329</v>
      </c>
      <c r="E2121" t="s">
        <v>122</v>
      </c>
      <c r="F2121" t="s">
        <v>110</v>
      </c>
      <c r="G2121" t="s">
        <v>110</v>
      </c>
      <c r="H2121" t="s">
        <v>116</v>
      </c>
      <c r="I2121" t="s">
        <v>329</v>
      </c>
      <c r="J2121" t="s">
        <v>208</v>
      </c>
      <c r="K2121" t="s">
        <v>194</v>
      </c>
      <c r="L2121" t="s">
        <v>1167</v>
      </c>
      <c r="M2121" t="s">
        <v>95</v>
      </c>
      <c r="N2121" t="s">
        <v>103</v>
      </c>
    </row>
    <row r="2122" spans="1:20" x14ac:dyDescent="0.3">
      <c r="A2122" t="s">
        <v>27</v>
      </c>
      <c r="B2122">
        <v>300</v>
      </c>
      <c r="C2122" t="s">
        <v>615</v>
      </c>
      <c r="D2122" t="s">
        <v>100</v>
      </c>
      <c r="E2122" t="s">
        <v>98</v>
      </c>
      <c r="F2122" t="s">
        <v>208</v>
      </c>
      <c r="G2122" t="s">
        <v>558</v>
      </c>
      <c r="H2122" t="s">
        <v>95</v>
      </c>
      <c r="I2122" t="s">
        <v>48</v>
      </c>
      <c r="J2122" t="s">
        <v>171</v>
      </c>
      <c r="K2122" t="s">
        <v>239</v>
      </c>
      <c r="L2122" t="s">
        <v>395</v>
      </c>
      <c r="M2122" t="s">
        <v>282</v>
      </c>
      <c r="N2122" t="s">
        <v>105</v>
      </c>
    </row>
    <row r="2123" spans="1:20" x14ac:dyDescent="0.3">
      <c r="A2123" t="s">
        <v>41</v>
      </c>
      <c r="B2123">
        <v>2037</v>
      </c>
      <c r="C2123" t="s">
        <v>122</v>
      </c>
      <c r="D2123" t="s">
        <v>107</v>
      </c>
      <c r="E2123" t="s">
        <v>245</v>
      </c>
      <c r="F2123" t="s">
        <v>281</v>
      </c>
      <c r="G2123" t="s">
        <v>102</v>
      </c>
      <c r="H2123" t="s">
        <v>257</v>
      </c>
      <c r="I2123" t="s">
        <v>191</v>
      </c>
      <c r="J2123" t="s">
        <v>190</v>
      </c>
      <c r="K2123" t="s">
        <v>125</v>
      </c>
      <c r="L2123" t="s">
        <v>1140</v>
      </c>
      <c r="M2123" t="s">
        <v>116</v>
      </c>
      <c r="N2123" t="s">
        <v>97</v>
      </c>
    </row>
    <row r="2125" spans="1:20" x14ac:dyDescent="0.3">
      <c r="A2125" t="s">
        <v>1168</v>
      </c>
    </row>
    <row r="2126" spans="1:20" x14ac:dyDescent="0.3">
      <c r="A2126" t="s">
        <v>36</v>
      </c>
      <c r="B2126" t="s">
        <v>310</v>
      </c>
      <c r="C2126" t="s">
        <v>24</v>
      </c>
      <c r="D2126" t="s">
        <v>1156</v>
      </c>
      <c r="E2126" t="s">
        <v>1157</v>
      </c>
      <c r="F2126" t="s">
        <v>1158</v>
      </c>
      <c r="G2126" t="s">
        <v>1159</v>
      </c>
      <c r="H2126" t="s">
        <v>1160</v>
      </c>
      <c r="I2126" t="s">
        <v>1161</v>
      </c>
      <c r="J2126" t="s">
        <v>1162</v>
      </c>
      <c r="K2126" t="s">
        <v>1163</v>
      </c>
      <c r="L2126" t="s">
        <v>1164</v>
      </c>
      <c r="M2126" t="s">
        <v>1165</v>
      </c>
      <c r="N2126" t="s">
        <v>183</v>
      </c>
      <c r="O2126" t="s">
        <v>1166</v>
      </c>
    </row>
    <row r="2127" spans="1:20" x14ac:dyDescent="0.3">
      <c r="A2127" t="s">
        <v>25</v>
      </c>
      <c r="B2127" t="s">
        <v>311</v>
      </c>
      <c r="C2127">
        <v>324</v>
      </c>
      <c r="D2127" t="s">
        <v>97</v>
      </c>
      <c r="E2127" t="s">
        <v>467</v>
      </c>
      <c r="F2127" t="s">
        <v>122</v>
      </c>
      <c r="G2127" t="s">
        <v>186</v>
      </c>
      <c r="H2127" t="s">
        <v>93</v>
      </c>
      <c r="I2127" t="s">
        <v>217</v>
      </c>
      <c r="J2127" t="s">
        <v>737</v>
      </c>
      <c r="K2127" t="s">
        <v>124</v>
      </c>
      <c r="L2127" t="s">
        <v>270</v>
      </c>
      <c r="M2127" t="s">
        <v>1169</v>
      </c>
      <c r="N2127" t="s">
        <v>468</v>
      </c>
      <c r="O2127" t="s">
        <v>103</v>
      </c>
    </row>
    <row r="2128" spans="1:20" x14ac:dyDescent="0.3">
      <c r="A2128" t="s">
        <v>25</v>
      </c>
      <c r="B2128" t="s">
        <v>312</v>
      </c>
      <c r="C2128">
        <v>80</v>
      </c>
      <c r="D2128" t="s">
        <v>103</v>
      </c>
      <c r="E2128" t="s">
        <v>239</v>
      </c>
      <c r="F2128" t="s">
        <v>239</v>
      </c>
      <c r="G2128" t="s">
        <v>208</v>
      </c>
      <c r="H2128" t="s">
        <v>103</v>
      </c>
      <c r="I2128" t="s">
        <v>110</v>
      </c>
      <c r="J2128" t="s">
        <v>242</v>
      </c>
      <c r="K2128" t="s">
        <v>195</v>
      </c>
      <c r="L2128" t="s">
        <v>120</v>
      </c>
      <c r="M2128" t="s">
        <v>53</v>
      </c>
      <c r="N2128" t="s">
        <v>103</v>
      </c>
      <c r="O2128" t="s">
        <v>103</v>
      </c>
    </row>
    <row r="2129" spans="1:15" x14ac:dyDescent="0.3">
      <c r="A2129" t="s">
        <v>25</v>
      </c>
      <c r="B2129" t="s">
        <v>308</v>
      </c>
      <c r="C2129">
        <v>10</v>
      </c>
      <c r="D2129" t="s">
        <v>103</v>
      </c>
      <c r="E2129" t="s">
        <v>103</v>
      </c>
      <c r="F2129" t="s">
        <v>103</v>
      </c>
      <c r="G2129" t="s">
        <v>101</v>
      </c>
      <c r="H2129" t="s">
        <v>103</v>
      </c>
      <c r="I2129" t="s">
        <v>517</v>
      </c>
      <c r="J2129" t="s">
        <v>409</v>
      </c>
      <c r="K2129" t="s">
        <v>103</v>
      </c>
      <c r="L2129" t="s">
        <v>152</v>
      </c>
      <c r="M2129" t="s">
        <v>500</v>
      </c>
      <c r="N2129" t="s">
        <v>103</v>
      </c>
      <c r="O2129" t="s">
        <v>103</v>
      </c>
    </row>
    <row r="2130" spans="1:15" x14ac:dyDescent="0.3">
      <c r="A2130" t="s">
        <v>26</v>
      </c>
      <c r="B2130" t="s">
        <v>311</v>
      </c>
      <c r="C2130">
        <v>343</v>
      </c>
      <c r="D2130" t="s">
        <v>116</v>
      </c>
      <c r="E2130" t="s">
        <v>281</v>
      </c>
      <c r="F2130" t="s">
        <v>591</v>
      </c>
      <c r="G2130" t="s">
        <v>191</v>
      </c>
      <c r="H2130" t="s">
        <v>467</v>
      </c>
      <c r="I2130" t="s">
        <v>110</v>
      </c>
      <c r="J2130" t="s">
        <v>652</v>
      </c>
      <c r="K2130" t="s">
        <v>649</v>
      </c>
      <c r="L2130" t="s">
        <v>60</v>
      </c>
      <c r="M2130" t="s">
        <v>379</v>
      </c>
      <c r="N2130" t="s">
        <v>122</v>
      </c>
      <c r="O2130" t="s">
        <v>66</v>
      </c>
    </row>
    <row r="2131" spans="1:15" x14ac:dyDescent="0.3">
      <c r="A2131" t="s">
        <v>26</v>
      </c>
      <c r="B2131" t="s">
        <v>312</v>
      </c>
      <c r="C2131">
        <v>96</v>
      </c>
      <c r="D2131" t="s">
        <v>66</v>
      </c>
      <c r="E2131" t="s">
        <v>201</v>
      </c>
      <c r="F2131" t="s">
        <v>93</v>
      </c>
      <c r="G2131" t="s">
        <v>133</v>
      </c>
      <c r="H2131" t="s">
        <v>93</v>
      </c>
      <c r="I2131" t="s">
        <v>345</v>
      </c>
      <c r="J2131" t="s">
        <v>224</v>
      </c>
      <c r="K2131" t="s">
        <v>205</v>
      </c>
      <c r="L2131" t="s">
        <v>66</v>
      </c>
      <c r="M2131" t="s">
        <v>1146</v>
      </c>
      <c r="N2131" t="s">
        <v>103</v>
      </c>
      <c r="O2131" t="s">
        <v>194</v>
      </c>
    </row>
    <row r="2132" spans="1:15" x14ac:dyDescent="0.3">
      <c r="A2132" t="s">
        <v>26</v>
      </c>
      <c r="B2132" t="s">
        <v>308</v>
      </c>
      <c r="C2132">
        <v>38</v>
      </c>
      <c r="D2132" t="s">
        <v>103</v>
      </c>
      <c r="E2132" t="s">
        <v>103</v>
      </c>
      <c r="F2132" t="s">
        <v>103</v>
      </c>
      <c r="G2132" t="s">
        <v>925</v>
      </c>
      <c r="H2132" t="s">
        <v>217</v>
      </c>
      <c r="I2132" t="s">
        <v>64</v>
      </c>
      <c r="J2132" t="s">
        <v>460</v>
      </c>
      <c r="K2132" t="s">
        <v>737</v>
      </c>
      <c r="L2132" t="s">
        <v>278</v>
      </c>
      <c r="M2132" t="s">
        <v>1170</v>
      </c>
      <c r="N2132" t="s">
        <v>103</v>
      </c>
      <c r="O2132" t="s">
        <v>103</v>
      </c>
    </row>
    <row r="2133" spans="1:15" x14ac:dyDescent="0.3">
      <c r="A2133" t="s">
        <v>29</v>
      </c>
      <c r="B2133" t="s">
        <v>311</v>
      </c>
      <c r="C2133">
        <v>413</v>
      </c>
      <c r="D2133" t="s">
        <v>103</v>
      </c>
      <c r="E2133" t="s">
        <v>615</v>
      </c>
      <c r="F2133" t="s">
        <v>105</v>
      </c>
      <c r="G2133" t="s">
        <v>281</v>
      </c>
      <c r="H2133" t="s">
        <v>113</v>
      </c>
      <c r="I2133" t="s">
        <v>272</v>
      </c>
      <c r="J2133" t="s">
        <v>137</v>
      </c>
      <c r="K2133" t="s">
        <v>284</v>
      </c>
      <c r="L2133" t="s">
        <v>114</v>
      </c>
      <c r="M2133" t="s">
        <v>1056</v>
      </c>
      <c r="N2133" t="s">
        <v>103</v>
      </c>
      <c r="O2133" t="s">
        <v>116</v>
      </c>
    </row>
    <row r="2134" spans="1:15" x14ac:dyDescent="0.3">
      <c r="A2134" t="s">
        <v>29</v>
      </c>
      <c r="B2134" t="s">
        <v>312</v>
      </c>
      <c r="C2134">
        <v>103</v>
      </c>
      <c r="D2134" t="s">
        <v>97</v>
      </c>
      <c r="E2134" t="s">
        <v>107</v>
      </c>
      <c r="F2134" t="s">
        <v>116</v>
      </c>
      <c r="G2134" t="s">
        <v>208</v>
      </c>
      <c r="H2134" t="s">
        <v>114</v>
      </c>
      <c r="I2134" t="s">
        <v>284</v>
      </c>
      <c r="J2134" t="s">
        <v>925</v>
      </c>
      <c r="K2134" t="s">
        <v>558</v>
      </c>
      <c r="L2134" t="s">
        <v>194</v>
      </c>
      <c r="M2134" t="s">
        <v>1171</v>
      </c>
      <c r="N2134" t="s">
        <v>103</v>
      </c>
      <c r="O2134" t="s">
        <v>468</v>
      </c>
    </row>
    <row r="2135" spans="1:15" x14ac:dyDescent="0.3">
      <c r="A2135" t="s">
        <v>29</v>
      </c>
      <c r="B2135" t="s">
        <v>308</v>
      </c>
      <c r="C2135">
        <v>13</v>
      </c>
      <c r="D2135" t="s">
        <v>103</v>
      </c>
      <c r="E2135" t="s">
        <v>468</v>
      </c>
      <c r="F2135" t="s">
        <v>146</v>
      </c>
      <c r="G2135" t="s">
        <v>103</v>
      </c>
      <c r="H2135" t="s">
        <v>463</v>
      </c>
      <c r="I2135" t="s">
        <v>103</v>
      </c>
      <c r="J2135" t="s">
        <v>254</v>
      </c>
      <c r="K2135" t="s">
        <v>474</v>
      </c>
      <c r="L2135" t="s">
        <v>103</v>
      </c>
      <c r="M2135" t="s">
        <v>1172</v>
      </c>
      <c r="N2135" t="s">
        <v>103</v>
      </c>
      <c r="O2135" t="s">
        <v>99</v>
      </c>
    </row>
    <row r="2136" spans="1:15" x14ac:dyDescent="0.3">
      <c r="A2136" t="s">
        <v>28</v>
      </c>
      <c r="B2136" t="s">
        <v>311</v>
      </c>
      <c r="C2136">
        <v>223</v>
      </c>
      <c r="D2136" t="s">
        <v>103</v>
      </c>
      <c r="E2136" t="s">
        <v>97</v>
      </c>
      <c r="F2136" t="s">
        <v>103</v>
      </c>
      <c r="G2136" t="s">
        <v>97</v>
      </c>
      <c r="H2136" t="s">
        <v>97</v>
      </c>
      <c r="I2136" t="s">
        <v>103</v>
      </c>
      <c r="J2136" t="s">
        <v>245</v>
      </c>
      <c r="K2136" t="s">
        <v>139</v>
      </c>
      <c r="L2136" t="s">
        <v>139</v>
      </c>
      <c r="M2136" t="s">
        <v>1173</v>
      </c>
      <c r="N2136" t="s">
        <v>98</v>
      </c>
      <c r="O2136" t="s">
        <v>103</v>
      </c>
    </row>
    <row r="2137" spans="1:15" x14ac:dyDescent="0.3">
      <c r="A2137" t="s">
        <v>28</v>
      </c>
      <c r="B2137" t="s">
        <v>312</v>
      </c>
      <c r="C2137">
        <v>93</v>
      </c>
      <c r="D2137" t="s">
        <v>194</v>
      </c>
      <c r="E2137" t="s">
        <v>511</v>
      </c>
      <c r="F2137" t="s">
        <v>194</v>
      </c>
      <c r="G2137" t="s">
        <v>591</v>
      </c>
      <c r="H2137" t="s">
        <v>591</v>
      </c>
      <c r="I2137" t="s">
        <v>282</v>
      </c>
      <c r="J2137" t="s">
        <v>68</v>
      </c>
      <c r="K2137" t="s">
        <v>133</v>
      </c>
      <c r="L2137" t="s">
        <v>266</v>
      </c>
      <c r="M2137" t="s">
        <v>605</v>
      </c>
      <c r="N2137" t="s">
        <v>103</v>
      </c>
      <c r="O2137" t="s">
        <v>103</v>
      </c>
    </row>
    <row r="2138" spans="1:15" x14ac:dyDescent="0.3">
      <c r="A2138" t="s">
        <v>28</v>
      </c>
      <c r="B2138" t="s">
        <v>308</v>
      </c>
      <c r="C2138">
        <v>1</v>
      </c>
      <c r="D2138" t="s">
        <v>103</v>
      </c>
      <c r="E2138" t="s">
        <v>103</v>
      </c>
      <c r="F2138" t="s">
        <v>103</v>
      </c>
      <c r="G2138" t="s">
        <v>103</v>
      </c>
      <c r="H2138" t="s">
        <v>103</v>
      </c>
      <c r="I2138" t="s">
        <v>103</v>
      </c>
      <c r="J2138" t="s">
        <v>103</v>
      </c>
      <c r="K2138" t="s">
        <v>103</v>
      </c>
      <c r="L2138" t="s">
        <v>103</v>
      </c>
      <c r="M2138" t="s">
        <v>192</v>
      </c>
      <c r="N2138" t="s">
        <v>103</v>
      </c>
      <c r="O2138" t="s">
        <v>103</v>
      </c>
    </row>
    <row r="2139" spans="1:15" x14ac:dyDescent="0.3">
      <c r="A2139" t="s">
        <v>27</v>
      </c>
      <c r="B2139" t="s">
        <v>311</v>
      </c>
      <c r="C2139">
        <v>237</v>
      </c>
      <c r="D2139" t="s">
        <v>33</v>
      </c>
      <c r="E2139" t="s">
        <v>126</v>
      </c>
      <c r="F2139" t="s">
        <v>345</v>
      </c>
      <c r="G2139" t="s">
        <v>118</v>
      </c>
      <c r="H2139" t="s">
        <v>251</v>
      </c>
      <c r="I2139" t="s">
        <v>139</v>
      </c>
      <c r="J2139" t="s">
        <v>667</v>
      </c>
      <c r="K2139" t="s">
        <v>173</v>
      </c>
      <c r="L2139" t="s">
        <v>105</v>
      </c>
      <c r="M2139" t="s">
        <v>696</v>
      </c>
      <c r="N2139" t="s">
        <v>468</v>
      </c>
      <c r="O2139" t="s">
        <v>329</v>
      </c>
    </row>
    <row r="2140" spans="1:15" x14ac:dyDescent="0.3">
      <c r="A2140" t="s">
        <v>27</v>
      </c>
      <c r="B2140" t="s">
        <v>312</v>
      </c>
      <c r="C2140">
        <v>60</v>
      </c>
      <c r="D2140" t="s">
        <v>467</v>
      </c>
      <c r="E2140" t="s">
        <v>531</v>
      </c>
      <c r="F2140" t="s">
        <v>103</v>
      </c>
      <c r="G2140" t="s">
        <v>103</v>
      </c>
      <c r="H2140" t="s">
        <v>93</v>
      </c>
      <c r="I2140" t="s">
        <v>103</v>
      </c>
      <c r="J2140" t="s">
        <v>329</v>
      </c>
      <c r="K2140" t="s">
        <v>262</v>
      </c>
      <c r="L2140" t="s">
        <v>103</v>
      </c>
      <c r="M2140" t="s">
        <v>760</v>
      </c>
      <c r="N2140" t="s">
        <v>103</v>
      </c>
      <c r="O2140" t="s">
        <v>103</v>
      </c>
    </row>
    <row r="2141" spans="1:15" x14ac:dyDescent="0.3">
      <c r="A2141" t="s">
        <v>27</v>
      </c>
      <c r="B2141" t="s">
        <v>308</v>
      </c>
      <c r="C2141">
        <v>3</v>
      </c>
      <c r="D2141" t="s">
        <v>103</v>
      </c>
      <c r="E2141" t="s">
        <v>103</v>
      </c>
      <c r="F2141" t="s">
        <v>103</v>
      </c>
      <c r="G2141" t="s">
        <v>103</v>
      </c>
      <c r="H2141" t="s">
        <v>103</v>
      </c>
      <c r="I2141" t="s">
        <v>103</v>
      </c>
      <c r="J2141" t="s">
        <v>103</v>
      </c>
      <c r="K2141" t="s">
        <v>103</v>
      </c>
      <c r="L2141" t="s">
        <v>103</v>
      </c>
      <c r="M2141" t="s">
        <v>192</v>
      </c>
      <c r="N2141" t="s">
        <v>103</v>
      </c>
      <c r="O2141" t="s">
        <v>103</v>
      </c>
    </row>
    <row r="2142" spans="1:15" x14ac:dyDescent="0.3">
      <c r="A2142" t="s">
        <v>41</v>
      </c>
      <c r="B2142" t="s">
        <v>311</v>
      </c>
      <c r="C2142">
        <v>1540</v>
      </c>
      <c r="D2142" t="s">
        <v>122</v>
      </c>
      <c r="E2142" t="s">
        <v>201</v>
      </c>
      <c r="F2142" t="s">
        <v>341</v>
      </c>
      <c r="G2142" t="s">
        <v>662</v>
      </c>
      <c r="H2142" t="s">
        <v>125</v>
      </c>
      <c r="I2142" t="s">
        <v>118</v>
      </c>
      <c r="J2142" t="s">
        <v>693</v>
      </c>
      <c r="K2142" t="s">
        <v>607</v>
      </c>
      <c r="L2142" t="s">
        <v>107</v>
      </c>
      <c r="M2142" t="s">
        <v>252</v>
      </c>
      <c r="N2142" t="s">
        <v>122</v>
      </c>
      <c r="O2142" t="s">
        <v>116</v>
      </c>
    </row>
    <row r="2143" spans="1:15" x14ac:dyDescent="0.3">
      <c r="A2143" t="s">
        <v>41</v>
      </c>
      <c r="B2143" t="s">
        <v>312</v>
      </c>
      <c r="C2143">
        <v>432</v>
      </c>
      <c r="D2143" t="s">
        <v>97</v>
      </c>
      <c r="E2143" t="s">
        <v>591</v>
      </c>
      <c r="F2143" t="s">
        <v>282</v>
      </c>
      <c r="G2143" t="s">
        <v>270</v>
      </c>
      <c r="H2143" t="s">
        <v>266</v>
      </c>
      <c r="I2143" t="s">
        <v>270</v>
      </c>
      <c r="J2143" t="s">
        <v>146</v>
      </c>
      <c r="K2143" t="s">
        <v>206</v>
      </c>
      <c r="L2143" t="s">
        <v>282</v>
      </c>
      <c r="M2143" t="s">
        <v>204</v>
      </c>
      <c r="N2143" t="s">
        <v>103</v>
      </c>
      <c r="O2143" t="s">
        <v>98</v>
      </c>
    </row>
    <row r="2144" spans="1:15" x14ac:dyDescent="0.3">
      <c r="A2144" t="s">
        <v>41</v>
      </c>
      <c r="B2144" t="s">
        <v>308</v>
      </c>
      <c r="C2144">
        <v>65</v>
      </c>
      <c r="D2144" t="s">
        <v>103</v>
      </c>
      <c r="E2144" t="s">
        <v>116</v>
      </c>
      <c r="F2144" t="s">
        <v>266</v>
      </c>
      <c r="G2144" t="s">
        <v>262</v>
      </c>
      <c r="H2144" t="s">
        <v>532</v>
      </c>
      <c r="I2144" t="s">
        <v>467</v>
      </c>
      <c r="J2144" t="s">
        <v>62</v>
      </c>
      <c r="K2144" t="s">
        <v>693</v>
      </c>
      <c r="L2144" t="s">
        <v>33</v>
      </c>
      <c r="M2144" t="s">
        <v>366</v>
      </c>
      <c r="N2144" t="s">
        <v>103</v>
      </c>
      <c r="O2144" t="s">
        <v>217</v>
      </c>
    </row>
    <row r="2146" spans="1:15" x14ac:dyDescent="0.3">
      <c r="A2146" t="s">
        <v>1174</v>
      </c>
    </row>
    <row r="2147" spans="1:15" x14ac:dyDescent="0.3">
      <c r="A2147" t="s">
        <v>36</v>
      </c>
      <c r="B2147" t="s">
        <v>197</v>
      </c>
      <c r="C2147" t="s">
        <v>24</v>
      </c>
      <c r="D2147" t="s">
        <v>1156</v>
      </c>
      <c r="E2147" t="s">
        <v>1157</v>
      </c>
      <c r="F2147" t="s">
        <v>1158</v>
      </c>
      <c r="G2147" t="s">
        <v>1159</v>
      </c>
      <c r="H2147" t="s">
        <v>1160</v>
      </c>
      <c r="I2147" t="s">
        <v>1161</v>
      </c>
      <c r="J2147" t="s">
        <v>1162</v>
      </c>
      <c r="K2147" t="s">
        <v>1163</v>
      </c>
      <c r="L2147" t="s">
        <v>1164</v>
      </c>
      <c r="M2147" t="s">
        <v>1165</v>
      </c>
      <c r="N2147" t="s">
        <v>183</v>
      </c>
      <c r="O2147" t="s">
        <v>1166</v>
      </c>
    </row>
    <row r="2148" spans="1:15" x14ac:dyDescent="0.3">
      <c r="A2148" t="s">
        <v>25</v>
      </c>
      <c r="B2148" t="s">
        <v>198</v>
      </c>
      <c r="C2148">
        <v>104</v>
      </c>
      <c r="D2148" t="s">
        <v>103</v>
      </c>
      <c r="E2148" t="s">
        <v>68</v>
      </c>
      <c r="F2148" t="s">
        <v>103</v>
      </c>
      <c r="G2148" t="s">
        <v>662</v>
      </c>
      <c r="H2148" t="s">
        <v>217</v>
      </c>
      <c r="I2148" t="s">
        <v>467</v>
      </c>
      <c r="J2148" t="s">
        <v>486</v>
      </c>
      <c r="K2148" t="s">
        <v>125</v>
      </c>
      <c r="L2148" t="s">
        <v>216</v>
      </c>
      <c r="M2148" t="s">
        <v>428</v>
      </c>
      <c r="N2148" t="s">
        <v>103</v>
      </c>
      <c r="O2148" t="s">
        <v>103</v>
      </c>
    </row>
    <row r="2149" spans="1:15" x14ac:dyDescent="0.3">
      <c r="A2149" t="s">
        <v>25</v>
      </c>
      <c r="B2149" t="s">
        <v>199</v>
      </c>
      <c r="C2149">
        <v>310</v>
      </c>
      <c r="D2149" t="s">
        <v>97</v>
      </c>
      <c r="E2149" t="s">
        <v>64</v>
      </c>
      <c r="F2149" t="s">
        <v>95</v>
      </c>
      <c r="G2149" t="s">
        <v>467</v>
      </c>
      <c r="H2149" t="s">
        <v>239</v>
      </c>
      <c r="I2149" t="s">
        <v>257</v>
      </c>
      <c r="J2149" t="s">
        <v>466</v>
      </c>
      <c r="K2149" t="s">
        <v>101</v>
      </c>
      <c r="L2149" t="s">
        <v>68</v>
      </c>
      <c r="M2149" t="s">
        <v>227</v>
      </c>
      <c r="N2149" t="s">
        <v>194</v>
      </c>
      <c r="O2149" t="s">
        <v>103</v>
      </c>
    </row>
    <row r="2150" spans="1:15" x14ac:dyDescent="0.3">
      <c r="A2150" t="s">
        <v>26</v>
      </c>
      <c r="B2150" t="s">
        <v>198</v>
      </c>
      <c r="C2150">
        <v>41</v>
      </c>
      <c r="D2150" t="s">
        <v>95</v>
      </c>
      <c r="E2150" t="s">
        <v>693</v>
      </c>
      <c r="F2150" t="s">
        <v>68</v>
      </c>
      <c r="G2150" t="s">
        <v>466</v>
      </c>
      <c r="H2150" t="s">
        <v>103</v>
      </c>
      <c r="I2150" t="s">
        <v>103</v>
      </c>
      <c r="J2150" t="s">
        <v>925</v>
      </c>
      <c r="K2150" t="s">
        <v>101</v>
      </c>
      <c r="L2150" t="s">
        <v>68</v>
      </c>
      <c r="M2150" t="s">
        <v>741</v>
      </c>
      <c r="N2150" t="s">
        <v>103</v>
      </c>
      <c r="O2150" t="s">
        <v>103</v>
      </c>
    </row>
    <row r="2151" spans="1:15" x14ac:dyDescent="0.3">
      <c r="A2151" t="s">
        <v>26</v>
      </c>
      <c r="B2151" t="s">
        <v>199</v>
      </c>
      <c r="C2151">
        <v>436</v>
      </c>
      <c r="D2151" t="s">
        <v>116</v>
      </c>
      <c r="E2151" t="s">
        <v>201</v>
      </c>
      <c r="F2151" t="s">
        <v>467</v>
      </c>
      <c r="G2151" t="s">
        <v>629</v>
      </c>
      <c r="H2151" t="s">
        <v>272</v>
      </c>
      <c r="I2151" t="s">
        <v>216</v>
      </c>
      <c r="J2151" t="s">
        <v>247</v>
      </c>
      <c r="K2151" t="s">
        <v>693</v>
      </c>
      <c r="L2151" t="s">
        <v>232</v>
      </c>
      <c r="M2151" t="s">
        <v>1175</v>
      </c>
      <c r="N2151" t="s">
        <v>116</v>
      </c>
      <c r="O2151" t="s">
        <v>122</v>
      </c>
    </row>
    <row r="2152" spans="1:15" x14ac:dyDescent="0.3">
      <c r="A2152" t="s">
        <v>29</v>
      </c>
      <c r="B2152" t="s">
        <v>198</v>
      </c>
      <c r="C2152">
        <v>170</v>
      </c>
      <c r="D2152" t="s">
        <v>116</v>
      </c>
      <c r="E2152" t="s">
        <v>438</v>
      </c>
      <c r="F2152" t="s">
        <v>122</v>
      </c>
      <c r="G2152" t="s">
        <v>120</v>
      </c>
      <c r="H2152" t="s">
        <v>531</v>
      </c>
      <c r="I2152" t="s">
        <v>64</v>
      </c>
      <c r="J2152" t="s">
        <v>493</v>
      </c>
      <c r="K2152" t="s">
        <v>114</v>
      </c>
      <c r="L2152" t="s">
        <v>103</v>
      </c>
      <c r="M2152" t="s">
        <v>605</v>
      </c>
      <c r="N2152" t="s">
        <v>103</v>
      </c>
      <c r="O2152" t="s">
        <v>66</v>
      </c>
    </row>
    <row r="2153" spans="1:15" x14ac:dyDescent="0.3">
      <c r="A2153" t="s">
        <v>29</v>
      </c>
      <c r="B2153" t="s">
        <v>199</v>
      </c>
      <c r="C2153">
        <v>359</v>
      </c>
      <c r="D2153" t="s">
        <v>91</v>
      </c>
      <c r="E2153" t="s">
        <v>33</v>
      </c>
      <c r="F2153" t="s">
        <v>93</v>
      </c>
      <c r="G2153" t="s">
        <v>594</v>
      </c>
      <c r="H2153" t="s">
        <v>125</v>
      </c>
      <c r="I2153" t="s">
        <v>188</v>
      </c>
      <c r="J2153" t="s">
        <v>115</v>
      </c>
      <c r="K2153" t="s">
        <v>531</v>
      </c>
      <c r="L2153" t="s">
        <v>32</v>
      </c>
      <c r="M2153" t="s">
        <v>618</v>
      </c>
      <c r="N2153" t="s">
        <v>103</v>
      </c>
      <c r="O2153" t="s">
        <v>98</v>
      </c>
    </row>
    <row r="2154" spans="1:15" x14ac:dyDescent="0.3">
      <c r="A2154" t="s">
        <v>28</v>
      </c>
      <c r="B2154" t="s">
        <v>198</v>
      </c>
      <c r="C2154">
        <v>70</v>
      </c>
      <c r="D2154" t="s">
        <v>103</v>
      </c>
      <c r="E2154" t="s">
        <v>103</v>
      </c>
      <c r="F2154" t="s">
        <v>103</v>
      </c>
      <c r="G2154" t="s">
        <v>103</v>
      </c>
      <c r="H2154" t="s">
        <v>103</v>
      </c>
      <c r="I2154" t="s">
        <v>103</v>
      </c>
      <c r="J2154" t="s">
        <v>103</v>
      </c>
      <c r="K2154" t="s">
        <v>98</v>
      </c>
      <c r="L2154" t="s">
        <v>468</v>
      </c>
      <c r="M2154" t="s">
        <v>1176</v>
      </c>
      <c r="N2154" t="s">
        <v>103</v>
      </c>
      <c r="O2154" t="s">
        <v>103</v>
      </c>
    </row>
    <row r="2155" spans="1:15" x14ac:dyDescent="0.3">
      <c r="A2155" t="s">
        <v>28</v>
      </c>
      <c r="B2155" t="s">
        <v>199</v>
      </c>
      <c r="C2155">
        <v>247</v>
      </c>
      <c r="D2155" t="s">
        <v>97</v>
      </c>
      <c r="E2155" t="s">
        <v>64</v>
      </c>
      <c r="F2155" t="s">
        <v>97</v>
      </c>
      <c r="G2155" t="s">
        <v>341</v>
      </c>
      <c r="H2155" t="s">
        <v>341</v>
      </c>
      <c r="I2155" t="s">
        <v>122</v>
      </c>
      <c r="J2155" t="s">
        <v>64</v>
      </c>
      <c r="K2155" t="s">
        <v>128</v>
      </c>
      <c r="L2155" t="s">
        <v>194</v>
      </c>
      <c r="M2155" t="s">
        <v>1177</v>
      </c>
      <c r="N2155" t="s">
        <v>98</v>
      </c>
      <c r="O2155" t="s">
        <v>103</v>
      </c>
    </row>
    <row r="2156" spans="1:15" x14ac:dyDescent="0.3">
      <c r="A2156" t="s">
        <v>27</v>
      </c>
      <c r="B2156" t="s">
        <v>198</v>
      </c>
      <c r="C2156">
        <v>136</v>
      </c>
      <c r="D2156" t="s">
        <v>128</v>
      </c>
      <c r="E2156" t="s">
        <v>100</v>
      </c>
      <c r="F2156" t="s">
        <v>95</v>
      </c>
      <c r="G2156" t="s">
        <v>239</v>
      </c>
      <c r="H2156" t="s">
        <v>272</v>
      </c>
      <c r="I2156" t="s">
        <v>110</v>
      </c>
      <c r="J2156" t="s">
        <v>264</v>
      </c>
      <c r="K2156" t="s">
        <v>469</v>
      </c>
      <c r="L2156" t="s">
        <v>139</v>
      </c>
      <c r="M2156" t="s">
        <v>1034</v>
      </c>
      <c r="N2156" t="s">
        <v>95</v>
      </c>
      <c r="O2156" t="s">
        <v>120</v>
      </c>
    </row>
    <row r="2157" spans="1:15" x14ac:dyDescent="0.3">
      <c r="A2157" t="s">
        <v>27</v>
      </c>
      <c r="B2157" t="s">
        <v>199</v>
      </c>
      <c r="C2157">
        <v>164</v>
      </c>
      <c r="D2157" t="s">
        <v>607</v>
      </c>
      <c r="E2157" t="s">
        <v>494</v>
      </c>
      <c r="F2157" t="s">
        <v>345</v>
      </c>
      <c r="G2157" t="s">
        <v>118</v>
      </c>
      <c r="H2157" t="s">
        <v>205</v>
      </c>
      <c r="I2157" t="s">
        <v>103</v>
      </c>
      <c r="J2157" t="s">
        <v>521</v>
      </c>
      <c r="K2157" t="s">
        <v>481</v>
      </c>
      <c r="L2157" t="s">
        <v>329</v>
      </c>
      <c r="M2157" t="s">
        <v>258</v>
      </c>
      <c r="N2157" t="s">
        <v>468</v>
      </c>
      <c r="O2157" t="s">
        <v>64</v>
      </c>
    </row>
    <row r="2158" spans="1:15" x14ac:dyDescent="0.3">
      <c r="A2158" t="s">
        <v>41</v>
      </c>
      <c r="B2158" t="s">
        <v>198</v>
      </c>
      <c r="C2158">
        <v>521</v>
      </c>
      <c r="D2158" t="s">
        <v>97</v>
      </c>
      <c r="E2158" t="s">
        <v>114</v>
      </c>
      <c r="F2158" t="s">
        <v>97</v>
      </c>
      <c r="G2158" t="s">
        <v>105</v>
      </c>
      <c r="H2158" t="s">
        <v>532</v>
      </c>
      <c r="I2158" t="s">
        <v>257</v>
      </c>
      <c r="J2158" t="s">
        <v>737</v>
      </c>
      <c r="K2158" t="s">
        <v>284</v>
      </c>
      <c r="L2158" t="s">
        <v>120</v>
      </c>
      <c r="M2158" t="s">
        <v>806</v>
      </c>
      <c r="N2158" t="s">
        <v>91</v>
      </c>
      <c r="O2158" t="s">
        <v>66</v>
      </c>
    </row>
    <row r="2159" spans="1:15" x14ac:dyDescent="0.3">
      <c r="A2159" t="s">
        <v>41</v>
      </c>
      <c r="B2159" t="s">
        <v>199</v>
      </c>
      <c r="C2159">
        <v>1516</v>
      </c>
      <c r="D2159" t="s">
        <v>122</v>
      </c>
      <c r="E2159" t="s">
        <v>113</v>
      </c>
      <c r="F2159" t="s">
        <v>329</v>
      </c>
      <c r="G2159" t="s">
        <v>594</v>
      </c>
      <c r="H2159" t="s">
        <v>68</v>
      </c>
      <c r="I2159" t="s">
        <v>217</v>
      </c>
      <c r="J2159" t="s">
        <v>652</v>
      </c>
      <c r="K2159" t="s">
        <v>124</v>
      </c>
      <c r="L2159" t="s">
        <v>532</v>
      </c>
      <c r="M2159" t="s">
        <v>1178</v>
      </c>
      <c r="N2159" t="s">
        <v>122</v>
      </c>
      <c r="O2159" t="s">
        <v>120</v>
      </c>
    </row>
    <row r="2161" spans="1:15" x14ac:dyDescent="0.3">
      <c r="A2161" t="s">
        <v>1179</v>
      </c>
    </row>
    <row r="2162" spans="1:15" x14ac:dyDescent="0.3">
      <c r="A2162" t="s">
        <v>36</v>
      </c>
      <c r="B2162" t="s">
        <v>1149</v>
      </c>
      <c r="C2162" t="s">
        <v>24</v>
      </c>
      <c r="D2162" t="s">
        <v>1156</v>
      </c>
      <c r="E2162" t="s">
        <v>1157</v>
      </c>
      <c r="F2162" t="s">
        <v>1158</v>
      </c>
      <c r="G2162" t="s">
        <v>1159</v>
      </c>
      <c r="H2162" t="s">
        <v>1160</v>
      </c>
      <c r="I2162" t="s">
        <v>1161</v>
      </c>
      <c r="J2162" t="s">
        <v>1162</v>
      </c>
      <c r="K2162" t="s">
        <v>1163</v>
      </c>
      <c r="L2162" t="s">
        <v>1164</v>
      </c>
      <c r="M2162" t="s">
        <v>1165</v>
      </c>
      <c r="N2162" t="s">
        <v>183</v>
      </c>
      <c r="O2162" t="s">
        <v>1166</v>
      </c>
    </row>
    <row r="2163" spans="1:15" x14ac:dyDescent="0.3">
      <c r="A2163" t="s">
        <v>25</v>
      </c>
      <c r="B2163" t="s">
        <v>1150</v>
      </c>
      <c r="C2163">
        <v>74</v>
      </c>
      <c r="D2163" t="s">
        <v>103</v>
      </c>
      <c r="E2163" t="s">
        <v>615</v>
      </c>
      <c r="F2163" t="s">
        <v>341</v>
      </c>
      <c r="G2163" t="s">
        <v>467</v>
      </c>
      <c r="H2163" t="s">
        <v>113</v>
      </c>
      <c r="I2163" t="s">
        <v>466</v>
      </c>
      <c r="J2163" t="s">
        <v>278</v>
      </c>
      <c r="K2163" t="s">
        <v>148</v>
      </c>
      <c r="L2163" t="s">
        <v>266</v>
      </c>
      <c r="M2163" t="s">
        <v>769</v>
      </c>
      <c r="N2163" t="s">
        <v>257</v>
      </c>
      <c r="O2163" t="s">
        <v>103</v>
      </c>
    </row>
    <row r="2164" spans="1:15" x14ac:dyDescent="0.3">
      <c r="A2164" t="s">
        <v>25</v>
      </c>
      <c r="B2164" t="s">
        <v>1151</v>
      </c>
      <c r="C2164">
        <v>321</v>
      </c>
      <c r="D2164" t="s">
        <v>97</v>
      </c>
      <c r="E2164" t="s">
        <v>128</v>
      </c>
      <c r="F2164" t="s">
        <v>116</v>
      </c>
      <c r="G2164" t="s">
        <v>107</v>
      </c>
      <c r="H2164" t="s">
        <v>194</v>
      </c>
      <c r="I2164" t="s">
        <v>208</v>
      </c>
      <c r="J2164" t="s">
        <v>62</v>
      </c>
      <c r="K2164" t="s">
        <v>284</v>
      </c>
      <c r="L2164" t="s">
        <v>217</v>
      </c>
      <c r="M2164" t="s">
        <v>1052</v>
      </c>
      <c r="N2164" t="s">
        <v>116</v>
      </c>
      <c r="O2164" t="s">
        <v>103</v>
      </c>
    </row>
    <row r="2165" spans="1:15" s="3" customFormat="1" x14ac:dyDescent="0.3">
      <c r="A2165" s="3" t="s">
        <v>25</v>
      </c>
      <c r="B2165" s="3" t="s">
        <v>1152</v>
      </c>
      <c r="C2165" s="3">
        <v>19</v>
      </c>
      <c r="D2165" s="3" t="s">
        <v>103</v>
      </c>
      <c r="E2165" s="3" t="s">
        <v>32</v>
      </c>
      <c r="F2165" s="3" t="s">
        <v>103</v>
      </c>
      <c r="G2165" s="3" t="s">
        <v>103</v>
      </c>
      <c r="H2165" s="3" t="s">
        <v>103</v>
      </c>
      <c r="I2165" s="3" t="s">
        <v>103</v>
      </c>
      <c r="J2165" s="3" t="s">
        <v>103</v>
      </c>
      <c r="K2165" s="3" t="s">
        <v>186</v>
      </c>
      <c r="L2165" s="3" t="s">
        <v>284</v>
      </c>
      <c r="M2165" s="3" t="s">
        <v>156</v>
      </c>
      <c r="N2165" s="3" t="s">
        <v>112</v>
      </c>
      <c r="O2165" s="3" t="s">
        <v>103</v>
      </c>
    </row>
    <row r="2166" spans="1:15" x14ac:dyDescent="0.3">
      <c r="A2166" t="s">
        <v>26</v>
      </c>
      <c r="B2166" t="s">
        <v>1150</v>
      </c>
      <c r="C2166">
        <v>72</v>
      </c>
      <c r="D2166" t="s">
        <v>93</v>
      </c>
      <c r="E2166" t="s">
        <v>216</v>
      </c>
      <c r="F2166" t="s">
        <v>116</v>
      </c>
      <c r="G2166" t="s">
        <v>94</v>
      </c>
      <c r="H2166" t="s">
        <v>245</v>
      </c>
      <c r="I2166" t="s">
        <v>103</v>
      </c>
      <c r="J2166" t="s">
        <v>693</v>
      </c>
      <c r="K2166" t="s">
        <v>140</v>
      </c>
      <c r="L2166" t="s">
        <v>208</v>
      </c>
      <c r="M2166" t="s">
        <v>1146</v>
      </c>
      <c r="N2166" t="s">
        <v>120</v>
      </c>
      <c r="O2166" t="s">
        <v>103</v>
      </c>
    </row>
    <row r="2167" spans="1:15" x14ac:dyDescent="0.3">
      <c r="A2167" t="s">
        <v>26</v>
      </c>
      <c r="B2167" t="s">
        <v>1151</v>
      </c>
      <c r="C2167">
        <v>336</v>
      </c>
      <c r="D2167" t="s">
        <v>103</v>
      </c>
      <c r="E2167" t="s">
        <v>214</v>
      </c>
      <c r="F2167" t="s">
        <v>125</v>
      </c>
      <c r="G2167" t="s">
        <v>117</v>
      </c>
      <c r="H2167" t="s">
        <v>438</v>
      </c>
      <c r="I2167" t="s">
        <v>468</v>
      </c>
      <c r="J2167" t="s">
        <v>242</v>
      </c>
      <c r="K2167" t="s">
        <v>482</v>
      </c>
      <c r="L2167" t="s">
        <v>33</v>
      </c>
      <c r="M2167" t="s">
        <v>1180</v>
      </c>
      <c r="N2167" t="s">
        <v>116</v>
      </c>
      <c r="O2167" t="s">
        <v>116</v>
      </c>
    </row>
    <row r="2168" spans="1:15" x14ac:dyDescent="0.3">
      <c r="A2168" t="s">
        <v>26</v>
      </c>
      <c r="B2168" t="s">
        <v>1152</v>
      </c>
      <c r="C2168">
        <v>69</v>
      </c>
      <c r="D2168" t="s">
        <v>103</v>
      </c>
      <c r="E2168" t="s">
        <v>511</v>
      </c>
      <c r="F2168" t="s">
        <v>615</v>
      </c>
      <c r="G2168" t="s">
        <v>532</v>
      </c>
      <c r="H2168" t="s">
        <v>257</v>
      </c>
      <c r="I2168" t="s">
        <v>186</v>
      </c>
      <c r="J2168" t="s">
        <v>550</v>
      </c>
      <c r="K2168" t="s">
        <v>918</v>
      </c>
      <c r="L2168" t="s">
        <v>271</v>
      </c>
      <c r="M2168" t="s">
        <v>426</v>
      </c>
      <c r="N2168" t="s">
        <v>103</v>
      </c>
      <c r="O2168" t="s">
        <v>345</v>
      </c>
    </row>
    <row r="2169" spans="1:15" x14ac:dyDescent="0.3">
      <c r="A2169" t="s">
        <v>29</v>
      </c>
      <c r="B2169" t="s">
        <v>1150</v>
      </c>
      <c r="C2169">
        <v>133</v>
      </c>
      <c r="D2169" t="s">
        <v>97</v>
      </c>
      <c r="E2169" t="s">
        <v>216</v>
      </c>
      <c r="F2169" t="s">
        <v>103</v>
      </c>
      <c r="G2169" t="s">
        <v>103</v>
      </c>
      <c r="H2169" t="s">
        <v>102</v>
      </c>
      <c r="I2169" t="s">
        <v>208</v>
      </c>
      <c r="J2169" t="s">
        <v>532</v>
      </c>
      <c r="K2169" t="s">
        <v>105</v>
      </c>
      <c r="L2169" t="s">
        <v>345</v>
      </c>
      <c r="M2169" t="s">
        <v>771</v>
      </c>
      <c r="N2169" t="s">
        <v>103</v>
      </c>
      <c r="O2169" t="s">
        <v>216</v>
      </c>
    </row>
    <row r="2170" spans="1:15" x14ac:dyDescent="0.3">
      <c r="A2170" t="s">
        <v>29</v>
      </c>
      <c r="B2170" t="s">
        <v>1151</v>
      </c>
      <c r="C2170">
        <v>315</v>
      </c>
      <c r="D2170" t="s">
        <v>103</v>
      </c>
      <c r="E2170" t="s">
        <v>107</v>
      </c>
      <c r="F2170" t="s">
        <v>118</v>
      </c>
      <c r="G2170" t="s">
        <v>460</v>
      </c>
      <c r="H2170" t="s">
        <v>278</v>
      </c>
      <c r="I2170" t="s">
        <v>125</v>
      </c>
      <c r="J2170" t="s">
        <v>115</v>
      </c>
      <c r="K2170" t="s">
        <v>232</v>
      </c>
      <c r="L2170" t="s">
        <v>284</v>
      </c>
      <c r="M2170" t="s">
        <v>1016</v>
      </c>
      <c r="N2170" t="s">
        <v>103</v>
      </c>
      <c r="O2170" t="s">
        <v>122</v>
      </c>
    </row>
    <row r="2171" spans="1:15" x14ac:dyDescent="0.3">
      <c r="A2171" t="s">
        <v>29</v>
      </c>
      <c r="B2171" t="s">
        <v>1152</v>
      </c>
      <c r="C2171">
        <v>68</v>
      </c>
      <c r="D2171" t="s">
        <v>103</v>
      </c>
      <c r="E2171" t="s">
        <v>737</v>
      </c>
      <c r="F2171" t="s">
        <v>245</v>
      </c>
      <c r="G2171" t="s">
        <v>239</v>
      </c>
      <c r="H2171" t="s">
        <v>467</v>
      </c>
      <c r="I2171" t="s">
        <v>140</v>
      </c>
      <c r="J2171" t="s">
        <v>482</v>
      </c>
      <c r="K2171" t="s">
        <v>135</v>
      </c>
      <c r="L2171" t="s">
        <v>66</v>
      </c>
      <c r="M2171" t="s">
        <v>1040</v>
      </c>
      <c r="N2171" t="s">
        <v>103</v>
      </c>
      <c r="O2171" t="s">
        <v>120</v>
      </c>
    </row>
    <row r="2172" spans="1:15" x14ac:dyDescent="0.3">
      <c r="A2172" t="s">
        <v>29</v>
      </c>
      <c r="B2172" t="s">
        <v>308</v>
      </c>
      <c r="C2172">
        <v>13</v>
      </c>
      <c r="D2172" t="s">
        <v>103</v>
      </c>
      <c r="E2172" t="s">
        <v>548</v>
      </c>
      <c r="F2172" t="s">
        <v>345</v>
      </c>
      <c r="G2172" t="s">
        <v>103</v>
      </c>
      <c r="H2172" t="s">
        <v>103</v>
      </c>
      <c r="I2172" t="s">
        <v>103</v>
      </c>
      <c r="J2172" t="s">
        <v>103</v>
      </c>
      <c r="K2172" t="s">
        <v>269</v>
      </c>
      <c r="L2172" t="s">
        <v>103</v>
      </c>
      <c r="M2172" t="s">
        <v>434</v>
      </c>
      <c r="N2172" t="s">
        <v>103</v>
      </c>
      <c r="O2172" t="s">
        <v>103</v>
      </c>
    </row>
    <row r="2173" spans="1:15" x14ac:dyDescent="0.3">
      <c r="A2173" t="s">
        <v>28</v>
      </c>
      <c r="B2173" t="s">
        <v>1150</v>
      </c>
      <c r="C2173">
        <v>32</v>
      </c>
      <c r="D2173" t="s">
        <v>103</v>
      </c>
      <c r="E2173" t="s">
        <v>615</v>
      </c>
      <c r="F2173" t="s">
        <v>103</v>
      </c>
      <c r="G2173" t="s">
        <v>103</v>
      </c>
      <c r="H2173" t="s">
        <v>103</v>
      </c>
      <c r="I2173" t="s">
        <v>103</v>
      </c>
      <c r="J2173" t="s">
        <v>247</v>
      </c>
      <c r="K2173" t="s">
        <v>103</v>
      </c>
      <c r="L2173" t="s">
        <v>103</v>
      </c>
      <c r="M2173" t="s">
        <v>596</v>
      </c>
      <c r="N2173" t="s">
        <v>103</v>
      </c>
      <c r="O2173" t="s">
        <v>103</v>
      </c>
    </row>
    <row r="2174" spans="1:15" x14ac:dyDescent="0.3">
      <c r="A2174" t="s">
        <v>28</v>
      </c>
      <c r="B2174" t="s">
        <v>1151</v>
      </c>
      <c r="C2174">
        <v>280</v>
      </c>
      <c r="D2174" t="s">
        <v>122</v>
      </c>
      <c r="E2174" t="s">
        <v>341</v>
      </c>
      <c r="F2174" t="s">
        <v>122</v>
      </c>
      <c r="G2174" t="s">
        <v>216</v>
      </c>
      <c r="H2174" t="s">
        <v>216</v>
      </c>
      <c r="I2174" t="s">
        <v>103</v>
      </c>
      <c r="J2174" t="s">
        <v>110</v>
      </c>
      <c r="K2174" t="s">
        <v>93</v>
      </c>
      <c r="L2174" t="s">
        <v>110</v>
      </c>
      <c r="M2174" t="s">
        <v>864</v>
      </c>
      <c r="N2174" t="s">
        <v>139</v>
      </c>
      <c r="O2174" t="s">
        <v>103</v>
      </c>
    </row>
    <row r="2175" spans="1:15" s="3" customFormat="1" x14ac:dyDescent="0.3">
      <c r="A2175" s="3" t="s">
        <v>28</v>
      </c>
      <c r="B2175" s="3" t="s">
        <v>1152</v>
      </c>
      <c r="C2175" s="3">
        <v>4</v>
      </c>
      <c r="D2175" s="3" t="s">
        <v>103</v>
      </c>
      <c r="E2175" s="3" t="s">
        <v>103</v>
      </c>
      <c r="F2175" s="3" t="s">
        <v>103</v>
      </c>
      <c r="G2175" s="3" t="s">
        <v>103</v>
      </c>
      <c r="H2175" s="3" t="s">
        <v>103</v>
      </c>
      <c r="I2175" s="3" t="s">
        <v>975</v>
      </c>
      <c r="J2175" s="3" t="s">
        <v>103</v>
      </c>
      <c r="K2175" s="3" t="s">
        <v>103</v>
      </c>
      <c r="L2175" s="3" t="s">
        <v>103</v>
      </c>
      <c r="M2175" s="3" t="s">
        <v>976</v>
      </c>
      <c r="N2175" s="3" t="s">
        <v>103</v>
      </c>
      <c r="O2175" s="3" t="s">
        <v>103</v>
      </c>
    </row>
    <row r="2176" spans="1:15" x14ac:dyDescent="0.3">
      <c r="A2176" t="s">
        <v>28</v>
      </c>
      <c r="B2176" t="s">
        <v>308</v>
      </c>
      <c r="C2176">
        <v>1</v>
      </c>
      <c r="D2176" t="s">
        <v>103</v>
      </c>
      <c r="E2176" t="s">
        <v>103</v>
      </c>
      <c r="F2176" t="s">
        <v>103</v>
      </c>
      <c r="G2176" t="s">
        <v>103</v>
      </c>
      <c r="H2176" t="s">
        <v>103</v>
      </c>
      <c r="I2176" t="s">
        <v>103</v>
      </c>
      <c r="J2176" t="s">
        <v>103</v>
      </c>
      <c r="K2176" t="s">
        <v>103</v>
      </c>
      <c r="L2176" t="s">
        <v>103</v>
      </c>
      <c r="M2176" t="s">
        <v>192</v>
      </c>
      <c r="N2176" t="s">
        <v>103</v>
      </c>
      <c r="O2176" t="s">
        <v>103</v>
      </c>
    </row>
    <row r="2177" spans="1:18" x14ac:dyDescent="0.3">
      <c r="A2177" t="s">
        <v>27</v>
      </c>
      <c r="B2177" t="s">
        <v>1150</v>
      </c>
      <c r="C2177">
        <v>88</v>
      </c>
      <c r="D2177" t="s">
        <v>113</v>
      </c>
      <c r="E2177" t="s">
        <v>217</v>
      </c>
      <c r="F2177" t="s">
        <v>93</v>
      </c>
      <c r="G2177" t="s">
        <v>98</v>
      </c>
      <c r="H2177" t="s">
        <v>629</v>
      </c>
      <c r="I2177" t="s">
        <v>194</v>
      </c>
      <c r="J2177" t="s">
        <v>152</v>
      </c>
      <c r="K2177" t="s">
        <v>519</v>
      </c>
      <c r="L2177" t="s">
        <v>558</v>
      </c>
      <c r="M2177" t="s">
        <v>1064</v>
      </c>
      <c r="N2177" t="s">
        <v>103</v>
      </c>
      <c r="O2177" t="s">
        <v>114</v>
      </c>
    </row>
    <row r="2178" spans="1:18" x14ac:dyDescent="0.3">
      <c r="A2178" t="s">
        <v>27</v>
      </c>
      <c r="B2178" t="s">
        <v>1151</v>
      </c>
      <c r="C2178">
        <v>205</v>
      </c>
      <c r="D2178" t="s">
        <v>32</v>
      </c>
      <c r="E2178" t="s">
        <v>693</v>
      </c>
      <c r="F2178" t="s">
        <v>97</v>
      </c>
      <c r="G2178" t="s">
        <v>118</v>
      </c>
      <c r="H2178" t="s">
        <v>615</v>
      </c>
      <c r="I2178" t="s">
        <v>97</v>
      </c>
      <c r="J2178" t="s">
        <v>789</v>
      </c>
      <c r="K2178" t="s">
        <v>809</v>
      </c>
      <c r="L2178" t="s">
        <v>103</v>
      </c>
      <c r="M2178" t="s">
        <v>383</v>
      </c>
      <c r="N2178" t="s">
        <v>194</v>
      </c>
      <c r="O2178" t="s">
        <v>345</v>
      </c>
    </row>
    <row r="2179" spans="1:18" s="3" customFormat="1" x14ac:dyDescent="0.3">
      <c r="A2179" s="3" t="s">
        <v>27</v>
      </c>
      <c r="B2179" s="3" t="s">
        <v>1152</v>
      </c>
      <c r="C2179" s="3">
        <v>6</v>
      </c>
      <c r="D2179" s="3" t="s">
        <v>103</v>
      </c>
      <c r="E2179" s="3" t="s">
        <v>103</v>
      </c>
      <c r="F2179" s="3" t="s">
        <v>103</v>
      </c>
      <c r="G2179" s="3" t="s">
        <v>103</v>
      </c>
      <c r="H2179" s="3" t="s">
        <v>103</v>
      </c>
      <c r="I2179" s="3" t="s">
        <v>103</v>
      </c>
      <c r="J2179" s="3" t="s">
        <v>103</v>
      </c>
      <c r="K2179" s="3" t="s">
        <v>103</v>
      </c>
      <c r="L2179" s="3" t="s">
        <v>103</v>
      </c>
      <c r="M2179" s="3" t="s">
        <v>192</v>
      </c>
      <c r="N2179" s="3" t="s">
        <v>103</v>
      </c>
      <c r="O2179" s="3" t="s">
        <v>103</v>
      </c>
    </row>
    <row r="2180" spans="1:18" x14ac:dyDescent="0.3">
      <c r="A2180" t="s">
        <v>27</v>
      </c>
      <c r="B2180" t="s">
        <v>308</v>
      </c>
      <c r="C2180">
        <v>1</v>
      </c>
      <c r="D2180" t="s">
        <v>103</v>
      </c>
      <c r="E2180" t="s">
        <v>103</v>
      </c>
      <c r="F2180" t="s">
        <v>103</v>
      </c>
      <c r="G2180" t="s">
        <v>103</v>
      </c>
      <c r="H2180" t="s">
        <v>103</v>
      </c>
      <c r="I2180" t="s">
        <v>103</v>
      </c>
      <c r="J2180" t="s">
        <v>103</v>
      </c>
      <c r="K2180" t="s">
        <v>103</v>
      </c>
      <c r="L2180" t="s">
        <v>103</v>
      </c>
      <c r="M2180" t="s">
        <v>192</v>
      </c>
      <c r="N2180" t="s">
        <v>103</v>
      </c>
      <c r="O2180" t="s">
        <v>103</v>
      </c>
    </row>
    <row r="2181" spans="1:18" x14ac:dyDescent="0.3">
      <c r="A2181" t="s">
        <v>41</v>
      </c>
      <c r="B2181" t="s">
        <v>1150</v>
      </c>
      <c r="C2181">
        <v>399</v>
      </c>
      <c r="D2181" t="s">
        <v>98</v>
      </c>
      <c r="E2181" t="s">
        <v>128</v>
      </c>
      <c r="F2181" t="s">
        <v>97</v>
      </c>
      <c r="G2181" t="s">
        <v>216</v>
      </c>
      <c r="H2181" t="s">
        <v>125</v>
      </c>
      <c r="I2181" t="s">
        <v>128</v>
      </c>
      <c r="J2181" t="s">
        <v>452</v>
      </c>
      <c r="K2181" t="s">
        <v>281</v>
      </c>
      <c r="L2181" t="s">
        <v>105</v>
      </c>
      <c r="M2181" t="s">
        <v>45</v>
      </c>
      <c r="N2181" t="s">
        <v>97</v>
      </c>
      <c r="O2181" t="s">
        <v>468</v>
      </c>
    </row>
    <row r="2182" spans="1:18" x14ac:dyDescent="0.3">
      <c r="A2182" t="s">
        <v>41</v>
      </c>
      <c r="B2182" t="s">
        <v>1151</v>
      </c>
      <c r="C2182">
        <v>1457</v>
      </c>
      <c r="D2182" t="s">
        <v>122</v>
      </c>
      <c r="E2182" t="s">
        <v>591</v>
      </c>
      <c r="F2182" t="s">
        <v>208</v>
      </c>
      <c r="G2182" t="s">
        <v>607</v>
      </c>
      <c r="H2182" t="s">
        <v>125</v>
      </c>
      <c r="I2182" t="s">
        <v>93</v>
      </c>
      <c r="J2182" t="s">
        <v>117</v>
      </c>
      <c r="K2182" t="s">
        <v>140</v>
      </c>
      <c r="L2182" t="s">
        <v>591</v>
      </c>
      <c r="M2182" t="s">
        <v>1181</v>
      </c>
      <c r="N2182" t="s">
        <v>116</v>
      </c>
      <c r="O2182" t="s">
        <v>116</v>
      </c>
    </row>
    <row r="2183" spans="1:18" x14ac:dyDescent="0.3">
      <c r="A2183" t="s">
        <v>41</v>
      </c>
      <c r="B2183" t="s">
        <v>1152</v>
      </c>
      <c r="C2183">
        <v>166</v>
      </c>
      <c r="D2183" t="s">
        <v>103</v>
      </c>
      <c r="E2183" t="s">
        <v>124</v>
      </c>
      <c r="F2183" t="s">
        <v>257</v>
      </c>
      <c r="G2183" t="s">
        <v>118</v>
      </c>
      <c r="H2183" t="s">
        <v>266</v>
      </c>
      <c r="I2183" t="s">
        <v>278</v>
      </c>
      <c r="J2183" t="s">
        <v>269</v>
      </c>
      <c r="K2183" t="s">
        <v>652</v>
      </c>
      <c r="L2183" t="s">
        <v>33</v>
      </c>
      <c r="M2183" t="s">
        <v>1146</v>
      </c>
      <c r="N2183" t="s">
        <v>97</v>
      </c>
      <c r="O2183" t="s">
        <v>95</v>
      </c>
    </row>
    <row r="2184" spans="1:18" x14ac:dyDescent="0.3">
      <c r="A2184" t="s">
        <v>41</v>
      </c>
      <c r="B2184" t="s">
        <v>308</v>
      </c>
      <c r="C2184">
        <v>15</v>
      </c>
      <c r="D2184" t="s">
        <v>103</v>
      </c>
      <c r="E2184" t="s">
        <v>132</v>
      </c>
      <c r="F2184" t="s">
        <v>345</v>
      </c>
      <c r="G2184" t="s">
        <v>103</v>
      </c>
      <c r="H2184" t="s">
        <v>103</v>
      </c>
      <c r="I2184" t="s">
        <v>103</v>
      </c>
      <c r="J2184" t="s">
        <v>103</v>
      </c>
      <c r="K2184" t="s">
        <v>146</v>
      </c>
      <c r="L2184" t="s">
        <v>103</v>
      </c>
      <c r="M2184" t="s">
        <v>302</v>
      </c>
      <c r="N2184" t="s">
        <v>103</v>
      </c>
      <c r="O2184" t="s">
        <v>103</v>
      </c>
    </row>
    <row r="2186" spans="1:18" x14ac:dyDescent="0.3">
      <c r="A2186" t="s">
        <v>1182</v>
      </c>
    </row>
    <row r="2187" spans="1:18" x14ac:dyDescent="0.3">
      <c r="A2187" t="s">
        <v>36</v>
      </c>
      <c r="B2187" t="s">
        <v>24</v>
      </c>
      <c r="C2187" t="s">
        <v>1183</v>
      </c>
      <c r="D2187" t="s">
        <v>1184</v>
      </c>
      <c r="E2187" t="s">
        <v>1185</v>
      </c>
      <c r="F2187" t="s">
        <v>1186</v>
      </c>
      <c r="G2187" t="s">
        <v>1187</v>
      </c>
      <c r="H2187" t="s">
        <v>1188</v>
      </c>
      <c r="I2187" t="s">
        <v>1189</v>
      </c>
      <c r="J2187" t="s">
        <v>1190</v>
      </c>
      <c r="K2187" t="s">
        <v>1191</v>
      </c>
      <c r="L2187" t="s">
        <v>1192</v>
      </c>
      <c r="M2187" t="s">
        <v>1193</v>
      </c>
      <c r="N2187" t="s">
        <v>1194</v>
      </c>
      <c r="O2187" t="s">
        <v>1195</v>
      </c>
      <c r="P2187" t="s">
        <v>89</v>
      </c>
      <c r="Q2187" t="s">
        <v>87</v>
      </c>
      <c r="R2187" t="s">
        <v>181</v>
      </c>
    </row>
    <row r="2188" spans="1:18" x14ac:dyDescent="0.3">
      <c r="A2188" t="s">
        <v>25</v>
      </c>
      <c r="B2188">
        <v>414</v>
      </c>
      <c r="C2188" t="s">
        <v>1196</v>
      </c>
      <c r="D2188" t="s">
        <v>465</v>
      </c>
      <c r="E2188" t="s">
        <v>619</v>
      </c>
      <c r="F2188" t="s">
        <v>550</v>
      </c>
      <c r="G2188" t="s">
        <v>601</v>
      </c>
      <c r="H2188" t="s">
        <v>398</v>
      </c>
      <c r="I2188" t="s">
        <v>727</v>
      </c>
      <c r="J2188" t="s">
        <v>687</v>
      </c>
      <c r="K2188" t="s">
        <v>113</v>
      </c>
      <c r="L2188" t="s">
        <v>272</v>
      </c>
      <c r="M2188" t="s">
        <v>754</v>
      </c>
      <c r="N2188" t="s">
        <v>654</v>
      </c>
      <c r="O2188" t="s">
        <v>230</v>
      </c>
      <c r="P2188" t="s">
        <v>120</v>
      </c>
      <c r="Q2188" t="s">
        <v>139</v>
      </c>
      <c r="R2188" t="s">
        <v>103</v>
      </c>
    </row>
    <row r="2189" spans="1:18" x14ac:dyDescent="0.3">
      <c r="A2189" t="s">
        <v>26</v>
      </c>
      <c r="B2189">
        <v>477</v>
      </c>
      <c r="C2189" t="s">
        <v>542</v>
      </c>
      <c r="D2189" t="s">
        <v>583</v>
      </c>
      <c r="E2189" t="s">
        <v>920</v>
      </c>
      <c r="F2189" t="s">
        <v>514</v>
      </c>
      <c r="G2189" t="s">
        <v>111</v>
      </c>
      <c r="H2189" t="s">
        <v>1028</v>
      </c>
      <c r="I2189" t="s">
        <v>567</v>
      </c>
      <c r="J2189" t="s">
        <v>825</v>
      </c>
      <c r="K2189" t="s">
        <v>125</v>
      </c>
      <c r="L2189" t="s">
        <v>468</v>
      </c>
      <c r="M2189" t="s">
        <v>376</v>
      </c>
      <c r="N2189" t="s">
        <v>702</v>
      </c>
      <c r="O2189" t="s">
        <v>1090</v>
      </c>
      <c r="P2189" t="s">
        <v>98</v>
      </c>
      <c r="Q2189" t="s">
        <v>103</v>
      </c>
      <c r="R2189" t="s">
        <v>103</v>
      </c>
    </row>
    <row r="2190" spans="1:18" x14ac:dyDescent="0.3">
      <c r="A2190" t="s">
        <v>29</v>
      </c>
      <c r="B2190">
        <v>530</v>
      </c>
      <c r="C2190" t="s">
        <v>365</v>
      </c>
      <c r="D2190" t="s">
        <v>1197</v>
      </c>
      <c r="E2190" t="s">
        <v>299</v>
      </c>
      <c r="F2190" t="s">
        <v>648</v>
      </c>
      <c r="G2190" t="s">
        <v>124</v>
      </c>
      <c r="H2190" t="s">
        <v>658</v>
      </c>
      <c r="I2190" t="s">
        <v>259</v>
      </c>
      <c r="J2190" t="s">
        <v>50</v>
      </c>
      <c r="K2190" t="s">
        <v>32</v>
      </c>
      <c r="L2190" t="s">
        <v>257</v>
      </c>
      <c r="M2190" t="s">
        <v>507</v>
      </c>
      <c r="N2190" t="s">
        <v>727</v>
      </c>
      <c r="O2190" t="s">
        <v>553</v>
      </c>
      <c r="P2190" t="s">
        <v>329</v>
      </c>
      <c r="Q2190" t="s">
        <v>98</v>
      </c>
      <c r="R2190" t="s">
        <v>97</v>
      </c>
    </row>
    <row r="2191" spans="1:18" x14ac:dyDescent="0.3">
      <c r="A2191" t="s">
        <v>28</v>
      </c>
      <c r="B2191">
        <v>317</v>
      </c>
      <c r="C2191" t="s">
        <v>129</v>
      </c>
      <c r="D2191" t="s">
        <v>699</v>
      </c>
      <c r="E2191" t="s">
        <v>1081</v>
      </c>
      <c r="F2191" t="s">
        <v>1198</v>
      </c>
      <c r="G2191" t="s">
        <v>169</v>
      </c>
      <c r="H2191" t="s">
        <v>109</v>
      </c>
      <c r="I2191" t="s">
        <v>539</v>
      </c>
      <c r="J2191" t="s">
        <v>685</v>
      </c>
      <c r="K2191" t="s">
        <v>114</v>
      </c>
      <c r="L2191" t="s">
        <v>615</v>
      </c>
      <c r="M2191" t="s">
        <v>551</v>
      </c>
      <c r="N2191" t="s">
        <v>155</v>
      </c>
      <c r="O2191" t="s">
        <v>393</v>
      </c>
      <c r="P2191" t="s">
        <v>116</v>
      </c>
      <c r="Q2191" t="s">
        <v>103</v>
      </c>
      <c r="R2191" t="s">
        <v>103</v>
      </c>
    </row>
    <row r="2192" spans="1:18" x14ac:dyDescent="0.3">
      <c r="A2192" t="s">
        <v>27</v>
      </c>
      <c r="B2192">
        <v>300</v>
      </c>
      <c r="C2192" t="s">
        <v>1064</v>
      </c>
      <c r="D2192" t="s">
        <v>1094</v>
      </c>
      <c r="E2192" t="s">
        <v>394</v>
      </c>
      <c r="F2192" t="s">
        <v>1199</v>
      </c>
      <c r="G2192" t="s">
        <v>644</v>
      </c>
      <c r="H2192" t="s">
        <v>427</v>
      </c>
      <c r="I2192" t="s">
        <v>1200</v>
      </c>
      <c r="J2192" t="s">
        <v>619</v>
      </c>
      <c r="K2192" t="s">
        <v>64</v>
      </c>
      <c r="L2192" t="s">
        <v>68</v>
      </c>
      <c r="M2192" t="s">
        <v>387</v>
      </c>
      <c r="N2192" t="s">
        <v>477</v>
      </c>
      <c r="O2192" t="s">
        <v>271</v>
      </c>
      <c r="P2192" t="s">
        <v>146</v>
      </c>
      <c r="Q2192" t="s">
        <v>91</v>
      </c>
      <c r="R2192" t="s">
        <v>103</v>
      </c>
    </row>
    <row r="2193" spans="1:19" x14ac:dyDescent="0.3">
      <c r="A2193" t="s">
        <v>41</v>
      </c>
      <c r="B2193">
        <v>2038</v>
      </c>
      <c r="C2193" t="s">
        <v>357</v>
      </c>
      <c r="D2193" t="s">
        <v>352</v>
      </c>
      <c r="E2193" t="s">
        <v>655</v>
      </c>
      <c r="F2193" t="s">
        <v>754</v>
      </c>
      <c r="G2193" t="s">
        <v>99</v>
      </c>
      <c r="H2193" t="s">
        <v>230</v>
      </c>
      <c r="I2193" t="s">
        <v>503</v>
      </c>
      <c r="J2193" t="s">
        <v>476</v>
      </c>
      <c r="K2193" t="s">
        <v>113</v>
      </c>
      <c r="L2193" t="s">
        <v>118</v>
      </c>
      <c r="M2193" t="s">
        <v>935</v>
      </c>
      <c r="N2193" t="s">
        <v>697</v>
      </c>
      <c r="O2193" t="s">
        <v>920</v>
      </c>
      <c r="P2193" t="s">
        <v>105</v>
      </c>
      <c r="Q2193" t="s">
        <v>120</v>
      </c>
      <c r="R2193" t="s">
        <v>66</v>
      </c>
    </row>
    <row r="2195" spans="1:19" x14ac:dyDescent="0.3">
      <c r="A2195" t="s">
        <v>1201</v>
      </c>
    </row>
    <row r="2196" spans="1:19" x14ac:dyDescent="0.3">
      <c r="A2196" t="s">
        <v>36</v>
      </c>
      <c r="B2196" t="s">
        <v>307</v>
      </c>
      <c r="C2196" t="s">
        <v>24</v>
      </c>
      <c r="D2196" t="s">
        <v>1183</v>
      </c>
      <c r="E2196" t="s">
        <v>1184</v>
      </c>
      <c r="F2196" t="s">
        <v>1185</v>
      </c>
      <c r="G2196" t="s">
        <v>1186</v>
      </c>
      <c r="H2196" t="s">
        <v>1187</v>
      </c>
      <c r="I2196" t="s">
        <v>1188</v>
      </c>
      <c r="J2196" t="s">
        <v>1189</v>
      </c>
      <c r="K2196" t="s">
        <v>1190</v>
      </c>
      <c r="L2196" t="s">
        <v>1191</v>
      </c>
      <c r="M2196" t="s">
        <v>1192</v>
      </c>
      <c r="N2196" t="s">
        <v>1193</v>
      </c>
      <c r="O2196" t="s">
        <v>1194</v>
      </c>
      <c r="P2196" t="s">
        <v>1195</v>
      </c>
      <c r="Q2196" t="s">
        <v>89</v>
      </c>
      <c r="R2196" t="s">
        <v>87</v>
      </c>
      <c r="S2196" t="s">
        <v>181</v>
      </c>
    </row>
    <row r="2197" spans="1:19" x14ac:dyDescent="0.3">
      <c r="A2197" t="s">
        <v>25</v>
      </c>
      <c r="B2197" t="s">
        <v>291</v>
      </c>
      <c r="C2197">
        <v>156</v>
      </c>
      <c r="D2197" t="s">
        <v>376</v>
      </c>
      <c r="E2197" t="s">
        <v>1202</v>
      </c>
      <c r="F2197" t="s">
        <v>938</v>
      </c>
      <c r="G2197" t="s">
        <v>526</v>
      </c>
      <c r="H2197" t="s">
        <v>124</v>
      </c>
      <c r="I2197" t="s">
        <v>695</v>
      </c>
      <c r="J2197" t="s">
        <v>268</v>
      </c>
      <c r="K2197" t="s">
        <v>46</v>
      </c>
      <c r="L2197" t="s">
        <v>511</v>
      </c>
      <c r="M2197" t="s">
        <v>468</v>
      </c>
      <c r="N2197" t="s">
        <v>646</v>
      </c>
      <c r="O2197" t="s">
        <v>697</v>
      </c>
      <c r="P2197" t="s">
        <v>920</v>
      </c>
      <c r="Q2197" t="s">
        <v>103</v>
      </c>
      <c r="R2197" t="s">
        <v>95</v>
      </c>
      <c r="S2197" t="s">
        <v>103</v>
      </c>
    </row>
    <row r="2198" spans="1:19" x14ac:dyDescent="0.3">
      <c r="A2198" t="s">
        <v>25</v>
      </c>
      <c r="B2198" t="s">
        <v>292</v>
      </c>
      <c r="C2198">
        <v>254</v>
      </c>
      <c r="D2198" t="s">
        <v>583</v>
      </c>
      <c r="E2198" t="s">
        <v>365</v>
      </c>
      <c r="F2198" t="s">
        <v>1057</v>
      </c>
      <c r="G2198" t="s">
        <v>162</v>
      </c>
      <c r="H2198" t="s">
        <v>652</v>
      </c>
      <c r="I2198" t="s">
        <v>523</v>
      </c>
      <c r="J2198" t="s">
        <v>1083</v>
      </c>
      <c r="K2198" t="s">
        <v>106</v>
      </c>
      <c r="L2198" t="s">
        <v>64</v>
      </c>
      <c r="M2198" t="s">
        <v>201</v>
      </c>
      <c r="N2198" t="s">
        <v>569</v>
      </c>
      <c r="O2198" t="s">
        <v>547</v>
      </c>
      <c r="P2198" t="s">
        <v>1008</v>
      </c>
      <c r="Q2198" t="s">
        <v>282</v>
      </c>
      <c r="R2198" t="s">
        <v>98</v>
      </c>
      <c r="S2198" t="s">
        <v>103</v>
      </c>
    </row>
    <row r="2199" spans="1:19" x14ac:dyDescent="0.3">
      <c r="A2199" t="s">
        <v>25</v>
      </c>
      <c r="B2199" t="s">
        <v>308</v>
      </c>
      <c r="C2199">
        <v>4</v>
      </c>
      <c r="D2199" t="s">
        <v>693</v>
      </c>
      <c r="E2199" t="s">
        <v>693</v>
      </c>
      <c r="F2199" t="s">
        <v>693</v>
      </c>
      <c r="G2199" t="s">
        <v>103</v>
      </c>
      <c r="H2199" t="s">
        <v>103</v>
      </c>
      <c r="I2199" t="s">
        <v>103</v>
      </c>
      <c r="J2199" t="s">
        <v>103</v>
      </c>
      <c r="K2199" t="s">
        <v>103</v>
      </c>
      <c r="L2199" t="s">
        <v>103</v>
      </c>
      <c r="M2199" t="s">
        <v>103</v>
      </c>
      <c r="N2199" t="s">
        <v>103</v>
      </c>
      <c r="O2199" t="s">
        <v>103</v>
      </c>
      <c r="P2199" t="s">
        <v>240</v>
      </c>
      <c r="Q2199" t="s">
        <v>103</v>
      </c>
      <c r="R2199" t="s">
        <v>103</v>
      </c>
      <c r="S2199" t="s">
        <v>103</v>
      </c>
    </row>
    <row r="2200" spans="1:19" x14ac:dyDescent="0.3">
      <c r="A2200" t="s">
        <v>26</v>
      </c>
      <c r="B2200" t="s">
        <v>291</v>
      </c>
      <c r="C2200">
        <v>122</v>
      </c>
      <c r="D2200" t="s">
        <v>934</v>
      </c>
      <c r="E2200" t="s">
        <v>361</v>
      </c>
      <c r="F2200" t="s">
        <v>1202</v>
      </c>
      <c r="G2200" t="s">
        <v>1203</v>
      </c>
      <c r="H2200" t="s">
        <v>469</v>
      </c>
      <c r="I2200" t="s">
        <v>1070</v>
      </c>
      <c r="J2200" t="s">
        <v>382</v>
      </c>
      <c r="K2200" t="s">
        <v>1143</v>
      </c>
      <c r="L2200" t="s">
        <v>113</v>
      </c>
      <c r="M2200" t="s">
        <v>103</v>
      </c>
      <c r="N2200" t="s">
        <v>530</v>
      </c>
      <c r="O2200" t="s">
        <v>685</v>
      </c>
      <c r="P2200" t="s">
        <v>556</v>
      </c>
      <c r="Q2200" t="s">
        <v>245</v>
      </c>
      <c r="R2200" t="s">
        <v>103</v>
      </c>
      <c r="S2200" t="s">
        <v>103</v>
      </c>
    </row>
    <row r="2201" spans="1:19" x14ac:dyDescent="0.3">
      <c r="A2201" t="s">
        <v>26</v>
      </c>
      <c r="B2201" t="s">
        <v>292</v>
      </c>
      <c r="C2201">
        <v>352</v>
      </c>
      <c r="D2201" t="s">
        <v>461</v>
      </c>
      <c r="E2201" t="s">
        <v>1204</v>
      </c>
      <c r="F2201" t="s">
        <v>409</v>
      </c>
      <c r="G2201" t="s">
        <v>518</v>
      </c>
      <c r="H2201" t="s">
        <v>459</v>
      </c>
      <c r="I2201" t="s">
        <v>1205</v>
      </c>
      <c r="J2201" t="s">
        <v>1057</v>
      </c>
      <c r="K2201" t="s">
        <v>547</v>
      </c>
      <c r="L2201" t="s">
        <v>438</v>
      </c>
      <c r="M2201" t="s">
        <v>216</v>
      </c>
      <c r="N2201" t="s">
        <v>699</v>
      </c>
      <c r="O2201" t="s">
        <v>264</v>
      </c>
      <c r="P2201" t="s">
        <v>670</v>
      </c>
      <c r="Q2201" t="s">
        <v>95</v>
      </c>
      <c r="R2201" t="s">
        <v>103</v>
      </c>
      <c r="S2201" t="s">
        <v>103</v>
      </c>
    </row>
    <row r="2202" spans="1:19" x14ac:dyDescent="0.3">
      <c r="A2202" t="s">
        <v>26</v>
      </c>
      <c r="B2202" t="s">
        <v>308</v>
      </c>
      <c r="C2202">
        <v>3</v>
      </c>
      <c r="D2202" t="s">
        <v>1009</v>
      </c>
      <c r="E2202" t="s">
        <v>1009</v>
      </c>
      <c r="F2202" t="s">
        <v>921</v>
      </c>
      <c r="G2202" t="s">
        <v>1009</v>
      </c>
      <c r="H2202" t="s">
        <v>921</v>
      </c>
      <c r="I2202" t="s">
        <v>921</v>
      </c>
      <c r="J2202" t="s">
        <v>1009</v>
      </c>
      <c r="K2202" t="s">
        <v>192</v>
      </c>
      <c r="L2202" t="s">
        <v>103</v>
      </c>
      <c r="M2202" t="s">
        <v>103</v>
      </c>
      <c r="N2202" t="s">
        <v>1009</v>
      </c>
      <c r="O2202" t="s">
        <v>1009</v>
      </c>
      <c r="P2202" t="s">
        <v>103</v>
      </c>
      <c r="Q2202" t="s">
        <v>103</v>
      </c>
      <c r="R2202" t="s">
        <v>103</v>
      </c>
      <c r="S2202" t="s">
        <v>103</v>
      </c>
    </row>
    <row r="2203" spans="1:19" x14ac:dyDescent="0.3">
      <c r="A2203" t="s">
        <v>29</v>
      </c>
      <c r="B2203" t="s">
        <v>291</v>
      </c>
      <c r="C2203">
        <v>205</v>
      </c>
      <c r="D2203" t="s">
        <v>1057</v>
      </c>
      <c r="E2203" t="s">
        <v>512</v>
      </c>
      <c r="F2203" t="s">
        <v>1060</v>
      </c>
      <c r="G2203" t="s">
        <v>529</v>
      </c>
      <c r="H2203" t="s">
        <v>601</v>
      </c>
      <c r="I2203" t="s">
        <v>900</v>
      </c>
      <c r="J2203" t="s">
        <v>250</v>
      </c>
      <c r="K2203" t="s">
        <v>478</v>
      </c>
      <c r="L2203" t="s">
        <v>558</v>
      </c>
      <c r="M2203" t="s">
        <v>272</v>
      </c>
      <c r="N2203" t="s">
        <v>1038</v>
      </c>
      <c r="O2203" t="s">
        <v>46</v>
      </c>
      <c r="P2203" t="s">
        <v>295</v>
      </c>
      <c r="Q2203" t="s">
        <v>257</v>
      </c>
      <c r="R2203" t="s">
        <v>139</v>
      </c>
      <c r="S2203" t="s">
        <v>91</v>
      </c>
    </row>
    <row r="2204" spans="1:19" x14ac:dyDescent="0.3">
      <c r="A2204" t="s">
        <v>29</v>
      </c>
      <c r="B2204" t="s">
        <v>292</v>
      </c>
      <c r="C2204">
        <v>325</v>
      </c>
      <c r="D2204" t="s">
        <v>376</v>
      </c>
      <c r="E2204" t="s">
        <v>537</v>
      </c>
      <c r="F2204" t="s">
        <v>393</v>
      </c>
      <c r="G2204" t="s">
        <v>525</v>
      </c>
      <c r="H2204" t="s">
        <v>594</v>
      </c>
      <c r="I2204" t="s">
        <v>1083</v>
      </c>
      <c r="J2204" t="s">
        <v>398</v>
      </c>
      <c r="K2204" t="s">
        <v>331</v>
      </c>
      <c r="L2204" t="s">
        <v>113</v>
      </c>
      <c r="M2204" t="s">
        <v>329</v>
      </c>
      <c r="N2204" t="s">
        <v>457</v>
      </c>
      <c r="O2204" t="s">
        <v>264</v>
      </c>
      <c r="P2204" t="s">
        <v>935</v>
      </c>
      <c r="Q2204" t="s">
        <v>105</v>
      </c>
      <c r="R2204" t="s">
        <v>98</v>
      </c>
      <c r="S2204" t="s">
        <v>139</v>
      </c>
    </row>
    <row r="2205" spans="1:19" x14ac:dyDescent="0.3">
      <c r="A2205" t="s">
        <v>28</v>
      </c>
      <c r="B2205" t="s">
        <v>291</v>
      </c>
      <c r="C2205">
        <v>114</v>
      </c>
      <c r="D2205" t="s">
        <v>645</v>
      </c>
      <c r="E2205" t="s">
        <v>938</v>
      </c>
      <c r="F2205" t="s">
        <v>411</v>
      </c>
      <c r="G2205" t="s">
        <v>556</v>
      </c>
      <c r="H2205" t="s">
        <v>470</v>
      </c>
      <c r="I2205" t="s">
        <v>407</v>
      </c>
      <c r="J2205" t="s">
        <v>683</v>
      </c>
      <c r="K2205" t="s">
        <v>1206</v>
      </c>
      <c r="L2205" t="s">
        <v>64</v>
      </c>
      <c r="M2205" t="s">
        <v>607</v>
      </c>
      <c r="N2205" t="s">
        <v>476</v>
      </c>
      <c r="O2205" t="s">
        <v>30</v>
      </c>
      <c r="P2205" t="s">
        <v>382</v>
      </c>
      <c r="Q2205" t="s">
        <v>139</v>
      </c>
      <c r="R2205" t="s">
        <v>103</v>
      </c>
      <c r="S2205" t="s">
        <v>103</v>
      </c>
    </row>
    <row r="2206" spans="1:19" x14ac:dyDescent="0.3">
      <c r="A2206" t="s">
        <v>28</v>
      </c>
      <c r="B2206" t="s">
        <v>292</v>
      </c>
      <c r="C2206">
        <v>191</v>
      </c>
      <c r="D2206" t="s">
        <v>815</v>
      </c>
      <c r="E2206" t="s">
        <v>1207</v>
      </c>
      <c r="F2206" t="s">
        <v>1007</v>
      </c>
      <c r="G2206" t="s">
        <v>470</v>
      </c>
      <c r="H2206" t="s">
        <v>511</v>
      </c>
      <c r="I2206" t="s">
        <v>648</v>
      </c>
      <c r="J2206" t="s">
        <v>476</v>
      </c>
      <c r="K2206" t="s">
        <v>688</v>
      </c>
      <c r="L2206" t="s">
        <v>33</v>
      </c>
      <c r="M2206" t="s">
        <v>266</v>
      </c>
      <c r="N2206" t="s">
        <v>164</v>
      </c>
      <c r="O2206" t="s">
        <v>819</v>
      </c>
      <c r="P2206" t="s">
        <v>1054</v>
      </c>
      <c r="Q2206" t="s">
        <v>103</v>
      </c>
      <c r="R2206" t="s">
        <v>103</v>
      </c>
      <c r="S2206" t="s">
        <v>103</v>
      </c>
    </row>
    <row r="2207" spans="1:19" x14ac:dyDescent="0.3">
      <c r="A2207" t="s">
        <v>28</v>
      </c>
      <c r="B2207" t="s">
        <v>308</v>
      </c>
      <c r="C2207">
        <v>12</v>
      </c>
      <c r="D2207" t="s">
        <v>1208</v>
      </c>
      <c r="E2207" t="s">
        <v>349</v>
      </c>
      <c r="F2207" t="s">
        <v>378</v>
      </c>
      <c r="G2207" t="s">
        <v>1028</v>
      </c>
      <c r="H2207" t="s">
        <v>157</v>
      </c>
      <c r="I2207" t="s">
        <v>1172</v>
      </c>
      <c r="J2207" t="s">
        <v>458</v>
      </c>
      <c r="K2207" t="s">
        <v>458</v>
      </c>
      <c r="L2207" t="s">
        <v>103</v>
      </c>
      <c r="M2207" t="s">
        <v>157</v>
      </c>
      <c r="N2207" t="s">
        <v>509</v>
      </c>
      <c r="O2207" t="s">
        <v>1205</v>
      </c>
      <c r="P2207" t="s">
        <v>575</v>
      </c>
      <c r="Q2207" t="s">
        <v>103</v>
      </c>
      <c r="R2207" t="s">
        <v>103</v>
      </c>
      <c r="S2207" t="s">
        <v>103</v>
      </c>
    </row>
    <row r="2208" spans="1:19" x14ac:dyDescent="0.3">
      <c r="A2208" t="s">
        <v>27</v>
      </c>
      <c r="B2208" t="s">
        <v>291</v>
      </c>
      <c r="C2208">
        <v>95</v>
      </c>
      <c r="D2208" t="s">
        <v>1209</v>
      </c>
      <c r="E2208" t="s">
        <v>377</v>
      </c>
      <c r="F2208" t="s">
        <v>1048</v>
      </c>
      <c r="G2208" t="s">
        <v>798</v>
      </c>
      <c r="H2208" t="s">
        <v>789</v>
      </c>
      <c r="I2208" t="s">
        <v>1210</v>
      </c>
      <c r="J2208" t="s">
        <v>545</v>
      </c>
      <c r="K2208" t="s">
        <v>938</v>
      </c>
      <c r="L2208" t="s">
        <v>103</v>
      </c>
      <c r="M2208" t="s">
        <v>591</v>
      </c>
      <c r="N2208" t="s">
        <v>389</v>
      </c>
      <c r="O2208" t="s">
        <v>920</v>
      </c>
      <c r="P2208" t="s">
        <v>148</v>
      </c>
      <c r="Q2208" t="s">
        <v>46</v>
      </c>
      <c r="R2208" t="s">
        <v>116</v>
      </c>
      <c r="S2208" t="s">
        <v>103</v>
      </c>
    </row>
    <row r="2209" spans="1:19" x14ac:dyDescent="0.3">
      <c r="A2209" t="s">
        <v>27</v>
      </c>
      <c r="B2209" t="s">
        <v>292</v>
      </c>
      <c r="C2209">
        <v>198</v>
      </c>
      <c r="D2209" t="s">
        <v>621</v>
      </c>
      <c r="E2209" t="s">
        <v>1094</v>
      </c>
      <c r="F2209" t="s">
        <v>294</v>
      </c>
      <c r="G2209" t="s">
        <v>664</v>
      </c>
      <c r="H2209" t="s">
        <v>547</v>
      </c>
      <c r="I2209" t="s">
        <v>659</v>
      </c>
      <c r="J2209" t="s">
        <v>938</v>
      </c>
      <c r="K2209" t="s">
        <v>1211</v>
      </c>
      <c r="L2209" t="s">
        <v>102</v>
      </c>
      <c r="M2209" t="s">
        <v>270</v>
      </c>
      <c r="N2209" t="s">
        <v>1065</v>
      </c>
      <c r="O2209" t="s">
        <v>582</v>
      </c>
      <c r="P2209" t="s">
        <v>115</v>
      </c>
      <c r="Q2209" t="s">
        <v>100</v>
      </c>
      <c r="R2209" t="s">
        <v>103</v>
      </c>
      <c r="S2209" t="s">
        <v>103</v>
      </c>
    </row>
    <row r="2210" spans="1:19" x14ac:dyDescent="0.3">
      <c r="A2210" t="s">
        <v>27</v>
      </c>
      <c r="B2210" t="s">
        <v>308</v>
      </c>
      <c r="C2210">
        <v>7</v>
      </c>
      <c r="D2210" t="s">
        <v>192</v>
      </c>
      <c r="E2210" t="s">
        <v>192</v>
      </c>
      <c r="F2210" t="s">
        <v>192</v>
      </c>
      <c r="G2210" t="s">
        <v>192</v>
      </c>
      <c r="H2210" t="s">
        <v>1210</v>
      </c>
      <c r="I2210" t="s">
        <v>302</v>
      </c>
      <c r="J2210" t="s">
        <v>410</v>
      </c>
      <c r="K2210" t="s">
        <v>302</v>
      </c>
      <c r="L2210" t="s">
        <v>173</v>
      </c>
      <c r="M2210" t="s">
        <v>103</v>
      </c>
      <c r="N2210" t="s">
        <v>605</v>
      </c>
      <c r="O2210" t="s">
        <v>534</v>
      </c>
      <c r="P2210" t="s">
        <v>103</v>
      </c>
      <c r="Q2210" t="s">
        <v>103</v>
      </c>
      <c r="R2210" t="s">
        <v>103</v>
      </c>
      <c r="S2210" t="s">
        <v>103</v>
      </c>
    </row>
    <row r="2211" spans="1:19" x14ac:dyDescent="0.3">
      <c r="A2211" t="s">
        <v>41</v>
      </c>
      <c r="B2211" t="s">
        <v>291</v>
      </c>
      <c r="C2211">
        <v>692</v>
      </c>
      <c r="D2211" t="s">
        <v>367</v>
      </c>
      <c r="E2211" t="s">
        <v>1015</v>
      </c>
      <c r="F2211" t="s">
        <v>1212</v>
      </c>
      <c r="G2211" t="s">
        <v>435</v>
      </c>
      <c r="H2211" t="s">
        <v>169</v>
      </c>
      <c r="I2211" t="s">
        <v>688</v>
      </c>
      <c r="J2211" t="s">
        <v>921</v>
      </c>
      <c r="K2211" t="s">
        <v>522</v>
      </c>
      <c r="L2211" t="s">
        <v>70</v>
      </c>
      <c r="M2211" t="s">
        <v>118</v>
      </c>
      <c r="N2211" t="s">
        <v>670</v>
      </c>
      <c r="O2211" t="s">
        <v>506</v>
      </c>
      <c r="P2211" t="s">
        <v>688</v>
      </c>
      <c r="Q2211" t="s">
        <v>128</v>
      </c>
      <c r="R2211" t="s">
        <v>120</v>
      </c>
      <c r="S2211" t="s">
        <v>103</v>
      </c>
    </row>
    <row r="2212" spans="1:19" x14ac:dyDescent="0.3">
      <c r="A2212" t="s">
        <v>41</v>
      </c>
      <c r="B2212" t="s">
        <v>292</v>
      </c>
      <c r="C2212">
        <v>1320</v>
      </c>
      <c r="D2212" t="s">
        <v>583</v>
      </c>
      <c r="E2212" t="s">
        <v>567</v>
      </c>
      <c r="F2212" t="s">
        <v>365</v>
      </c>
      <c r="G2212" t="s">
        <v>479</v>
      </c>
      <c r="H2212" t="s">
        <v>601</v>
      </c>
      <c r="I2212" t="s">
        <v>647</v>
      </c>
      <c r="J2212" t="s">
        <v>1203</v>
      </c>
      <c r="K2212" t="s">
        <v>256</v>
      </c>
      <c r="L2212" t="s">
        <v>493</v>
      </c>
      <c r="M2212" t="s">
        <v>118</v>
      </c>
      <c r="N2212" t="s">
        <v>534</v>
      </c>
      <c r="O2212" t="s">
        <v>927</v>
      </c>
      <c r="P2212" t="s">
        <v>1213</v>
      </c>
      <c r="Q2212" t="s">
        <v>216</v>
      </c>
      <c r="R2212" t="s">
        <v>120</v>
      </c>
      <c r="S2212" t="s">
        <v>116</v>
      </c>
    </row>
    <row r="2213" spans="1:19" x14ac:dyDescent="0.3">
      <c r="A2213" t="s">
        <v>41</v>
      </c>
      <c r="B2213" t="s">
        <v>308</v>
      </c>
      <c r="C2213">
        <v>26</v>
      </c>
      <c r="D2213" t="s">
        <v>225</v>
      </c>
      <c r="E2213" t="s">
        <v>665</v>
      </c>
      <c r="F2213" t="s">
        <v>1024</v>
      </c>
      <c r="G2213" t="s">
        <v>1214</v>
      </c>
      <c r="H2213" t="s">
        <v>486</v>
      </c>
      <c r="I2213" t="s">
        <v>635</v>
      </c>
      <c r="J2213" t="s">
        <v>893</v>
      </c>
      <c r="K2213" t="s">
        <v>1215</v>
      </c>
      <c r="L2213" t="s">
        <v>64</v>
      </c>
      <c r="M2213" t="s">
        <v>467</v>
      </c>
      <c r="N2213" t="s">
        <v>1216</v>
      </c>
      <c r="O2213" t="s">
        <v>491</v>
      </c>
      <c r="P2213" t="s">
        <v>504</v>
      </c>
      <c r="Q2213" t="s">
        <v>103</v>
      </c>
      <c r="R2213" t="s">
        <v>103</v>
      </c>
      <c r="S2213" t="s">
        <v>103</v>
      </c>
    </row>
    <row r="2215" spans="1:19" x14ac:dyDescent="0.3">
      <c r="A2215" t="s">
        <v>1217</v>
      </c>
    </row>
    <row r="2216" spans="1:19" x14ac:dyDescent="0.3">
      <c r="A2216" t="s">
        <v>36</v>
      </c>
      <c r="B2216" t="s">
        <v>310</v>
      </c>
      <c r="C2216" t="s">
        <v>24</v>
      </c>
      <c r="D2216" t="s">
        <v>1183</v>
      </c>
      <c r="E2216" t="s">
        <v>1184</v>
      </c>
      <c r="F2216" t="s">
        <v>1185</v>
      </c>
      <c r="G2216" t="s">
        <v>1186</v>
      </c>
      <c r="H2216" t="s">
        <v>1187</v>
      </c>
      <c r="I2216" t="s">
        <v>1188</v>
      </c>
      <c r="J2216" t="s">
        <v>1189</v>
      </c>
      <c r="K2216" t="s">
        <v>1190</v>
      </c>
      <c r="L2216" t="s">
        <v>1191</v>
      </c>
      <c r="M2216" t="s">
        <v>1192</v>
      </c>
      <c r="N2216" t="s">
        <v>1193</v>
      </c>
      <c r="O2216" t="s">
        <v>1194</v>
      </c>
      <c r="P2216" t="s">
        <v>1195</v>
      </c>
      <c r="Q2216" t="s">
        <v>89</v>
      </c>
      <c r="R2216" t="s">
        <v>87</v>
      </c>
      <c r="S2216" t="s">
        <v>181</v>
      </c>
    </row>
    <row r="2217" spans="1:19" x14ac:dyDescent="0.3">
      <c r="A2217" t="s">
        <v>25</v>
      </c>
      <c r="B2217" t="s">
        <v>311</v>
      </c>
      <c r="C2217">
        <v>324</v>
      </c>
      <c r="D2217" t="s">
        <v>1218</v>
      </c>
      <c r="E2217" t="s">
        <v>393</v>
      </c>
      <c r="F2217" t="s">
        <v>567</v>
      </c>
      <c r="G2217" t="s">
        <v>173</v>
      </c>
      <c r="H2217" t="s">
        <v>737</v>
      </c>
      <c r="I2217" t="s">
        <v>660</v>
      </c>
      <c r="J2217" t="s">
        <v>1219</v>
      </c>
      <c r="K2217" t="s">
        <v>734</v>
      </c>
      <c r="L2217" t="s">
        <v>532</v>
      </c>
      <c r="M2217" t="s">
        <v>272</v>
      </c>
      <c r="N2217" t="s">
        <v>52</v>
      </c>
      <c r="O2217" t="s">
        <v>789</v>
      </c>
      <c r="P2217" t="s">
        <v>648</v>
      </c>
      <c r="Q2217" t="s">
        <v>139</v>
      </c>
      <c r="R2217" t="s">
        <v>116</v>
      </c>
      <c r="S2217" t="s">
        <v>103</v>
      </c>
    </row>
    <row r="2218" spans="1:19" x14ac:dyDescent="0.3">
      <c r="A2218" t="s">
        <v>25</v>
      </c>
      <c r="B2218" t="s">
        <v>312</v>
      </c>
      <c r="C2218">
        <v>80</v>
      </c>
      <c r="D2218" t="s">
        <v>520</v>
      </c>
      <c r="E2218" t="s">
        <v>129</v>
      </c>
      <c r="F2218" t="s">
        <v>906</v>
      </c>
      <c r="G2218" t="s">
        <v>471</v>
      </c>
      <c r="H2218" t="s">
        <v>137</v>
      </c>
      <c r="I2218" t="s">
        <v>259</v>
      </c>
      <c r="J2218" t="s">
        <v>470</v>
      </c>
      <c r="K2218" t="s">
        <v>160</v>
      </c>
      <c r="L2218" t="s">
        <v>113</v>
      </c>
      <c r="M2218" t="s">
        <v>493</v>
      </c>
      <c r="N2218" t="s">
        <v>173</v>
      </c>
      <c r="O2218" t="s">
        <v>259</v>
      </c>
      <c r="P2218" t="s">
        <v>1211</v>
      </c>
      <c r="Q2218" t="s">
        <v>103</v>
      </c>
      <c r="R2218" t="s">
        <v>239</v>
      </c>
      <c r="S2218" t="s">
        <v>103</v>
      </c>
    </row>
    <row r="2219" spans="1:19" x14ac:dyDescent="0.3">
      <c r="A2219" t="s">
        <v>25</v>
      </c>
      <c r="B2219" t="s">
        <v>308</v>
      </c>
      <c r="C2219">
        <v>10</v>
      </c>
      <c r="D2219" t="s">
        <v>527</v>
      </c>
      <c r="E2219" t="s">
        <v>527</v>
      </c>
      <c r="F2219" t="s">
        <v>431</v>
      </c>
      <c r="G2219" t="s">
        <v>1015</v>
      </c>
      <c r="H2219" t="s">
        <v>409</v>
      </c>
      <c r="I2219" t="s">
        <v>409</v>
      </c>
      <c r="J2219" t="s">
        <v>103</v>
      </c>
      <c r="K2219" t="s">
        <v>103</v>
      </c>
      <c r="L2219" t="s">
        <v>103</v>
      </c>
      <c r="M2219" t="s">
        <v>103</v>
      </c>
      <c r="N2219" t="s">
        <v>103</v>
      </c>
      <c r="O2219" t="s">
        <v>488</v>
      </c>
      <c r="P2219" t="s">
        <v>530</v>
      </c>
      <c r="Q2219" t="s">
        <v>103</v>
      </c>
      <c r="R2219" t="s">
        <v>247</v>
      </c>
      <c r="S2219" t="s">
        <v>103</v>
      </c>
    </row>
    <row r="2220" spans="1:19" x14ac:dyDescent="0.3">
      <c r="A2220" t="s">
        <v>26</v>
      </c>
      <c r="B2220" t="s">
        <v>311</v>
      </c>
      <c r="C2220">
        <v>343</v>
      </c>
      <c r="D2220" t="s">
        <v>1011</v>
      </c>
      <c r="E2220" t="s">
        <v>919</v>
      </c>
      <c r="F2220" t="s">
        <v>402</v>
      </c>
      <c r="G2220" t="s">
        <v>1219</v>
      </c>
      <c r="H2220" t="s">
        <v>743</v>
      </c>
      <c r="I2220" t="s">
        <v>1049</v>
      </c>
      <c r="J2220" t="s">
        <v>352</v>
      </c>
      <c r="K2220" t="s">
        <v>553</v>
      </c>
      <c r="L2220" t="s">
        <v>102</v>
      </c>
      <c r="M2220" t="s">
        <v>468</v>
      </c>
      <c r="N2220" t="s">
        <v>420</v>
      </c>
      <c r="O2220" t="s">
        <v>667</v>
      </c>
      <c r="P2220" t="s">
        <v>671</v>
      </c>
      <c r="Q2220" t="s">
        <v>139</v>
      </c>
      <c r="R2220" t="s">
        <v>103</v>
      </c>
      <c r="S2220" t="s">
        <v>103</v>
      </c>
    </row>
    <row r="2221" spans="1:19" x14ac:dyDescent="0.3">
      <c r="A2221" t="s">
        <v>26</v>
      </c>
      <c r="B2221" t="s">
        <v>312</v>
      </c>
      <c r="C2221">
        <v>96</v>
      </c>
      <c r="D2221" t="s">
        <v>829</v>
      </c>
      <c r="E2221" t="s">
        <v>697</v>
      </c>
      <c r="F2221" t="s">
        <v>515</v>
      </c>
      <c r="G2221" t="s">
        <v>649</v>
      </c>
      <c r="H2221" t="s">
        <v>543</v>
      </c>
      <c r="I2221" t="s">
        <v>539</v>
      </c>
      <c r="J2221" t="s">
        <v>456</v>
      </c>
      <c r="K2221" t="s">
        <v>162</v>
      </c>
      <c r="L2221" t="s">
        <v>591</v>
      </c>
      <c r="M2221" t="s">
        <v>110</v>
      </c>
      <c r="N2221" t="s">
        <v>473</v>
      </c>
      <c r="O2221" t="s">
        <v>479</v>
      </c>
      <c r="P2221" t="s">
        <v>1021</v>
      </c>
      <c r="Q2221" t="s">
        <v>103</v>
      </c>
      <c r="R2221" t="s">
        <v>103</v>
      </c>
      <c r="S2221" t="s">
        <v>103</v>
      </c>
    </row>
    <row r="2222" spans="1:19" x14ac:dyDescent="0.3">
      <c r="A2222" t="s">
        <v>26</v>
      </c>
      <c r="B2222" t="s">
        <v>308</v>
      </c>
      <c r="C2222">
        <v>38</v>
      </c>
      <c r="D2222" t="s">
        <v>557</v>
      </c>
      <c r="E2222" t="s">
        <v>582</v>
      </c>
      <c r="F2222" t="s">
        <v>756</v>
      </c>
      <c r="G2222" t="s">
        <v>524</v>
      </c>
      <c r="H2222" t="s">
        <v>62</v>
      </c>
      <c r="I2222" t="s">
        <v>530</v>
      </c>
      <c r="J2222" t="s">
        <v>507</v>
      </c>
      <c r="K2222" t="s">
        <v>152</v>
      </c>
      <c r="L2222" t="s">
        <v>188</v>
      </c>
      <c r="M2222" t="s">
        <v>103</v>
      </c>
      <c r="N2222" t="s">
        <v>666</v>
      </c>
      <c r="O2222" t="s">
        <v>564</v>
      </c>
      <c r="P2222" t="s">
        <v>685</v>
      </c>
      <c r="Q2222" t="s">
        <v>201</v>
      </c>
      <c r="R2222" t="s">
        <v>103</v>
      </c>
      <c r="S2222" t="s">
        <v>103</v>
      </c>
    </row>
    <row r="2223" spans="1:19" x14ac:dyDescent="0.3">
      <c r="A2223" t="s">
        <v>29</v>
      </c>
      <c r="B2223" t="s">
        <v>311</v>
      </c>
      <c r="C2223">
        <v>414</v>
      </c>
      <c r="D2223" t="s">
        <v>420</v>
      </c>
      <c r="E2223" t="s">
        <v>370</v>
      </c>
      <c r="F2223" t="s">
        <v>411</v>
      </c>
      <c r="G2223" t="s">
        <v>234</v>
      </c>
      <c r="H2223" t="s">
        <v>190</v>
      </c>
      <c r="I2223" t="s">
        <v>1023</v>
      </c>
      <c r="J2223" t="s">
        <v>523</v>
      </c>
      <c r="K2223" t="s">
        <v>256</v>
      </c>
      <c r="L2223" t="s">
        <v>113</v>
      </c>
      <c r="M2223" t="s">
        <v>93</v>
      </c>
      <c r="N2223" t="s">
        <v>656</v>
      </c>
      <c r="O2223" t="s">
        <v>727</v>
      </c>
      <c r="P2223" t="s">
        <v>259</v>
      </c>
      <c r="Q2223" t="s">
        <v>266</v>
      </c>
      <c r="R2223" t="s">
        <v>98</v>
      </c>
      <c r="S2223" t="s">
        <v>120</v>
      </c>
    </row>
    <row r="2224" spans="1:19" x14ac:dyDescent="0.3">
      <c r="A2224" t="s">
        <v>29</v>
      </c>
      <c r="B2224" t="s">
        <v>312</v>
      </c>
      <c r="C2224">
        <v>103</v>
      </c>
      <c r="D2224" t="s">
        <v>646</v>
      </c>
      <c r="E2224" t="s">
        <v>1082</v>
      </c>
      <c r="F2224" t="s">
        <v>480</v>
      </c>
      <c r="G2224" t="s">
        <v>522</v>
      </c>
      <c r="H2224" t="s">
        <v>123</v>
      </c>
      <c r="I2224" t="s">
        <v>551</v>
      </c>
      <c r="J2224" t="s">
        <v>483</v>
      </c>
      <c r="K2224" t="s">
        <v>486</v>
      </c>
      <c r="L2224" t="s">
        <v>124</v>
      </c>
      <c r="M2224" t="s">
        <v>114</v>
      </c>
      <c r="N2224" t="s">
        <v>682</v>
      </c>
      <c r="O2224" t="s">
        <v>680</v>
      </c>
      <c r="P2224" t="s">
        <v>643</v>
      </c>
      <c r="Q2224" t="s">
        <v>103</v>
      </c>
      <c r="R2224" t="s">
        <v>139</v>
      </c>
      <c r="S2224" t="s">
        <v>91</v>
      </c>
    </row>
    <row r="2225" spans="1:19" x14ac:dyDescent="0.3">
      <c r="A2225" t="s">
        <v>29</v>
      </c>
      <c r="B2225" t="s">
        <v>308</v>
      </c>
      <c r="C2225">
        <v>13</v>
      </c>
      <c r="D2225" t="s">
        <v>561</v>
      </c>
      <c r="E2225" t="s">
        <v>1041</v>
      </c>
      <c r="F2225" t="s">
        <v>581</v>
      </c>
      <c r="G2225" t="s">
        <v>734</v>
      </c>
      <c r="H2225" t="s">
        <v>103</v>
      </c>
      <c r="I2225" t="s">
        <v>278</v>
      </c>
      <c r="J2225" t="s">
        <v>278</v>
      </c>
      <c r="K2225" t="s">
        <v>103</v>
      </c>
      <c r="L2225" t="s">
        <v>103</v>
      </c>
      <c r="M2225" t="s">
        <v>103</v>
      </c>
      <c r="N2225" t="s">
        <v>129</v>
      </c>
      <c r="O2225" t="s">
        <v>1090</v>
      </c>
      <c r="P2225" t="s">
        <v>699</v>
      </c>
      <c r="Q2225" t="s">
        <v>103</v>
      </c>
      <c r="R2225" t="s">
        <v>103</v>
      </c>
      <c r="S2225" t="s">
        <v>103</v>
      </c>
    </row>
    <row r="2226" spans="1:19" x14ac:dyDescent="0.3">
      <c r="A2226" t="s">
        <v>28</v>
      </c>
      <c r="B2226" t="s">
        <v>311</v>
      </c>
      <c r="C2226">
        <v>223</v>
      </c>
      <c r="D2226" t="s">
        <v>1206</v>
      </c>
      <c r="E2226" t="s">
        <v>376</v>
      </c>
      <c r="F2226" t="s">
        <v>1049</v>
      </c>
      <c r="G2226" t="s">
        <v>525</v>
      </c>
      <c r="H2226" t="s">
        <v>167</v>
      </c>
      <c r="I2226" t="s">
        <v>655</v>
      </c>
      <c r="J2226" t="s">
        <v>429</v>
      </c>
      <c r="K2226" t="s">
        <v>402</v>
      </c>
      <c r="L2226" t="s">
        <v>615</v>
      </c>
      <c r="M2226" t="s">
        <v>102</v>
      </c>
      <c r="N2226" t="s">
        <v>526</v>
      </c>
      <c r="O2226" t="s">
        <v>805</v>
      </c>
      <c r="P2226" t="s">
        <v>561</v>
      </c>
      <c r="Q2226" t="s">
        <v>122</v>
      </c>
      <c r="R2226" t="s">
        <v>103</v>
      </c>
      <c r="S2226" t="s">
        <v>103</v>
      </c>
    </row>
    <row r="2227" spans="1:19" x14ac:dyDescent="0.3">
      <c r="A2227" t="s">
        <v>28</v>
      </c>
      <c r="B2227" t="s">
        <v>312</v>
      </c>
      <c r="C2227">
        <v>93</v>
      </c>
      <c r="D2227" t="s">
        <v>234</v>
      </c>
      <c r="E2227" t="s">
        <v>1038</v>
      </c>
      <c r="F2227" t="s">
        <v>380</v>
      </c>
      <c r="G2227" t="s">
        <v>253</v>
      </c>
      <c r="H2227" t="s">
        <v>102</v>
      </c>
      <c r="I2227" t="s">
        <v>551</v>
      </c>
      <c r="J2227" t="s">
        <v>925</v>
      </c>
      <c r="K2227" t="s">
        <v>681</v>
      </c>
      <c r="L2227" t="s">
        <v>93</v>
      </c>
      <c r="M2227" t="s">
        <v>575</v>
      </c>
      <c r="N2227" t="s">
        <v>262</v>
      </c>
      <c r="O2227" t="s">
        <v>536</v>
      </c>
      <c r="P2227" t="s">
        <v>1220</v>
      </c>
      <c r="Q2227" t="s">
        <v>103</v>
      </c>
      <c r="R2227" t="s">
        <v>103</v>
      </c>
      <c r="S2227" t="s">
        <v>103</v>
      </c>
    </row>
    <row r="2228" spans="1:19" x14ac:dyDescent="0.3">
      <c r="A2228" t="s">
        <v>28</v>
      </c>
      <c r="B2228" t="s">
        <v>308</v>
      </c>
      <c r="C2228">
        <v>1</v>
      </c>
      <c r="D2228" t="s">
        <v>103</v>
      </c>
      <c r="E2228" t="s">
        <v>103</v>
      </c>
      <c r="F2228" t="s">
        <v>103</v>
      </c>
      <c r="G2228" t="s">
        <v>103</v>
      </c>
      <c r="H2228" t="s">
        <v>103</v>
      </c>
      <c r="I2228" t="s">
        <v>103</v>
      </c>
      <c r="J2228" t="s">
        <v>103</v>
      </c>
      <c r="K2228" t="s">
        <v>103</v>
      </c>
      <c r="L2228" t="s">
        <v>103</v>
      </c>
      <c r="M2228" t="s">
        <v>103</v>
      </c>
      <c r="N2228" t="s">
        <v>103</v>
      </c>
      <c r="O2228" t="s">
        <v>103</v>
      </c>
      <c r="P2228" t="s">
        <v>192</v>
      </c>
      <c r="Q2228" t="s">
        <v>103</v>
      </c>
      <c r="R2228" t="s">
        <v>103</v>
      </c>
      <c r="S2228" t="s">
        <v>103</v>
      </c>
    </row>
    <row r="2229" spans="1:19" x14ac:dyDescent="0.3">
      <c r="A2229" t="s">
        <v>27</v>
      </c>
      <c r="B2229" t="s">
        <v>311</v>
      </c>
      <c r="C2229">
        <v>237</v>
      </c>
      <c r="D2229" t="s">
        <v>1221</v>
      </c>
      <c r="E2229" t="s">
        <v>1222</v>
      </c>
      <c r="F2229" t="s">
        <v>817</v>
      </c>
      <c r="G2229" t="s">
        <v>572</v>
      </c>
      <c r="H2229" t="s">
        <v>581</v>
      </c>
      <c r="I2229" t="s">
        <v>462</v>
      </c>
      <c r="J2229" t="s">
        <v>465</v>
      </c>
      <c r="K2229" t="s">
        <v>655</v>
      </c>
      <c r="L2229" t="s">
        <v>438</v>
      </c>
      <c r="M2229" t="s">
        <v>118</v>
      </c>
      <c r="N2229" t="s">
        <v>349</v>
      </c>
      <c r="O2229" t="s">
        <v>582</v>
      </c>
      <c r="P2229" t="s">
        <v>517</v>
      </c>
      <c r="Q2229" t="s">
        <v>191</v>
      </c>
      <c r="R2229" t="s">
        <v>103</v>
      </c>
      <c r="S2229" t="s">
        <v>103</v>
      </c>
    </row>
    <row r="2230" spans="1:19" x14ac:dyDescent="0.3">
      <c r="A2230" t="s">
        <v>27</v>
      </c>
      <c r="B2230" t="s">
        <v>312</v>
      </c>
      <c r="C2230">
        <v>60</v>
      </c>
      <c r="D2230" t="s">
        <v>678</v>
      </c>
      <c r="E2230" t="s">
        <v>1133</v>
      </c>
      <c r="F2230" t="s">
        <v>1029</v>
      </c>
      <c r="G2230" t="s">
        <v>993</v>
      </c>
      <c r="H2230" t="s">
        <v>547</v>
      </c>
      <c r="I2230" t="s">
        <v>559</v>
      </c>
      <c r="J2230" t="s">
        <v>1090</v>
      </c>
      <c r="K2230" t="s">
        <v>686</v>
      </c>
      <c r="L2230" t="s">
        <v>103</v>
      </c>
      <c r="M2230" t="s">
        <v>190</v>
      </c>
      <c r="N2230" t="s">
        <v>663</v>
      </c>
      <c r="O2230" t="s">
        <v>435</v>
      </c>
      <c r="P2230" t="s">
        <v>483</v>
      </c>
      <c r="Q2230" t="s">
        <v>148</v>
      </c>
      <c r="R2230" t="s">
        <v>97</v>
      </c>
      <c r="S2230" t="s">
        <v>103</v>
      </c>
    </row>
    <row r="2231" spans="1:19" x14ac:dyDescent="0.3">
      <c r="A2231" t="s">
        <v>27</v>
      </c>
      <c r="B2231" t="s">
        <v>308</v>
      </c>
      <c r="C2231">
        <v>3</v>
      </c>
      <c r="D2231" t="s">
        <v>527</v>
      </c>
      <c r="E2231" t="s">
        <v>527</v>
      </c>
      <c r="F2231" t="s">
        <v>527</v>
      </c>
      <c r="G2231" t="s">
        <v>103</v>
      </c>
      <c r="H2231" t="s">
        <v>103</v>
      </c>
      <c r="I2231" t="s">
        <v>103</v>
      </c>
      <c r="J2231" t="s">
        <v>103</v>
      </c>
      <c r="K2231" t="s">
        <v>103</v>
      </c>
      <c r="L2231" t="s">
        <v>103</v>
      </c>
      <c r="M2231" t="s">
        <v>103</v>
      </c>
      <c r="N2231" t="s">
        <v>103</v>
      </c>
      <c r="O2231" t="s">
        <v>103</v>
      </c>
      <c r="P2231" t="s">
        <v>943</v>
      </c>
      <c r="Q2231" t="s">
        <v>103</v>
      </c>
      <c r="R2231" t="s">
        <v>103</v>
      </c>
      <c r="S2231" t="s">
        <v>103</v>
      </c>
    </row>
    <row r="2232" spans="1:19" x14ac:dyDescent="0.3">
      <c r="A2232" t="s">
        <v>41</v>
      </c>
      <c r="B2232" t="s">
        <v>311</v>
      </c>
      <c r="C2232">
        <v>1541</v>
      </c>
      <c r="D2232" t="s">
        <v>635</v>
      </c>
      <c r="E2232" t="s">
        <v>396</v>
      </c>
      <c r="F2232" t="s">
        <v>299</v>
      </c>
      <c r="G2232" t="s">
        <v>875</v>
      </c>
      <c r="H2232" t="s">
        <v>629</v>
      </c>
      <c r="I2232" t="s">
        <v>1204</v>
      </c>
      <c r="J2232" t="s">
        <v>935</v>
      </c>
      <c r="K2232" t="s">
        <v>900</v>
      </c>
      <c r="L2232" t="s">
        <v>186</v>
      </c>
      <c r="M2232" t="s">
        <v>128</v>
      </c>
      <c r="N2232" t="s">
        <v>560</v>
      </c>
      <c r="O2232" t="s">
        <v>1219</v>
      </c>
      <c r="P2232" t="s">
        <v>565</v>
      </c>
      <c r="Q2232" t="s">
        <v>329</v>
      </c>
      <c r="R2232" t="s">
        <v>97</v>
      </c>
      <c r="S2232" t="s">
        <v>116</v>
      </c>
    </row>
    <row r="2233" spans="1:19" x14ac:dyDescent="0.3">
      <c r="A2233" t="s">
        <v>41</v>
      </c>
      <c r="B2233" t="s">
        <v>312</v>
      </c>
      <c r="C2233">
        <v>432</v>
      </c>
      <c r="D2233" t="s">
        <v>754</v>
      </c>
      <c r="E2233" t="s">
        <v>574</v>
      </c>
      <c r="F2233" t="s">
        <v>507</v>
      </c>
      <c r="G2233" t="s">
        <v>30</v>
      </c>
      <c r="H2233" t="s">
        <v>890</v>
      </c>
      <c r="I2233" t="s">
        <v>1198</v>
      </c>
      <c r="J2233" t="s">
        <v>732</v>
      </c>
      <c r="K2233" t="s">
        <v>551</v>
      </c>
      <c r="L2233" t="s">
        <v>70</v>
      </c>
      <c r="M2233" t="s">
        <v>493</v>
      </c>
      <c r="N2233" t="s">
        <v>829</v>
      </c>
      <c r="O2233" t="s">
        <v>756</v>
      </c>
      <c r="P2233" t="s">
        <v>361</v>
      </c>
      <c r="Q2233" t="s">
        <v>97</v>
      </c>
      <c r="R2233" t="s">
        <v>95</v>
      </c>
      <c r="S2233" t="s">
        <v>91</v>
      </c>
    </row>
    <row r="2234" spans="1:19" x14ac:dyDescent="0.3">
      <c r="A2234" t="s">
        <v>41</v>
      </c>
      <c r="B2234" t="s">
        <v>308</v>
      </c>
      <c r="C2234">
        <v>65</v>
      </c>
      <c r="D2234" t="s">
        <v>1223</v>
      </c>
      <c r="E2234" t="s">
        <v>1224</v>
      </c>
      <c r="F2234" t="s">
        <v>250</v>
      </c>
      <c r="G2234" t="s">
        <v>681</v>
      </c>
      <c r="H2234" t="s">
        <v>99</v>
      </c>
      <c r="I2234" t="s">
        <v>565</v>
      </c>
      <c r="J2234" t="s">
        <v>46</v>
      </c>
      <c r="K2234" t="s">
        <v>101</v>
      </c>
      <c r="L2234" t="s">
        <v>329</v>
      </c>
      <c r="M2234" t="s">
        <v>103</v>
      </c>
      <c r="N2234" t="s">
        <v>301</v>
      </c>
      <c r="O2234" t="s">
        <v>674</v>
      </c>
      <c r="P2234" t="s">
        <v>1207</v>
      </c>
      <c r="Q2234" t="s">
        <v>257</v>
      </c>
      <c r="R2234" t="s">
        <v>239</v>
      </c>
      <c r="S2234" t="s">
        <v>103</v>
      </c>
    </row>
    <row r="2236" spans="1:19" x14ac:dyDescent="0.3">
      <c r="A2236" t="s">
        <v>1225</v>
      </c>
    </row>
    <row r="2237" spans="1:19" x14ac:dyDescent="0.3">
      <c r="A2237" t="s">
        <v>36</v>
      </c>
      <c r="B2237" t="s">
        <v>197</v>
      </c>
      <c r="C2237" t="s">
        <v>24</v>
      </c>
      <c r="D2237" t="s">
        <v>1183</v>
      </c>
      <c r="E2237" t="s">
        <v>1184</v>
      </c>
      <c r="F2237" t="s">
        <v>1185</v>
      </c>
      <c r="G2237" t="s">
        <v>1186</v>
      </c>
      <c r="H2237" t="s">
        <v>1187</v>
      </c>
      <c r="I2237" t="s">
        <v>1188</v>
      </c>
      <c r="J2237" t="s">
        <v>1189</v>
      </c>
      <c r="K2237" t="s">
        <v>1190</v>
      </c>
      <c r="L2237" t="s">
        <v>1191</v>
      </c>
      <c r="M2237" t="s">
        <v>1192</v>
      </c>
      <c r="N2237" t="s">
        <v>1193</v>
      </c>
      <c r="O2237" t="s">
        <v>1194</v>
      </c>
      <c r="P2237" t="s">
        <v>1195</v>
      </c>
      <c r="Q2237" t="s">
        <v>89</v>
      </c>
      <c r="R2237" t="s">
        <v>87</v>
      </c>
      <c r="S2237" t="s">
        <v>181</v>
      </c>
    </row>
    <row r="2238" spans="1:19" x14ac:dyDescent="0.3">
      <c r="A2238" t="s">
        <v>25</v>
      </c>
      <c r="B2238" t="s">
        <v>198</v>
      </c>
      <c r="C2238">
        <v>104</v>
      </c>
      <c r="D2238" t="s">
        <v>359</v>
      </c>
      <c r="E2238" t="s">
        <v>1054</v>
      </c>
      <c r="F2238" t="s">
        <v>386</v>
      </c>
      <c r="G2238" t="s">
        <v>671</v>
      </c>
      <c r="H2238" t="s">
        <v>62</v>
      </c>
      <c r="I2238" t="s">
        <v>1082</v>
      </c>
      <c r="J2238" t="s">
        <v>702</v>
      </c>
      <c r="K2238" t="s">
        <v>566</v>
      </c>
      <c r="L2238" t="s">
        <v>33</v>
      </c>
      <c r="M2238" t="s">
        <v>126</v>
      </c>
      <c r="N2238" t="s">
        <v>1203</v>
      </c>
      <c r="O2238" t="s">
        <v>644</v>
      </c>
      <c r="P2238" t="s">
        <v>479</v>
      </c>
      <c r="Q2238" t="s">
        <v>103</v>
      </c>
      <c r="R2238" t="s">
        <v>103</v>
      </c>
      <c r="S2238" t="s">
        <v>103</v>
      </c>
    </row>
    <row r="2239" spans="1:19" x14ac:dyDescent="0.3">
      <c r="A2239" t="s">
        <v>25</v>
      </c>
      <c r="B2239" t="s">
        <v>199</v>
      </c>
      <c r="C2239">
        <v>310</v>
      </c>
      <c r="D2239" t="s">
        <v>1213</v>
      </c>
      <c r="E2239" t="s">
        <v>380</v>
      </c>
      <c r="F2239" t="s">
        <v>542</v>
      </c>
      <c r="G2239" t="s">
        <v>92</v>
      </c>
      <c r="H2239" t="s">
        <v>224</v>
      </c>
      <c r="I2239" t="s">
        <v>671</v>
      </c>
      <c r="J2239" t="s">
        <v>680</v>
      </c>
      <c r="K2239" t="s">
        <v>570</v>
      </c>
      <c r="L2239" t="s">
        <v>107</v>
      </c>
      <c r="M2239" t="s">
        <v>341</v>
      </c>
      <c r="N2239" t="s">
        <v>667</v>
      </c>
      <c r="O2239" t="s">
        <v>478</v>
      </c>
      <c r="P2239" t="s">
        <v>129</v>
      </c>
      <c r="Q2239" t="s">
        <v>139</v>
      </c>
      <c r="R2239" t="s">
        <v>345</v>
      </c>
      <c r="S2239" t="s">
        <v>103</v>
      </c>
    </row>
    <row r="2240" spans="1:19" x14ac:dyDescent="0.3">
      <c r="A2240" t="s">
        <v>26</v>
      </c>
      <c r="B2240" t="s">
        <v>198</v>
      </c>
      <c r="C2240">
        <v>41</v>
      </c>
      <c r="D2240" t="s">
        <v>1070</v>
      </c>
      <c r="E2240" t="s">
        <v>537</v>
      </c>
      <c r="F2240" t="s">
        <v>261</v>
      </c>
      <c r="G2240" t="s">
        <v>706</v>
      </c>
      <c r="H2240" t="s">
        <v>680</v>
      </c>
      <c r="I2240" t="s">
        <v>1091</v>
      </c>
      <c r="J2240" t="s">
        <v>512</v>
      </c>
      <c r="K2240" t="s">
        <v>684</v>
      </c>
      <c r="L2240" t="s">
        <v>103</v>
      </c>
      <c r="M2240" t="s">
        <v>103</v>
      </c>
      <c r="N2240" t="s">
        <v>303</v>
      </c>
      <c r="O2240" t="s">
        <v>548</v>
      </c>
      <c r="P2240" t="s">
        <v>1041</v>
      </c>
      <c r="Q2240" t="s">
        <v>103</v>
      </c>
      <c r="R2240" t="s">
        <v>103</v>
      </c>
      <c r="S2240" t="s">
        <v>103</v>
      </c>
    </row>
    <row r="2241" spans="1:19" x14ac:dyDescent="0.3">
      <c r="A2241" t="s">
        <v>26</v>
      </c>
      <c r="B2241" t="s">
        <v>199</v>
      </c>
      <c r="C2241">
        <v>436</v>
      </c>
      <c r="D2241" t="s">
        <v>705</v>
      </c>
      <c r="E2241" t="s">
        <v>560</v>
      </c>
      <c r="F2241" t="s">
        <v>523</v>
      </c>
      <c r="G2241" t="s">
        <v>472</v>
      </c>
      <c r="H2241" t="s">
        <v>517</v>
      </c>
      <c r="I2241" t="s">
        <v>396</v>
      </c>
      <c r="J2241" t="s">
        <v>303</v>
      </c>
      <c r="K2241" t="s">
        <v>820</v>
      </c>
      <c r="L2241" t="s">
        <v>188</v>
      </c>
      <c r="M2241" t="s">
        <v>468</v>
      </c>
      <c r="N2241" t="s">
        <v>1014</v>
      </c>
      <c r="O2241" t="s">
        <v>1023</v>
      </c>
      <c r="P2241" t="s">
        <v>534</v>
      </c>
      <c r="Q2241" t="s">
        <v>282</v>
      </c>
      <c r="R2241" t="s">
        <v>103</v>
      </c>
      <c r="S2241" t="s">
        <v>103</v>
      </c>
    </row>
    <row r="2242" spans="1:19" x14ac:dyDescent="0.3">
      <c r="A2242" t="s">
        <v>29</v>
      </c>
      <c r="B2242" t="s">
        <v>198</v>
      </c>
      <c r="C2242">
        <v>170</v>
      </c>
      <c r="D2242" t="s">
        <v>465</v>
      </c>
      <c r="E2242" t="s">
        <v>509</v>
      </c>
      <c r="F2242" t="s">
        <v>421</v>
      </c>
      <c r="G2242" t="s">
        <v>261</v>
      </c>
      <c r="H2242" t="s">
        <v>693</v>
      </c>
      <c r="I2242" t="s">
        <v>521</v>
      </c>
      <c r="J2242" t="s">
        <v>461</v>
      </c>
      <c r="K2242" t="s">
        <v>570</v>
      </c>
      <c r="L2242" t="s">
        <v>737</v>
      </c>
      <c r="M2242" t="s">
        <v>575</v>
      </c>
      <c r="N2242" t="s">
        <v>1083</v>
      </c>
      <c r="O2242" t="s">
        <v>507</v>
      </c>
      <c r="P2242" t="s">
        <v>565</v>
      </c>
      <c r="Q2242" t="s">
        <v>105</v>
      </c>
      <c r="R2242" t="s">
        <v>468</v>
      </c>
      <c r="S2242" t="s">
        <v>103</v>
      </c>
    </row>
    <row r="2243" spans="1:19" x14ac:dyDescent="0.3">
      <c r="A2243" t="s">
        <v>29</v>
      </c>
      <c r="B2243" t="s">
        <v>199</v>
      </c>
      <c r="C2243">
        <v>360</v>
      </c>
      <c r="D2243" t="s">
        <v>376</v>
      </c>
      <c r="E2243" t="s">
        <v>564</v>
      </c>
      <c r="F2243" t="s">
        <v>1202</v>
      </c>
      <c r="G2243" t="s">
        <v>1226</v>
      </c>
      <c r="H2243" t="s">
        <v>94</v>
      </c>
      <c r="I2243" t="s">
        <v>825</v>
      </c>
      <c r="J2243" t="s">
        <v>259</v>
      </c>
      <c r="K2243" t="s">
        <v>526</v>
      </c>
      <c r="L2243" t="s">
        <v>272</v>
      </c>
      <c r="M2243" t="s">
        <v>91</v>
      </c>
      <c r="N2243" t="s">
        <v>626</v>
      </c>
      <c r="O2243" t="s">
        <v>275</v>
      </c>
      <c r="P2243" t="s">
        <v>1227</v>
      </c>
      <c r="Q2243" t="s">
        <v>93</v>
      </c>
      <c r="R2243" t="s">
        <v>95</v>
      </c>
      <c r="S2243" t="s">
        <v>95</v>
      </c>
    </row>
    <row r="2244" spans="1:19" x14ac:dyDescent="0.3">
      <c r="A2244" t="s">
        <v>28</v>
      </c>
      <c r="B2244" t="s">
        <v>198</v>
      </c>
      <c r="C2244">
        <v>70</v>
      </c>
      <c r="D2244" t="s">
        <v>370</v>
      </c>
      <c r="E2244" t="s">
        <v>1216</v>
      </c>
      <c r="F2244" t="s">
        <v>1170</v>
      </c>
      <c r="G2244" t="s">
        <v>522</v>
      </c>
      <c r="H2244" t="s">
        <v>247</v>
      </c>
      <c r="I2244" t="s">
        <v>782</v>
      </c>
      <c r="J2244" t="s">
        <v>1228</v>
      </c>
      <c r="K2244" t="s">
        <v>1199</v>
      </c>
      <c r="L2244" t="s">
        <v>188</v>
      </c>
      <c r="M2244" t="s">
        <v>271</v>
      </c>
      <c r="N2244" t="s">
        <v>648</v>
      </c>
      <c r="O2244" t="s">
        <v>1229</v>
      </c>
      <c r="P2244" t="s">
        <v>601</v>
      </c>
      <c r="Q2244" t="s">
        <v>468</v>
      </c>
      <c r="R2244" t="s">
        <v>103</v>
      </c>
      <c r="S2244" t="s">
        <v>103</v>
      </c>
    </row>
    <row r="2245" spans="1:19" x14ac:dyDescent="0.3">
      <c r="A2245" t="s">
        <v>28</v>
      </c>
      <c r="B2245" t="s">
        <v>199</v>
      </c>
      <c r="C2245">
        <v>247</v>
      </c>
      <c r="D2245" t="s">
        <v>503</v>
      </c>
      <c r="E2245" t="s">
        <v>815</v>
      </c>
      <c r="F2245" t="s">
        <v>1224</v>
      </c>
      <c r="G2245" t="s">
        <v>695</v>
      </c>
      <c r="H2245" t="s">
        <v>517</v>
      </c>
      <c r="I2245" t="s">
        <v>505</v>
      </c>
      <c r="J2245" t="s">
        <v>473</v>
      </c>
      <c r="K2245" t="s">
        <v>1083</v>
      </c>
      <c r="L2245" t="s">
        <v>591</v>
      </c>
      <c r="M2245" t="s">
        <v>329</v>
      </c>
      <c r="N2245" t="s">
        <v>92</v>
      </c>
      <c r="O2245" t="s">
        <v>171</v>
      </c>
      <c r="P2245" t="s">
        <v>1006</v>
      </c>
      <c r="Q2245" t="s">
        <v>103</v>
      </c>
      <c r="R2245" t="s">
        <v>103</v>
      </c>
      <c r="S2245" t="s">
        <v>103</v>
      </c>
    </row>
    <row r="2246" spans="1:19" x14ac:dyDescent="0.3">
      <c r="A2246" t="s">
        <v>27</v>
      </c>
      <c r="B2246" t="s">
        <v>198</v>
      </c>
      <c r="C2246">
        <v>136</v>
      </c>
      <c r="D2246" t="s">
        <v>379</v>
      </c>
      <c r="E2246" t="s">
        <v>263</v>
      </c>
      <c r="F2246" t="s">
        <v>260</v>
      </c>
      <c r="G2246" t="s">
        <v>657</v>
      </c>
      <c r="H2246" t="s">
        <v>644</v>
      </c>
      <c r="I2246" t="s">
        <v>677</v>
      </c>
      <c r="J2246" t="s">
        <v>619</v>
      </c>
      <c r="K2246" t="s">
        <v>1070</v>
      </c>
      <c r="L2246" t="s">
        <v>93</v>
      </c>
      <c r="M2246" t="s">
        <v>329</v>
      </c>
      <c r="N2246" t="s">
        <v>1030</v>
      </c>
      <c r="O2246" t="s">
        <v>1083</v>
      </c>
      <c r="P2246" t="s">
        <v>254</v>
      </c>
      <c r="Q2246" t="s">
        <v>150</v>
      </c>
      <c r="R2246" t="s">
        <v>103</v>
      </c>
      <c r="S2246" t="s">
        <v>103</v>
      </c>
    </row>
    <row r="2247" spans="1:19" x14ac:dyDescent="0.3">
      <c r="A2247" t="s">
        <v>27</v>
      </c>
      <c r="B2247" t="s">
        <v>199</v>
      </c>
      <c r="C2247">
        <v>164</v>
      </c>
      <c r="D2247" t="s">
        <v>1059</v>
      </c>
      <c r="E2247" t="s">
        <v>790</v>
      </c>
      <c r="F2247" t="s">
        <v>1230</v>
      </c>
      <c r="G2247" t="s">
        <v>1231</v>
      </c>
      <c r="H2247" t="s">
        <v>557</v>
      </c>
      <c r="I2247" t="s">
        <v>1212</v>
      </c>
      <c r="J2247" t="s">
        <v>1200</v>
      </c>
      <c r="K2247" t="s">
        <v>1211</v>
      </c>
      <c r="L2247" t="s">
        <v>467</v>
      </c>
      <c r="M2247" t="s">
        <v>186</v>
      </c>
      <c r="N2247" t="s">
        <v>1215</v>
      </c>
      <c r="O2247" t="s">
        <v>1050</v>
      </c>
      <c r="P2247" t="s">
        <v>515</v>
      </c>
      <c r="Q2247" t="s">
        <v>101</v>
      </c>
      <c r="R2247" t="s">
        <v>66</v>
      </c>
      <c r="S2247" t="s">
        <v>103</v>
      </c>
    </row>
    <row r="2248" spans="1:19" x14ac:dyDescent="0.3">
      <c r="A2248" t="s">
        <v>41</v>
      </c>
      <c r="B2248" t="s">
        <v>198</v>
      </c>
      <c r="C2248">
        <v>521</v>
      </c>
      <c r="D2248" t="s">
        <v>797</v>
      </c>
      <c r="E2248" t="s">
        <v>546</v>
      </c>
      <c r="F2248" t="s">
        <v>355</v>
      </c>
      <c r="G2248" t="s">
        <v>429</v>
      </c>
      <c r="H2248" t="s">
        <v>111</v>
      </c>
      <c r="I2248" t="s">
        <v>520</v>
      </c>
      <c r="J2248" t="s">
        <v>230</v>
      </c>
      <c r="K2248" t="s">
        <v>756</v>
      </c>
      <c r="L2248" t="s">
        <v>94</v>
      </c>
      <c r="M2248" t="s">
        <v>101</v>
      </c>
      <c r="N2248" t="s">
        <v>686</v>
      </c>
      <c r="O2248" t="s">
        <v>556</v>
      </c>
      <c r="P2248" t="s">
        <v>646</v>
      </c>
      <c r="Q2248" t="s">
        <v>257</v>
      </c>
      <c r="R2248" t="s">
        <v>139</v>
      </c>
      <c r="S2248" t="s">
        <v>103</v>
      </c>
    </row>
    <row r="2249" spans="1:19" x14ac:dyDescent="0.3">
      <c r="A2249" t="s">
        <v>41</v>
      </c>
      <c r="B2249" t="s">
        <v>199</v>
      </c>
      <c r="C2249">
        <v>1517</v>
      </c>
      <c r="D2249" t="s">
        <v>560</v>
      </c>
      <c r="E2249" t="s">
        <v>1011</v>
      </c>
      <c r="F2249" t="s">
        <v>567</v>
      </c>
      <c r="G2249" t="s">
        <v>478</v>
      </c>
      <c r="H2249" t="s">
        <v>137</v>
      </c>
      <c r="I2249" t="s">
        <v>647</v>
      </c>
      <c r="J2249" t="s">
        <v>1082</v>
      </c>
      <c r="K2249" t="s">
        <v>1219</v>
      </c>
      <c r="L2249" t="s">
        <v>125</v>
      </c>
      <c r="M2249" t="s">
        <v>282</v>
      </c>
      <c r="N2249" t="s">
        <v>1223</v>
      </c>
      <c r="O2249" t="s">
        <v>30</v>
      </c>
      <c r="P2249" t="s">
        <v>788</v>
      </c>
      <c r="Q2249" t="s">
        <v>216</v>
      </c>
      <c r="R2249" t="s">
        <v>97</v>
      </c>
      <c r="S2249" t="s">
        <v>116</v>
      </c>
    </row>
    <row r="2251" spans="1:19" x14ac:dyDescent="0.3">
      <c r="A2251" t="s">
        <v>1232</v>
      </c>
    </row>
    <row r="2252" spans="1:19" x14ac:dyDescent="0.3">
      <c r="A2252" t="s">
        <v>36</v>
      </c>
      <c r="B2252" t="s">
        <v>1233</v>
      </c>
      <c r="C2252" t="s">
        <v>24</v>
      </c>
      <c r="D2252" t="s">
        <v>1183</v>
      </c>
      <c r="E2252" t="s">
        <v>1184</v>
      </c>
      <c r="F2252" t="s">
        <v>1185</v>
      </c>
      <c r="G2252" t="s">
        <v>1186</v>
      </c>
      <c r="H2252" t="s">
        <v>1187</v>
      </c>
      <c r="I2252" t="s">
        <v>1188</v>
      </c>
      <c r="J2252" t="s">
        <v>1189</v>
      </c>
      <c r="K2252" t="s">
        <v>1190</v>
      </c>
      <c r="L2252" t="s">
        <v>1191</v>
      </c>
      <c r="M2252" t="s">
        <v>1192</v>
      </c>
      <c r="N2252" t="s">
        <v>1193</v>
      </c>
      <c r="O2252" t="s">
        <v>1194</v>
      </c>
      <c r="P2252" t="s">
        <v>1195</v>
      </c>
      <c r="Q2252" t="s">
        <v>89</v>
      </c>
      <c r="R2252" t="s">
        <v>87</v>
      </c>
      <c r="S2252" t="s">
        <v>181</v>
      </c>
    </row>
    <row r="2253" spans="1:19" x14ac:dyDescent="0.3">
      <c r="A2253" t="s">
        <v>25</v>
      </c>
      <c r="B2253" t="s">
        <v>1234</v>
      </c>
      <c r="C2253">
        <v>257</v>
      </c>
      <c r="D2253" t="s">
        <v>1227</v>
      </c>
      <c r="E2253" t="s">
        <v>626</v>
      </c>
      <c r="F2253" t="s">
        <v>541</v>
      </c>
      <c r="G2253" t="s">
        <v>516</v>
      </c>
      <c r="H2253" t="s">
        <v>190</v>
      </c>
      <c r="I2253" t="s">
        <v>505</v>
      </c>
      <c r="J2253" t="s">
        <v>479</v>
      </c>
      <c r="K2253" t="s">
        <v>470</v>
      </c>
      <c r="L2253" t="s">
        <v>112</v>
      </c>
      <c r="M2253" t="s">
        <v>467</v>
      </c>
      <c r="N2253" t="s">
        <v>660</v>
      </c>
      <c r="O2253" t="s">
        <v>754</v>
      </c>
      <c r="P2253" t="s">
        <v>683</v>
      </c>
      <c r="Q2253" t="s">
        <v>98</v>
      </c>
      <c r="R2253" t="s">
        <v>194</v>
      </c>
      <c r="S2253" t="s">
        <v>103</v>
      </c>
    </row>
    <row r="2254" spans="1:19" s="3" customFormat="1" x14ac:dyDescent="0.3">
      <c r="A2254" s="3" t="s">
        <v>25</v>
      </c>
      <c r="B2254" s="3" t="s">
        <v>1235</v>
      </c>
      <c r="C2254" s="3">
        <v>25</v>
      </c>
      <c r="D2254" s="3" t="s">
        <v>1236</v>
      </c>
      <c r="E2254" s="3" t="s">
        <v>929</v>
      </c>
      <c r="F2254" s="3" t="s">
        <v>1089</v>
      </c>
      <c r="G2254" s="3" t="s">
        <v>357</v>
      </c>
      <c r="H2254" s="3" t="s">
        <v>825</v>
      </c>
      <c r="I2254" s="3" t="s">
        <v>567</v>
      </c>
      <c r="J2254" s="3" t="s">
        <v>106</v>
      </c>
      <c r="K2254" s="3" t="s">
        <v>829</v>
      </c>
      <c r="L2254" s="3" t="s">
        <v>460</v>
      </c>
      <c r="M2254" s="3" t="s">
        <v>133</v>
      </c>
      <c r="N2254" s="3" t="s">
        <v>577</v>
      </c>
      <c r="O2254" s="3" t="s">
        <v>536</v>
      </c>
      <c r="P2254" s="3" t="s">
        <v>788</v>
      </c>
      <c r="Q2254" s="3" t="s">
        <v>103</v>
      </c>
      <c r="R2254" s="3" t="s">
        <v>103</v>
      </c>
      <c r="S2254" s="3" t="s">
        <v>103</v>
      </c>
    </row>
    <row r="2255" spans="1:19" x14ac:dyDescent="0.3">
      <c r="A2255" t="s">
        <v>25</v>
      </c>
      <c r="B2255" t="s">
        <v>1237</v>
      </c>
      <c r="C2255">
        <v>132</v>
      </c>
      <c r="D2255" t="s">
        <v>635</v>
      </c>
      <c r="E2255" t="s">
        <v>1214</v>
      </c>
      <c r="F2255" t="s">
        <v>464</v>
      </c>
      <c r="G2255" t="s">
        <v>550</v>
      </c>
      <c r="H2255" t="s">
        <v>62</v>
      </c>
      <c r="I2255" t="s">
        <v>1143</v>
      </c>
      <c r="J2255" t="s">
        <v>727</v>
      </c>
      <c r="K2255" t="s">
        <v>54</v>
      </c>
      <c r="L2255" t="s">
        <v>194</v>
      </c>
      <c r="M2255" t="s">
        <v>257</v>
      </c>
      <c r="N2255" t="s">
        <v>580</v>
      </c>
      <c r="O2255" t="s">
        <v>1198</v>
      </c>
      <c r="P2255" t="s">
        <v>539</v>
      </c>
      <c r="Q2255" t="s">
        <v>103</v>
      </c>
      <c r="R2255" t="s">
        <v>103</v>
      </c>
      <c r="S2255" t="s">
        <v>103</v>
      </c>
    </row>
    <row r="2256" spans="1:19" x14ac:dyDescent="0.3">
      <c r="A2256" t="s">
        <v>26</v>
      </c>
      <c r="B2256" t="s">
        <v>1234</v>
      </c>
      <c r="C2256">
        <v>296</v>
      </c>
      <c r="D2256" t="s">
        <v>491</v>
      </c>
      <c r="E2256" t="s">
        <v>109</v>
      </c>
      <c r="F2256" t="s">
        <v>920</v>
      </c>
      <c r="G2256" t="s">
        <v>331</v>
      </c>
      <c r="H2256" t="s">
        <v>481</v>
      </c>
      <c r="I2256" t="s">
        <v>1007</v>
      </c>
      <c r="J2256" t="s">
        <v>499</v>
      </c>
      <c r="K2256" t="s">
        <v>820</v>
      </c>
      <c r="L2256" t="s">
        <v>32</v>
      </c>
      <c r="M2256" t="s">
        <v>468</v>
      </c>
      <c r="N2256" t="s">
        <v>510</v>
      </c>
      <c r="O2256" t="s">
        <v>921</v>
      </c>
      <c r="P2256" t="s">
        <v>504</v>
      </c>
      <c r="Q2256" t="s">
        <v>194</v>
      </c>
      <c r="R2256" t="s">
        <v>103</v>
      </c>
      <c r="S2256" t="s">
        <v>103</v>
      </c>
    </row>
    <row r="2257" spans="1:19" x14ac:dyDescent="0.3">
      <c r="A2257" t="s">
        <v>26</v>
      </c>
      <c r="B2257" t="s">
        <v>1235</v>
      </c>
      <c r="C2257">
        <v>37</v>
      </c>
      <c r="D2257" t="s">
        <v>943</v>
      </c>
      <c r="E2257" t="s">
        <v>423</v>
      </c>
      <c r="F2257" t="s">
        <v>1096</v>
      </c>
      <c r="G2257" t="s">
        <v>643</v>
      </c>
      <c r="H2257" t="s">
        <v>554</v>
      </c>
      <c r="I2257" t="s">
        <v>1000</v>
      </c>
      <c r="J2257" t="s">
        <v>816</v>
      </c>
      <c r="K2257" t="s">
        <v>546</v>
      </c>
      <c r="L2257" t="s">
        <v>103</v>
      </c>
      <c r="M2257" t="s">
        <v>270</v>
      </c>
      <c r="N2257" t="s">
        <v>1238</v>
      </c>
      <c r="O2257" t="s">
        <v>1038</v>
      </c>
      <c r="P2257" t="s">
        <v>470</v>
      </c>
      <c r="Q2257" t="s">
        <v>468</v>
      </c>
      <c r="R2257" t="s">
        <v>103</v>
      </c>
      <c r="S2257" t="s">
        <v>103</v>
      </c>
    </row>
    <row r="2258" spans="1:19" x14ac:dyDescent="0.3">
      <c r="A2258" t="s">
        <v>26</v>
      </c>
      <c r="B2258" t="s">
        <v>1237</v>
      </c>
      <c r="C2258">
        <v>144</v>
      </c>
      <c r="D2258" t="s">
        <v>409</v>
      </c>
      <c r="E2258" t="s">
        <v>534</v>
      </c>
      <c r="F2258" t="s">
        <v>732</v>
      </c>
      <c r="G2258" t="s">
        <v>273</v>
      </c>
      <c r="H2258" t="s">
        <v>108</v>
      </c>
      <c r="I2258" t="s">
        <v>666</v>
      </c>
      <c r="J2258" t="s">
        <v>542</v>
      </c>
      <c r="K2258" t="s">
        <v>486</v>
      </c>
      <c r="L2258" t="s">
        <v>329</v>
      </c>
      <c r="M2258" t="s">
        <v>120</v>
      </c>
      <c r="N2258" t="s">
        <v>746</v>
      </c>
      <c r="O2258" t="s">
        <v>92</v>
      </c>
      <c r="P2258" t="s">
        <v>293</v>
      </c>
      <c r="Q2258" t="s">
        <v>103</v>
      </c>
      <c r="R2258" t="s">
        <v>103</v>
      </c>
      <c r="S2258" t="s">
        <v>103</v>
      </c>
    </row>
    <row r="2259" spans="1:19" x14ac:dyDescent="0.3">
      <c r="A2259" t="s">
        <v>29</v>
      </c>
      <c r="B2259" t="s">
        <v>1234</v>
      </c>
      <c r="C2259">
        <v>372</v>
      </c>
      <c r="D2259" t="s">
        <v>666</v>
      </c>
      <c r="E2259" t="s">
        <v>659</v>
      </c>
      <c r="F2259" t="s">
        <v>1081</v>
      </c>
      <c r="G2259" t="s">
        <v>477</v>
      </c>
      <c r="H2259" t="s">
        <v>60</v>
      </c>
      <c r="I2259" t="s">
        <v>875</v>
      </c>
      <c r="J2259" t="s">
        <v>1008</v>
      </c>
      <c r="K2259" t="s">
        <v>506</v>
      </c>
      <c r="L2259" t="s">
        <v>214</v>
      </c>
      <c r="M2259" t="s">
        <v>128</v>
      </c>
      <c r="N2259" t="s">
        <v>647</v>
      </c>
      <c r="O2259" t="s">
        <v>654</v>
      </c>
      <c r="P2259" t="s">
        <v>875</v>
      </c>
      <c r="Q2259" t="s">
        <v>128</v>
      </c>
      <c r="R2259" t="s">
        <v>122</v>
      </c>
      <c r="S2259" t="s">
        <v>95</v>
      </c>
    </row>
    <row r="2260" spans="1:19" x14ac:dyDescent="0.3">
      <c r="A2260" t="s">
        <v>29</v>
      </c>
      <c r="B2260" t="s">
        <v>1235</v>
      </c>
      <c r="C2260">
        <v>38</v>
      </c>
      <c r="D2260" t="s">
        <v>1008</v>
      </c>
      <c r="E2260" t="s">
        <v>560</v>
      </c>
      <c r="F2260" t="s">
        <v>492</v>
      </c>
      <c r="G2260" t="s">
        <v>706</v>
      </c>
      <c r="H2260" t="s">
        <v>591</v>
      </c>
      <c r="I2260" t="s">
        <v>228</v>
      </c>
      <c r="J2260" t="s">
        <v>1207</v>
      </c>
      <c r="K2260" t="s">
        <v>543</v>
      </c>
      <c r="L2260" t="s">
        <v>113</v>
      </c>
      <c r="M2260" t="s">
        <v>247</v>
      </c>
      <c r="N2260" t="s">
        <v>138</v>
      </c>
      <c r="O2260" t="s">
        <v>732</v>
      </c>
      <c r="P2260" t="s">
        <v>1204</v>
      </c>
      <c r="Q2260" t="s">
        <v>467</v>
      </c>
      <c r="R2260" t="s">
        <v>103</v>
      </c>
      <c r="S2260" t="s">
        <v>103</v>
      </c>
    </row>
    <row r="2261" spans="1:19" x14ac:dyDescent="0.3">
      <c r="A2261" t="s">
        <v>29</v>
      </c>
      <c r="B2261" t="s">
        <v>1237</v>
      </c>
      <c r="C2261">
        <v>120</v>
      </c>
      <c r="D2261" t="s">
        <v>674</v>
      </c>
      <c r="E2261" t="s">
        <v>352</v>
      </c>
      <c r="F2261" t="s">
        <v>541</v>
      </c>
      <c r="G2261" t="s">
        <v>484</v>
      </c>
      <c r="H2261" t="s">
        <v>482</v>
      </c>
      <c r="I2261" t="s">
        <v>488</v>
      </c>
      <c r="J2261" t="s">
        <v>474</v>
      </c>
      <c r="K2261" t="s">
        <v>807</v>
      </c>
      <c r="L2261" t="s">
        <v>281</v>
      </c>
      <c r="M2261" t="s">
        <v>282</v>
      </c>
      <c r="N2261" t="s">
        <v>409</v>
      </c>
      <c r="O2261" t="s">
        <v>123</v>
      </c>
      <c r="P2261" t="s">
        <v>352</v>
      </c>
      <c r="Q2261" t="s">
        <v>98</v>
      </c>
      <c r="R2261" t="s">
        <v>257</v>
      </c>
      <c r="S2261" t="s">
        <v>91</v>
      </c>
    </row>
    <row r="2262" spans="1:19" x14ac:dyDescent="0.3">
      <c r="A2262" t="s">
        <v>28</v>
      </c>
      <c r="B2262" t="s">
        <v>1234</v>
      </c>
      <c r="C2262">
        <v>126</v>
      </c>
      <c r="D2262" t="s">
        <v>510</v>
      </c>
      <c r="E2262" t="s">
        <v>465</v>
      </c>
      <c r="F2262" t="s">
        <v>96</v>
      </c>
      <c r="G2262" t="s">
        <v>264</v>
      </c>
      <c r="H2262" t="s">
        <v>460</v>
      </c>
      <c r="I2262" t="s">
        <v>626</v>
      </c>
      <c r="J2262" t="s">
        <v>819</v>
      </c>
      <c r="K2262" t="s">
        <v>670</v>
      </c>
      <c r="L2262" t="s">
        <v>341</v>
      </c>
      <c r="M2262" t="s">
        <v>284</v>
      </c>
      <c r="N2262" t="s">
        <v>481</v>
      </c>
      <c r="O2262" t="s">
        <v>475</v>
      </c>
      <c r="P2262" t="s">
        <v>564</v>
      </c>
      <c r="Q2262" t="s">
        <v>103</v>
      </c>
      <c r="R2262" t="s">
        <v>103</v>
      </c>
      <c r="S2262" t="s">
        <v>103</v>
      </c>
    </row>
    <row r="2263" spans="1:19" s="3" customFormat="1" x14ac:dyDescent="0.3">
      <c r="A2263" s="3" t="s">
        <v>28</v>
      </c>
      <c r="B2263" s="3" t="s">
        <v>1235</v>
      </c>
      <c r="C2263" s="3">
        <v>17</v>
      </c>
      <c r="D2263" s="3" t="s">
        <v>1066</v>
      </c>
      <c r="E2263" s="3" t="s">
        <v>1209</v>
      </c>
      <c r="F2263" s="3" t="s">
        <v>1239</v>
      </c>
      <c r="G2263" s="3" t="s">
        <v>370</v>
      </c>
      <c r="H2263" s="3" t="s">
        <v>1223</v>
      </c>
      <c r="I2263" s="3" t="s">
        <v>431</v>
      </c>
      <c r="J2263" s="3" t="s">
        <v>1054</v>
      </c>
      <c r="K2263" s="3" t="s">
        <v>1014</v>
      </c>
      <c r="L2263" s="3" t="s">
        <v>103</v>
      </c>
      <c r="M2263" s="3" t="s">
        <v>127</v>
      </c>
      <c r="N2263" s="3" t="s">
        <v>1240</v>
      </c>
      <c r="O2263" s="3" t="s">
        <v>109</v>
      </c>
      <c r="P2263" s="3" t="s">
        <v>820</v>
      </c>
      <c r="Q2263" s="3" t="s">
        <v>103</v>
      </c>
      <c r="R2263" s="3" t="s">
        <v>103</v>
      </c>
      <c r="S2263" s="3" t="s">
        <v>103</v>
      </c>
    </row>
    <row r="2264" spans="1:19" x14ac:dyDescent="0.3">
      <c r="A2264" t="s">
        <v>28</v>
      </c>
      <c r="B2264" t="s">
        <v>1237</v>
      </c>
      <c r="C2264">
        <v>174</v>
      </c>
      <c r="D2264" t="s">
        <v>650</v>
      </c>
      <c r="E2264" t="s">
        <v>523</v>
      </c>
      <c r="F2264" t="s">
        <v>1202</v>
      </c>
      <c r="G2264" t="s">
        <v>681</v>
      </c>
      <c r="H2264" t="s">
        <v>136</v>
      </c>
      <c r="I2264" t="s">
        <v>788</v>
      </c>
      <c r="J2264" t="s">
        <v>1203</v>
      </c>
      <c r="K2264" t="s">
        <v>250</v>
      </c>
      <c r="L2264" t="s">
        <v>558</v>
      </c>
      <c r="M2264" t="s">
        <v>591</v>
      </c>
      <c r="N2264" t="s">
        <v>829</v>
      </c>
      <c r="O2264" t="s">
        <v>697</v>
      </c>
      <c r="P2264" t="s">
        <v>453</v>
      </c>
      <c r="Q2264" t="s">
        <v>97</v>
      </c>
      <c r="R2264" t="s">
        <v>103</v>
      </c>
      <c r="S2264" t="s">
        <v>103</v>
      </c>
    </row>
    <row r="2265" spans="1:19" x14ac:dyDescent="0.3">
      <c r="A2265" t="s">
        <v>27</v>
      </c>
      <c r="B2265" t="s">
        <v>1234</v>
      </c>
      <c r="C2265">
        <v>149</v>
      </c>
      <c r="D2265" t="s">
        <v>414</v>
      </c>
      <c r="E2265" t="s">
        <v>892</v>
      </c>
      <c r="F2265" t="s">
        <v>1241</v>
      </c>
      <c r="G2265" t="s">
        <v>1242</v>
      </c>
      <c r="H2265" t="s">
        <v>1083</v>
      </c>
      <c r="I2265" t="s">
        <v>797</v>
      </c>
      <c r="J2265" t="s">
        <v>440</v>
      </c>
      <c r="K2265" t="s">
        <v>407</v>
      </c>
      <c r="L2265" t="s">
        <v>68</v>
      </c>
      <c r="M2265" t="s">
        <v>257</v>
      </c>
      <c r="N2265" t="s">
        <v>696</v>
      </c>
      <c r="O2265" t="s">
        <v>365</v>
      </c>
      <c r="P2265" t="s">
        <v>146</v>
      </c>
      <c r="Q2265" t="s">
        <v>224</v>
      </c>
      <c r="R2265" t="s">
        <v>103</v>
      </c>
      <c r="S2265" t="s">
        <v>103</v>
      </c>
    </row>
    <row r="2266" spans="1:19" s="3" customFormat="1" x14ac:dyDescent="0.3">
      <c r="A2266" s="3" t="s">
        <v>27</v>
      </c>
      <c r="B2266" s="3" t="s">
        <v>1235</v>
      </c>
      <c r="C2266" s="3">
        <v>10</v>
      </c>
      <c r="D2266" s="3" t="s">
        <v>283</v>
      </c>
      <c r="E2266" s="3" t="s">
        <v>283</v>
      </c>
      <c r="F2266" s="3" t="s">
        <v>283</v>
      </c>
      <c r="G2266" s="3" t="s">
        <v>283</v>
      </c>
      <c r="H2266" s="3" t="s">
        <v>485</v>
      </c>
      <c r="I2266" s="3" t="s">
        <v>349</v>
      </c>
      <c r="J2266" s="3" t="s">
        <v>418</v>
      </c>
      <c r="K2266" s="3" t="s">
        <v>504</v>
      </c>
      <c r="L2266" s="3" t="s">
        <v>486</v>
      </c>
      <c r="M2266" s="3" t="s">
        <v>103</v>
      </c>
      <c r="N2266" s="3" t="s">
        <v>791</v>
      </c>
      <c r="O2266" s="3" t="s">
        <v>90</v>
      </c>
      <c r="P2266" s="3" t="s">
        <v>108</v>
      </c>
      <c r="Q2266" s="3" t="s">
        <v>485</v>
      </c>
      <c r="R2266" s="3" t="s">
        <v>103</v>
      </c>
      <c r="S2266" s="3" t="s">
        <v>103</v>
      </c>
    </row>
    <row r="2267" spans="1:19" x14ac:dyDescent="0.3">
      <c r="A2267" t="s">
        <v>27</v>
      </c>
      <c r="B2267" t="s">
        <v>1237</v>
      </c>
      <c r="C2267">
        <v>141</v>
      </c>
      <c r="D2267" t="s">
        <v>1243</v>
      </c>
      <c r="E2267" t="s">
        <v>1244</v>
      </c>
      <c r="F2267" t="s">
        <v>1245</v>
      </c>
      <c r="G2267" t="s">
        <v>350</v>
      </c>
      <c r="H2267" t="s">
        <v>259</v>
      </c>
      <c r="I2267" t="s">
        <v>453</v>
      </c>
      <c r="J2267" t="s">
        <v>564</v>
      </c>
      <c r="K2267" t="s">
        <v>489</v>
      </c>
      <c r="L2267" t="s">
        <v>98</v>
      </c>
      <c r="M2267" t="s">
        <v>113</v>
      </c>
      <c r="N2267" t="s">
        <v>436</v>
      </c>
      <c r="O2267" t="s">
        <v>672</v>
      </c>
      <c r="P2267" t="s">
        <v>515</v>
      </c>
      <c r="Q2267" t="s">
        <v>463</v>
      </c>
      <c r="R2267" t="s">
        <v>66</v>
      </c>
      <c r="S2267" t="s">
        <v>103</v>
      </c>
    </row>
    <row r="2268" spans="1:19" x14ac:dyDescent="0.3">
      <c r="A2268" t="s">
        <v>41</v>
      </c>
      <c r="B2268" t="s">
        <v>1234</v>
      </c>
      <c r="C2268">
        <v>1200</v>
      </c>
      <c r="D2268" t="s">
        <v>303</v>
      </c>
      <c r="E2268" t="s">
        <v>666</v>
      </c>
      <c r="F2268" t="s">
        <v>393</v>
      </c>
      <c r="G2268" t="s">
        <v>1023</v>
      </c>
      <c r="H2268" t="s">
        <v>549</v>
      </c>
      <c r="I2268" t="s">
        <v>1227</v>
      </c>
      <c r="J2268" t="s">
        <v>236</v>
      </c>
      <c r="K2268" t="s">
        <v>789</v>
      </c>
      <c r="L2268" t="s">
        <v>32</v>
      </c>
      <c r="M2268" t="s">
        <v>128</v>
      </c>
      <c r="N2268" t="s">
        <v>480</v>
      </c>
      <c r="O2268" t="s">
        <v>975</v>
      </c>
      <c r="P2268" t="s">
        <v>684</v>
      </c>
      <c r="Q2268" t="s">
        <v>208</v>
      </c>
      <c r="R2268" t="s">
        <v>97</v>
      </c>
      <c r="S2268" t="s">
        <v>116</v>
      </c>
    </row>
    <row r="2269" spans="1:19" x14ac:dyDescent="0.3">
      <c r="A2269" t="s">
        <v>41</v>
      </c>
      <c r="B2269" t="s">
        <v>1235</v>
      </c>
      <c r="C2269">
        <v>127</v>
      </c>
      <c r="D2269" t="s">
        <v>792</v>
      </c>
      <c r="E2269" t="s">
        <v>661</v>
      </c>
      <c r="F2269" t="s">
        <v>928</v>
      </c>
      <c r="G2269" t="s">
        <v>698</v>
      </c>
      <c r="H2269" t="s">
        <v>131</v>
      </c>
      <c r="I2269" t="s">
        <v>529</v>
      </c>
      <c r="J2269" t="s">
        <v>815</v>
      </c>
      <c r="K2269" t="s">
        <v>525</v>
      </c>
      <c r="L2269" t="s">
        <v>188</v>
      </c>
      <c r="M2269" t="s">
        <v>94</v>
      </c>
      <c r="N2269" t="s">
        <v>498</v>
      </c>
      <c r="O2269" t="s">
        <v>654</v>
      </c>
      <c r="P2269" t="s">
        <v>565</v>
      </c>
      <c r="Q2269" t="s">
        <v>118</v>
      </c>
      <c r="R2269" t="s">
        <v>103</v>
      </c>
      <c r="S2269" t="s">
        <v>103</v>
      </c>
    </row>
    <row r="2270" spans="1:19" x14ac:dyDescent="0.3">
      <c r="A2270" t="s">
        <v>41</v>
      </c>
      <c r="B2270" t="s">
        <v>1237</v>
      </c>
      <c r="C2270">
        <v>711</v>
      </c>
      <c r="D2270" t="s">
        <v>858</v>
      </c>
      <c r="E2270" t="s">
        <v>373</v>
      </c>
      <c r="F2270" t="s">
        <v>138</v>
      </c>
      <c r="G2270" t="s">
        <v>478</v>
      </c>
      <c r="H2270" t="s">
        <v>890</v>
      </c>
      <c r="I2270" t="s">
        <v>1143</v>
      </c>
      <c r="J2270" t="s">
        <v>820</v>
      </c>
      <c r="K2270" t="s">
        <v>471</v>
      </c>
      <c r="L2270" t="s">
        <v>467</v>
      </c>
      <c r="M2270" t="s">
        <v>105</v>
      </c>
      <c r="N2270" t="s">
        <v>825</v>
      </c>
      <c r="O2270" t="s">
        <v>469</v>
      </c>
      <c r="P2270" t="s">
        <v>604</v>
      </c>
      <c r="Q2270" t="s">
        <v>468</v>
      </c>
      <c r="R2270" t="s">
        <v>98</v>
      </c>
      <c r="S2270" t="s">
        <v>103</v>
      </c>
    </row>
    <row r="2272" spans="1:19" x14ac:dyDescent="0.3">
      <c r="A2272" t="s">
        <v>1246</v>
      </c>
    </row>
    <row r="2273" spans="1:19" x14ac:dyDescent="0.3">
      <c r="A2273" t="s">
        <v>36</v>
      </c>
      <c r="B2273" t="s">
        <v>1247</v>
      </c>
      <c r="C2273" t="s">
        <v>24</v>
      </c>
      <c r="D2273" t="s">
        <v>1183</v>
      </c>
      <c r="E2273" t="s">
        <v>1184</v>
      </c>
      <c r="F2273" t="s">
        <v>1185</v>
      </c>
      <c r="G2273" t="s">
        <v>1186</v>
      </c>
      <c r="H2273" t="s">
        <v>1187</v>
      </c>
      <c r="I2273" t="s">
        <v>1188</v>
      </c>
      <c r="J2273" t="s">
        <v>1189</v>
      </c>
      <c r="K2273" t="s">
        <v>1190</v>
      </c>
      <c r="L2273" t="s">
        <v>1191</v>
      </c>
      <c r="M2273" t="s">
        <v>1192</v>
      </c>
      <c r="N2273" t="s">
        <v>1193</v>
      </c>
      <c r="O2273" t="s">
        <v>1194</v>
      </c>
      <c r="P2273" t="s">
        <v>1195</v>
      </c>
      <c r="Q2273" t="s">
        <v>89</v>
      </c>
      <c r="R2273" t="s">
        <v>87</v>
      </c>
      <c r="S2273" t="s">
        <v>181</v>
      </c>
    </row>
    <row r="2274" spans="1:19" s="3" customFormat="1" x14ac:dyDescent="0.3">
      <c r="A2274" s="3" t="s">
        <v>25</v>
      </c>
      <c r="B2274" s="3" t="s">
        <v>1248</v>
      </c>
      <c r="C2274" s="3">
        <v>30</v>
      </c>
      <c r="D2274" s="3" t="s">
        <v>1008</v>
      </c>
      <c r="E2274" s="3" t="s">
        <v>705</v>
      </c>
      <c r="F2274" s="3" t="s">
        <v>627</v>
      </c>
      <c r="G2274" s="3" t="s">
        <v>819</v>
      </c>
      <c r="H2274" s="3" t="s">
        <v>472</v>
      </c>
      <c r="I2274" s="3" t="s">
        <v>562</v>
      </c>
      <c r="J2274" s="3" t="s">
        <v>160</v>
      </c>
      <c r="K2274" s="3" t="s">
        <v>271</v>
      </c>
      <c r="L2274" s="3" t="s">
        <v>107</v>
      </c>
      <c r="M2274" s="3" t="s">
        <v>103</v>
      </c>
      <c r="N2274" s="3" t="s">
        <v>651</v>
      </c>
      <c r="O2274" s="3" t="s">
        <v>169</v>
      </c>
      <c r="P2274" s="3" t="s">
        <v>132</v>
      </c>
      <c r="Q2274" s="3" t="s">
        <v>194</v>
      </c>
      <c r="R2274" s="3" t="s">
        <v>438</v>
      </c>
      <c r="S2274" s="3" t="s">
        <v>103</v>
      </c>
    </row>
    <row r="2275" spans="1:19" x14ac:dyDescent="0.3">
      <c r="A2275" t="s">
        <v>25</v>
      </c>
      <c r="B2275" t="s">
        <v>1249</v>
      </c>
      <c r="C2275">
        <v>384</v>
      </c>
      <c r="D2275" t="s">
        <v>138</v>
      </c>
      <c r="E2275" t="s">
        <v>499</v>
      </c>
      <c r="F2275" t="s">
        <v>458</v>
      </c>
      <c r="G2275" t="s">
        <v>470</v>
      </c>
      <c r="H2275" t="s">
        <v>205</v>
      </c>
      <c r="I2275" t="s">
        <v>505</v>
      </c>
      <c r="J2275" t="s">
        <v>580</v>
      </c>
      <c r="K2275" t="s">
        <v>550</v>
      </c>
      <c r="L2275" t="s">
        <v>113</v>
      </c>
      <c r="M2275" t="s">
        <v>438</v>
      </c>
      <c r="N2275" t="s">
        <v>1023</v>
      </c>
      <c r="O2275" t="s">
        <v>644</v>
      </c>
      <c r="P2275" t="s">
        <v>456</v>
      </c>
      <c r="Q2275" t="s">
        <v>97</v>
      </c>
      <c r="R2275" t="s">
        <v>120</v>
      </c>
      <c r="S2275" t="s">
        <v>103</v>
      </c>
    </row>
    <row r="2276" spans="1:19" x14ac:dyDescent="0.3">
      <c r="A2276" t="s">
        <v>26</v>
      </c>
      <c r="B2276" t="s">
        <v>1248</v>
      </c>
      <c r="C2276">
        <v>33</v>
      </c>
      <c r="D2276" t="s">
        <v>1068</v>
      </c>
      <c r="E2276" t="s">
        <v>249</v>
      </c>
      <c r="F2276" t="s">
        <v>366</v>
      </c>
      <c r="G2276" t="s">
        <v>1029</v>
      </c>
      <c r="H2276" t="s">
        <v>581</v>
      </c>
      <c r="I2276" t="s">
        <v>351</v>
      </c>
      <c r="J2276" t="s">
        <v>1250</v>
      </c>
      <c r="K2276" t="s">
        <v>804</v>
      </c>
      <c r="L2276" t="s">
        <v>107</v>
      </c>
      <c r="M2276" t="s">
        <v>103</v>
      </c>
      <c r="N2276" t="s">
        <v>231</v>
      </c>
      <c r="O2276" t="s">
        <v>816</v>
      </c>
      <c r="P2276" t="s">
        <v>62</v>
      </c>
      <c r="Q2276" t="s">
        <v>103</v>
      </c>
      <c r="R2276" t="s">
        <v>103</v>
      </c>
      <c r="S2276" t="s">
        <v>103</v>
      </c>
    </row>
    <row r="2277" spans="1:19" x14ac:dyDescent="0.3">
      <c r="A2277" t="s">
        <v>26</v>
      </c>
      <c r="B2277" t="s">
        <v>1249</v>
      </c>
      <c r="C2277">
        <v>444</v>
      </c>
      <c r="D2277" t="s">
        <v>1213</v>
      </c>
      <c r="E2277" t="s">
        <v>1223</v>
      </c>
      <c r="F2277" t="s">
        <v>484</v>
      </c>
      <c r="G2277" t="s">
        <v>106</v>
      </c>
      <c r="H2277" t="s">
        <v>269</v>
      </c>
      <c r="I2277" t="s">
        <v>373</v>
      </c>
      <c r="J2277" t="s">
        <v>816</v>
      </c>
      <c r="K2277" t="s">
        <v>658</v>
      </c>
      <c r="L2277" t="s">
        <v>125</v>
      </c>
      <c r="M2277" t="s">
        <v>194</v>
      </c>
      <c r="N2277" t="s">
        <v>382</v>
      </c>
      <c r="O2277" t="s">
        <v>805</v>
      </c>
      <c r="P2277" t="s">
        <v>1038</v>
      </c>
      <c r="Q2277" t="s">
        <v>282</v>
      </c>
      <c r="R2277" t="s">
        <v>103</v>
      </c>
      <c r="S2277" t="s">
        <v>103</v>
      </c>
    </row>
    <row r="2278" spans="1:19" x14ac:dyDescent="0.3">
      <c r="A2278" t="s">
        <v>29</v>
      </c>
      <c r="B2278" t="s">
        <v>1248</v>
      </c>
      <c r="C2278">
        <v>56</v>
      </c>
      <c r="D2278" t="s">
        <v>651</v>
      </c>
      <c r="E2278" t="s">
        <v>626</v>
      </c>
      <c r="F2278" t="s">
        <v>421</v>
      </c>
      <c r="G2278" t="s">
        <v>130</v>
      </c>
      <c r="H2278" t="s">
        <v>566</v>
      </c>
      <c r="I2278" t="s">
        <v>486</v>
      </c>
      <c r="J2278" t="s">
        <v>697</v>
      </c>
      <c r="K2278" t="s">
        <v>518</v>
      </c>
      <c r="L2278" t="s">
        <v>103</v>
      </c>
      <c r="M2278" t="s">
        <v>216</v>
      </c>
      <c r="N2278" t="s">
        <v>121</v>
      </c>
      <c r="O2278" t="s">
        <v>261</v>
      </c>
      <c r="P2278" t="s">
        <v>556</v>
      </c>
      <c r="Q2278" t="s">
        <v>467</v>
      </c>
      <c r="R2278" t="s">
        <v>103</v>
      </c>
      <c r="S2278" t="s">
        <v>93</v>
      </c>
    </row>
    <row r="2279" spans="1:19" x14ac:dyDescent="0.3">
      <c r="A2279" t="s">
        <v>29</v>
      </c>
      <c r="B2279" t="s">
        <v>1249</v>
      </c>
      <c r="C2279">
        <v>474</v>
      </c>
      <c r="D2279" t="s">
        <v>1070</v>
      </c>
      <c r="E2279" t="s">
        <v>659</v>
      </c>
      <c r="F2279" t="s">
        <v>792</v>
      </c>
      <c r="G2279" t="s">
        <v>574</v>
      </c>
      <c r="H2279" t="s">
        <v>140</v>
      </c>
      <c r="I2279" t="s">
        <v>706</v>
      </c>
      <c r="J2279" t="s">
        <v>921</v>
      </c>
      <c r="K2279" t="s">
        <v>727</v>
      </c>
      <c r="L2279" t="s">
        <v>133</v>
      </c>
      <c r="M2279" t="s">
        <v>217</v>
      </c>
      <c r="N2279" t="s">
        <v>574</v>
      </c>
      <c r="O2279" t="s">
        <v>132</v>
      </c>
      <c r="P2279" t="s">
        <v>920</v>
      </c>
      <c r="Q2279" t="s">
        <v>208</v>
      </c>
      <c r="R2279" t="s">
        <v>282</v>
      </c>
      <c r="S2279" t="s">
        <v>116</v>
      </c>
    </row>
    <row r="2280" spans="1:19" s="3" customFormat="1" x14ac:dyDescent="0.3">
      <c r="A2280" s="3" t="s">
        <v>28</v>
      </c>
      <c r="B2280" s="3" t="s">
        <v>1248</v>
      </c>
      <c r="C2280" s="3">
        <v>25</v>
      </c>
      <c r="D2280" s="3" t="s">
        <v>583</v>
      </c>
      <c r="E2280" s="3" t="s">
        <v>583</v>
      </c>
      <c r="F2280" s="3" t="s">
        <v>384</v>
      </c>
      <c r="G2280" s="3" t="s">
        <v>528</v>
      </c>
      <c r="H2280" s="3" t="s">
        <v>242</v>
      </c>
      <c r="I2280" s="3" t="s">
        <v>1200</v>
      </c>
      <c r="J2280" s="3" t="s">
        <v>561</v>
      </c>
      <c r="K2280" s="3" t="s">
        <v>789</v>
      </c>
      <c r="L2280" s="3" t="s">
        <v>103</v>
      </c>
      <c r="M2280" s="3" t="s">
        <v>214</v>
      </c>
      <c r="N2280" s="3" t="s">
        <v>256</v>
      </c>
      <c r="O2280" s="3" t="s">
        <v>522</v>
      </c>
      <c r="P2280" s="3" t="s">
        <v>932</v>
      </c>
      <c r="Q2280" s="3" t="s">
        <v>103</v>
      </c>
      <c r="R2280" s="3" t="s">
        <v>103</v>
      </c>
      <c r="S2280" s="3" t="s">
        <v>103</v>
      </c>
    </row>
    <row r="2281" spans="1:19" x14ac:dyDescent="0.3">
      <c r="A2281" t="s">
        <v>28</v>
      </c>
      <c r="B2281" t="s">
        <v>1249</v>
      </c>
      <c r="C2281">
        <v>292</v>
      </c>
      <c r="D2281" t="s">
        <v>480</v>
      </c>
      <c r="E2281" t="s">
        <v>699</v>
      </c>
      <c r="F2281" t="s">
        <v>404</v>
      </c>
      <c r="G2281" t="s">
        <v>789</v>
      </c>
      <c r="H2281" t="s">
        <v>123</v>
      </c>
      <c r="I2281" t="s">
        <v>1206</v>
      </c>
      <c r="J2281" t="s">
        <v>31</v>
      </c>
      <c r="K2281" t="s">
        <v>1213</v>
      </c>
      <c r="L2281" t="s">
        <v>107</v>
      </c>
      <c r="M2281" t="s">
        <v>615</v>
      </c>
      <c r="N2281" t="s">
        <v>253</v>
      </c>
      <c r="O2281" t="s">
        <v>681</v>
      </c>
      <c r="P2281" t="s">
        <v>501</v>
      </c>
      <c r="Q2281" t="s">
        <v>116</v>
      </c>
      <c r="R2281" t="s">
        <v>103</v>
      </c>
      <c r="S2281" t="s">
        <v>103</v>
      </c>
    </row>
    <row r="2282" spans="1:19" s="3" customFormat="1" x14ac:dyDescent="0.3">
      <c r="A2282" s="3" t="s">
        <v>27</v>
      </c>
      <c r="B2282" s="3" t="s">
        <v>1248</v>
      </c>
      <c r="C2282" s="3">
        <v>14</v>
      </c>
      <c r="D2282" s="3" t="s">
        <v>628</v>
      </c>
      <c r="E2282" s="3" t="s">
        <v>628</v>
      </c>
      <c r="F2282" s="3" t="s">
        <v>1044</v>
      </c>
      <c r="G2282" s="3" t="s">
        <v>1251</v>
      </c>
      <c r="H2282" s="3" t="s">
        <v>103</v>
      </c>
      <c r="I2282" s="3" t="s">
        <v>542</v>
      </c>
      <c r="J2282" s="3" t="s">
        <v>155</v>
      </c>
      <c r="K2282" s="3" t="s">
        <v>683</v>
      </c>
      <c r="L2282" s="3" t="s">
        <v>103</v>
      </c>
      <c r="M2282" s="3" t="s">
        <v>341</v>
      </c>
      <c r="N2282" s="3" t="s">
        <v>1252</v>
      </c>
      <c r="O2282" s="3" t="s">
        <v>473</v>
      </c>
      <c r="P2282" s="3" t="s">
        <v>523</v>
      </c>
      <c r="Q2282" s="3" t="s">
        <v>727</v>
      </c>
      <c r="R2282" s="3" t="s">
        <v>103</v>
      </c>
      <c r="S2282" s="3" t="s">
        <v>103</v>
      </c>
    </row>
    <row r="2283" spans="1:19" x14ac:dyDescent="0.3">
      <c r="A2283" t="s">
        <v>27</v>
      </c>
      <c r="B2283" t="s">
        <v>1249</v>
      </c>
      <c r="C2283">
        <v>286</v>
      </c>
      <c r="D2283" t="s">
        <v>1064</v>
      </c>
      <c r="E2283" t="s">
        <v>1037</v>
      </c>
      <c r="F2283" t="s">
        <v>394</v>
      </c>
      <c r="G2283" t="s">
        <v>1220</v>
      </c>
      <c r="H2283" t="s">
        <v>825</v>
      </c>
      <c r="I2283" t="s">
        <v>797</v>
      </c>
      <c r="J2283" t="s">
        <v>1011</v>
      </c>
      <c r="K2283" t="s">
        <v>537</v>
      </c>
      <c r="L2283" t="s">
        <v>270</v>
      </c>
      <c r="M2283" t="s">
        <v>272</v>
      </c>
      <c r="N2283" t="s">
        <v>993</v>
      </c>
      <c r="O2283" t="s">
        <v>234</v>
      </c>
      <c r="P2283" t="s">
        <v>244</v>
      </c>
      <c r="Q2283" t="s">
        <v>649</v>
      </c>
      <c r="R2283" t="s">
        <v>91</v>
      </c>
      <c r="S2283" t="s">
        <v>103</v>
      </c>
    </row>
    <row r="2284" spans="1:19" x14ac:dyDescent="0.3">
      <c r="A2284" t="s">
        <v>41</v>
      </c>
      <c r="B2284" t="s">
        <v>1248</v>
      </c>
      <c r="C2284">
        <v>158</v>
      </c>
      <c r="D2284" t="s">
        <v>489</v>
      </c>
      <c r="E2284" t="s">
        <v>293</v>
      </c>
      <c r="F2284" t="s">
        <v>390</v>
      </c>
      <c r="G2284" t="s">
        <v>820</v>
      </c>
      <c r="H2284" t="s">
        <v>470</v>
      </c>
      <c r="I2284" t="s">
        <v>382</v>
      </c>
      <c r="J2284" t="s">
        <v>1226</v>
      </c>
      <c r="K2284" t="s">
        <v>547</v>
      </c>
      <c r="L2284" t="s">
        <v>216</v>
      </c>
      <c r="M2284" t="s">
        <v>345</v>
      </c>
      <c r="N2284" t="s">
        <v>510</v>
      </c>
      <c r="O2284" t="s">
        <v>1143</v>
      </c>
      <c r="P2284" t="s">
        <v>522</v>
      </c>
      <c r="Q2284" t="s">
        <v>257</v>
      </c>
      <c r="R2284" t="s">
        <v>120</v>
      </c>
      <c r="S2284" t="s">
        <v>468</v>
      </c>
    </row>
    <row r="2285" spans="1:19" x14ac:dyDescent="0.3">
      <c r="A2285" t="s">
        <v>41</v>
      </c>
      <c r="B2285" t="s">
        <v>1249</v>
      </c>
      <c r="C2285">
        <v>1880</v>
      </c>
      <c r="D2285" t="s">
        <v>458</v>
      </c>
      <c r="E2285" t="s">
        <v>352</v>
      </c>
      <c r="F2285" t="s">
        <v>545</v>
      </c>
      <c r="G2285" t="s">
        <v>1084</v>
      </c>
      <c r="H2285" t="s">
        <v>601</v>
      </c>
      <c r="I2285" t="s">
        <v>920</v>
      </c>
      <c r="J2285" t="s">
        <v>503</v>
      </c>
      <c r="K2285" t="s">
        <v>695</v>
      </c>
      <c r="L2285" t="s">
        <v>532</v>
      </c>
      <c r="M2285" t="s">
        <v>217</v>
      </c>
      <c r="N2285" t="s">
        <v>301</v>
      </c>
      <c r="O2285" t="s">
        <v>476</v>
      </c>
      <c r="P2285" t="s">
        <v>685</v>
      </c>
      <c r="Q2285" t="s">
        <v>105</v>
      </c>
      <c r="R2285" t="s">
        <v>120</v>
      </c>
      <c r="S2285" t="s">
        <v>91</v>
      </c>
    </row>
    <row r="2287" spans="1:19" x14ac:dyDescent="0.3">
      <c r="A2287" t="s">
        <v>1253</v>
      </c>
    </row>
    <row r="2288" spans="1:19" x14ac:dyDescent="0.3">
      <c r="A2288" t="s">
        <v>36</v>
      </c>
      <c r="B2288" t="s">
        <v>1254</v>
      </c>
      <c r="C2288" t="s">
        <v>24</v>
      </c>
      <c r="D2288" t="s">
        <v>1183</v>
      </c>
      <c r="E2288" t="s">
        <v>1184</v>
      </c>
      <c r="F2288" t="s">
        <v>1185</v>
      </c>
      <c r="G2288" t="s">
        <v>1186</v>
      </c>
      <c r="H2288" t="s">
        <v>1187</v>
      </c>
      <c r="I2288" t="s">
        <v>1188</v>
      </c>
      <c r="J2288" t="s">
        <v>1189</v>
      </c>
      <c r="K2288" t="s">
        <v>1190</v>
      </c>
      <c r="L2288" t="s">
        <v>1191</v>
      </c>
      <c r="M2288" t="s">
        <v>1192</v>
      </c>
      <c r="N2288" t="s">
        <v>1193</v>
      </c>
      <c r="O2288" t="s">
        <v>1194</v>
      </c>
      <c r="P2288" t="s">
        <v>1195</v>
      </c>
      <c r="Q2288" t="s">
        <v>89</v>
      </c>
      <c r="R2288" t="s">
        <v>87</v>
      </c>
      <c r="S2288" t="s">
        <v>181</v>
      </c>
    </row>
    <row r="2289" spans="1:19" s="3" customFormat="1" x14ac:dyDescent="0.3">
      <c r="A2289" s="3" t="s">
        <v>25</v>
      </c>
      <c r="B2289" s="3" t="s">
        <v>1255</v>
      </c>
      <c r="C2289" s="3">
        <v>16</v>
      </c>
      <c r="D2289" s="3" t="s">
        <v>104</v>
      </c>
      <c r="E2289" s="3" t="s">
        <v>30</v>
      </c>
      <c r="F2289" s="3" t="s">
        <v>645</v>
      </c>
      <c r="G2289" s="3" t="s">
        <v>251</v>
      </c>
      <c r="H2289" s="3" t="s">
        <v>466</v>
      </c>
      <c r="I2289" s="3" t="s">
        <v>534</v>
      </c>
      <c r="J2289" s="3" t="s">
        <v>679</v>
      </c>
      <c r="K2289" s="3" t="s">
        <v>571</v>
      </c>
      <c r="L2289" s="3" t="s">
        <v>607</v>
      </c>
      <c r="M2289" s="3" t="s">
        <v>103</v>
      </c>
      <c r="N2289" s="3" t="s">
        <v>651</v>
      </c>
      <c r="O2289" s="3" t="s">
        <v>251</v>
      </c>
      <c r="P2289" s="3" t="s">
        <v>484</v>
      </c>
      <c r="Q2289" s="3" t="s">
        <v>103</v>
      </c>
      <c r="R2289" s="3" t="s">
        <v>60</v>
      </c>
      <c r="S2289" s="3" t="s">
        <v>103</v>
      </c>
    </row>
    <row r="2290" spans="1:19" x14ac:dyDescent="0.3">
      <c r="A2290" t="s">
        <v>25</v>
      </c>
      <c r="B2290" t="s">
        <v>1256</v>
      </c>
      <c r="C2290">
        <v>398</v>
      </c>
      <c r="D2290" t="s">
        <v>440</v>
      </c>
      <c r="E2290" t="s">
        <v>1229</v>
      </c>
      <c r="F2290" t="s">
        <v>567</v>
      </c>
      <c r="G2290" t="s">
        <v>829</v>
      </c>
      <c r="H2290" t="s">
        <v>137</v>
      </c>
      <c r="I2290" t="s">
        <v>539</v>
      </c>
      <c r="J2290" t="s">
        <v>471</v>
      </c>
      <c r="K2290" t="s">
        <v>550</v>
      </c>
      <c r="L2290" t="s">
        <v>107</v>
      </c>
      <c r="M2290" t="s">
        <v>467</v>
      </c>
      <c r="N2290" t="s">
        <v>1084</v>
      </c>
      <c r="O2290" t="s">
        <v>525</v>
      </c>
      <c r="P2290" t="s">
        <v>507</v>
      </c>
      <c r="Q2290" t="s">
        <v>120</v>
      </c>
      <c r="R2290" t="s">
        <v>120</v>
      </c>
      <c r="S2290" t="s">
        <v>103</v>
      </c>
    </row>
    <row r="2291" spans="1:19" s="3" customFormat="1" x14ac:dyDescent="0.3">
      <c r="A2291" s="3" t="s">
        <v>26</v>
      </c>
      <c r="B2291" s="3" t="s">
        <v>1255</v>
      </c>
      <c r="C2291" s="3">
        <v>20</v>
      </c>
      <c r="D2291" s="3" t="s">
        <v>835</v>
      </c>
      <c r="E2291" s="3" t="s">
        <v>835</v>
      </c>
      <c r="F2291" s="3" t="s">
        <v>835</v>
      </c>
      <c r="G2291" s="3" t="s">
        <v>423</v>
      </c>
      <c r="H2291" s="3" t="s">
        <v>1196</v>
      </c>
      <c r="I2291" s="3" t="s">
        <v>831</v>
      </c>
      <c r="J2291" s="3" t="s">
        <v>679</v>
      </c>
      <c r="K2291" s="3" t="s">
        <v>1257</v>
      </c>
      <c r="L2291" s="3" t="s">
        <v>103</v>
      </c>
      <c r="M2291" s="3" t="s">
        <v>284</v>
      </c>
      <c r="N2291" s="3" t="s">
        <v>1041</v>
      </c>
      <c r="O2291" s="3" t="s">
        <v>138</v>
      </c>
      <c r="P2291" s="3" t="s">
        <v>469</v>
      </c>
      <c r="Q2291" s="3" t="s">
        <v>186</v>
      </c>
      <c r="R2291" s="3" t="s">
        <v>103</v>
      </c>
      <c r="S2291" s="3" t="s">
        <v>103</v>
      </c>
    </row>
    <row r="2292" spans="1:19" x14ac:dyDescent="0.3">
      <c r="A2292" t="s">
        <v>26</v>
      </c>
      <c r="B2292" t="s">
        <v>1256</v>
      </c>
      <c r="C2292">
        <v>457</v>
      </c>
      <c r="D2292" t="s">
        <v>1093</v>
      </c>
      <c r="E2292" t="s">
        <v>705</v>
      </c>
      <c r="F2292" t="s">
        <v>921</v>
      </c>
      <c r="G2292" t="s">
        <v>521</v>
      </c>
      <c r="H2292" t="s">
        <v>543</v>
      </c>
      <c r="I2292" t="s">
        <v>361</v>
      </c>
      <c r="J2292" t="s">
        <v>537</v>
      </c>
      <c r="K2292" t="s">
        <v>900</v>
      </c>
      <c r="L2292" t="s">
        <v>188</v>
      </c>
      <c r="M2292" t="s">
        <v>282</v>
      </c>
      <c r="N2292" t="s">
        <v>440</v>
      </c>
      <c r="O2292" t="s">
        <v>525</v>
      </c>
      <c r="P2292" t="s">
        <v>815</v>
      </c>
      <c r="Q2292" t="s">
        <v>139</v>
      </c>
      <c r="R2292" t="s">
        <v>103</v>
      </c>
      <c r="S2292" t="s">
        <v>103</v>
      </c>
    </row>
    <row r="2293" spans="1:19" x14ac:dyDescent="0.3">
      <c r="A2293" t="s">
        <v>29</v>
      </c>
      <c r="B2293" t="s">
        <v>1255</v>
      </c>
      <c r="C2293">
        <v>36</v>
      </c>
      <c r="D2293" t="s">
        <v>651</v>
      </c>
      <c r="E2293" t="s">
        <v>457</v>
      </c>
      <c r="F2293" t="s">
        <v>1204</v>
      </c>
      <c r="G2293" t="s">
        <v>682</v>
      </c>
      <c r="H2293" t="s">
        <v>516</v>
      </c>
      <c r="I2293" t="s">
        <v>48</v>
      </c>
      <c r="J2293" t="s">
        <v>476</v>
      </c>
      <c r="K2293" t="s">
        <v>809</v>
      </c>
      <c r="L2293" t="s">
        <v>195</v>
      </c>
      <c r="M2293" t="s">
        <v>103</v>
      </c>
      <c r="N2293" t="s">
        <v>1200</v>
      </c>
      <c r="O2293" t="s">
        <v>465</v>
      </c>
      <c r="P2293" t="s">
        <v>674</v>
      </c>
      <c r="Q2293" t="s">
        <v>32</v>
      </c>
      <c r="R2293" t="s">
        <v>103</v>
      </c>
      <c r="S2293" t="s">
        <v>103</v>
      </c>
    </row>
    <row r="2294" spans="1:19" x14ac:dyDescent="0.3">
      <c r="A2294" t="s">
        <v>29</v>
      </c>
      <c r="B2294" t="s">
        <v>1256</v>
      </c>
      <c r="C2294">
        <v>493</v>
      </c>
      <c r="D2294" t="s">
        <v>537</v>
      </c>
      <c r="E2294" t="s">
        <v>659</v>
      </c>
      <c r="F2294" t="s">
        <v>1007</v>
      </c>
      <c r="G2294" t="s">
        <v>477</v>
      </c>
      <c r="H2294" t="s">
        <v>607</v>
      </c>
      <c r="I2294" t="s">
        <v>478</v>
      </c>
      <c r="J2294" t="s">
        <v>684</v>
      </c>
      <c r="K2294" t="s">
        <v>681</v>
      </c>
      <c r="L2294" t="s">
        <v>284</v>
      </c>
      <c r="M2294" t="s">
        <v>266</v>
      </c>
      <c r="N2294" t="s">
        <v>523</v>
      </c>
      <c r="O2294" t="s">
        <v>486</v>
      </c>
      <c r="P2294" t="s">
        <v>1203</v>
      </c>
      <c r="Q2294" t="s">
        <v>341</v>
      </c>
      <c r="R2294" t="s">
        <v>98</v>
      </c>
      <c r="S2294" t="s">
        <v>97</v>
      </c>
    </row>
    <row r="2295" spans="1:19" x14ac:dyDescent="0.3">
      <c r="A2295" t="s">
        <v>29</v>
      </c>
      <c r="B2295" t="s">
        <v>308</v>
      </c>
      <c r="C2295">
        <v>1</v>
      </c>
      <c r="D2295" t="s">
        <v>192</v>
      </c>
      <c r="E2295" t="s">
        <v>192</v>
      </c>
      <c r="F2295" t="s">
        <v>192</v>
      </c>
      <c r="G2295" t="s">
        <v>103</v>
      </c>
      <c r="H2295" t="s">
        <v>103</v>
      </c>
      <c r="I2295" t="s">
        <v>192</v>
      </c>
      <c r="J2295" t="s">
        <v>192</v>
      </c>
      <c r="K2295" t="s">
        <v>192</v>
      </c>
      <c r="L2295" t="s">
        <v>103</v>
      </c>
      <c r="M2295" t="s">
        <v>103</v>
      </c>
      <c r="N2295" t="s">
        <v>103</v>
      </c>
      <c r="O2295" t="s">
        <v>103</v>
      </c>
      <c r="P2295" t="s">
        <v>103</v>
      </c>
      <c r="Q2295" t="s">
        <v>103</v>
      </c>
      <c r="R2295" t="s">
        <v>103</v>
      </c>
      <c r="S2295" t="s">
        <v>103</v>
      </c>
    </row>
    <row r="2296" spans="1:19" s="3" customFormat="1" x14ac:dyDescent="0.3">
      <c r="A2296" s="3" t="s">
        <v>28</v>
      </c>
      <c r="B2296" s="3" t="s">
        <v>1255</v>
      </c>
      <c r="C2296" s="3">
        <v>7</v>
      </c>
      <c r="D2296" s="3" t="s">
        <v>726</v>
      </c>
      <c r="E2296" s="3" t="s">
        <v>726</v>
      </c>
      <c r="F2296" s="3" t="s">
        <v>726</v>
      </c>
      <c r="G2296" s="3" t="s">
        <v>479</v>
      </c>
      <c r="H2296" s="3" t="s">
        <v>459</v>
      </c>
      <c r="I2296" s="3" t="s">
        <v>459</v>
      </c>
      <c r="J2296" s="3" t="s">
        <v>578</v>
      </c>
      <c r="K2296" s="3" t="s">
        <v>103</v>
      </c>
      <c r="L2296" s="3" t="s">
        <v>103</v>
      </c>
      <c r="M2296" s="3" t="s">
        <v>103</v>
      </c>
      <c r="N2296" s="3" t="s">
        <v>103</v>
      </c>
      <c r="O2296" s="3" t="s">
        <v>578</v>
      </c>
      <c r="P2296" s="3" t="s">
        <v>357</v>
      </c>
      <c r="Q2296" s="3" t="s">
        <v>103</v>
      </c>
      <c r="R2296" s="3" t="s">
        <v>103</v>
      </c>
      <c r="S2296" s="3" t="s">
        <v>103</v>
      </c>
    </row>
    <row r="2297" spans="1:19" x14ac:dyDescent="0.3">
      <c r="A2297" t="s">
        <v>28</v>
      </c>
      <c r="B2297" t="s">
        <v>1256</v>
      </c>
      <c r="C2297">
        <v>310</v>
      </c>
      <c r="D2297" t="s">
        <v>683</v>
      </c>
      <c r="E2297" t="s">
        <v>858</v>
      </c>
      <c r="F2297" t="s">
        <v>404</v>
      </c>
      <c r="G2297" t="s">
        <v>1198</v>
      </c>
      <c r="H2297" t="s">
        <v>169</v>
      </c>
      <c r="I2297" t="s">
        <v>858</v>
      </c>
      <c r="J2297" t="s">
        <v>398</v>
      </c>
      <c r="K2297" t="s">
        <v>456</v>
      </c>
      <c r="L2297" t="s">
        <v>591</v>
      </c>
      <c r="M2297" t="s">
        <v>214</v>
      </c>
      <c r="N2297" t="s">
        <v>473</v>
      </c>
      <c r="O2297" t="s">
        <v>727</v>
      </c>
      <c r="P2297" t="s">
        <v>352</v>
      </c>
      <c r="Q2297" t="s">
        <v>116</v>
      </c>
      <c r="R2297" t="s">
        <v>103</v>
      </c>
      <c r="S2297" t="s">
        <v>103</v>
      </c>
    </row>
    <row r="2298" spans="1:19" s="3" customFormat="1" x14ac:dyDescent="0.3">
      <c r="A2298" s="3" t="s">
        <v>27</v>
      </c>
      <c r="B2298" s="3" t="s">
        <v>1255</v>
      </c>
      <c r="C2298" s="3">
        <v>10</v>
      </c>
      <c r="D2298" s="3" t="s">
        <v>1258</v>
      </c>
      <c r="E2298" s="3" t="s">
        <v>1258</v>
      </c>
      <c r="F2298" s="3" t="s">
        <v>1259</v>
      </c>
      <c r="G2298" s="3" t="s">
        <v>1259</v>
      </c>
      <c r="H2298" s="3" t="s">
        <v>136</v>
      </c>
      <c r="I2298" s="3" t="s">
        <v>454</v>
      </c>
      <c r="J2298" s="3" t="s">
        <v>352</v>
      </c>
      <c r="K2298" s="3" t="s">
        <v>515</v>
      </c>
      <c r="L2298" s="3" t="s">
        <v>520</v>
      </c>
      <c r="M2298" s="3" t="s">
        <v>118</v>
      </c>
      <c r="N2298" s="3" t="s">
        <v>478</v>
      </c>
      <c r="O2298" s="3" t="s">
        <v>918</v>
      </c>
      <c r="P2298" s="3" t="s">
        <v>688</v>
      </c>
      <c r="Q2298" s="3" t="s">
        <v>136</v>
      </c>
      <c r="R2298" s="3" t="s">
        <v>103</v>
      </c>
      <c r="S2298" s="3" t="s">
        <v>103</v>
      </c>
    </row>
    <row r="2299" spans="1:19" x14ac:dyDescent="0.3">
      <c r="A2299" t="s">
        <v>27</v>
      </c>
      <c r="B2299" t="s">
        <v>1256</v>
      </c>
      <c r="C2299">
        <v>290</v>
      </c>
      <c r="D2299" t="s">
        <v>722</v>
      </c>
      <c r="E2299" t="s">
        <v>1094</v>
      </c>
      <c r="F2299" t="s">
        <v>351</v>
      </c>
      <c r="G2299" t="s">
        <v>487</v>
      </c>
      <c r="H2299" t="s">
        <v>1084</v>
      </c>
      <c r="I2299" t="s">
        <v>513</v>
      </c>
      <c r="J2299" t="s">
        <v>619</v>
      </c>
      <c r="K2299" t="s">
        <v>1011</v>
      </c>
      <c r="L2299" t="s">
        <v>329</v>
      </c>
      <c r="M2299" t="s">
        <v>272</v>
      </c>
      <c r="N2299" t="s">
        <v>1260</v>
      </c>
      <c r="O2299" t="s">
        <v>234</v>
      </c>
      <c r="P2299" t="s">
        <v>544</v>
      </c>
      <c r="Q2299" t="s">
        <v>652</v>
      </c>
      <c r="R2299" t="s">
        <v>91</v>
      </c>
      <c r="S2299" t="s">
        <v>103</v>
      </c>
    </row>
    <row r="2300" spans="1:19" x14ac:dyDescent="0.3">
      <c r="A2300" t="s">
        <v>41</v>
      </c>
      <c r="B2300" t="s">
        <v>1255</v>
      </c>
      <c r="C2300">
        <v>89</v>
      </c>
      <c r="D2300" t="s">
        <v>138</v>
      </c>
      <c r="E2300" t="s">
        <v>530</v>
      </c>
      <c r="F2300" t="s">
        <v>663</v>
      </c>
      <c r="G2300" t="s">
        <v>825</v>
      </c>
      <c r="H2300" t="s">
        <v>331</v>
      </c>
      <c r="I2300" t="s">
        <v>705</v>
      </c>
      <c r="J2300" t="s">
        <v>259</v>
      </c>
      <c r="K2300" t="s">
        <v>1083</v>
      </c>
      <c r="L2300" t="s">
        <v>438</v>
      </c>
      <c r="M2300" t="s">
        <v>468</v>
      </c>
      <c r="N2300" t="s">
        <v>938</v>
      </c>
      <c r="O2300" t="s">
        <v>1038</v>
      </c>
      <c r="P2300" t="s">
        <v>648</v>
      </c>
      <c r="Q2300" t="s">
        <v>186</v>
      </c>
      <c r="R2300" t="s">
        <v>282</v>
      </c>
      <c r="S2300" t="s">
        <v>103</v>
      </c>
    </row>
    <row r="2301" spans="1:19" x14ac:dyDescent="0.3">
      <c r="A2301" t="s">
        <v>41</v>
      </c>
      <c r="B2301" t="s">
        <v>1256</v>
      </c>
      <c r="C2301">
        <v>1948</v>
      </c>
      <c r="D2301" t="s">
        <v>357</v>
      </c>
      <c r="E2301" t="s">
        <v>420</v>
      </c>
      <c r="F2301" t="s">
        <v>501</v>
      </c>
      <c r="G2301" t="s">
        <v>754</v>
      </c>
      <c r="H2301" t="s">
        <v>482</v>
      </c>
      <c r="I2301" t="s">
        <v>523</v>
      </c>
      <c r="J2301" t="s">
        <v>503</v>
      </c>
      <c r="K2301" t="s">
        <v>506</v>
      </c>
      <c r="L2301" t="s">
        <v>113</v>
      </c>
      <c r="M2301" t="s">
        <v>257</v>
      </c>
      <c r="N2301" t="s">
        <v>1213</v>
      </c>
      <c r="O2301" t="s">
        <v>506</v>
      </c>
      <c r="P2301" t="s">
        <v>523</v>
      </c>
      <c r="Q2301" t="s">
        <v>245</v>
      </c>
      <c r="R2301" t="s">
        <v>97</v>
      </c>
      <c r="S2301" t="s">
        <v>66</v>
      </c>
    </row>
    <row r="2302" spans="1:19" x14ac:dyDescent="0.3">
      <c r="A2302" t="s">
        <v>41</v>
      </c>
      <c r="B2302" t="s">
        <v>308</v>
      </c>
      <c r="C2302">
        <v>1</v>
      </c>
      <c r="D2302" t="s">
        <v>192</v>
      </c>
      <c r="E2302" t="s">
        <v>192</v>
      </c>
      <c r="F2302" t="s">
        <v>192</v>
      </c>
      <c r="G2302" t="s">
        <v>103</v>
      </c>
      <c r="H2302" t="s">
        <v>103</v>
      </c>
      <c r="I2302" t="s">
        <v>192</v>
      </c>
      <c r="J2302" t="s">
        <v>192</v>
      </c>
      <c r="K2302" t="s">
        <v>192</v>
      </c>
      <c r="L2302" t="s">
        <v>103</v>
      </c>
      <c r="M2302" t="s">
        <v>103</v>
      </c>
      <c r="N2302" t="s">
        <v>103</v>
      </c>
      <c r="O2302" t="s">
        <v>103</v>
      </c>
      <c r="P2302" t="s">
        <v>103</v>
      </c>
      <c r="Q2302" t="s">
        <v>103</v>
      </c>
      <c r="R2302" t="s">
        <v>103</v>
      </c>
      <c r="S2302" t="s">
        <v>103</v>
      </c>
    </row>
    <row r="2304" spans="1:19" x14ac:dyDescent="0.3">
      <c r="A2304" t="s">
        <v>1261</v>
      </c>
    </row>
    <row r="2305" spans="1:4" x14ac:dyDescent="0.3">
      <c r="A2305" t="s">
        <v>36</v>
      </c>
      <c r="B2305" t="s">
        <v>24</v>
      </c>
      <c r="C2305" t="s">
        <v>1262</v>
      </c>
    </row>
    <row r="2306" spans="1:4" x14ac:dyDescent="0.3">
      <c r="A2306" t="s">
        <v>25</v>
      </c>
      <c r="B2306">
        <v>414</v>
      </c>
      <c r="C2306" t="s">
        <v>192</v>
      </c>
    </row>
    <row r="2307" spans="1:4" x14ac:dyDescent="0.3">
      <c r="A2307" t="s">
        <v>26</v>
      </c>
      <c r="B2307">
        <v>477</v>
      </c>
      <c r="C2307" t="s">
        <v>192</v>
      </c>
    </row>
    <row r="2308" spans="1:4" x14ac:dyDescent="0.3">
      <c r="A2308" t="s">
        <v>29</v>
      </c>
      <c r="B2308">
        <v>530</v>
      </c>
      <c r="C2308" t="s">
        <v>192</v>
      </c>
    </row>
    <row r="2309" spans="1:4" x14ac:dyDescent="0.3">
      <c r="A2309" t="s">
        <v>28</v>
      </c>
      <c r="B2309">
        <v>317</v>
      </c>
      <c r="C2309" t="s">
        <v>192</v>
      </c>
    </row>
    <row r="2310" spans="1:4" x14ac:dyDescent="0.3">
      <c r="A2310" t="s">
        <v>27</v>
      </c>
      <c r="B2310">
        <v>300</v>
      </c>
      <c r="C2310" t="s">
        <v>192</v>
      </c>
    </row>
    <row r="2311" spans="1:4" x14ac:dyDescent="0.3">
      <c r="A2311" t="s">
        <v>41</v>
      </c>
      <c r="B2311">
        <v>2038</v>
      </c>
      <c r="C2311" t="s">
        <v>192</v>
      </c>
    </row>
    <row r="2313" spans="1:4" x14ac:dyDescent="0.3">
      <c r="A2313" t="s">
        <v>1263</v>
      </c>
    </row>
    <row r="2314" spans="1:4" x14ac:dyDescent="0.3">
      <c r="A2314" t="s">
        <v>36</v>
      </c>
      <c r="B2314" t="s">
        <v>307</v>
      </c>
      <c r="C2314" t="s">
        <v>24</v>
      </c>
      <c r="D2314" t="s">
        <v>1262</v>
      </c>
    </row>
    <row r="2315" spans="1:4" x14ac:dyDescent="0.3">
      <c r="A2315" t="s">
        <v>25</v>
      </c>
      <c r="B2315" t="s">
        <v>291</v>
      </c>
      <c r="C2315">
        <v>156</v>
      </c>
      <c r="D2315" t="s">
        <v>192</v>
      </c>
    </row>
    <row r="2316" spans="1:4" x14ac:dyDescent="0.3">
      <c r="A2316" t="s">
        <v>25</v>
      </c>
      <c r="B2316" t="s">
        <v>292</v>
      </c>
      <c r="C2316">
        <v>254</v>
      </c>
      <c r="D2316" t="s">
        <v>192</v>
      </c>
    </row>
    <row r="2317" spans="1:4" x14ac:dyDescent="0.3">
      <c r="A2317" t="s">
        <v>25</v>
      </c>
      <c r="B2317" t="s">
        <v>308</v>
      </c>
      <c r="C2317">
        <v>4</v>
      </c>
      <c r="D2317" t="s">
        <v>192</v>
      </c>
    </row>
    <row r="2318" spans="1:4" x14ac:dyDescent="0.3">
      <c r="A2318" t="s">
        <v>26</v>
      </c>
      <c r="B2318" t="s">
        <v>291</v>
      </c>
      <c r="C2318">
        <v>122</v>
      </c>
      <c r="D2318" t="s">
        <v>192</v>
      </c>
    </row>
    <row r="2319" spans="1:4" x14ac:dyDescent="0.3">
      <c r="A2319" t="s">
        <v>26</v>
      </c>
      <c r="B2319" t="s">
        <v>292</v>
      </c>
      <c r="C2319">
        <v>352</v>
      </c>
      <c r="D2319" t="s">
        <v>192</v>
      </c>
    </row>
    <row r="2320" spans="1:4" x14ac:dyDescent="0.3">
      <c r="A2320" t="s">
        <v>26</v>
      </c>
      <c r="B2320" t="s">
        <v>308</v>
      </c>
      <c r="C2320">
        <v>3</v>
      </c>
      <c r="D2320" t="s">
        <v>192</v>
      </c>
    </row>
    <row r="2321" spans="1:4" x14ac:dyDescent="0.3">
      <c r="A2321" t="s">
        <v>29</v>
      </c>
      <c r="B2321" t="s">
        <v>291</v>
      </c>
      <c r="C2321">
        <v>205</v>
      </c>
      <c r="D2321" t="s">
        <v>192</v>
      </c>
    </row>
    <row r="2322" spans="1:4" x14ac:dyDescent="0.3">
      <c r="A2322" t="s">
        <v>29</v>
      </c>
      <c r="B2322" t="s">
        <v>292</v>
      </c>
      <c r="C2322">
        <v>325</v>
      </c>
      <c r="D2322" t="s">
        <v>192</v>
      </c>
    </row>
    <row r="2323" spans="1:4" x14ac:dyDescent="0.3">
      <c r="A2323" t="s">
        <v>28</v>
      </c>
      <c r="B2323" t="s">
        <v>291</v>
      </c>
      <c r="C2323">
        <v>114</v>
      </c>
      <c r="D2323" t="s">
        <v>192</v>
      </c>
    </row>
    <row r="2324" spans="1:4" x14ac:dyDescent="0.3">
      <c r="A2324" t="s">
        <v>28</v>
      </c>
      <c r="B2324" t="s">
        <v>292</v>
      </c>
      <c r="C2324">
        <v>191</v>
      </c>
      <c r="D2324" t="s">
        <v>192</v>
      </c>
    </row>
    <row r="2325" spans="1:4" x14ac:dyDescent="0.3">
      <c r="A2325" t="s">
        <v>28</v>
      </c>
      <c r="B2325" t="s">
        <v>308</v>
      </c>
      <c r="C2325">
        <v>12</v>
      </c>
      <c r="D2325" t="s">
        <v>192</v>
      </c>
    </row>
    <row r="2326" spans="1:4" x14ac:dyDescent="0.3">
      <c r="A2326" t="s">
        <v>27</v>
      </c>
      <c r="B2326" t="s">
        <v>291</v>
      </c>
      <c r="C2326">
        <v>95</v>
      </c>
      <c r="D2326" t="s">
        <v>192</v>
      </c>
    </row>
    <row r="2327" spans="1:4" x14ac:dyDescent="0.3">
      <c r="A2327" t="s">
        <v>27</v>
      </c>
      <c r="B2327" t="s">
        <v>292</v>
      </c>
      <c r="C2327">
        <v>198</v>
      </c>
      <c r="D2327" t="s">
        <v>192</v>
      </c>
    </row>
    <row r="2328" spans="1:4" x14ac:dyDescent="0.3">
      <c r="A2328" t="s">
        <v>27</v>
      </c>
      <c r="B2328" t="s">
        <v>308</v>
      </c>
      <c r="C2328">
        <v>7</v>
      </c>
      <c r="D2328" t="s">
        <v>192</v>
      </c>
    </row>
    <row r="2329" spans="1:4" x14ac:dyDescent="0.3">
      <c r="A2329" t="s">
        <v>41</v>
      </c>
      <c r="B2329" t="s">
        <v>291</v>
      </c>
      <c r="C2329">
        <v>692</v>
      </c>
      <c r="D2329" t="s">
        <v>192</v>
      </c>
    </row>
    <row r="2330" spans="1:4" x14ac:dyDescent="0.3">
      <c r="A2330" t="s">
        <v>41</v>
      </c>
      <c r="B2330" t="s">
        <v>292</v>
      </c>
      <c r="C2330">
        <v>1320</v>
      </c>
      <c r="D2330" t="s">
        <v>192</v>
      </c>
    </row>
    <row r="2331" spans="1:4" x14ac:dyDescent="0.3">
      <c r="A2331" t="s">
        <v>41</v>
      </c>
      <c r="B2331" t="s">
        <v>308</v>
      </c>
      <c r="C2331">
        <v>26</v>
      </c>
      <c r="D2331" t="s">
        <v>192</v>
      </c>
    </row>
    <row r="2333" spans="1:4" x14ac:dyDescent="0.3">
      <c r="A2333" t="s">
        <v>1264</v>
      </c>
    </row>
    <row r="2334" spans="1:4" x14ac:dyDescent="0.3">
      <c r="A2334" t="s">
        <v>36</v>
      </c>
      <c r="B2334" t="s">
        <v>310</v>
      </c>
      <c r="C2334" t="s">
        <v>24</v>
      </c>
      <c r="D2334" t="s">
        <v>1262</v>
      </c>
    </row>
    <row r="2335" spans="1:4" x14ac:dyDescent="0.3">
      <c r="A2335" t="s">
        <v>25</v>
      </c>
      <c r="B2335" t="s">
        <v>311</v>
      </c>
      <c r="C2335">
        <v>324</v>
      </c>
      <c r="D2335" t="s">
        <v>192</v>
      </c>
    </row>
    <row r="2336" spans="1:4" x14ac:dyDescent="0.3">
      <c r="A2336" t="s">
        <v>25</v>
      </c>
      <c r="B2336" t="s">
        <v>312</v>
      </c>
      <c r="C2336">
        <v>80</v>
      </c>
      <c r="D2336" t="s">
        <v>192</v>
      </c>
    </row>
    <row r="2337" spans="1:4" x14ac:dyDescent="0.3">
      <c r="A2337" t="s">
        <v>25</v>
      </c>
      <c r="B2337" t="s">
        <v>308</v>
      </c>
      <c r="C2337">
        <v>10</v>
      </c>
      <c r="D2337" t="s">
        <v>192</v>
      </c>
    </row>
    <row r="2338" spans="1:4" x14ac:dyDescent="0.3">
      <c r="A2338" t="s">
        <v>26</v>
      </c>
      <c r="B2338" t="s">
        <v>311</v>
      </c>
      <c r="C2338">
        <v>343</v>
      </c>
      <c r="D2338" t="s">
        <v>192</v>
      </c>
    </row>
    <row r="2339" spans="1:4" x14ac:dyDescent="0.3">
      <c r="A2339" t="s">
        <v>26</v>
      </c>
      <c r="B2339" t="s">
        <v>312</v>
      </c>
      <c r="C2339">
        <v>96</v>
      </c>
      <c r="D2339" t="s">
        <v>192</v>
      </c>
    </row>
    <row r="2340" spans="1:4" x14ac:dyDescent="0.3">
      <c r="A2340" t="s">
        <v>26</v>
      </c>
      <c r="B2340" t="s">
        <v>308</v>
      </c>
      <c r="C2340">
        <v>38</v>
      </c>
      <c r="D2340" t="s">
        <v>192</v>
      </c>
    </row>
    <row r="2341" spans="1:4" x14ac:dyDescent="0.3">
      <c r="A2341" t="s">
        <v>29</v>
      </c>
      <c r="B2341" t="s">
        <v>311</v>
      </c>
      <c r="C2341">
        <v>414</v>
      </c>
      <c r="D2341" t="s">
        <v>192</v>
      </c>
    </row>
    <row r="2342" spans="1:4" x14ac:dyDescent="0.3">
      <c r="A2342" t="s">
        <v>29</v>
      </c>
      <c r="B2342" t="s">
        <v>312</v>
      </c>
      <c r="C2342">
        <v>103</v>
      </c>
      <c r="D2342" t="s">
        <v>192</v>
      </c>
    </row>
    <row r="2343" spans="1:4" x14ac:dyDescent="0.3">
      <c r="A2343" t="s">
        <v>29</v>
      </c>
      <c r="B2343" t="s">
        <v>308</v>
      </c>
      <c r="C2343">
        <v>13</v>
      </c>
      <c r="D2343" t="s">
        <v>192</v>
      </c>
    </row>
    <row r="2344" spans="1:4" x14ac:dyDescent="0.3">
      <c r="A2344" t="s">
        <v>28</v>
      </c>
      <c r="B2344" t="s">
        <v>311</v>
      </c>
      <c r="C2344">
        <v>223</v>
      </c>
      <c r="D2344" t="s">
        <v>192</v>
      </c>
    </row>
    <row r="2345" spans="1:4" x14ac:dyDescent="0.3">
      <c r="A2345" t="s">
        <v>28</v>
      </c>
      <c r="B2345" t="s">
        <v>312</v>
      </c>
      <c r="C2345">
        <v>93</v>
      </c>
      <c r="D2345" t="s">
        <v>192</v>
      </c>
    </row>
    <row r="2346" spans="1:4" x14ac:dyDescent="0.3">
      <c r="A2346" t="s">
        <v>28</v>
      </c>
      <c r="B2346" t="s">
        <v>308</v>
      </c>
      <c r="C2346">
        <v>1</v>
      </c>
      <c r="D2346" t="s">
        <v>192</v>
      </c>
    </row>
    <row r="2347" spans="1:4" x14ac:dyDescent="0.3">
      <c r="A2347" t="s">
        <v>27</v>
      </c>
      <c r="B2347" t="s">
        <v>311</v>
      </c>
      <c r="C2347">
        <v>237</v>
      </c>
      <c r="D2347" t="s">
        <v>192</v>
      </c>
    </row>
    <row r="2348" spans="1:4" x14ac:dyDescent="0.3">
      <c r="A2348" t="s">
        <v>27</v>
      </c>
      <c r="B2348" t="s">
        <v>312</v>
      </c>
      <c r="C2348">
        <v>60</v>
      </c>
      <c r="D2348" t="s">
        <v>192</v>
      </c>
    </row>
    <row r="2349" spans="1:4" x14ac:dyDescent="0.3">
      <c r="A2349" t="s">
        <v>27</v>
      </c>
      <c r="B2349" t="s">
        <v>308</v>
      </c>
      <c r="C2349">
        <v>3</v>
      </c>
      <c r="D2349" t="s">
        <v>192</v>
      </c>
    </row>
    <row r="2350" spans="1:4" x14ac:dyDescent="0.3">
      <c r="A2350" t="s">
        <v>41</v>
      </c>
      <c r="B2350" t="s">
        <v>311</v>
      </c>
      <c r="C2350">
        <v>1541</v>
      </c>
      <c r="D2350" t="s">
        <v>192</v>
      </c>
    </row>
    <row r="2351" spans="1:4" x14ac:dyDescent="0.3">
      <c r="A2351" t="s">
        <v>41</v>
      </c>
      <c r="B2351" t="s">
        <v>312</v>
      </c>
      <c r="C2351">
        <v>432</v>
      </c>
      <c r="D2351" t="s">
        <v>192</v>
      </c>
    </row>
    <row r="2352" spans="1:4" x14ac:dyDescent="0.3">
      <c r="A2352" t="s">
        <v>41</v>
      </c>
      <c r="B2352" t="s">
        <v>308</v>
      </c>
      <c r="C2352">
        <v>65</v>
      </c>
      <c r="D2352" t="s">
        <v>192</v>
      </c>
    </row>
    <row r="2354" spans="1:4" x14ac:dyDescent="0.3">
      <c r="A2354" t="s">
        <v>1265</v>
      </c>
    </row>
    <row r="2355" spans="1:4" x14ac:dyDescent="0.3">
      <c r="A2355" t="s">
        <v>36</v>
      </c>
      <c r="B2355" t="s">
        <v>197</v>
      </c>
      <c r="C2355" t="s">
        <v>24</v>
      </c>
      <c r="D2355" t="s">
        <v>1262</v>
      </c>
    </row>
    <row r="2356" spans="1:4" x14ac:dyDescent="0.3">
      <c r="A2356" t="s">
        <v>25</v>
      </c>
      <c r="B2356" t="s">
        <v>198</v>
      </c>
      <c r="C2356">
        <v>104</v>
      </c>
      <c r="D2356" t="s">
        <v>192</v>
      </c>
    </row>
    <row r="2357" spans="1:4" x14ac:dyDescent="0.3">
      <c r="A2357" t="s">
        <v>25</v>
      </c>
      <c r="B2357" t="s">
        <v>199</v>
      </c>
      <c r="C2357">
        <v>310</v>
      </c>
      <c r="D2357" t="s">
        <v>192</v>
      </c>
    </row>
    <row r="2358" spans="1:4" x14ac:dyDescent="0.3">
      <c r="A2358" t="s">
        <v>26</v>
      </c>
      <c r="B2358" t="s">
        <v>198</v>
      </c>
      <c r="C2358">
        <v>41</v>
      </c>
      <c r="D2358" t="s">
        <v>192</v>
      </c>
    </row>
    <row r="2359" spans="1:4" x14ac:dyDescent="0.3">
      <c r="A2359" t="s">
        <v>26</v>
      </c>
      <c r="B2359" t="s">
        <v>199</v>
      </c>
      <c r="C2359">
        <v>436</v>
      </c>
      <c r="D2359" t="s">
        <v>192</v>
      </c>
    </row>
    <row r="2360" spans="1:4" x14ac:dyDescent="0.3">
      <c r="A2360" t="s">
        <v>29</v>
      </c>
      <c r="B2360" t="s">
        <v>198</v>
      </c>
      <c r="C2360">
        <v>170</v>
      </c>
      <c r="D2360" t="s">
        <v>192</v>
      </c>
    </row>
    <row r="2361" spans="1:4" x14ac:dyDescent="0.3">
      <c r="A2361" t="s">
        <v>29</v>
      </c>
      <c r="B2361" t="s">
        <v>199</v>
      </c>
      <c r="C2361">
        <v>360</v>
      </c>
      <c r="D2361" t="s">
        <v>192</v>
      </c>
    </row>
    <row r="2362" spans="1:4" x14ac:dyDescent="0.3">
      <c r="A2362" t="s">
        <v>28</v>
      </c>
      <c r="B2362" t="s">
        <v>198</v>
      </c>
      <c r="C2362">
        <v>70</v>
      </c>
      <c r="D2362" t="s">
        <v>192</v>
      </c>
    </row>
    <row r="2363" spans="1:4" x14ac:dyDescent="0.3">
      <c r="A2363" t="s">
        <v>28</v>
      </c>
      <c r="B2363" t="s">
        <v>199</v>
      </c>
      <c r="C2363">
        <v>247</v>
      </c>
      <c r="D2363" t="s">
        <v>192</v>
      </c>
    </row>
    <row r="2364" spans="1:4" x14ac:dyDescent="0.3">
      <c r="A2364" t="s">
        <v>27</v>
      </c>
      <c r="B2364" t="s">
        <v>198</v>
      </c>
      <c r="C2364">
        <v>136</v>
      </c>
      <c r="D2364" t="s">
        <v>192</v>
      </c>
    </row>
    <row r="2365" spans="1:4" x14ac:dyDescent="0.3">
      <c r="A2365" t="s">
        <v>27</v>
      </c>
      <c r="B2365" t="s">
        <v>199</v>
      </c>
      <c r="C2365">
        <v>164</v>
      </c>
      <c r="D2365" t="s">
        <v>192</v>
      </c>
    </row>
    <row r="2366" spans="1:4" x14ac:dyDescent="0.3">
      <c r="A2366" t="s">
        <v>41</v>
      </c>
      <c r="B2366" t="s">
        <v>198</v>
      </c>
      <c r="C2366">
        <v>521</v>
      </c>
      <c r="D2366" t="s">
        <v>192</v>
      </c>
    </row>
    <row r="2367" spans="1:4" x14ac:dyDescent="0.3">
      <c r="A2367" t="s">
        <v>41</v>
      </c>
      <c r="B2367" t="s">
        <v>199</v>
      </c>
      <c r="C2367">
        <v>1517</v>
      </c>
      <c r="D2367" t="s">
        <v>192</v>
      </c>
    </row>
    <row r="2369" spans="1:13" x14ac:dyDescent="0.3">
      <c r="A2369" t="s">
        <v>1266</v>
      </c>
    </row>
    <row r="2370" spans="1:13" x14ac:dyDescent="0.3">
      <c r="A2370" t="s">
        <v>36</v>
      </c>
      <c r="B2370" t="s">
        <v>24</v>
      </c>
      <c r="C2370" t="s">
        <v>1267</v>
      </c>
      <c r="D2370" t="s">
        <v>1268</v>
      </c>
      <c r="E2370" t="s">
        <v>1269</v>
      </c>
      <c r="F2370" t="s">
        <v>1270</v>
      </c>
      <c r="G2370" t="s">
        <v>1271</v>
      </c>
      <c r="H2370" t="s">
        <v>1272</v>
      </c>
      <c r="I2370" t="s">
        <v>1273</v>
      </c>
      <c r="J2370" t="s">
        <v>1274</v>
      </c>
      <c r="K2370" t="s">
        <v>1275</v>
      </c>
      <c r="L2370" t="s">
        <v>1276</v>
      </c>
    </row>
    <row r="2371" spans="1:13" x14ac:dyDescent="0.3">
      <c r="A2371" t="s">
        <v>25</v>
      </c>
      <c r="B2371">
        <v>414</v>
      </c>
      <c r="C2371" t="s">
        <v>122</v>
      </c>
      <c r="D2371" t="s">
        <v>377</v>
      </c>
      <c r="E2371" t="s">
        <v>532</v>
      </c>
      <c r="F2371" t="s">
        <v>110</v>
      </c>
      <c r="G2371" t="s">
        <v>345</v>
      </c>
      <c r="H2371" t="s">
        <v>108</v>
      </c>
      <c r="I2371" t="s">
        <v>531</v>
      </c>
      <c r="J2371" t="s">
        <v>66</v>
      </c>
      <c r="K2371" t="s">
        <v>152</v>
      </c>
      <c r="L2371" t="s">
        <v>103</v>
      </c>
    </row>
    <row r="2372" spans="1:13" x14ac:dyDescent="0.3">
      <c r="A2372" t="s">
        <v>26</v>
      </c>
      <c r="B2372">
        <v>477</v>
      </c>
      <c r="C2372" t="s">
        <v>97</v>
      </c>
      <c r="D2372" t="s">
        <v>51</v>
      </c>
      <c r="E2372" t="s">
        <v>105</v>
      </c>
      <c r="F2372" t="s">
        <v>239</v>
      </c>
      <c r="G2372" t="s">
        <v>239</v>
      </c>
      <c r="H2372" t="s">
        <v>813</v>
      </c>
      <c r="I2372" t="s">
        <v>257</v>
      </c>
      <c r="J2372" t="s">
        <v>103</v>
      </c>
      <c r="K2372" t="s">
        <v>278</v>
      </c>
      <c r="L2372" t="s">
        <v>122</v>
      </c>
    </row>
    <row r="2373" spans="1:13" x14ac:dyDescent="0.3">
      <c r="A2373" t="s">
        <v>29</v>
      </c>
      <c r="B2373">
        <v>530</v>
      </c>
      <c r="C2373" t="s">
        <v>66</v>
      </c>
      <c r="D2373" t="s">
        <v>225</v>
      </c>
      <c r="E2373" t="s">
        <v>281</v>
      </c>
      <c r="F2373" t="s">
        <v>66</v>
      </c>
      <c r="G2373" t="s">
        <v>217</v>
      </c>
      <c r="H2373" t="s">
        <v>707</v>
      </c>
      <c r="I2373" t="s">
        <v>101</v>
      </c>
      <c r="J2373" t="s">
        <v>98</v>
      </c>
      <c r="K2373" t="s">
        <v>130</v>
      </c>
      <c r="L2373" t="s">
        <v>91</v>
      </c>
    </row>
    <row r="2374" spans="1:13" x14ac:dyDescent="0.3">
      <c r="A2374" t="s">
        <v>28</v>
      </c>
      <c r="B2374">
        <v>317</v>
      </c>
      <c r="C2374" t="s">
        <v>103</v>
      </c>
      <c r="D2374" t="s">
        <v>1212</v>
      </c>
      <c r="E2374" t="s">
        <v>105</v>
      </c>
      <c r="F2374" t="s">
        <v>64</v>
      </c>
      <c r="G2374" t="s">
        <v>555</v>
      </c>
      <c r="H2374" t="s">
        <v>136</v>
      </c>
      <c r="I2374" t="s">
        <v>175</v>
      </c>
      <c r="J2374" t="s">
        <v>118</v>
      </c>
      <c r="K2374" t="s">
        <v>571</v>
      </c>
      <c r="L2374" t="s">
        <v>103</v>
      </c>
    </row>
    <row r="2375" spans="1:13" x14ac:dyDescent="0.3">
      <c r="A2375" t="s">
        <v>27</v>
      </c>
      <c r="B2375">
        <v>300</v>
      </c>
      <c r="C2375" t="s">
        <v>103</v>
      </c>
      <c r="D2375" t="s">
        <v>654</v>
      </c>
      <c r="E2375" t="s">
        <v>114</v>
      </c>
      <c r="F2375" t="s">
        <v>103</v>
      </c>
      <c r="G2375" t="s">
        <v>95</v>
      </c>
      <c r="H2375" t="s">
        <v>298</v>
      </c>
      <c r="I2375" t="s">
        <v>214</v>
      </c>
      <c r="J2375" t="s">
        <v>103</v>
      </c>
      <c r="K2375" t="s">
        <v>101</v>
      </c>
      <c r="L2375" t="s">
        <v>116</v>
      </c>
    </row>
    <row r="2376" spans="1:13" x14ac:dyDescent="0.3">
      <c r="A2376" t="s">
        <v>41</v>
      </c>
      <c r="B2376">
        <v>2038</v>
      </c>
      <c r="C2376" t="s">
        <v>116</v>
      </c>
      <c r="D2376" t="s">
        <v>942</v>
      </c>
      <c r="E2376" t="s">
        <v>591</v>
      </c>
      <c r="F2376" t="s">
        <v>98</v>
      </c>
      <c r="G2376" t="s">
        <v>266</v>
      </c>
      <c r="H2376" t="s">
        <v>486</v>
      </c>
      <c r="I2376" t="s">
        <v>206</v>
      </c>
      <c r="J2376" t="s">
        <v>120</v>
      </c>
      <c r="K2376" t="s">
        <v>543</v>
      </c>
      <c r="L2376" t="s">
        <v>66</v>
      </c>
    </row>
    <row r="2378" spans="1:13" x14ac:dyDescent="0.3">
      <c r="A2378" t="s">
        <v>1277</v>
      </c>
    </row>
    <row r="2379" spans="1:13" x14ac:dyDescent="0.3">
      <c r="A2379" t="s">
        <v>36</v>
      </c>
      <c r="B2379" t="s">
        <v>307</v>
      </c>
      <c r="C2379" t="s">
        <v>24</v>
      </c>
      <c r="D2379" t="s">
        <v>1268</v>
      </c>
      <c r="E2379" t="s">
        <v>1269</v>
      </c>
      <c r="F2379" t="s">
        <v>1270</v>
      </c>
      <c r="G2379" t="s">
        <v>1271</v>
      </c>
      <c r="H2379" t="s">
        <v>1272</v>
      </c>
      <c r="I2379" t="s">
        <v>1273</v>
      </c>
      <c r="J2379" t="s">
        <v>1275</v>
      </c>
      <c r="K2379" t="s">
        <v>1267</v>
      </c>
      <c r="L2379" t="s">
        <v>1274</v>
      </c>
      <c r="M2379" t="s">
        <v>1276</v>
      </c>
    </row>
    <row r="2380" spans="1:13" x14ac:dyDescent="0.3">
      <c r="A2380" t="s">
        <v>25</v>
      </c>
      <c r="B2380" t="s">
        <v>291</v>
      </c>
      <c r="C2380">
        <v>156</v>
      </c>
      <c r="D2380" t="s">
        <v>1013</v>
      </c>
      <c r="E2380" t="s">
        <v>493</v>
      </c>
      <c r="F2380" t="s">
        <v>93</v>
      </c>
      <c r="G2380" t="s">
        <v>120</v>
      </c>
      <c r="H2380" t="s">
        <v>32</v>
      </c>
      <c r="I2380" t="s">
        <v>70</v>
      </c>
      <c r="J2380" t="s">
        <v>601</v>
      </c>
      <c r="K2380" t="s">
        <v>103</v>
      </c>
      <c r="L2380" t="s">
        <v>103</v>
      </c>
      <c r="M2380" t="s">
        <v>103</v>
      </c>
    </row>
    <row r="2381" spans="1:13" x14ac:dyDescent="0.3">
      <c r="A2381" t="s">
        <v>25</v>
      </c>
      <c r="B2381" t="s">
        <v>292</v>
      </c>
      <c r="C2381">
        <v>254</v>
      </c>
      <c r="D2381" t="s">
        <v>372</v>
      </c>
      <c r="E2381" t="s">
        <v>284</v>
      </c>
      <c r="F2381" t="s">
        <v>98</v>
      </c>
      <c r="G2381" t="s">
        <v>194</v>
      </c>
      <c r="H2381" t="s">
        <v>652</v>
      </c>
      <c r="I2381" t="s">
        <v>190</v>
      </c>
      <c r="J2381" t="s">
        <v>519</v>
      </c>
      <c r="K2381" t="s">
        <v>120</v>
      </c>
      <c r="L2381" t="s">
        <v>122</v>
      </c>
      <c r="M2381" t="s">
        <v>103</v>
      </c>
    </row>
    <row r="2382" spans="1:13" x14ac:dyDescent="0.3">
      <c r="A2382" t="s">
        <v>25</v>
      </c>
      <c r="B2382" t="s">
        <v>308</v>
      </c>
      <c r="C2382">
        <v>4</v>
      </c>
      <c r="D2382" t="s">
        <v>240</v>
      </c>
      <c r="E2382" t="s">
        <v>103</v>
      </c>
      <c r="F2382" t="s">
        <v>103</v>
      </c>
      <c r="G2382" t="s">
        <v>103</v>
      </c>
      <c r="H2382" t="s">
        <v>103</v>
      </c>
      <c r="I2382" t="s">
        <v>103</v>
      </c>
      <c r="J2382" t="s">
        <v>693</v>
      </c>
      <c r="K2382" t="s">
        <v>103</v>
      </c>
      <c r="L2382" t="s">
        <v>103</v>
      </c>
      <c r="M2382" t="s">
        <v>103</v>
      </c>
    </row>
    <row r="2383" spans="1:13" x14ac:dyDescent="0.3">
      <c r="A2383" t="s">
        <v>26</v>
      </c>
      <c r="B2383" t="s">
        <v>291</v>
      </c>
      <c r="C2383">
        <v>122</v>
      </c>
      <c r="D2383" t="s">
        <v>437</v>
      </c>
      <c r="E2383" t="s">
        <v>139</v>
      </c>
      <c r="F2383" t="s">
        <v>272</v>
      </c>
      <c r="G2383" t="s">
        <v>239</v>
      </c>
      <c r="H2383" t="s">
        <v>517</v>
      </c>
      <c r="I2383" t="s">
        <v>266</v>
      </c>
      <c r="J2383" t="s">
        <v>118</v>
      </c>
      <c r="K2383" t="s">
        <v>66</v>
      </c>
      <c r="L2383" t="s">
        <v>66</v>
      </c>
      <c r="M2383" t="s">
        <v>103</v>
      </c>
    </row>
    <row r="2384" spans="1:13" x14ac:dyDescent="0.3">
      <c r="A2384" t="s">
        <v>26</v>
      </c>
      <c r="B2384" t="s">
        <v>292</v>
      </c>
      <c r="C2384">
        <v>352</v>
      </c>
      <c r="D2384" t="s">
        <v>1244</v>
      </c>
      <c r="E2384" t="s">
        <v>93</v>
      </c>
      <c r="F2384" t="s">
        <v>282</v>
      </c>
      <c r="G2384" t="s">
        <v>239</v>
      </c>
      <c r="H2384" t="s">
        <v>488</v>
      </c>
      <c r="I2384" t="s">
        <v>257</v>
      </c>
      <c r="J2384" t="s">
        <v>531</v>
      </c>
      <c r="K2384" t="s">
        <v>120</v>
      </c>
      <c r="L2384" t="s">
        <v>103</v>
      </c>
      <c r="M2384" t="s">
        <v>120</v>
      </c>
    </row>
    <row r="2385" spans="1:13" x14ac:dyDescent="0.3">
      <c r="A2385" t="s">
        <v>26</v>
      </c>
      <c r="B2385" t="s">
        <v>308</v>
      </c>
      <c r="C2385">
        <v>3</v>
      </c>
      <c r="D2385" t="s">
        <v>192</v>
      </c>
      <c r="E2385" t="s">
        <v>103</v>
      </c>
      <c r="F2385" t="s">
        <v>103</v>
      </c>
      <c r="G2385" t="s">
        <v>103</v>
      </c>
      <c r="H2385" t="s">
        <v>103</v>
      </c>
      <c r="I2385" t="s">
        <v>103</v>
      </c>
      <c r="J2385" t="s">
        <v>103</v>
      </c>
      <c r="K2385" t="s">
        <v>103</v>
      </c>
      <c r="L2385" t="s">
        <v>103</v>
      </c>
      <c r="M2385" t="s">
        <v>103</v>
      </c>
    </row>
    <row r="2386" spans="1:13" x14ac:dyDescent="0.3">
      <c r="A2386" t="s">
        <v>29</v>
      </c>
      <c r="B2386" t="s">
        <v>291</v>
      </c>
      <c r="C2386">
        <v>205</v>
      </c>
      <c r="D2386" t="s">
        <v>424</v>
      </c>
      <c r="E2386" t="s">
        <v>32</v>
      </c>
      <c r="F2386" t="s">
        <v>97</v>
      </c>
      <c r="G2386" t="s">
        <v>105</v>
      </c>
      <c r="H2386" t="s">
        <v>754</v>
      </c>
      <c r="I2386" t="s">
        <v>101</v>
      </c>
      <c r="J2386" t="s">
        <v>463</v>
      </c>
      <c r="K2386" t="s">
        <v>120</v>
      </c>
      <c r="L2386" t="s">
        <v>122</v>
      </c>
      <c r="M2386" t="s">
        <v>66</v>
      </c>
    </row>
    <row r="2387" spans="1:13" x14ac:dyDescent="0.3">
      <c r="A2387" t="s">
        <v>29</v>
      </c>
      <c r="B2387" t="s">
        <v>292</v>
      </c>
      <c r="C2387">
        <v>325</v>
      </c>
      <c r="D2387" t="s">
        <v>386</v>
      </c>
      <c r="E2387" t="s">
        <v>133</v>
      </c>
      <c r="F2387" t="s">
        <v>103</v>
      </c>
      <c r="G2387" t="s">
        <v>68</v>
      </c>
      <c r="H2387" t="s">
        <v>732</v>
      </c>
      <c r="I2387" t="s">
        <v>101</v>
      </c>
      <c r="J2387" t="s">
        <v>171</v>
      </c>
      <c r="K2387" t="s">
        <v>103</v>
      </c>
      <c r="L2387" t="s">
        <v>468</v>
      </c>
      <c r="M2387" t="s">
        <v>103</v>
      </c>
    </row>
    <row r="2388" spans="1:13" x14ac:dyDescent="0.3">
      <c r="A2388" t="s">
        <v>28</v>
      </c>
      <c r="B2388" t="s">
        <v>291</v>
      </c>
      <c r="C2388">
        <v>114</v>
      </c>
      <c r="D2388" t="s">
        <v>391</v>
      </c>
      <c r="E2388" t="s">
        <v>105</v>
      </c>
      <c r="F2388" t="s">
        <v>217</v>
      </c>
      <c r="G2388" t="s">
        <v>524</v>
      </c>
      <c r="H2388" t="s">
        <v>169</v>
      </c>
      <c r="I2388" t="s">
        <v>254</v>
      </c>
      <c r="J2388" t="s">
        <v>150</v>
      </c>
      <c r="K2388" t="s">
        <v>103</v>
      </c>
      <c r="L2388" t="s">
        <v>188</v>
      </c>
      <c r="M2388" t="s">
        <v>103</v>
      </c>
    </row>
    <row r="2389" spans="1:13" x14ac:dyDescent="0.3">
      <c r="A2389" t="s">
        <v>28</v>
      </c>
      <c r="B2389" t="s">
        <v>292</v>
      </c>
      <c r="C2389">
        <v>191</v>
      </c>
      <c r="D2389" t="s">
        <v>573</v>
      </c>
      <c r="E2389" t="s">
        <v>208</v>
      </c>
      <c r="F2389" t="s">
        <v>266</v>
      </c>
      <c r="G2389" t="s">
        <v>644</v>
      </c>
      <c r="H2389" t="s">
        <v>459</v>
      </c>
      <c r="I2389" t="s">
        <v>807</v>
      </c>
      <c r="J2389" t="s">
        <v>32</v>
      </c>
      <c r="K2389" t="s">
        <v>103</v>
      </c>
      <c r="L2389" t="s">
        <v>216</v>
      </c>
      <c r="M2389" t="s">
        <v>103</v>
      </c>
    </row>
    <row r="2390" spans="1:13" x14ac:dyDescent="0.3">
      <c r="A2390" t="s">
        <v>28</v>
      </c>
      <c r="B2390" t="s">
        <v>308</v>
      </c>
      <c r="C2390">
        <v>12</v>
      </c>
      <c r="D2390" t="s">
        <v>1050</v>
      </c>
      <c r="E2390" t="s">
        <v>103</v>
      </c>
      <c r="F2390" t="s">
        <v>466</v>
      </c>
      <c r="G2390" t="s">
        <v>124</v>
      </c>
      <c r="H2390" t="s">
        <v>1093</v>
      </c>
      <c r="I2390" t="s">
        <v>543</v>
      </c>
      <c r="J2390" t="s">
        <v>809</v>
      </c>
      <c r="K2390" t="s">
        <v>103</v>
      </c>
      <c r="L2390" t="s">
        <v>103</v>
      </c>
      <c r="M2390" t="s">
        <v>103</v>
      </c>
    </row>
    <row r="2391" spans="1:13" x14ac:dyDescent="0.3">
      <c r="A2391" t="s">
        <v>27</v>
      </c>
      <c r="B2391" t="s">
        <v>291</v>
      </c>
      <c r="C2391">
        <v>95</v>
      </c>
      <c r="D2391" t="s">
        <v>503</v>
      </c>
      <c r="E2391" t="s">
        <v>467</v>
      </c>
      <c r="F2391" t="s">
        <v>103</v>
      </c>
      <c r="G2391" t="s">
        <v>103</v>
      </c>
      <c r="H2391" t="s">
        <v>430</v>
      </c>
      <c r="I2391" t="s">
        <v>60</v>
      </c>
      <c r="J2391" t="s">
        <v>345</v>
      </c>
      <c r="K2391" t="s">
        <v>103</v>
      </c>
      <c r="L2391" t="s">
        <v>103</v>
      </c>
      <c r="M2391" t="s">
        <v>468</v>
      </c>
    </row>
    <row r="2392" spans="1:13" x14ac:dyDescent="0.3">
      <c r="A2392" t="s">
        <v>27</v>
      </c>
      <c r="B2392" t="s">
        <v>292</v>
      </c>
      <c r="C2392">
        <v>198</v>
      </c>
      <c r="D2392" t="s">
        <v>526</v>
      </c>
      <c r="E2392" t="s">
        <v>107</v>
      </c>
      <c r="F2392" t="s">
        <v>103</v>
      </c>
      <c r="G2392" t="s">
        <v>282</v>
      </c>
      <c r="H2392" t="s">
        <v>1221</v>
      </c>
      <c r="I2392" t="s">
        <v>114</v>
      </c>
      <c r="J2392" t="s">
        <v>191</v>
      </c>
      <c r="K2392" t="s">
        <v>103</v>
      </c>
      <c r="L2392" t="s">
        <v>103</v>
      </c>
      <c r="M2392" t="s">
        <v>103</v>
      </c>
    </row>
    <row r="2393" spans="1:13" x14ac:dyDescent="0.3">
      <c r="A2393" t="s">
        <v>27</v>
      </c>
      <c r="B2393" t="s">
        <v>308</v>
      </c>
      <c r="C2393">
        <v>7</v>
      </c>
      <c r="D2393" t="s">
        <v>131</v>
      </c>
      <c r="E2393" t="s">
        <v>103</v>
      </c>
      <c r="F2393" t="s">
        <v>103</v>
      </c>
      <c r="G2393" t="s">
        <v>103</v>
      </c>
      <c r="H2393" t="s">
        <v>984</v>
      </c>
      <c r="I2393" t="s">
        <v>103</v>
      </c>
      <c r="J2393" t="s">
        <v>103</v>
      </c>
      <c r="K2393" t="s">
        <v>103</v>
      </c>
      <c r="L2393" t="s">
        <v>103</v>
      </c>
      <c r="M2393" t="s">
        <v>103</v>
      </c>
    </row>
    <row r="2394" spans="1:13" x14ac:dyDescent="0.3">
      <c r="A2394" t="s">
        <v>41</v>
      </c>
      <c r="B2394" t="s">
        <v>291</v>
      </c>
      <c r="C2394">
        <v>692</v>
      </c>
      <c r="D2394" t="s">
        <v>1278</v>
      </c>
      <c r="E2394" t="s">
        <v>125</v>
      </c>
      <c r="F2394" t="s">
        <v>110</v>
      </c>
      <c r="G2394" t="s">
        <v>329</v>
      </c>
      <c r="H2394" t="s">
        <v>142</v>
      </c>
      <c r="I2394" t="s">
        <v>452</v>
      </c>
      <c r="J2394" t="s">
        <v>601</v>
      </c>
      <c r="K2394" t="s">
        <v>122</v>
      </c>
      <c r="L2394" t="s">
        <v>122</v>
      </c>
      <c r="M2394" t="s">
        <v>66</v>
      </c>
    </row>
    <row r="2395" spans="1:13" x14ac:dyDescent="0.3">
      <c r="A2395" t="s">
        <v>41</v>
      </c>
      <c r="B2395" t="s">
        <v>292</v>
      </c>
      <c r="C2395">
        <v>1320</v>
      </c>
      <c r="D2395" t="s">
        <v>1279</v>
      </c>
      <c r="E2395" t="s">
        <v>107</v>
      </c>
      <c r="F2395" t="s">
        <v>120</v>
      </c>
      <c r="G2395" t="s">
        <v>68</v>
      </c>
      <c r="H2395" t="s">
        <v>579</v>
      </c>
      <c r="I2395" t="s">
        <v>206</v>
      </c>
      <c r="J2395" t="s">
        <v>119</v>
      </c>
      <c r="K2395" t="s">
        <v>116</v>
      </c>
      <c r="L2395" t="s">
        <v>95</v>
      </c>
      <c r="M2395" t="s">
        <v>66</v>
      </c>
    </row>
    <row r="2396" spans="1:13" x14ac:dyDescent="0.3">
      <c r="A2396" t="s">
        <v>41</v>
      </c>
      <c r="B2396" t="s">
        <v>308</v>
      </c>
      <c r="C2396">
        <v>26</v>
      </c>
      <c r="D2396" t="s">
        <v>690</v>
      </c>
      <c r="E2396" t="s">
        <v>103</v>
      </c>
      <c r="F2396" t="s">
        <v>105</v>
      </c>
      <c r="G2396" t="s">
        <v>329</v>
      </c>
      <c r="H2396" t="s">
        <v>539</v>
      </c>
      <c r="I2396" t="s">
        <v>270</v>
      </c>
      <c r="J2396" t="s">
        <v>94</v>
      </c>
      <c r="K2396" t="s">
        <v>103</v>
      </c>
      <c r="L2396" t="s">
        <v>103</v>
      </c>
      <c r="M2396" t="s">
        <v>103</v>
      </c>
    </row>
    <row r="2398" spans="1:13" x14ac:dyDescent="0.3">
      <c r="A2398" t="s">
        <v>1280</v>
      </c>
    </row>
    <row r="2399" spans="1:13" x14ac:dyDescent="0.3">
      <c r="A2399" t="s">
        <v>36</v>
      </c>
      <c r="B2399" t="s">
        <v>310</v>
      </c>
      <c r="C2399" t="s">
        <v>24</v>
      </c>
      <c r="D2399" t="s">
        <v>1267</v>
      </c>
      <c r="E2399" t="s">
        <v>1268</v>
      </c>
      <c r="F2399" t="s">
        <v>1269</v>
      </c>
      <c r="G2399" t="s">
        <v>1270</v>
      </c>
      <c r="H2399" t="s">
        <v>1271</v>
      </c>
      <c r="I2399" t="s">
        <v>1272</v>
      </c>
      <c r="J2399" t="s">
        <v>1273</v>
      </c>
      <c r="K2399" t="s">
        <v>1274</v>
      </c>
      <c r="L2399" t="s">
        <v>1275</v>
      </c>
      <c r="M2399" t="s">
        <v>1276</v>
      </c>
    </row>
    <row r="2400" spans="1:13" x14ac:dyDescent="0.3">
      <c r="A2400" t="s">
        <v>25</v>
      </c>
      <c r="B2400" t="s">
        <v>311</v>
      </c>
      <c r="C2400">
        <v>324</v>
      </c>
      <c r="D2400" t="s">
        <v>97</v>
      </c>
      <c r="E2400" t="s">
        <v>831</v>
      </c>
      <c r="F2400" t="s">
        <v>284</v>
      </c>
      <c r="G2400" t="s">
        <v>239</v>
      </c>
      <c r="H2400" t="s">
        <v>98</v>
      </c>
      <c r="I2400" t="s">
        <v>571</v>
      </c>
      <c r="J2400" t="s">
        <v>232</v>
      </c>
      <c r="K2400" t="s">
        <v>116</v>
      </c>
      <c r="L2400" t="s">
        <v>136</v>
      </c>
      <c r="M2400" t="s">
        <v>103</v>
      </c>
    </row>
    <row r="2401" spans="1:13" x14ac:dyDescent="0.3">
      <c r="A2401" t="s">
        <v>25</v>
      </c>
      <c r="B2401" t="s">
        <v>312</v>
      </c>
      <c r="C2401">
        <v>80</v>
      </c>
      <c r="D2401" t="s">
        <v>103</v>
      </c>
      <c r="E2401" t="s">
        <v>892</v>
      </c>
      <c r="F2401" t="s">
        <v>195</v>
      </c>
      <c r="G2401" t="s">
        <v>110</v>
      </c>
      <c r="H2401" t="s">
        <v>341</v>
      </c>
      <c r="I2401" t="s">
        <v>662</v>
      </c>
      <c r="J2401" t="s">
        <v>737</v>
      </c>
      <c r="K2401" t="s">
        <v>103</v>
      </c>
      <c r="L2401" t="s">
        <v>469</v>
      </c>
      <c r="M2401" t="s">
        <v>103</v>
      </c>
    </row>
    <row r="2402" spans="1:13" x14ac:dyDescent="0.3">
      <c r="A2402" t="s">
        <v>25</v>
      </c>
      <c r="B2402" t="s">
        <v>308</v>
      </c>
      <c r="C2402">
        <v>10</v>
      </c>
      <c r="D2402" t="s">
        <v>103</v>
      </c>
      <c r="E2402" t="s">
        <v>414</v>
      </c>
      <c r="F2402" t="s">
        <v>103</v>
      </c>
      <c r="G2402" t="s">
        <v>103</v>
      </c>
      <c r="H2402" t="s">
        <v>103</v>
      </c>
      <c r="I2402" t="s">
        <v>649</v>
      </c>
      <c r="J2402" t="s">
        <v>103</v>
      </c>
      <c r="K2402" t="s">
        <v>103</v>
      </c>
      <c r="L2402" t="s">
        <v>458</v>
      </c>
      <c r="M2402" t="s">
        <v>103</v>
      </c>
    </row>
    <row r="2403" spans="1:13" x14ac:dyDescent="0.3">
      <c r="A2403" t="s">
        <v>26</v>
      </c>
      <c r="B2403" t="s">
        <v>311</v>
      </c>
      <c r="C2403">
        <v>343</v>
      </c>
      <c r="D2403" t="s">
        <v>122</v>
      </c>
      <c r="E2403" t="s">
        <v>1281</v>
      </c>
      <c r="F2403" t="s">
        <v>105</v>
      </c>
      <c r="G2403" t="s">
        <v>245</v>
      </c>
      <c r="H2403" t="s">
        <v>105</v>
      </c>
      <c r="I2403" t="s">
        <v>544</v>
      </c>
      <c r="J2403" t="s">
        <v>110</v>
      </c>
      <c r="K2403" t="s">
        <v>103</v>
      </c>
      <c r="L2403" t="s">
        <v>232</v>
      </c>
      <c r="M2403" t="s">
        <v>120</v>
      </c>
    </row>
    <row r="2404" spans="1:13" x14ac:dyDescent="0.3">
      <c r="A2404" t="s">
        <v>26</v>
      </c>
      <c r="B2404" t="s">
        <v>312</v>
      </c>
      <c r="C2404">
        <v>96</v>
      </c>
      <c r="D2404" t="s">
        <v>468</v>
      </c>
      <c r="E2404" t="s">
        <v>1282</v>
      </c>
      <c r="F2404" t="s">
        <v>194</v>
      </c>
      <c r="G2404" t="s">
        <v>103</v>
      </c>
      <c r="H2404" t="s">
        <v>103</v>
      </c>
      <c r="I2404" t="s">
        <v>150</v>
      </c>
      <c r="J2404" t="s">
        <v>101</v>
      </c>
      <c r="K2404" t="s">
        <v>66</v>
      </c>
      <c r="L2404" t="s">
        <v>493</v>
      </c>
      <c r="M2404" t="s">
        <v>103</v>
      </c>
    </row>
    <row r="2405" spans="1:13" x14ac:dyDescent="0.3">
      <c r="A2405" t="s">
        <v>26</v>
      </c>
      <c r="B2405" t="s">
        <v>308</v>
      </c>
      <c r="C2405">
        <v>38</v>
      </c>
      <c r="D2405" t="s">
        <v>103</v>
      </c>
      <c r="E2405" t="s">
        <v>1283</v>
      </c>
      <c r="F2405" t="s">
        <v>64</v>
      </c>
      <c r="G2405" t="s">
        <v>195</v>
      </c>
      <c r="H2405" t="s">
        <v>128</v>
      </c>
      <c r="I2405" t="s">
        <v>479</v>
      </c>
      <c r="J2405" t="s">
        <v>217</v>
      </c>
      <c r="K2405" t="s">
        <v>103</v>
      </c>
      <c r="L2405" t="s">
        <v>118</v>
      </c>
      <c r="M2405" t="s">
        <v>103</v>
      </c>
    </row>
    <row r="2406" spans="1:13" x14ac:dyDescent="0.3">
      <c r="A2406" t="s">
        <v>29</v>
      </c>
      <c r="B2406" t="s">
        <v>311</v>
      </c>
      <c r="C2406">
        <v>414</v>
      </c>
      <c r="D2406" t="s">
        <v>116</v>
      </c>
      <c r="E2406" t="s">
        <v>1284</v>
      </c>
      <c r="F2406" t="s">
        <v>558</v>
      </c>
      <c r="G2406" t="s">
        <v>103</v>
      </c>
      <c r="H2406" t="s">
        <v>195</v>
      </c>
      <c r="I2406" t="s">
        <v>1083</v>
      </c>
      <c r="J2406" t="s">
        <v>251</v>
      </c>
      <c r="K2406" t="s">
        <v>345</v>
      </c>
      <c r="L2406" t="s">
        <v>148</v>
      </c>
      <c r="M2406" t="s">
        <v>91</v>
      </c>
    </row>
    <row r="2407" spans="1:13" x14ac:dyDescent="0.3">
      <c r="A2407" t="s">
        <v>29</v>
      </c>
      <c r="B2407" t="s">
        <v>312</v>
      </c>
      <c r="C2407">
        <v>103</v>
      </c>
      <c r="D2407" t="s">
        <v>103</v>
      </c>
      <c r="E2407" t="s">
        <v>798</v>
      </c>
      <c r="F2407" t="s">
        <v>125</v>
      </c>
      <c r="G2407" t="s">
        <v>282</v>
      </c>
      <c r="H2407" t="s">
        <v>345</v>
      </c>
      <c r="I2407" t="s">
        <v>557</v>
      </c>
      <c r="J2407" t="s">
        <v>511</v>
      </c>
      <c r="K2407" t="s">
        <v>103</v>
      </c>
      <c r="L2407" t="s">
        <v>244</v>
      </c>
      <c r="M2407" t="s">
        <v>103</v>
      </c>
    </row>
    <row r="2408" spans="1:13" x14ac:dyDescent="0.3">
      <c r="A2408" t="s">
        <v>29</v>
      </c>
      <c r="B2408" t="s">
        <v>308</v>
      </c>
      <c r="C2408">
        <v>13</v>
      </c>
      <c r="D2408" t="s">
        <v>103</v>
      </c>
      <c r="E2408" t="s">
        <v>1212</v>
      </c>
      <c r="F2408" t="s">
        <v>103</v>
      </c>
      <c r="G2408" t="s">
        <v>103</v>
      </c>
      <c r="H2408" t="s">
        <v>103</v>
      </c>
      <c r="I2408" t="s">
        <v>1198</v>
      </c>
      <c r="J2408" t="s">
        <v>820</v>
      </c>
      <c r="K2408" t="s">
        <v>103</v>
      </c>
      <c r="L2408" t="s">
        <v>925</v>
      </c>
      <c r="M2408" t="s">
        <v>103</v>
      </c>
    </row>
    <row r="2409" spans="1:13" x14ac:dyDescent="0.3">
      <c r="A2409" t="s">
        <v>28</v>
      </c>
      <c r="B2409" t="s">
        <v>311</v>
      </c>
      <c r="C2409">
        <v>223</v>
      </c>
      <c r="D2409" t="s">
        <v>103</v>
      </c>
      <c r="E2409" t="s">
        <v>432</v>
      </c>
      <c r="F2409" t="s">
        <v>93</v>
      </c>
      <c r="G2409" t="s">
        <v>68</v>
      </c>
      <c r="H2409" t="s">
        <v>473</v>
      </c>
      <c r="I2409" t="s">
        <v>115</v>
      </c>
      <c r="J2409" t="s">
        <v>463</v>
      </c>
      <c r="K2409" t="s">
        <v>282</v>
      </c>
      <c r="L2409" t="s">
        <v>494</v>
      </c>
      <c r="M2409" t="s">
        <v>103</v>
      </c>
    </row>
    <row r="2410" spans="1:13" x14ac:dyDescent="0.3">
      <c r="A2410" t="s">
        <v>28</v>
      </c>
      <c r="B2410" t="s">
        <v>312</v>
      </c>
      <c r="C2410">
        <v>93</v>
      </c>
      <c r="D2410" t="s">
        <v>103</v>
      </c>
      <c r="E2410" t="s">
        <v>698</v>
      </c>
      <c r="F2410" t="s">
        <v>98</v>
      </c>
      <c r="G2410" t="s">
        <v>245</v>
      </c>
      <c r="H2410" t="s">
        <v>691</v>
      </c>
      <c r="I2410" t="s">
        <v>206</v>
      </c>
      <c r="J2410" t="s">
        <v>56</v>
      </c>
      <c r="K2410" t="s">
        <v>466</v>
      </c>
      <c r="L2410" t="s">
        <v>463</v>
      </c>
      <c r="M2410" t="s">
        <v>103</v>
      </c>
    </row>
    <row r="2411" spans="1:13" x14ac:dyDescent="0.3">
      <c r="A2411" t="s">
        <v>28</v>
      </c>
      <c r="B2411" t="s">
        <v>308</v>
      </c>
      <c r="C2411">
        <v>1</v>
      </c>
      <c r="D2411" t="s">
        <v>103</v>
      </c>
      <c r="E2411" t="s">
        <v>192</v>
      </c>
      <c r="F2411" t="s">
        <v>103</v>
      </c>
      <c r="G2411" t="s">
        <v>103</v>
      </c>
      <c r="H2411" t="s">
        <v>103</v>
      </c>
      <c r="I2411" t="s">
        <v>103</v>
      </c>
      <c r="J2411" t="s">
        <v>103</v>
      </c>
      <c r="K2411" t="s">
        <v>103</v>
      </c>
      <c r="L2411" t="s">
        <v>103</v>
      </c>
      <c r="M2411" t="s">
        <v>103</v>
      </c>
    </row>
    <row r="2412" spans="1:13" x14ac:dyDescent="0.3">
      <c r="A2412" t="s">
        <v>27</v>
      </c>
      <c r="B2412" t="s">
        <v>311</v>
      </c>
      <c r="C2412">
        <v>237</v>
      </c>
      <c r="D2412" t="s">
        <v>103</v>
      </c>
      <c r="E2412" t="s">
        <v>707</v>
      </c>
      <c r="F2412" t="s">
        <v>113</v>
      </c>
      <c r="G2412" t="s">
        <v>103</v>
      </c>
      <c r="H2412" t="s">
        <v>139</v>
      </c>
      <c r="I2412" t="s">
        <v>1245</v>
      </c>
      <c r="J2412" t="s">
        <v>70</v>
      </c>
      <c r="K2412" t="s">
        <v>103</v>
      </c>
      <c r="L2412" t="s">
        <v>532</v>
      </c>
      <c r="M2412" t="s">
        <v>122</v>
      </c>
    </row>
    <row r="2413" spans="1:13" x14ac:dyDescent="0.3">
      <c r="A2413" t="s">
        <v>27</v>
      </c>
      <c r="B2413" t="s">
        <v>312</v>
      </c>
      <c r="C2413">
        <v>60</v>
      </c>
      <c r="D2413" t="s">
        <v>103</v>
      </c>
      <c r="E2413" t="s">
        <v>547</v>
      </c>
      <c r="F2413" t="s">
        <v>105</v>
      </c>
      <c r="G2413" t="s">
        <v>103</v>
      </c>
      <c r="H2413" t="s">
        <v>103</v>
      </c>
      <c r="I2413" t="s">
        <v>1032</v>
      </c>
      <c r="J2413" t="s">
        <v>329</v>
      </c>
      <c r="K2413" t="s">
        <v>103</v>
      </c>
      <c r="L2413" t="s">
        <v>681</v>
      </c>
      <c r="M2413" t="s">
        <v>103</v>
      </c>
    </row>
    <row r="2414" spans="1:13" x14ac:dyDescent="0.3">
      <c r="A2414" t="s">
        <v>27</v>
      </c>
      <c r="B2414" t="s">
        <v>308</v>
      </c>
      <c r="C2414">
        <v>3</v>
      </c>
      <c r="D2414" t="s">
        <v>103</v>
      </c>
      <c r="E2414" t="s">
        <v>943</v>
      </c>
      <c r="F2414" t="s">
        <v>103</v>
      </c>
      <c r="G2414" t="s">
        <v>103</v>
      </c>
      <c r="H2414" t="s">
        <v>103</v>
      </c>
      <c r="I2414" t="s">
        <v>527</v>
      </c>
      <c r="J2414" t="s">
        <v>103</v>
      </c>
      <c r="K2414" t="s">
        <v>103</v>
      </c>
      <c r="L2414" t="s">
        <v>103</v>
      </c>
      <c r="M2414" t="s">
        <v>103</v>
      </c>
    </row>
    <row r="2415" spans="1:13" x14ac:dyDescent="0.3">
      <c r="A2415" t="s">
        <v>41</v>
      </c>
      <c r="B2415" t="s">
        <v>311</v>
      </c>
      <c r="C2415">
        <v>1541</v>
      </c>
      <c r="D2415" t="s">
        <v>116</v>
      </c>
      <c r="E2415" t="s">
        <v>1053</v>
      </c>
      <c r="F2415" t="s">
        <v>201</v>
      </c>
      <c r="G2415" t="s">
        <v>139</v>
      </c>
      <c r="H2415" t="s">
        <v>270</v>
      </c>
      <c r="I2415" t="s">
        <v>579</v>
      </c>
      <c r="J2415" t="s">
        <v>133</v>
      </c>
      <c r="K2415" t="s">
        <v>120</v>
      </c>
      <c r="L2415" t="s">
        <v>62</v>
      </c>
      <c r="M2415" t="s">
        <v>66</v>
      </c>
    </row>
    <row r="2416" spans="1:13" x14ac:dyDescent="0.3">
      <c r="A2416" t="s">
        <v>41</v>
      </c>
      <c r="B2416" t="s">
        <v>312</v>
      </c>
      <c r="C2416">
        <v>432</v>
      </c>
      <c r="D2416" t="s">
        <v>116</v>
      </c>
      <c r="E2416" t="s">
        <v>1002</v>
      </c>
      <c r="F2416" t="s">
        <v>266</v>
      </c>
      <c r="G2416" t="s">
        <v>98</v>
      </c>
      <c r="H2416" t="s">
        <v>257</v>
      </c>
      <c r="I2416" t="s">
        <v>474</v>
      </c>
      <c r="J2416" t="s">
        <v>126</v>
      </c>
      <c r="K2416" t="s">
        <v>97</v>
      </c>
      <c r="L2416" t="s">
        <v>136</v>
      </c>
      <c r="M2416" t="s">
        <v>103</v>
      </c>
    </row>
    <row r="2417" spans="1:13" x14ac:dyDescent="0.3">
      <c r="A2417" t="s">
        <v>41</v>
      </c>
      <c r="B2417" t="s">
        <v>308</v>
      </c>
      <c r="C2417">
        <v>65</v>
      </c>
      <c r="D2417" t="s">
        <v>103</v>
      </c>
      <c r="E2417" t="s">
        <v>795</v>
      </c>
      <c r="F2417" t="s">
        <v>239</v>
      </c>
      <c r="G2417" t="s">
        <v>245</v>
      </c>
      <c r="H2417" t="s">
        <v>194</v>
      </c>
      <c r="I2417" t="s">
        <v>56</v>
      </c>
      <c r="J2417" t="s">
        <v>108</v>
      </c>
      <c r="K2417" t="s">
        <v>103</v>
      </c>
      <c r="L2417" t="s">
        <v>169</v>
      </c>
      <c r="M2417" t="s">
        <v>103</v>
      </c>
    </row>
    <row r="2419" spans="1:13" x14ac:dyDescent="0.3">
      <c r="A2419" t="s">
        <v>1285</v>
      </c>
    </row>
    <row r="2420" spans="1:13" x14ac:dyDescent="0.3">
      <c r="A2420" t="s">
        <v>36</v>
      </c>
      <c r="B2420" t="s">
        <v>197</v>
      </c>
      <c r="C2420" t="s">
        <v>24</v>
      </c>
      <c r="D2420" t="s">
        <v>1268</v>
      </c>
      <c r="E2420" t="s">
        <v>1269</v>
      </c>
      <c r="F2420" t="s">
        <v>1270</v>
      </c>
      <c r="G2420" t="s">
        <v>1271</v>
      </c>
      <c r="H2420" t="s">
        <v>1272</v>
      </c>
      <c r="I2420" t="s">
        <v>1273</v>
      </c>
      <c r="J2420" t="s">
        <v>1275</v>
      </c>
      <c r="K2420" t="s">
        <v>1267</v>
      </c>
      <c r="L2420" t="s">
        <v>1274</v>
      </c>
      <c r="M2420" t="s">
        <v>1276</v>
      </c>
    </row>
    <row r="2421" spans="1:13" x14ac:dyDescent="0.3">
      <c r="A2421" t="s">
        <v>25</v>
      </c>
      <c r="B2421" t="s">
        <v>198</v>
      </c>
      <c r="C2421">
        <v>104</v>
      </c>
      <c r="D2421" t="s">
        <v>474</v>
      </c>
      <c r="E2421" t="s">
        <v>102</v>
      </c>
      <c r="F2421" t="s">
        <v>591</v>
      </c>
      <c r="G2421" t="s">
        <v>468</v>
      </c>
      <c r="H2421" t="s">
        <v>684</v>
      </c>
      <c r="I2421" t="s">
        <v>130</v>
      </c>
      <c r="J2421" t="s">
        <v>619</v>
      </c>
      <c r="K2421" t="s">
        <v>103</v>
      </c>
      <c r="L2421" t="s">
        <v>103</v>
      </c>
      <c r="M2421" t="s">
        <v>103</v>
      </c>
    </row>
    <row r="2422" spans="1:13" x14ac:dyDescent="0.3">
      <c r="A2422" t="s">
        <v>25</v>
      </c>
      <c r="B2422" t="s">
        <v>199</v>
      </c>
      <c r="C2422">
        <v>310</v>
      </c>
      <c r="D2422" t="s">
        <v>884</v>
      </c>
      <c r="E2422" t="s">
        <v>214</v>
      </c>
      <c r="F2422" t="s">
        <v>95</v>
      </c>
      <c r="G2422" t="s">
        <v>282</v>
      </c>
      <c r="H2422" t="s">
        <v>68</v>
      </c>
      <c r="I2422" t="s">
        <v>113</v>
      </c>
      <c r="J2422" t="s">
        <v>594</v>
      </c>
      <c r="K2422" t="s">
        <v>97</v>
      </c>
      <c r="L2422" t="s">
        <v>116</v>
      </c>
      <c r="M2422" t="s">
        <v>103</v>
      </c>
    </row>
    <row r="2423" spans="1:13" x14ac:dyDescent="0.3">
      <c r="A2423" t="s">
        <v>26</v>
      </c>
      <c r="B2423" t="s">
        <v>198</v>
      </c>
      <c r="C2423">
        <v>41</v>
      </c>
      <c r="D2423" t="s">
        <v>541</v>
      </c>
      <c r="E2423" t="s">
        <v>511</v>
      </c>
      <c r="F2423" t="s">
        <v>737</v>
      </c>
      <c r="G2423" t="s">
        <v>95</v>
      </c>
      <c r="H2423" t="s">
        <v>511</v>
      </c>
      <c r="I2423" t="s">
        <v>137</v>
      </c>
      <c r="J2423" t="s">
        <v>754</v>
      </c>
      <c r="K2423" t="s">
        <v>254</v>
      </c>
      <c r="L2423" t="s">
        <v>95</v>
      </c>
      <c r="M2423" t="s">
        <v>118</v>
      </c>
    </row>
    <row r="2424" spans="1:13" x14ac:dyDescent="0.3">
      <c r="A2424" t="s">
        <v>26</v>
      </c>
      <c r="B2424" t="s">
        <v>199</v>
      </c>
      <c r="C2424">
        <v>436</v>
      </c>
      <c r="D2424" t="s">
        <v>1012</v>
      </c>
      <c r="E2424" t="s">
        <v>239</v>
      </c>
      <c r="F2424" t="s">
        <v>345</v>
      </c>
      <c r="G2424" t="s">
        <v>239</v>
      </c>
      <c r="H2424" t="s">
        <v>150</v>
      </c>
      <c r="I2424" t="s">
        <v>93</v>
      </c>
      <c r="J2424" t="s">
        <v>186</v>
      </c>
      <c r="K2424" t="s">
        <v>103</v>
      </c>
      <c r="L2424" t="s">
        <v>103</v>
      </c>
      <c r="M2424" t="s">
        <v>116</v>
      </c>
    </row>
    <row r="2425" spans="1:13" x14ac:dyDescent="0.3">
      <c r="A2425" t="s">
        <v>29</v>
      </c>
      <c r="B2425" t="s">
        <v>198</v>
      </c>
      <c r="C2425">
        <v>170</v>
      </c>
      <c r="D2425" t="s">
        <v>569</v>
      </c>
      <c r="E2425" t="s">
        <v>133</v>
      </c>
      <c r="F2425" t="s">
        <v>103</v>
      </c>
      <c r="G2425" t="s">
        <v>208</v>
      </c>
      <c r="H2425" t="s">
        <v>554</v>
      </c>
      <c r="I2425" t="s">
        <v>652</v>
      </c>
      <c r="J2425" t="s">
        <v>1224</v>
      </c>
      <c r="K2425" t="s">
        <v>103</v>
      </c>
      <c r="L2425" t="s">
        <v>239</v>
      </c>
      <c r="M2425" t="s">
        <v>116</v>
      </c>
    </row>
    <row r="2426" spans="1:13" x14ac:dyDescent="0.3">
      <c r="A2426" t="s">
        <v>29</v>
      </c>
      <c r="B2426" t="s">
        <v>199</v>
      </c>
      <c r="C2426">
        <v>360</v>
      </c>
      <c r="D2426" t="s">
        <v>1221</v>
      </c>
      <c r="E2426" t="s">
        <v>278</v>
      </c>
      <c r="F2426" t="s">
        <v>116</v>
      </c>
      <c r="G2426" t="s">
        <v>64</v>
      </c>
      <c r="H2426" t="s">
        <v>927</v>
      </c>
      <c r="I2426" t="s">
        <v>662</v>
      </c>
      <c r="J2426" t="s">
        <v>266</v>
      </c>
      <c r="K2426" t="s">
        <v>122</v>
      </c>
      <c r="L2426" t="s">
        <v>120</v>
      </c>
      <c r="M2426" t="s">
        <v>103</v>
      </c>
    </row>
    <row r="2427" spans="1:13" x14ac:dyDescent="0.3">
      <c r="A2427" t="s">
        <v>28</v>
      </c>
      <c r="B2427" t="s">
        <v>198</v>
      </c>
      <c r="C2427">
        <v>70</v>
      </c>
      <c r="D2427" t="s">
        <v>604</v>
      </c>
      <c r="E2427" t="s">
        <v>107</v>
      </c>
      <c r="F2427" t="s">
        <v>460</v>
      </c>
      <c r="G2427" t="s">
        <v>103</v>
      </c>
      <c r="H2427" t="s">
        <v>601</v>
      </c>
      <c r="I2427" t="s">
        <v>568</v>
      </c>
      <c r="J2427" t="s">
        <v>295</v>
      </c>
      <c r="K2427" t="s">
        <v>103</v>
      </c>
      <c r="L2427" t="s">
        <v>103</v>
      </c>
      <c r="M2427" t="s">
        <v>103</v>
      </c>
    </row>
    <row r="2428" spans="1:13" x14ac:dyDescent="0.3">
      <c r="A2428" t="s">
        <v>28</v>
      </c>
      <c r="B2428" t="s">
        <v>199</v>
      </c>
      <c r="C2428">
        <v>247</v>
      </c>
      <c r="D2428" t="s">
        <v>1055</v>
      </c>
      <c r="E2428" t="s">
        <v>345</v>
      </c>
      <c r="F2428" t="s">
        <v>194</v>
      </c>
      <c r="G2428" t="s">
        <v>484</v>
      </c>
      <c r="H2428" t="s">
        <v>157</v>
      </c>
      <c r="I2428" t="s">
        <v>136</v>
      </c>
      <c r="J2428" t="s">
        <v>270</v>
      </c>
      <c r="K2428" t="s">
        <v>103</v>
      </c>
      <c r="L2428" t="s">
        <v>68</v>
      </c>
      <c r="M2428" t="s">
        <v>103</v>
      </c>
    </row>
    <row r="2429" spans="1:13" x14ac:dyDescent="0.3">
      <c r="A2429" t="s">
        <v>27</v>
      </c>
      <c r="B2429" t="s">
        <v>198</v>
      </c>
      <c r="C2429">
        <v>136</v>
      </c>
      <c r="D2429" t="s">
        <v>511</v>
      </c>
      <c r="E2429" t="s">
        <v>278</v>
      </c>
      <c r="F2429" t="s">
        <v>103</v>
      </c>
      <c r="G2429" t="s">
        <v>95</v>
      </c>
      <c r="H2429" t="s">
        <v>806</v>
      </c>
      <c r="I2429" t="s">
        <v>194</v>
      </c>
      <c r="J2429" t="s">
        <v>278</v>
      </c>
      <c r="K2429" t="s">
        <v>103</v>
      </c>
      <c r="L2429" t="s">
        <v>103</v>
      </c>
      <c r="M2429" t="s">
        <v>103</v>
      </c>
    </row>
    <row r="2430" spans="1:13" x14ac:dyDescent="0.3">
      <c r="A2430" t="s">
        <v>27</v>
      </c>
      <c r="B2430" t="s">
        <v>199</v>
      </c>
      <c r="C2430">
        <v>164</v>
      </c>
      <c r="D2430" t="s">
        <v>464</v>
      </c>
      <c r="E2430" t="s">
        <v>266</v>
      </c>
      <c r="F2430" t="s">
        <v>103</v>
      </c>
      <c r="G2430" t="s">
        <v>120</v>
      </c>
      <c r="H2430" t="s">
        <v>1054</v>
      </c>
      <c r="I2430" t="s">
        <v>108</v>
      </c>
      <c r="J2430" t="s">
        <v>262</v>
      </c>
      <c r="K2430" t="s">
        <v>103</v>
      </c>
      <c r="L2430" t="s">
        <v>103</v>
      </c>
      <c r="M2430" t="s">
        <v>95</v>
      </c>
    </row>
    <row r="2431" spans="1:13" x14ac:dyDescent="0.3">
      <c r="A2431" t="s">
        <v>41</v>
      </c>
      <c r="B2431" t="s">
        <v>198</v>
      </c>
      <c r="C2431">
        <v>521</v>
      </c>
      <c r="D2431" t="s">
        <v>900</v>
      </c>
      <c r="E2431" t="s">
        <v>284</v>
      </c>
      <c r="F2431" t="s">
        <v>239</v>
      </c>
      <c r="G2431" t="s">
        <v>216</v>
      </c>
      <c r="H2431" t="s">
        <v>1082</v>
      </c>
      <c r="I2431" t="s">
        <v>146</v>
      </c>
      <c r="J2431" t="s">
        <v>674</v>
      </c>
      <c r="K2431" t="s">
        <v>97</v>
      </c>
      <c r="L2431" t="s">
        <v>282</v>
      </c>
      <c r="M2431" t="s">
        <v>116</v>
      </c>
    </row>
    <row r="2432" spans="1:13" x14ac:dyDescent="0.3">
      <c r="A2432" t="s">
        <v>41</v>
      </c>
      <c r="B2432" t="s">
        <v>199</v>
      </c>
      <c r="C2432">
        <v>1517</v>
      </c>
      <c r="D2432" t="s">
        <v>926</v>
      </c>
      <c r="E2432" t="s">
        <v>493</v>
      </c>
      <c r="F2432" t="s">
        <v>95</v>
      </c>
      <c r="G2432" t="s">
        <v>68</v>
      </c>
      <c r="H2432" t="s">
        <v>469</v>
      </c>
      <c r="I2432" t="s">
        <v>214</v>
      </c>
      <c r="J2432" t="s">
        <v>591</v>
      </c>
      <c r="K2432" t="s">
        <v>66</v>
      </c>
      <c r="L2432" t="s">
        <v>97</v>
      </c>
      <c r="M2432" t="s">
        <v>91</v>
      </c>
    </row>
    <row r="2434" spans="1:13" x14ac:dyDescent="0.3">
      <c r="A2434" t="s">
        <v>1286</v>
      </c>
    </row>
    <row r="2435" spans="1:13" x14ac:dyDescent="0.3">
      <c r="A2435" t="s">
        <v>36</v>
      </c>
      <c r="B2435" t="s">
        <v>210</v>
      </c>
      <c r="C2435" t="s">
        <v>24</v>
      </c>
      <c r="D2435" t="s">
        <v>1267</v>
      </c>
      <c r="E2435" t="s">
        <v>1268</v>
      </c>
      <c r="F2435" t="s">
        <v>1269</v>
      </c>
      <c r="G2435" t="s">
        <v>1270</v>
      </c>
      <c r="H2435" t="s">
        <v>1271</v>
      </c>
      <c r="I2435" t="s">
        <v>1272</v>
      </c>
      <c r="J2435" t="s">
        <v>1273</v>
      </c>
      <c r="K2435" t="s">
        <v>1274</v>
      </c>
      <c r="L2435" t="s">
        <v>1275</v>
      </c>
      <c r="M2435" t="s">
        <v>1276</v>
      </c>
    </row>
    <row r="2436" spans="1:13" x14ac:dyDescent="0.3">
      <c r="A2436" t="s">
        <v>25</v>
      </c>
      <c r="B2436" t="s">
        <v>211</v>
      </c>
      <c r="C2436">
        <v>414</v>
      </c>
      <c r="D2436" t="s">
        <v>122</v>
      </c>
      <c r="E2436" t="s">
        <v>377</v>
      </c>
      <c r="F2436" t="s">
        <v>532</v>
      </c>
      <c r="G2436" t="s">
        <v>110</v>
      </c>
      <c r="H2436" t="s">
        <v>345</v>
      </c>
      <c r="I2436" t="s">
        <v>108</v>
      </c>
      <c r="J2436" t="s">
        <v>531</v>
      </c>
      <c r="K2436" t="s">
        <v>66</v>
      </c>
      <c r="L2436" t="s">
        <v>152</v>
      </c>
      <c r="M2436" t="s">
        <v>103</v>
      </c>
    </row>
    <row r="2437" spans="1:13" x14ac:dyDescent="0.3">
      <c r="A2437" t="s">
        <v>26</v>
      </c>
      <c r="B2437" t="s">
        <v>211</v>
      </c>
      <c r="C2437">
        <v>223</v>
      </c>
      <c r="D2437" t="s">
        <v>103</v>
      </c>
      <c r="E2437" t="s">
        <v>364</v>
      </c>
      <c r="F2437" t="s">
        <v>438</v>
      </c>
      <c r="G2437" t="s">
        <v>120</v>
      </c>
      <c r="H2437" t="s">
        <v>139</v>
      </c>
      <c r="I2437" t="s">
        <v>30</v>
      </c>
      <c r="J2437" t="s">
        <v>532</v>
      </c>
      <c r="K2437" t="s">
        <v>103</v>
      </c>
      <c r="L2437" t="s">
        <v>60</v>
      </c>
      <c r="M2437" t="s">
        <v>103</v>
      </c>
    </row>
    <row r="2438" spans="1:13" x14ac:dyDescent="0.3">
      <c r="A2438" t="s">
        <v>26</v>
      </c>
      <c r="B2438" t="s">
        <v>212</v>
      </c>
      <c r="C2438">
        <v>254</v>
      </c>
      <c r="D2438" t="s">
        <v>98</v>
      </c>
      <c r="E2438" t="s">
        <v>274</v>
      </c>
      <c r="F2438" t="s">
        <v>122</v>
      </c>
      <c r="G2438" t="s">
        <v>118</v>
      </c>
      <c r="H2438" t="s">
        <v>329</v>
      </c>
      <c r="I2438" t="s">
        <v>511</v>
      </c>
      <c r="J2438" t="s">
        <v>95</v>
      </c>
      <c r="K2438" t="s">
        <v>91</v>
      </c>
      <c r="L2438" t="s">
        <v>467</v>
      </c>
      <c r="M2438" t="s">
        <v>139</v>
      </c>
    </row>
    <row r="2439" spans="1:13" x14ac:dyDescent="0.3">
      <c r="A2439" t="s">
        <v>29</v>
      </c>
      <c r="B2439" t="s">
        <v>211</v>
      </c>
      <c r="C2439">
        <v>530</v>
      </c>
      <c r="D2439" t="s">
        <v>66</v>
      </c>
      <c r="E2439" t="s">
        <v>225</v>
      </c>
      <c r="F2439" t="s">
        <v>281</v>
      </c>
      <c r="G2439" t="s">
        <v>66</v>
      </c>
      <c r="H2439" t="s">
        <v>217</v>
      </c>
      <c r="I2439" t="s">
        <v>707</v>
      </c>
      <c r="J2439" t="s">
        <v>101</v>
      </c>
      <c r="K2439" t="s">
        <v>98</v>
      </c>
      <c r="L2439" t="s">
        <v>130</v>
      </c>
      <c r="M2439" t="s">
        <v>91</v>
      </c>
    </row>
    <row r="2440" spans="1:13" x14ac:dyDescent="0.3">
      <c r="A2440" t="s">
        <v>28</v>
      </c>
      <c r="B2440" t="s">
        <v>211</v>
      </c>
      <c r="C2440">
        <v>277</v>
      </c>
      <c r="D2440" t="s">
        <v>103</v>
      </c>
      <c r="E2440" t="s">
        <v>399</v>
      </c>
      <c r="F2440" t="s">
        <v>208</v>
      </c>
      <c r="G2440" t="s">
        <v>68</v>
      </c>
      <c r="H2440" t="s">
        <v>517</v>
      </c>
      <c r="I2440" t="s">
        <v>918</v>
      </c>
      <c r="J2440" t="s">
        <v>518</v>
      </c>
      <c r="K2440" t="s">
        <v>266</v>
      </c>
      <c r="L2440" t="s">
        <v>482</v>
      </c>
      <c r="M2440" t="s">
        <v>103</v>
      </c>
    </row>
    <row r="2441" spans="1:13" x14ac:dyDescent="0.3">
      <c r="A2441" t="s">
        <v>28</v>
      </c>
      <c r="B2441" t="s">
        <v>212</v>
      </c>
      <c r="C2441">
        <v>40</v>
      </c>
      <c r="D2441" t="s">
        <v>103</v>
      </c>
      <c r="E2441" t="s">
        <v>127</v>
      </c>
      <c r="F2441" t="s">
        <v>103</v>
      </c>
      <c r="G2441" t="s">
        <v>103</v>
      </c>
      <c r="H2441" t="s">
        <v>63</v>
      </c>
      <c r="I2441" t="s">
        <v>103</v>
      </c>
      <c r="J2441" t="s">
        <v>103</v>
      </c>
      <c r="K2441" t="s">
        <v>103</v>
      </c>
      <c r="L2441" t="s">
        <v>217</v>
      </c>
      <c r="M2441" t="s">
        <v>103</v>
      </c>
    </row>
    <row r="2442" spans="1:13" x14ac:dyDescent="0.3">
      <c r="A2442" t="s">
        <v>27</v>
      </c>
      <c r="B2442" t="s">
        <v>211</v>
      </c>
      <c r="C2442">
        <v>270</v>
      </c>
      <c r="D2442" t="s">
        <v>103</v>
      </c>
      <c r="E2442" t="s">
        <v>264</v>
      </c>
      <c r="F2442" t="s">
        <v>186</v>
      </c>
      <c r="G2442" t="s">
        <v>103</v>
      </c>
      <c r="H2442" t="s">
        <v>95</v>
      </c>
      <c r="I2442" t="s">
        <v>502</v>
      </c>
      <c r="J2442" t="s">
        <v>284</v>
      </c>
      <c r="K2442" t="s">
        <v>103</v>
      </c>
      <c r="L2442" t="s">
        <v>186</v>
      </c>
      <c r="M2442" t="s">
        <v>122</v>
      </c>
    </row>
    <row r="2443" spans="1:13" s="3" customFormat="1" x14ac:dyDescent="0.3">
      <c r="A2443" s="3" t="s">
        <v>27</v>
      </c>
      <c r="B2443" s="3" t="s">
        <v>212</v>
      </c>
      <c r="C2443" s="3">
        <v>30</v>
      </c>
      <c r="D2443" s="3" t="s">
        <v>103</v>
      </c>
      <c r="E2443" s="3" t="s">
        <v>509</v>
      </c>
      <c r="F2443" s="3" t="s">
        <v>103</v>
      </c>
      <c r="G2443" s="3" t="s">
        <v>103</v>
      </c>
      <c r="H2443" s="3" t="s">
        <v>103</v>
      </c>
      <c r="I2443" s="3" t="s">
        <v>103</v>
      </c>
      <c r="J2443" s="3" t="s">
        <v>103</v>
      </c>
      <c r="K2443" s="3" t="s">
        <v>103</v>
      </c>
      <c r="L2443" s="3" t="s">
        <v>1278</v>
      </c>
      <c r="M2443" s="3" t="s">
        <v>103</v>
      </c>
    </row>
    <row r="2444" spans="1:13" x14ac:dyDescent="0.3">
      <c r="A2444" t="s">
        <v>41</v>
      </c>
      <c r="B2444" t="s">
        <v>211</v>
      </c>
      <c r="C2444">
        <v>1714</v>
      </c>
      <c r="D2444" t="s">
        <v>66</v>
      </c>
      <c r="E2444" t="s">
        <v>1096</v>
      </c>
      <c r="F2444" t="s">
        <v>615</v>
      </c>
      <c r="G2444" t="s">
        <v>95</v>
      </c>
      <c r="H2444" t="s">
        <v>128</v>
      </c>
      <c r="I2444" t="s">
        <v>672</v>
      </c>
      <c r="J2444" t="s">
        <v>190</v>
      </c>
      <c r="K2444" t="s">
        <v>95</v>
      </c>
      <c r="L2444" t="s">
        <v>104</v>
      </c>
      <c r="M2444" t="s">
        <v>91</v>
      </c>
    </row>
    <row r="2445" spans="1:13" x14ac:dyDescent="0.3">
      <c r="A2445" t="s">
        <v>41</v>
      </c>
      <c r="B2445" t="s">
        <v>212</v>
      </c>
      <c r="C2445">
        <v>324</v>
      </c>
      <c r="D2445" t="s">
        <v>98</v>
      </c>
      <c r="E2445" t="s">
        <v>227</v>
      </c>
      <c r="F2445" t="s">
        <v>122</v>
      </c>
      <c r="G2445" t="s">
        <v>128</v>
      </c>
      <c r="H2445" t="s">
        <v>70</v>
      </c>
      <c r="I2445" t="s">
        <v>251</v>
      </c>
      <c r="J2445" t="s">
        <v>95</v>
      </c>
      <c r="K2445" t="s">
        <v>91</v>
      </c>
      <c r="L2445" t="s">
        <v>113</v>
      </c>
      <c r="M2445" t="s">
        <v>139</v>
      </c>
    </row>
    <row r="2447" spans="1:13" x14ac:dyDescent="0.3">
      <c r="A2447" t="s">
        <v>1287</v>
      </c>
    </row>
    <row r="2448" spans="1:13" x14ac:dyDescent="0.3">
      <c r="A2448" t="s">
        <v>36</v>
      </c>
      <c r="B2448" t="s">
        <v>1288</v>
      </c>
      <c r="C2448" t="s">
        <v>24</v>
      </c>
      <c r="D2448" t="s">
        <v>1268</v>
      </c>
      <c r="E2448" t="s">
        <v>1270</v>
      </c>
      <c r="F2448" t="s">
        <v>1272</v>
      </c>
      <c r="G2448" t="s">
        <v>1273</v>
      </c>
      <c r="H2448" t="s">
        <v>1275</v>
      </c>
      <c r="I2448" t="s">
        <v>1267</v>
      </c>
      <c r="J2448" t="s">
        <v>1269</v>
      </c>
      <c r="K2448" t="s">
        <v>1271</v>
      </c>
      <c r="L2448" t="s">
        <v>1274</v>
      </c>
      <c r="M2448" t="s">
        <v>1276</v>
      </c>
    </row>
    <row r="2449" spans="1:13" s="3" customFormat="1" x14ac:dyDescent="0.3">
      <c r="A2449" s="3" t="s">
        <v>25</v>
      </c>
      <c r="B2449" s="3" t="s">
        <v>1289</v>
      </c>
      <c r="C2449" s="3">
        <v>11</v>
      </c>
      <c r="D2449" s="3" t="s">
        <v>798</v>
      </c>
      <c r="E2449" s="3" t="s">
        <v>228</v>
      </c>
      <c r="F2449" s="3" t="s">
        <v>652</v>
      </c>
      <c r="G2449" s="3" t="s">
        <v>591</v>
      </c>
      <c r="H2449" s="3" t="s">
        <v>687</v>
      </c>
      <c r="I2449" s="3" t="s">
        <v>103</v>
      </c>
      <c r="J2449" s="3" t="s">
        <v>103</v>
      </c>
      <c r="K2449" s="3" t="s">
        <v>103</v>
      </c>
      <c r="L2449" s="3" t="s">
        <v>103</v>
      </c>
      <c r="M2449" s="3" t="s">
        <v>103</v>
      </c>
    </row>
    <row r="2450" spans="1:13" x14ac:dyDescent="0.3">
      <c r="A2450" t="s">
        <v>25</v>
      </c>
      <c r="B2450" t="s">
        <v>1290</v>
      </c>
      <c r="C2450">
        <v>402</v>
      </c>
      <c r="D2450" t="s">
        <v>233</v>
      </c>
      <c r="E2450" t="s">
        <v>282</v>
      </c>
      <c r="F2450" t="s">
        <v>108</v>
      </c>
      <c r="G2450" t="s">
        <v>466</v>
      </c>
      <c r="H2450" t="s">
        <v>271</v>
      </c>
      <c r="I2450" t="s">
        <v>122</v>
      </c>
      <c r="J2450" t="s">
        <v>615</v>
      </c>
      <c r="K2450" t="s">
        <v>345</v>
      </c>
      <c r="L2450" t="s">
        <v>66</v>
      </c>
      <c r="M2450" t="s">
        <v>103</v>
      </c>
    </row>
    <row r="2451" spans="1:13" x14ac:dyDescent="0.3">
      <c r="A2451" t="s">
        <v>25</v>
      </c>
      <c r="B2451" t="s">
        <v>308</v>
      </c>
      <c r="C2451">
        <v>1</v>
      </c>
      <c r="D2451" t="s">
        <v>192</v>
      </c>
      <c r="E2451" t="s">
        <v>103</v>
      </c>
      <c r="F2451" t="s">
        <v>103</v>
      </c>
      <c r="G2451" t="s">
        <v>103</v>
      </c>
      <c r="H2451" t="s">
        <v>103</v>
      </c>
      <c r="I2451" t="s">
        <v>103</v>
      </c>
      <c r="J2451" t="s">
        <v>103</v>
      </c>
      <c r="K2451" t="s">
        <v>103</v>
      </c>
      <c r="L2451" t="s">
        <v>103</v>
      </c>
      <c r="M2451" t="s">
        <v>103</v>
      </c>
    </row>
    <row r="2452" spans="1:13" x14ac:dyDescent="0.3">
      <c r="A2452" t="s">
        <v>26</v>
      </c>
      <c r="B2452" t="s">
        <v>1289</v>
      </c>
      <c r="C2452">
        <v>100</v>
      </c>
      <c r="D2452" t="s">
        <v>45</v>
      </c>
      <c r="E2452" t="s">
        <v>493</v>
      </c>
      <c r="F2452" t="s">
        <v>126</v>
      </c>
      <c r="G2452" t="s">
        <v>103</v>
      </c>
      <c r="H2452" t="s">
        <v>195</v>
      </c>
      <c r="I2452" t="s">
        <v>345</v>
      </c>
      <c r="J2452" t="s">
        <v>122</v>
      </c>
      <c r="K2452" t="s">
        <v>139</v>
      </c>
      <c r="L2452" t="s">
        <v>103</v>
      </c>
      <c r="M2452" t="s">
        <v>120</v>
      </c>
    </row>
    <row r="2453" spans="1:13" x14ac:dyDescent="0.3">
      <c r="A2453" t="s">
        <v>26</v>
      </c>
      <c r="B2453" t="s">
        <v>1290</v>
      </c>
      <c r="C2453">
        <v>373</v>
      </c>
      <c r="D2453" t="s">
        <v>1291</v>
      </c>
      <c r="E2453" t="s">
        <v>98</v>
      </c>
      <c r="F2453" t="s">
        <v>495</v>
      </c>
      <c r="G2453" t="s">
        <v>467</v>
      </c>
      <c r="H2453" t="s">
        <v>232</v>
      </c>
      <c r="I2453" t="s">
        <v>116</v>
      </c>
      <c r="J2453" t="s">
        <v>128</v>
      </c>
      <c r="K2453" t="s">
        <v>245</v>
      </c>
      <c r="L2453" t="s">
        <v>103</v>
      </c>
      <c r="M2453" t="s">
        <v>122</v>
      </c>
    </row>
    <row r="2454" spans="1:13" x14ac:dyDescent="0.3">
      <c r="A2454" t="s">
        <v>26</v>
      </c>
      <c r="B2454" t="s">
        <v>308</v>
      </c>
      <c r="C2454">
        <v>4</v>
      </c>
      <c r="D2454" t="s">
        <v>192</v>
      </c>
      <c r="E2454" t="s">
        <v>103</v>
      </c>
      <c r="F2454" t="s">
        <v>103</v>
      </c>
      <c r="G2454" t="s">
        <v>103</v>
      </c>
      <c r="H2454" t="s">
        <v>103</v>
      </c>
      <c r="I2454" t="s">
        <v>103</v>
      </c>
      <c r="J2454" t="s">
        <v>103</v>
      </c>
      <c r="K2454" t="s">
        <v>103</v>
      </c>
      <c r="L2454" t="s">
        <v>103</v>
      </c>
      <c r="M2454" t="s">
        <v>103</v>
      </c>
    </row>
    <row r="2455" spans="1:13" x14ac:dyDescent="0.3">
      <c r="A2455" t="s">
        <v>29</v>
      </c>
      <c r="B2455" t="s">
        <v>1289</v>
      </c>
      <c r="C2455">
        <v>51</v>
      </c>
      <c r="D2455" t="s">
        <v>873</v>
      </c>
      <c r="E2455" t="s">
        <v>103</v>
      </c>
      <c r="F2455" t="s">
        <v>557</v>
      </c>
      <c r="G2455" t="s">
        <v>60</v>
      </c>
      <c r="H2455" t="s">
        <v>486</v>
      </c>
      <c r="I2455" t="s">
        <v>103</v>
      </c>
      <c r="J2455" t="s">
        <v>329</v>
      </c>
      <c r="K2455" t="s">
        <v>103</v>
      </c>
      <c r="L2455" t="s">
        <v>257</v>
      </c>
      <c r="M2455" t="s">
        <v>103</v>
      </c>
    </row>
    <row r="2456" spans="1:13" x14ac:dyDescent="0.3">
      <c r="A2456" t="s">
        <v>29</v>
      </c>
      <c r="B2456" t="s">
        <v>1290</v>
      </c>
      <c r="C2456">
        <v>463</v>
      </c>
      <c r="D2456" t="s">
        <v>425</v>
      </c>
      <c r="E2456" t="s">
        <v>66</v>
      </c>
      <c r="F2456" t="s">
        <v>264</v>
      </c>
      <c r="G2456" t="s">
        <v>511</v>
      </c>
      <c r="H2456" t="s">
        <v>700</v>
      </c>
      <c r="I2456" t="s">
        <v>116</v>
      </c>
      <c r="J2456" t="s">
        <v>112</v>
      </c>
      <c r="K2456" t="s">
        <v>270</v>
      </c>
      <c r="L2456" t="s">
        <v>95</v>
      </c>
      <c r="M2456" t="s">
        <v>91</v>
      </c>
    </row>
    <row r="2457" spans="1:13" x14ac:dyDescent="0.3">
      <c r="A2457" t="s">
        <v>29</v>
      </c>
      <c r="B2457" t="s">
        <v>308</v>
      </c>
      <c r="C2457">
        <v>16</v>
      </c>
      <c r="D2457" t="s">
        <v>109</v>
      </c>
      <c r="E2457" t="s">
        <v>103</v>
      </c>
      <c r="F2457" t="s">
        <v>1292</v>
      </c>
      <c r="G2457" t="s">
        <v>157</v>
      </c>
      <c r="H2457" t="s">
        <v>103</v>
      </c>
      <c r="I2457" t="s">
        <v>103</v>
      </c>
      <c r="J2457" t="s">
        <v>103</v>
      </c>
      <c r="K2457" t="s">
        <v>103</v>
      </c>
      <c r="L2457" t="s">
        <v>103</v>
      </c>
      <c r="M2457" t="s">
        <v>103</v>
      </c>
    </row>
    <row r="2458" spans="1:13" x14ac:dyDescent="0.3">
      <c r="A2458" t="s">
        <v>28</v>
      </c>
      <c r="B2458" t="s">
        <v>1289</v>
      </c>
      <c r="C2458">
        <v>43</v>
      </c>
      <c r="D2458" t="s">
        <v>702</v>
      </c>
      <c r="E2458" t="s">
        <v>123</v>
      </c>
      <c r="F2458" t="s">
        <v>581</v>
      </c>
      <c r="G2458" t="s">
        <v>549</v>
      </c>
      <c r="H2458" t="s">
        <v>123</v>
      </c>
      <c r="I2458" t="s">
        <v>103</v>
      </c>
      <c r="J2458" t="s">
        <v>493</v>
      </c>
      <c r="K2458" t="s">
        <v>101</v>
      </c>
      <c r="L2458" t="s">
        <v>115</v>
      </c>
      <c r="M2458" t="s">
        <v>103</v>
      </c>
    </row>
    <row r="2459" spans="1:13" x14ac:dyDescent="0.3">
      <c r="A2459" t="s">
        <v>28</v>
      </c>
      <c r="B2459" t="s">
        <v>1290</v>
      </c>
      <c r="C2459">
        <v>270</v>
      </c>
      <c r="D2459" t="s">
        <v>1293</v>
      </c>
      <c r="E2459" t="s">
        <v>239</v>
      </c>
      <c r="F2459" t="s">
        <v>549</v>
      </c>
      <c r="G2459" t="s">
        <v>750</v>
      </c>
      <c r="H2459" t="s">
        <v>90</v>
      </c>
      <c r="I2459" t="s">
        <v>103</v>
      </c>
      <c r="J2459" t="s">
        <v>216</v>
      </c>
      <c r="K2459" t="s">
        <v>927</v>
      </c>
      <c r="L2459" t="s">
        <v>95</v>
      </c>
      <c r="M2459" t="s">
        <v>103</v>
      </c>
    </row>
    <row r="2460" spans="1:13" x14ac:dyDescent="0.3">
      <c r="A2460" t="s">
        <v>28</v>
      </c>
      <c r="B2460" t="s">
        <v>308</v>
      </c>
      <c r="C2460">
        <v>4</v>
      </c>
      <c r="D2460" t="s">
        <v>1239</v>
      </c>
      <c r="E2460" t="s">
        <v>103</v>
      </c>
      <c r="F2460" t="s">
        <v>820</v>
      </c>
      <c r="G2460" t="s">
        <v>103</v>
      </c>
      <c r="H2460" t="s">
        <v>103</v>
      </c>
      <c r="I2460" t="s">
        <v>103</v>
      </c>
      <c r="J2460" t="s">
        <v>103</v>
      </c>
      <c r="K2460" t="s">
        <v>103</v>
      </c>
      <c r="L2460" t="s">
        <v>103</v>
      </c>
      <c r="M2460" t="s">
        <v>103</v>
      </c>
    </row>
    <row r="2461" spans="1:13" x14ac:dyDescent="0.3">
      <c r="A2461" t="s">
        <v>27</v>
      </c>
      <c r="B2461" t="s">
        <v>1289</v>
      </c>
      <c r="C2461">
        <v>80</v>
      </c>
      <c r="D2461" t="s">
        <v>750</v>
      </c>
      <c r="E2461" t="s">
        <v>103</v>
      </c>
      <c r="F2461" t="s">
        <v>821</v>
      </c>
      <c r="G2461" t="s">
        <v>206</v>
      </c>
      <c r="H2461" t="s">
        <v>105</v>
      </c>
      <c r="I2461" t="s">
        <v>103</v>
      </c>
      <c r="J2461" t="s">
        <v>467</v>
      </c>
      <c r="K2461" t="s">
        <v>345</v>
      </c>
      <c r="L2461" t="s">
        <v>103</v>
      </c>
      <c r="M2461" t="s">
        <v>468</v>
      </c>
    </row>
    <row r="2462" spans="1:13" x14ac:dyDescent="0.3">
      <c r="A2462" t="s">
        <v>27</v>
      </c>
      <c r="B2462" t="s">
        <v>1290</v>
      </c>
      <c r="C2462">
        <v>217</v>
      </c>
      <c r="D2462" t="s">
        <v>295</v>
      </c>
      <c r="E2462" t="s">
        <v>103</v>
      </c>
      <c r="F2462" t="s">
        <v>1294</v>
      </c>
      <c r="G2462" t="s">
        <v>113</v>
      </c>
      <c r="H2462" t="s">
        <v>247</v>
      </c>
      <c r="I2462" t="s">
        <v>103</v>
      </c>
      <c r="J2462" t="s">
        <v>186</v>
      </c>
      <c r="K2462" t="s">
        <v>97</v>
      </c>
      <c r="L2462" t="s">
        <v>103</v>
      </c>
      <c r="M2462" t="s">
        <v>103</v>
      </c>
    </row>
    <row r="2463" spans="1:13" x14ac:dyDescent="0.3">
      <c r="A2463" t="s">
        <v>27</v>
      </c>
      <c r="B2463" t="s">
        <v>308</v>
      </c>
      <c r="C2463">
        <v>3</v>
      </c>
      <c r="D2463" t="s">
        <v>104</v>
      </c>
      <c r="E2463" t="s">
        <v>103</v>
      </c>
      <c r="F2463" t="s">
        <v>215</v>
      </c>
      <c r="G2463" t="s">
        <v>103</v>
      </c>
      <c r="H2463" t="s">
        <v>103</v>
      </c>
      <c r="I2463" t="s">
        <v>103</v>
      </c>
      <c r="J2463" t="s">
        <v>103</v>
      </c>
      <c r="K2463" t="s">
        <v>103</v>
      </c>
      <c r="L2463" t="s">
        <v>103</v>
      </c>
      <c r="M2463" t="s">
        <v>103</v>
      </c>
    </row>
    <row r="2464" spans="1:13" x14ac:dyDescent="0.3">
      <c r="A2464" t="s">
        <v>41</v>
      </c>
      <c r="B2464" t="s">
        <v>1289</v>
      </c>
      <c r="C2464">
        <v>285</v>
      </c>
      <c r="D2464" t="s">
        <v>1068</v>
      </c>
      <c r="E2464" t="s">
        <v>195</v>
      </c>
      <c r="F2464" t="s">
        <v>789</v>
      </c>
      <c r="G2464" t="s">
        <v>493</v>
      </c>
      <c r="H2464" t="s">
        <v>254</v>
      </c>
      <c r="I2464" t="s">
        <v>97</v>
      </c>
      <c r="J2464" t="s">
        <v>239</v>
      </c>
      <c r="K2464" t="s">
        <v>98</v>
      </c>
      <c r="L2464" t="s">
        <v>216</v>
      </c>
      <c r="M2464" t="s">
        <v>122</v>
      </c>
    </row>
    <row r="2465" spans="1:13" x14ac:dyDescent="0.3">
      <c r="A2465" t="s">
        <v>41</v>
      </c>
      <c r="B2465" t="s">
        <v>1290</v>
      </c>
      <c r="C2465">
        <v>1725</v>
      </c>
      <c r="D2465" t="s">
        <v>1053</v>
      </c>
      <c r="E2465" t="s">
        <v>120</v>
      </c>
      <c r="F2465" t="s">
        <v>228</v>
      </c>
      <c r="G2465" t="s">
        <v>466</v>
      </c>
      <c r="H2465" t="s">
        <v>169</v>
      </c>
      <c r="I2465" t="s">
        <v>116</v>
      </c>
      <c r="J2465" t="s">
        <v>201</v>
      </c>
      <c r="K2465" t="s">
        <v>195</v>
      </c>
      <c r="L2465" t="s">
        <v>97</v>
      </c>
      <c r="M2465" t="s">
        <v>91</v>
      </c>
    </row>
    <row r="2466" spans="1:13" x14ac:dyDescent="0.3">
      <c r="A2466" t="s">
        <v>41</v>
      </c>
      <c r="B2466" t="s">
        <v>308</v>
      </c>
      <c r="C2466">
        <v>28</v>
      </c>
      <c r="D2466" t="s">
        <v>1295</v>
      </c>
      <c r="E2466" t="s">
        <v>103</v>
      </c>
      <c r="F2466" t="s">
        <v>1212</v>
      </c>
      <c r="G2466" t="s">
        <v>494</v>
      </c>
      <c r="H2466" t="s">
        <v>103</v>
      </c>
      <c r="I2466" t="s">
        <v>103</v>
      </c>
      <c r="J2466" t="s">
        <v>103</v>
      </c>
      <c r="K2466" t="s">
        <v>103</v>
      </c>
      <c r="L2466" t="s">
        <v>103</v>
      </c>
      <c r="M2466" t="s">
        <v>103</v>
      </c>
    </row>
    <row r="2468" spans="1:13" x14ac:dyDescent="0.3">
      <c r="A2468" t="s">
        <v>1296</v>
      </c>
    </row>
    <row r="2469" spans="1:13" x14ac:dyDescent="0.3">
      <c r="A2469" t="s">
        <v>36</v>
      </c>
      <c r="B2469" t="s">
        <v>24</v>
      </c>
      <c r="C2469" t="s">
        <v>1297</v>
      </c>
      <c r="D2469" t="s">
        <v>1268</v>
      </c>
      <c r="E2469" t="s">
        <v>1298</v>
      </c>
      <c r="F2469" t="s">
        <v>1299</v>
      </c>
      <c r="G2469" t="s">
        <v>1300</v>
      </c>
      <c r="H2469" t="s">
        <v>1301</v>
      </c>
      <c r="I2469" t="s">
        <v>1302</v>
      </c>
      <c r="J2469" t="s">
        <v>1303</v>
      </c>
      <c r="K2469" t="s">
        <v>87</v>
      </c>
      <c r="L2469" t="s">
        <v>181</v>
      </c>
    </row>
    <row r="2470" spans="1:13" x14ac:dyDescent="0.3">
      <c r="A2470" t="s">
        <v>25</v>
      </c>
      <c r="B2470">
        <v>414</v>
      </c>
      <c r="C2470" t="s">
        <v>885</v>
      </c>
      <c r="D2470" t="s">
        <v>103</v>
      </c>
      <c r="E2470" t="s">
        <v>194</v>
      </c>
      <c r="F2470" t="s">
        <v>70</v>
      </c>
      <c r="G2470" t="s">
        <v>128</v>
      </c>
      <c r="H2470" t="s">
        <v>468</v>
      </c>
      <c r="I2470" t="s">
        <v>103</v>
      </c>
      <c r="J2470" t="s">
        <v>345</v>
      </c>
      <c r="K2470" t="s">
        <v>103</v>
      </c>
      <c r="L2470" t="s">
        <v>103</v>
      </c>
    </row>
    <row r="2471" spans="1:13" x14ac:dyDescent="0.3">
      <c r="A2471" t="s">
        <v>26</v>
      </c>
      <c r="B2471">
        <v>477</v>
      </c>
      <c r="C2471" t="s">
        <v>994</v>
      </c>
      <c r="D2471" t="s">
        <v>103</v>
      </c>
      <c r="E2471" t="s">
        <v>110</v>
      </c>
      <c r="F2471" t="s">
        <v>133</v>
      </c>
      <c r="G2471" t="s">
        <v>594</v>
      </c>
      <c r="H2471" t="s">
        <v>257</v>
      </c>
      <c r="I2471" t="s">
        <v>122</v>
      </c>
      <c r="J2471" t="s">
        <v>341</v>
      </c>
      <c r="K2471" t="s">
        <v>103</v>
      </c>
      <c r="L2471" t="s">
        <v>103</v>
      </c>
    </row>
    <row r="2472" spans="1:13" x14ac:dyDescent="0.3">
      <c r="A2472" t="s">
        <v>29</v>
      </c>
      <c r="B2472">
        <v>530</v>
      </c>
      <c r="C2472" t="s">
        <v>170</v>
      </c>
      <c r="D2472" t="s">
        <v>103</v>
      </c>
      <c r="E2472" t="s">
        <v>116</v>
      </c>
      <c r="F2472" t="s">
        <v>341</v>
      </c>
      <c r="G2472" t="s">
        <v>532</v>
      </c>
      <c r="H2472" t="s">
        <v>186</v>
      </c>
      <c r="I2472" t="s">
        <v>103</v>
      </c>
      <c r="J2472" t="s">
        <v>216</v>
      </c>
      <c r="K2472" t="s">
        <v>116</v>
      </c>
      <c r="L2472" t="s">
        <v>103</v>
      </c>
    </row>
    <row r="2473" spans="1:13" x14ac:dyDescent="0.3">
      <c r="A2473" t="s">
        <v>28</v>
      </c>
      <c r="B2473">
        <v>317</v>
      </c>
      <c r="C2473" t="s">
        <v>622</v>
      </c>
      <c r="D2473" t="s">
        <v>103</v>
      </c>
      <c r="E2473" t="s">
        <v>345</v>
      </c>
      <c r="F2473" t="s">
        <v>110</v>
      </c>
      <c r="G2473" t="s">
        <v>118</v>
      </c>
      <c r="H2473" t="s">
        <v>737</v>
      </c>
      <c r="I2473" t="s">
        <v>66</v>
      </c>
      <c r="J2473" t="s">
        <v>282</v>
      </c>
      <c r="K2473" t="s">
        <v>532</v>
      </c>
      <c r="L2473" t="s">
        <v>103</v>
      </c>
    </row>
    <row r="2474" spans="1:13" x14ac:dyDescent="0.3">
      <c r="A2474" t="s">
        <v>27</v>
      </c>
      <c r="B2474">
        <v>300</v>
      </c>
      <c r="C2474" t="s">
        <v>771</v>
      </c>
      <c r="D2474" t="s">
        <v>103</v>
      </c>
      <c r="E2474" t="s">
        <v>103</v>
      </c>
      <c r="F2474" t="s">
        <v>217</v>
      </c>
      <c r="G2474" t="s">
        <v>98</v>
      </c>
      <c r="H2474" t="s">
        <v>126</v>
      </c>
      <c r="I2474" t="s">
        <v>103</v>
      </c>
      <c r="J2474" t="s">
        <v>97</v>
      </c>
      <c r="K2474" t="s">
        <v>103</v>
      </c>
      <c r="L2474" t="s">
        <v>103</v>
      </c>
    </row>
    <row r="2475" spans="1:13" x14ac:dyDescent="0.3">
      <c r="A2475" t="s">
        <v>41</v>
      </c>
      <c r="B2475">
        <v>2038</v>
      </c>
      <c r="C2475" t="s">
        <v>241</v>
      </c>
      <c r="D2475" t="s">
        <v>103</v>
      </c>
      <c r="E2475" t="s">
        <v>139</v>
      </c>
      <c r="F2475" t="s">
        <v>438</v>
      </c>
      <c r="G2475" t="s">
        <v>107</v>
      </c>
      <c r="H2475" t="s">
        <v>102</v>
      </c>
      <c r="I2475" t="s">
        <v>91</v>
      </c>
      <c r="J2475" t="s">
        <v>239</v>
      </c>
      <c r="K2475" t="s">
        <v>122</v>
      </c>
      <c r="L2475" t="s">
        <v>103</v>
      </c>
    </row>
    <row r="2477" spans="1:13" x14ac:dyDescent="0.3">
      <c r="A2477" t="s">
        <v>1304</v>
      </c>
    </row>
    <row r="2478" spans="1:13" x14ac:dyDescent="0.3">
      <c r="A2478" t="s">
        <v>36</v>
      </c>
      <c r="B2478" t="s">
        <v>307</v>
      </c>
      <c r="C2478" t="s">
        <v>24</v>
      </c>
      <c r="D2478" t="s">
        <v>1297</v>
      </c>
      <c r="E2478" t="s">
        <v>1268</v>
      </c>
      <c r="F2478" t="s">
        <v>1298</v>
      </c>
      <c r="G2478" t="s">
        <v>1299</v>
      </c>
      <c r="H2478" t="s">
        <v>1300</v>
      </c>
      <c r="I2478" t="s">
        <v>1301</v>
      </c>
      <c r="J2478" t="s">
        <v>1302</v>
      </c>
      <c r="K2478" t="s">
        <v>1303</v>
      </c>
      <c r="L2478" t="s">
        <v>87</v>
      </c>
      <c r="M2478" t="s">
        <v>181</v>
      </c>
    </row>
    <row r="2479" spans="1:13" x14ac:dyDescent="0.3">
      <c r="A2479" t="s">
        <v>25</v>
      </c>
      <c r="B2479" t="s">
        <v>291</v>
      </c>
      <c r="C2479">
        <v>156</v>
      </c>
      <c r="D2479" t="s">
        <v>781</v>
      </c>
      <c r="E2479" t="s">
        <v>103</v>
      </c>
      <c r="F2479" t="s">
        <v>105</v>
      </c>
      <c r="G2479" t="s">
        <v>245</v>
      </c>
      <c r="H2479" t="s">
        <v>341</v>
      </c>
      <c r="I2479" t="s">
        <v>98</v>
      </c>
      <c r="J2479" t="s">
        <v>103</v>
      </c>
      <c r="K2479" t="s">
        <v>98</v>
      </c>
      <c r="L2479" t="s">
        <v>103</v>
      </c>
      <c r="M2479" t="s">
        <v>103</v>
      </c>
    </row>
    <row r="2480" spans="1:13" x14ac:dyDescent="0.3">
      <c r="A2480" t="s">
        <v>25</v>
      </c>
      <c r="B2480" t="s">
        <v>292</v>
      </c>
      <c r="C2480">
        <v>254</v>
      </c>
      <c r="D2480" t="s">
        <v>145</v>
      </c>
      <c r="E2480" t="s">
        <v>103</v>
      </c>
      <c r="F2480" t="s">
        <v>98</v>
      </c>
      <c r="G2480" t="s">
        <v>100</v>
      </c>
      <c r="H2480" t="s">
        <v>266</v>
      </c>
      <c r="I2480" t="s">
        <v>239</v>
      </c>
      <c r="J2480" t="s">
        <v>103</v>
      </c>
      <c r="K2480" t="s">
        <v>468</v>
      </c>
      <c r="L2480" t="s">
        <v>103</v>
      </c>
      <c r="M2480" t="s">
        <v>103</v>
      </c>
    </row>
    <row r="2481" spans="1:13" x14ac:dyDescent="0.3">
      <c r="A2481" t="s">
        <v>25</v>
      </c>
      <c r="B2481" t="s">
        <v>308</v>
      </c>
      <c r="C2481">
        <v>4</v>
      </c>
      <c r="D2481" t="s">
        <v>192</v>
      </c>
      <c r="E2481" t="s">
        <v>103</v>
      </c>
      <c r="F2481" t="s">
        <v>103</v>
      </c>
      <c r="G2481" t="s">
        <v>103</v>
      </c>
      <c r="H2481" t="s">
        <v>103</v>
      </c>
      <c r="I2481" t="s">
        <v>103</v>
      </c>
      <c r="J2481" t="s">
        <v>103</v>
      </c>
      <c r="K2481" t="s">
        <v>103</v>
      </c>
      <c r="L2481" t="s">
        <v>103</v>
      </c>
      <c r="M2481" t="s">
        <v>103</v>
      </c>
    </row>
    <row r="2482" spans="1:13" x14ac:dyDescent="0.3">
      <c r="A2482" t="s">
        <v>26</v>
      </c>
      <c r="B2482" t="s">
        <v>291</v>
      </c>
      <c r="C2482">
        <v>122</v>
      </c>
      <c r="D2482" t="s">
        <v>1153</v>
      </c>
      <c r="E2482" t="s">
        <v>103</v>
      </c>
      <c r="F2482" t="s">
        <v>66</v>
      </c>
      <c r="G2482" t="s">
        <v>481</v>
      </c>
      <c r="H2482" t="s">
        <v>100</v>
      </c>
      <c r="I2482" t="s">
        <v>33</v>
      </c>
      <c r="J2482" t="s">
        <v>194</v>
      </c>
      <c r="K2482" t="s">
        <v>531</v>
      </c>
      <c r="L2482" t="s">
        <v>103</v>
      </c>
      <c r="M2482" t="s">
        <v>103</v>
      </c>
    </row>
    <row r="2483" spans="1:13" x14ac:dyDescent="0.3">
      <c r="A2483" t="s">
        <v>26</v>
      </c>
      <c r="B2483" t="s">
        <v>292</v>
      </c>
      <c r="C2483">
        <v>352</v>
      </c>
      <c r="D2483" t="s">
        <v>158</v>
      </c>
      <c r="E2483" t="s">
        <v>103</v>
      </c>
      <c r="F2483" t="s">
        <v>341</v>
      </c>
      <c r="G2483" t="s">
        <v>438</v>
      </c>
      <c r="H2483" t="s">
        <v>452</v>
      </c>
      <c r="I2483" t="s">
        <v>245</v>
      </c>
      <c r="J2483" t="s">
        <v>91</v>
      </c>
      <c r="K2483" t="s">
        <v>97</v>
      </c>
      <c r="L2483" t="s">
        <v>103</v>
      </c>
      <c r="M2483" t="s">
        <v>103</v>
      </c>
    </row>
    <row r="2484" spans="1:13" x14ac:dyDescent="0.3">
      <c r="A2484" t="s">
        <v>26</v>
      </c>
      <c r="B2484" t="s">
        <v>308</v>
      </c>
      <c r="C2484">
        <v>3</v>
      </c>
      <c r="D2484" t="s">
        <v>192</v>
      </c>
      <c r="E2484" t="s">
        <v>103</v>
      </c>
      <c r="F2484" t="s">
        <v>103</v>
      </c>
      <c r="G2484" t="s">
        <v>103</v>
      </c>
      <c r="H2484" t="s">
        <v>103</v>
      </c>
      <c r="I2484" t="s">
        <v>103</v>
      </c>
      <c r="J2484" t="s">
        <v>103</v>
      </c>
      <c r="K2484" t="s">
        <v>103</v>
      </c>
      <c r="L2484" t="s">
        <v>103</v>
      </c>
      <c r="M2484" t="s">
        <v>103</v>
      </c>
    </row>
    <row r="2485" spans="1:13" x14ac:dyDescent="0.3">
      <c r="A2485" t="s">
        <v>29</v>
      </c>
      <c r="B2485" t="s">
        <v>291</v>
      </c>
      <c r="C2485">
        <v>205</v>
      </c>
      <c r="D2485" t="s">
        <v>897</v>
      </c>
      <c r="E2485" t="s">
        <v>103</v>
      </c>
      <c r="F2485" t="s">
        <v>103</v>
      </c>
      <c r="G2485" t="s">
        <v>257</v>
      </c>
      <c r="H2485" t="s">
        <v>60</v>
      </c>
      <c r="I2485" t="s">
        <v>94</v>
      </c>
      <c r="J2485" t="s">
        <v>103</v>
      </c>
      <c r="K2485" t="s">
        <v>110</v>
      </c>
      <c r="L2485" t="s">
        <v>91</v>
      </c>
      <c r="M2485" t="s">
        <v>103</v>
      </c>
    </row>
    <row r="2486" spans="1:13" x14ac:dyDescent="0.3">
      <c r="A2486" t="s">
        <v>29</v>
      </c>
      <c r="B2486" t="s">
        <v>292</v>
      </c>
      <c r="C2486">
        <v>325</v>
      </c>
      <c r="D2486" t="s">
        <v>710</v>
      </c>
      <c r="E2486" t="s">
        <v>103</v>
      </c>
      <c r="F2486" t="s">
        <v>120</v>
      </c>
      <c r="G2486" t="s">
        <v>216</v>
      </c>
      <c r="H2486" t="s">
        <v>64</v>
      </c>
      <c r="I2486" t="s">
        <v>217</v>
      </c>
      <c r="J2486" t="s">
        <v>103</v>
      </c>
      <c r="K2486" t="s">
        <v>105</v>
      </c>
      <c r="L2486" t="s">
        <v>97</v>
      </c>
      <c r="M2486" t="s">
        <v>103</v>
      </c>
    </row>
    <row r="2487" spans="1:13" x14ac:dyDescent="0.3">
      <c r="A2487" t="s">
        <v>28</v>
      </c>
      <c r="B2487" t="s">
        <v>291</v>
      </c>
      <c r="C2487">
        <v>114</v>
      </c>
      <c r="D2487" t="s">
        <v>1305</v>
      </c>
      <c r="E2487" t="s">
        <v>103</v>
      </c>
      <c r="F2487" t="s">
        <v>239</v>
      </c>
      <c r="G2487" t="s">
        <v>64</v>
      </c>
      <c r="H2487" t="s">
        <v>615</v>
      </c>
      <c r="I2487" t="s">
        <v>115</v>
      </c>
      <c r="J2487" t="s">
        <v>103</v>
      </c>
      <c r="K2487" t="s">
        <v>257</v>
      </c>
      <c r="L2487" t="s">
        <v>128</v>
      </c>
      <c r="M2487" t="s">
        <v>103</v>
      </c>
    </row>
    <row r="2488" spans="1:13" x14ac:dyDescent="0.3">
      <c r="A2488" t="s">
        <v>28</v>
      </c>
      <c r="B2488" t="s">
        <v>292</v>
      </c>
      <c r="C2488">
        <v>191</v>
      </c>
      <c r="D2488" t="s">
        <v>740</v>
      </c>
      <c r="E2488" t="s">
        <v>103</v>
      </c>
      <c r="F2488" t="s">
        <v>282</v>
      </c>
      <c r="G2488" t="s">
        <v>120</v>
      </c>
      <c r="H2488" t="s">
        <v>468</v>
      </c>
      <c r="I2488" t="s">
        <v>112</v>
      </c>
      <c r="J2488" t="s">
        <v>116</v>
      </c>
      <c r="K2488" t="s">
        <v>103</v>
      </c>
      <c r="L2488" t="s">
        <v>594</v>
      </c>
      <c r="M2488" t="s">
        <v>103</v>
      </c>
    </row>
    <row r="2489" spans="1:13" x14ac:dyDescent="0.3">
      <c r="A2489" t="s">
        <v>28</v>
      </c>
      <c r="B2489" t="s">
        <v>308</v>
      </c>
      <c r="C2489">
        <v>12</v>
      </c>
      <c r="D2489" t="s">
        <v>636</v>
      </c>
      <c r="E2489" t="s">
        <v>103</v>
      </c>
      <c r="F2489" t="s">
        <v>103</v>
      </c>
      <c r="G2489" t="s">
        <v>103</v>
      </c>
      <c r="H2489" t="s">
        <v>103</v>
      </c>
      <c r="I2489" t="s">
        <v>466</v>
      </c>
      <c r="J2489" t="s">
        <v>103</v>
      </c>
      <c r="K2489" t="s">
        <v>103</v>
      </c>
      <c r="L2489" t="s">
        <v>103</v>
      </c>
      <c r="M2489" t="s">
        <v>103</v>
      </c>
    </row>
    <row r="2490" spans="1:13" x14ac:dyDescent="0.3">
      <c r="A2490" t="s">
        <v>27</v>
      </c>
      <c r="B2490" t="s">
        <v>291</v>
      </c>
      <c r="C2490">
        <v>95</v>
      </c>
      <c r="D2490" t="s">
        <v>710</v>
      </c>
      <c r="E2490" t="s">
        <v>103</v>
      </c>
      <c r="F2490" t="s">
        <v>103</v>
      </c>
      <c r="G2490" t="s">
        <v>128</v>
      </c>
      <c r="H2490" t="s">
        <v>139</v>
      </c>
      <c r="I2490" t="s">
        <v>278</v>
      </c>
      <c r="J2490" t="s">
        <v>103</v>
      </c>
      <c r="K2490" t="s">
        <v>97</v>
      </c>
      <c r="L2490" t="s">
        <v>103</v>
      </c>
      <c r="M2490" t="s">
        <v>103</v>
      </c>
    </row>
    <row r="2491" spans="1:13" x14ac:dyDescent="0.3">
      <c r="A2491" t="s">
        <v>27</v>
      </c>
      <c r="B2491" t="s">
        <v>292</v>
      </c>
      <c r="C2491">
        <v>198</v>
      </c>
      <c r="D2491" t="s">
        <v>153</v>
      </c>
      <c r="E2491" t="s">
        <v>103</v>
      </c>
      <c r="F2491" t="s">
        <v>103</v>
      </c>
      <c r="G2491" t="s">
        <v>64</v>
      </c>
      <c r="H2491" t="s">
        <v>98</v>
      </c>
      <c r="I2491" t="s">
        <v>247</v>
      </c>
      <c r="J2491" t="s">
        <v>103</v>
      </c>
      <c r="K2491" t="s">
        <v>97</v>
      </c>
      <c r="L2491" t="s">
        <v>103</v>
      </c>
      <c r="M2491" t="s">
        <v>103</v>
      </c>
    </row>
    <row r="2492" spans="1:13" x14ac:dyDescent="0.3">
      <c r="A2492" t="s">
        <v>27</v>
      </c>
      <c r="B2492" t="s">
        <v>308</v>
      </c>
      <c r="C2492">
        <v>7</v>
      </c>
      <c r="D2492" t="s">
        <v>192</v>
      </c>
      <c r="E2492" t="s">
        <v>103</v>
      </c>
      <c r="F2492" t="s">
        <v>103</v>
      </c>
      <c r="G2492" t="s">
        <v>103</v>
      </c>
      <c r="H2492" t="s">
        <v>103</v>
      </c>
      <c r="I2492" t="s">
        <v>103</v>
      </c>
      <c r="J2492" t="s">
        <v>103</v>
      </c>
      <c r="K2492" t="s">
        <v>103</v>
      </c>
      <c r="L2492" t="s">
        <v>103</v>
      </c>
      <c r="M2492" t="s">
        <v>103</v>
      </c>
    </row>
    <row r="2493" spans="1:13" x14ac:dyDescent="0.3">
      <c r="A2493" t="s">
        <v>41</v>
      </c>
      <c r="B2493" t="s">
        <v>291</v>
      </c>
      <c r="C2493">
        <v>692</v>
      </c>
      <c r="D2493" t="s">
        <v>605</v>
      </c>
      <c r="E2493" t="s">
        <v>103</v>
      </c>
      <c r="F2493" t="s">
        <v>97</v>
      </c>
      <c r="G2493" t="s">
        <v>114</v>
      </c>
      <c r="H2493" t="s">
        <v>558</v>
      </c>
      <c r="I2493" t="s">
        <v>281</v>
      </c>
      <c r="J2493" t="s">
        <v>66</v>
      </c>
      <c r="K2493" t="s">
        <v>329</v>
      </c>
      <c r="L2493" t="s">
        <v>66</v>
      </c>
      <c r="M2493" t="s">
        <v>103</v>
      </c>
    </row>
    <row r="2494" spans="1:13" x14ac:dyDescent="0.3">
      <c r="A2494" t="s">
        <v>41</v>
      </c>
      <c r="B2494" t="s">
        <v>292</v>
      </c>
      <c r="C2494">
        <v>1320</v>
      </c>
      <c r="D2494" t="s">
        <v>63</v>
      </c>
      <c r="E2494" t="s">
        <v>103</v>
      </c>
      <c r="F2494" t="s">
        <v>282</v>
      </c>
      <c r="G2494" t="s">
        <v>272</v>
      </c>
      <c r="H2494" t="s">
        <v>102</v>
      </c>
      <c r="I2494" t="s">
        <v>217</v>
      </c>
      <c r="J2494" t="s">
        <v>103</v>
      </c>
      <c r="K2494" t="s">
        <v>468</v>
      </c>
      <c r="L2494" t="s">
        <v>97</v>
      </c>
      <c r="M2494" t="s">
        <v>103</v>
      </c>
    </row>
    <row r="2495" spans="1:13" x14ac:dyDescent="0.3">
      <c r="A2495" t="s">
        <v>41</v>
      </c>
      <c r="B2495" t="s">
        <v>308</v>
      </c>
      <c r="C2495">
        <v>26</v>
      </c>
      <c r="D2495" t="s">
        <v>322</v>
      </c>
      <c r="E2495" t="s">
        <v>103</v>
      </c>
      <c r="F2495" t="s">
        <v>103</v>
      </c>
      <c r="G2495" t="s">
        <v>103</v>
      </c>
      <c r="H2495" t="s">
        <v>103</v>
      </c>
      <c r="I2495" t="s">
        <v>105</v>
      </c>
      <c r="J2495" t="s">
        <v>103</v>
      </c>
      <c r="K2495" t="s">
        <v>103</v>
      </c>
      <c r="L2495" t="s">
        <v>103</v>
      </c>
      <c r="M2495" t="s">
        <v>103</v>
      </c>
    </row>
    <row r="2497" spans="1:13" x14ac:dyDescent="0.3">
      <c r="A2497" t="s">
        <v>1306</v>
      </c>
    </row>
    <row r="2498" spans="1:13" x14ac:dyDescent="0.3">
      <c r="A2498" t="s">
        <v>36</v>
      </c>
      <c r="B2498" t="s">
        <v>310</v>
      </c>
      <c r="C2498" t="s">
        <v>24</v>
      </c>
      <c r="D2498" t="s">
        <v>1297</v>
      </c>
      <c r="E2498" t="s">
        <v>1268</v>
      </c>
      <c r="F2498" t="s">
        <v>1298</v>
      </c>
      <c r="G2498" t="s">
        <v>1299</v>
      </c>
      <c r="H2498" t="s">
        <v>1300</v>
      </c>
      <c r="I2498" t="s">
        <v>1301</v>
      </c>
      <c r="J2498" t="s">
        <v>1302</v>
      </c>
      <c r="K2498" t="s">
        <v>1303</v>
      </c>
      <c r="L2498" t="s">
        <v>87</v>
      </c>
      <c r="M2498" t="s">
        <v>181</v>
      </c>
    </row>
    <row r="2499" spans="1:13" x14ac:dyDescent="0.3">
      <c r="A2499" t="s">
        <v>25</v>
      </c>
      <c r="B2499" t="s">
        <v>311</v>
      </c>
      <c r="C2499">
        <v>324</v>
      </c>
      <c r="D2499" t="s">
        <v>1307</v>
      </c>
      <c r="E2499" t="s">
        <v>103</v>
      </c>
      <c r="F2499" t="s">
        <v>282</v>
      </c>
      <c r="G2499" t="s">
        <v>662</v>
      </c>
      <c r="H2499" t="s">
        <v>128</v>
      </c>
      <c r="I2499" t="s">
        <v>95</v>
      </c>
      <c r="J2499" t="s">
        <v>103</v>
      </c>
      <c r="K2499" t="s">
        <v>468</v>
      </c>
      <c r="L2499" t="s">
        <v>103</v>
      </c>
      <c r="M2499" t="s">
        <v>103</v>
      </c>
    </row>
    <row r="2500" spans="1:13" x14ac:dyDescent="0.3">
      <c r="A2500" t="s">
        <v>25</v>
      </c>
      <c r="B2500" t="s">
        <v>312</v>
      </c>
      <c r="C2500">
        <v>80</v>
      </c>
      <c r="D2500" t="s">
        <v>158</v>
      </c>
      <c r="E2500" t="s">
        <v>103</v>
      </c>
      <c r="F2500" t="s">
        <v>118</v>
      </c>
      <c r="G2500" t="s">
        <v>493</v>
      </c>
      <c r="H2500" t="s">
        <v>216</v>
      </c>
      <c r="I2500" t="s">
        <v>493</v>
      </c>
      <c r="J2500" t="s">
        <v>103</v>
      </c>
      <c r="K2500" t="s">
        <v>97</v>
      </c>
      <c r="L2500" t="s">
        <v>103</v>
      </c>
      <c r="M2500" t="s">
        <v>103</v>
      </c>
    </row>
    <row r="2501" spans="1:13" x14ac:dyDescent="0.3">
      <c r="A2501" t="s">
        <v>25</v>
      </c>
      <c r="B2501" t="s">
        <v>308</v>
      </c>
      <c r="C2501">
        <v>10</v>
      </c>
      <c r="D2501" t="s">
        <v>902</v>
      </c>
      <c r="E2501" t="s">
        <v>103</v>
      </c>
      <c r="F2501" t="s">
        <v>103</v>
      </c>
      <c r="G2501" t="s">
        <v>101</v>
      </c>
      <c r="H2501" t="s">
        <v>108</v>
      </c>
      <c r="I2501" t="s">
        <v>103</v>
      </c>
      <c r="J2501" t="s">
        <v>103</v>
      </c>
      <c r="K2501" t="s">
        <v>103</v>
      </c>
      <c r="L2501" t="s">
        <v>103</v>
      </c>
      <c r="M2501" t="s">
        <v>103</v>
      </c>
    </row>
    <row r="2502" spans="1:13" x14ac:dyDescent="0.3">
      <c r="A2502" t="s">
        <v>26</v>
      </c>
      <c r="B2502" t="s">
        <v>311</v>
      </c>
      <c r="C2502">
        <v>343</v>
      </c>
      <c r="D2502" t="s">
        <v>630</v>
      </c>
      <c r="E2502" t="s">
        <v>103</v>
      </c>
      <c r="F2502" t="s">
        <v>105</v>
      </c>
      <c r="G2502" t="s">
        <v>190</v>
      </c>
      <c r="H2502" t="s">
        <v>190</v>
      </c>
      <c r="I2502" t="s">
        <v>64</v>
      </c>
      <c r="J2502" t="s">
        <v>97</v>
      </c>
      <c r="K2502" t="s">
        <v>118</v>
      </c>
      <c r="L2502" t="s">
        <v>103</v>
      </c>
      <c r="M2502" t="s">
        <v>103</v>
      </c>
    </row>
    <row r="2503" spans="1:13" x14ac:dyDescent="0.3">
      <c r="A2503" t="s">
        <v>26</v>
      </c>
      <c r="B2503" t="s">
        <v>312</v>
      </c>
      <c r="C2503">
        <v>96</v>
      </c>
      <c r="D2503" t="s">
        <v>163</v>
      </c>
      <c r="E2503" t="s">
        <v>103</v>
      </c>
      <c r="F2503" t="s">
        <v>122</v>
      </c>
      <c r="G2503" t="s">
        <v>266</v>
      </c>
      <c r="H2503" t="s">
        <v>126</v>
      </c>
      <c r="I2503" t="s">
        <v>128</v>
      </c>
      <c r="J2503" t="s">
        <v>103</v>
      </c>
      <c r="K2503" t="s">
        <v>345</v>
      </c>
      <c r="L2503" t="s">
        <v>103</v>
      </c>
      <c r="M2503" t="s">
        <v>103</v>
      </c>
    </row>
    <row r="2504" spans="1:13" x14ac:dyDescent="0.3">
      <c r="A2504" t="s">
        <v>26</v>
      </c>
      <c r="B2504" t="s">
        <v>308</v>
      </c>
      <c r="C2504">
        <v>38</v>
      </c>
      <c r="D2504" t="s">
        <v>192</v>
      </c>
      <c r="E2504" t="s">
        <v>103</v>
      </c>
      <c r="F2504" t="s">
        <v>103</v>
      </c>
      <c r="G2504" t="s">
        <v>103</v>
      </c>
      <c r="H2504" t="s">
        <v>103</v>
      </c>
      <c r="I2504" t="s">
        <v>103</v>
      </c>
      <c r="J2504" t="s">
        <v>103</v>
      </c>
      <c r="K2504" t="s">
        <v>103</v>
      </c>
      <c r="L2504" t="s">
        <v>103</v>
      </c>
      <c r="M2504" t="s">
        <v>103</v>
      </c>
    </row>
    <row r="2505" spans="1:13" x14ac:dyDescent="0.3">
      <c r="A2505" t="s">
        <v>29</v>
      </c>
      <c r="B2505" t="s">
        <v>311</v>
      </c>
      <c r="C2505">
        <v>414</v>
      </c>
      <c r="D2505" t="s">
        <v>170</v>
      </c>
      <c r="E2505" t="s">
        <v>103</v>
      </c>
      <c r="F2505" t="s">
        <v>122</v>
      </c>
      <c r="G2505" t="s">
        <v>341</v>
      </c>
      <c r="H2505" t="s">
        <v>33</v>
      </c>
      <c r="I2505" t="s">
        <v>186</v>
      </c>
      <c r="J2505" t="s">
        <v>103</v>
      </c>
      <c r="K2505" t="s">
        <v>98</v>
      </c>
      <c r="L2505" t="s">
        <v>122</v>
      </c>
      <c r="M2505" t="s">
        <v>103</v>
      </c>
    </row>
    <row r="2506" spans="1:13" x14ac:dyDescent="0.3">
      <c r="A2506" t="s">
        <v>29</v>
      </c>
      <c r="B2506" t="s">
        <v>312</v>
      </c>
      <c r="C2506">
        <v>103</v>
      </c>
      <c r="D2506" t="s">
        <v>159</v>
      </c>
      <c r="E2506" t="s">
        <v>103</v>
      </c>
      <c r="F2506" t="s">
        <v>103</v>
      </c>
      <c r="G2506" t="s">
        <v>110</v>
      </c>
      <c r="H2506" t="s">
        <v>195</v>
      </c>
      <c r="I2506" t="s">
        <v>113</v>
      </c>
      <c r="J2506" t="s">
        <v>103</v>
      </c>
      <c r="K2506" t="s">
        <v>278</v>
      </c>
      <c r="L2506" t="s">
        <v>66</v>
      </c>
      <c r="M2506" t="s">
        <v>103</v>
      </c>
    </row>
    <row r="2507" spans="1:13" x14ac:dyDescent="0.3">
      <c r="A2507" t="s">
        <v>29</v>
      </c>
      <c r="B2507" t="s">
        <v>308</v>
      </c>
      <c r="C2507">
        <v>13</v>
      </c>
      <c r="D2507" t="s">
        <v>632</v>
      </c>
      <c r="E2507" t="s">
        <v>103</v>
      </c>
      <c r="F2507" t="s">
        <v>103</v>
      </c>
      <c r="G2507" t="s">
        <v>99</v>
      </c>
      <c r="H2507" t="s">
        <v>103</v>
      </c>
      <c r="I2507" t="s">
        <v>103</v>
      </c>
      <c r="J2507" t="s">
        <v>103</v>
      </c>
      <c r="K2507" t="s">
        <v>103</v>
      </c>
      <c r="L2507" t="s">
        <v>103</v>
      </c>
      <c r="M2507" t="s">
        <v>103</v>
      </c>
    </row>
    <row r="2508" spans="1:13" x14ac:dyDescent="0.3">
      <c r="A2508" t="s">
        <v>28</v>
      </c>
      <c r="B2508" t="s">
        <v>311</v>
      </c>
      <c r="C2508">
        <v>223</v>
      </c>
      <c r="D2508" t="s">
        <v>622</v>
      </c>
      <c r="E2508" t="s">
        <v>103</v>
      </c>
      <c r="F2508" t="s">
        <v>95</v>
      </c>
      <c r="G2508" t="s">
        <v>341</v>
      </c>
      <c r="H2508" t="s">
        <v>467</v>
      </c>
      <c r="I2508" t="s">
        <v>254</v>
      </c>
      <c r="J2508" t="s">
        <v>116</v>
      </c>
      <c r="K2508" t="s">
        <v>194</v>
      </c>
      <c r="L2508" t="s">
        <v>188</v>
      </c>
      <c r="M2508" t="s">
        <v>103</v>
      </c>
    </row>
    <row r="2509" spans="1:13" x14ac:dyDescent="0.3">
      <c r="A2509" t="s">
        <v>28</v>
      </c>
      <c r="B2509" t="s">
        <v>312</v>
      </c>
      <c r="C2509">
        <v>93</v>
      </c>
      <c r="D2509" t="s">
        <v>1308</v>
      </c>
      <c r="E2509" t="s">
        <v>103</v>
      </c>
      <c r="F2509" t="s">
        <v>128</v>
      </c>
      <c r="G2509" t="s">
        <v>103</v>
      </c>
      <c r="H2509" t="s">
        <v>103</v>
      </c>
      <c r="I2509" t="s">
        <v>101</v>
      </c>
      <c r="J2509" t="s">
        <v>103</v>
      </c>
      <c r="K2509" t="s">
        <v>103</v>
      </c>
      <c r="L2509" t="s">
        <v>94</v>
      </c>
      <c r="M2509" t="s">
        <v>103</v>
      </c>
    </row>
    <row r="2510" spans="1:13" x14ac:dyDescent="0.3">
      <c r="A2510" t="s">
        <v>28</v>
      </c>
      <c r="B2510" t="s">
        <v>308</v>
      </c>
      <c r="C2510">
        <v>1</v>
      </c>
      <c r="D2510" t="s">
        <v>192</v>
      </c>
      <c r="E2510" t="s">
        <v>103</v>
      </c>
      <c r="F2510" t="s">
        <v>103</v>
      </c>
      <c r="G2510" t="s">
        <v>103</v>
      </c>
      <c r="H2510" t="s">
        <v>103</v>
      </c>
      <c r="I2510" t="s">
        <v>103</v>
      </c>
      <c r="J2510" t="s">
        <v>103</v>
      </c>
      <c r="K2510" t="s">
        <v>103</v>
      </c>
      <c r="L2510" t="s">
        <v>103</v>
      </c>
      <c r="M2510" t="s">
        <v>103</v>
      </c>
    </row>
    <row r="2511" spans="1:13" x14ac:dyDescent="0.3">
      <c r="A2511" t="s">
        <v>27</v>
      </c>
      <c r="B2511" t="s">
        <v>311</v>
      </c>
      <c r="C2511">
        <v>237</v>
      </c>
      <c r="D2511" t="s">
        <v>246</v>
      </c>
      <c r="E2511" t="s">
        <v>103</v>
      </c>
      <c r="F2511" t="s">
        <v>103</v>
      </c>
      <c r="G2511" t="s">
        <v>64</v>
      </c>
      <c r="H2511" t="s">
        <v>345</v>
      </c>
      <c r="I2511" t="s">
        <v>262</v>
      </c>
      <c r="J2511" t="s">
        <v>103</v>
      </c>
      <c r="K2511" t="s">
        <v>66</v>
      </c>
      <c r="L2511" t="s">
        <v>103</v>
      </c>
      <c r="M2511" t="s">
        <v>103</v>
      </c>
    </row>
    <row r="2512" spans="1:13" x14ac:dyDescent="0.3">
      <c r="A2512" t="s">
        <v>27</v>
      </c>
      <c r="B2512" t="s">
        <v>312</v>
      </c>
      <c r="C2512">
        <v>60</v>
      </c>
      <c r="D2512" t="s">
        <v>862</v>
      </c>
      <c r="E2512" t="s">
        <v>103</v>
      </c>
      <c r="F2512" t="s">
        <v>103</v>
      </c>
      <c r="G2512" t="s">
        <v>208</v>
      </c>
      <c r="H2512" t="s">
        <v>103</v>
      </c>
      <c r="I2512" t="s">
        <v>186</v>
      </c>
      <c r="J2512" t="s">
        <v>103</v>
      </c>
      <c r="K2512" t="s">
        <v>329</v>
      </c>
      <c r="L2512" t="s">
        <v>103</v>
      </c>
      <c r="M2512" t="s">
        <v>103</v>
      </c>
    </row>
    <row r="2513" spans="1:13" x14ac:dyDescent="0.3">
      <c r="A2513" t="s">
        <v>27</v>
      </c>
      <c r="B2513" t="s">
        <v>308</v>
      </c>
      <c r="C2513">
        <v>3</v>
      </c>
      <c r="D2513" t="s">
        <v>192</v>
      </c>
      <c r="E2513" t="s">
        <v>103</v>
      </c>
      <c r="F2513" t="s">
        <v>103</v>
      </c>
      <c r="G2513" t="s">
        <v>103</v>
      </c>
      <c r="H2513" t="s">
        <v>103</v>
      </c>
      <c r="I2513" t="s">
        <v>103</v>
      </c>
      <c r="J2513" t="s">
        <v>103</v>
      </c>
      <c r="K2513" t="s">
        <v>103</v>
      </c>
      <c r="L2513" t="s">
        <v>103</v>
      </c>
      <c r="M2513" t="s">
        <v>103</v>
      </c>
    </row>
    <row r="2514" spans="1:13" x14ac:dyDescent="0.3">
      <c r="A2514" t="s">
        <v>41</v>
      </c>
      <c r="B2514" t="s">
        <v>311</v>
      </c>
      <c r="C2514">
        <v>1541</v>
      </c>
      <c r="D2514" t="s">
        <v>158</v>
      </c>
      <c r="E2514" t="s">
        <v>103</v>
      </c>
      <c r="F2514" t="s">
        <v>98</v>
      </c>
      <c r="G2514" t="s">
        <v>188</v>
      </c>
      <c r="H2514" t="s">
        <v>532</v>
      </c>
      <c r="I2514" t="s">
        <v>125</v>
      </c>
      <c r="J2514" t="s">
        <v>91</v>
      </c>
      <c r="K2514" t="s">
        <v>194</v>
      </c>
      <c r="L2514" t="s">
        <v>122</v>
      </c>
      <c r="M2514" t="s">
        <v>103</v>
      </c>
    </row>
    <row r="2515" spans="1:13" x14ac:dyDescent="0.3">
      <c r="A2515" t="s">
        <v>41</v>
      </c>
      <c r="B2515" t="s">
        <v>312</v>
      </c>
      <c r="C2515">
        <v>432</v>
      </c>
      <c r="D2515" t="s">
        <v>712</v>
      </c>
      <c r="E2515" t="s">
        <v>103</v>
      </c>
      <c r="F2515" t="s">
        <v>95</v>
      </c>
      <c r="G2515" t="s">
        <v>329</v>
      </c>
      <c r="H2515" t="s">
        <v>102</v>
      </c>
      <c r="I2515" t="s">
        <v>114</v>
      </c>
      <c r="J2515" t="s">
        <v>103</v>
      </c>
      <c r="K2515" t="s">
        <v>64</v>
      </c>
      <c r="L2515" t="s">
        <v>97</v>
      </c>
      <c r="M2515" t="s">
        <v>103</v>
      </c>
    </row>
    <row r="2516" spans="1:13" x14ac:dyDescent="0.3">
      <c r="A2516" t="s">
        <v>41</v>
      </c>
      <c r="B2516" t="s">
        <v>308</v>
      </c>
      <c r="C2516">
        <v>65</v>
      </c>
      <c r="D2516" t="s">
        <v>781</v>
      </c>
      <c r="E2516" t="s">
        <v>103</v>
      </c>
      <c r="F2516" t="s">
        <v>103</v>
      </c>
      <c r="G2516" t="s">
        <v>493</v>
      </c>
      <c r="H2516" t="s">
        <v>194</v>
      </c>
      <c r="I2516" t="s">
        <v>103</v>
      </c>
      <c r="J2516" t="s">
        <v>103</v>
      </c>
      <c r="K2516" t="s">
        <v>103</v>
      </c>
      <c r="L2516" t="s">
        <v>103</v>
      </c>
      <c r="M2516" t="s">
        <v>103</v>
      </c>
    </row>
    <row r="2518" spans="1:13" x14ac:dyDescent="0.3">
      <c r="A2518" t="s">
        <v>1309</v>
      </c>
    </row>
    <row r="2519" spans="1:13" x14ac:dyDescent="0.3">
      <c r="A2519" t="s">
        <v>36</v>
      </c>
      <c r="B2519" t="s">
        <v>197</v>
      </c>
      <c r="C2519" t="s">
        <v>24</v>
      </c>
      <c r="D2519" t="s">
        <v>1297</v>
      </c>
      <c r="E2519" t="s">
        <v>1268</v>
      </c>
      <c r="F2519" t="s">
        <v>1298</v>
      </c>
      <c r="G2519" t="s">
        <v>1299</v>
      </c>
      <c r="H2519" t="s">
        <v>1300</v>
      </c>
      <c r="I2519" t="s">
        <v>1301</v>
      </c>
      <c r="J2519" t="s">
        <v>1302</v>
      </c>
      <c r="K2519" t="s">
        <v>1303</v>
      </c>
      <c r="L2519" t="s">
        <v>87</v>
      </c>
      <c r="M2519" t="s">
        <v>181</v>
      </c>
    </row>
    <row r="2520" spans="1:13" x14ac:dyDescent="0.3">
      <c r="A2520" t="s">
        <v>25</v>
      </c>
      <c r="B2520" t="s">
        <v>198</v>
      </c>
      <c r="C2520">
        <v>104</v>
      </c>
      <c r="D2520" t="s">
        <v>606</v>
      </c>
      <c r="E2520" t="s">
        <v>103</v>
      </c>
      <c r="F2520" t="s">
        <v>208</v>
      </c>
      <c r="G2520" t="s">
        <v>278</v>
      </c>
      <c r="H2520" t="s">
        <v>186</v>
      </c>
      <c r="I2520" t="s">
        <v>468</v>
      </c>
      <c r="J2520" t="s">
        <v>103</v>
      </c>
      <c r="K2520" t="s">
        <v>102</v>
      </c>
      <c r="L2520" t="s">
        <v>103</v>
      </c>
      <c r="M2520" t="s">
        <v>103</v>
      </c>
    </row>
    <row r="2521" spans="1:13" x14ac:dyDescent="0.3">
      <c r="A2521" t="s">
        <v>25</v>
      </c>
      <c r="B2521" t="s">
        <v>199</v>
      </c>
      <c r="C2521">
        <v>310</v>
      </c>
      <c r="D2521" t="s">
        <v>1310</v>
      </c>
      <c r="E2521" t="s">
        <v>103</v>
      </c>
      <c r="F2521" t="s">
        <v>282</v>
      </c>
      <c r="G2521" t="s">
        <v>70</v>
      </c>
      <c r="H2521" t="s">
        <v>341</v>
      </c>
      <c r="I2521" t="s">
        <v>194</v>
      </c>
      <c r="J2521" t="s">
        <v>103</v>
      </c>
      <c r="K2521" t="s">
        <v>122</v>
      </c>
      <c r="L2521" t="s">
        <v>103</v>
      </c>
      <c r="M2521" t="s">
        <v>103</v>
      </c>
    </row>
    <row r="2522" spans="1:13" x14ac:dyDescent="0.3">
      <c r="A2522" t="s">
        <v>26</v>
      </c>
      <c r="B2522" t="s">
        <v>198</v>
      </c>
      <c r="C2522">
        <v>41</v>
      </c>
      <c r="D2522" t="s">
        <v>769</v>
      </c>
      <c r="E2522" t="s">
        <v>103</v>
      </c>
      <c r="F2522" t="s">
        <v>94</v>
      </c>
      <c r="G2522" t="s">
        <v>113</v>
      </c>
      <c r="H2522" t="s">
        <v>123</v>
      </c>
      <c r="I2522" t="s">
        <v>601</v>
      </c>
      <c r="J2522" t="s">
        <v>103</v>
      </c>
      <c r="K2522" t="s">
        <v>103</v>
      </c>
      <c r="L2522" t="s">
        <v>103</v>
      </c>
      <c r="M2522" t="s">
        <v>103</v>
      </c>
    </row>
    <row r="2523" spans="1:13" x14ac:dyDescent="0.3">
      <c r="A2523" t="s">
        <v>26</v>
      </c>
      <c r="B2523" t="s">
        <v>199</v>
      </c>
      <c r="C2523">
        <v>436</v>
      </c>
      <c r="D2523" t="s">
        <v>176</v>
      </c>
      <c r="E2523" t="s">
        <v>103</v>
      </c>
      <c r="F2523" t="s">
        <v>345</v>
      </c>
      <c r="G2523" t="s">
        <v>112</v>
      </c>
      <c r="H2523" t="s">
        <v>531</v>
      </c>
      <c r="I2523" t="s">
        <v>329</v>
      </c>
      <c r="J2523" t="s">
        <v>122</v>
      </c>
      <c r="K2523" t="s">
        <v>208</v>
      </c>
      <c r="L2523" t="s">
        <v>103</v>
      </c>
      <c r="M2523" t="s">
        <v>103</v>
      </c>
    </row>
    <row r="2524" spans="1:13" x14ac:dyDescent="0.3">
      <c r="A2524" t="s">
        <v>29</v>
      </c>
      <c r="B2524" t="s">
        <v>198</v>
      </c>
      <c r="C2524">
        <v>170</v>
      </c>
      <c r="D2524" t="s">
        <v>851</v>
      </c>
      <c r="E2524" t="s">
        <v>103</v>
      </c>
      <c r="F2524" t="s">
        <v>103</v>
      </c>
      <c r="G2524" t="s">
        <v>95</v>
      </c>
      <c r="H2524" t="s">
        <v>95</v>
      </c>
      <c r="I2524" t="s">
        <v>281</v>
      </c>
      <c r="J2524" t="s">
        <v>103</v>
      </c>
      <c r="K2524" t="s">
        <v>216</v>
      </c>
      <c r="L2524" t="s">
        <v>98</v>
      </c>
      <c r="M2524" t="s">
        <v>103</v>
      </c>
    </row>
    <row r="2525" spans="1:13" x14ac:dyDescent="0.3">
      <c r="A2525" t="s">
        <v>29</v>
      </c>
      <c r="B2525" t="s">
        <v>199</v>
      </c>
      <c r="C2525">
        <v>360</v>
      </c>
      <c r="D2525" t="s">
        <v>783</v>
      </c>
      <c r="E2525" t="s">
        <v>103</v>
      </c>
      <c r="F2525" t="s">
        <v>97</v>
      </c>
      <c r="G2525" t="s">
        <v>257</v>
      </c>
      <c r="H2525" t="s">
        <v>466</v>
      </c>
      <c r="I2525" t="s">
        <v>125</v>
      </c>
      <c r="J2525" t="s">
        <v>103</v>
      </c>
      <c r="K2525" t="s">
        <v>245</v>
      </c>
      <c r="L2525" t="s">
        <v>91</v>
      </c>
      <c r="M2525" t="s">
        <v>103</v>
      </c>
    </row>
    <row r="2526" spans="1:13" x14ac:dyDescent="0.3">
      <c r="A2526" t="s">
        <v>28</v>
      </c>
      <c r="B2526" t="s">
        <v>198</v>
      </c>
      <c r="C2526">
        <v>70</v>
      </c>
      <c r="D2526" t="s">
        <v>193</v>
      </c>
      <c r="E2526" t="s">
        <v>103</v>
      </c>
      <c r="F2526" t="s">
        <v>103</v>
      </c>
      <c r="G2526" t="s">
        <v>329</v>
      </c>
      <c r="H2526" t="s">
        <v>615</v>
      </c>
      <c r="I2526" t="s">
        <v>281</v>
      </c>
      <c r="J2526" t="s">
        <v>103</v>
      </c>
      <c r="K2526" t="s">
        <v>103</v>
      </c>
      <c r="L2526" t="s">
        <v>103</v>
      </c>
      <c r="M2526" t="s">
        <v>103</v>
      </c>
    </row>
    <row r="2527" spans="1:13" x14ac:dyDescent="0.3">
      <c r="A2527" t="s">
        <v>28</v>
      </c>
      <c r="B2527" t="s">
        <v>199</v>
      </c>
      <c r="C2527">
        <v>247</v>
      </c>
      <c r="D2527" t="s">
        <v>1144</v>
      </c>
      <c r="E2527" t="s">
        <v>103</v>
      </c>
      <c r="F2527" t="s">
        <v>239</v>
      </c>
      <c r="G2527" t="s">
        <v>468</v>
      </c>
      <c r="H2527" t="s">
        <v>245</v>
      </c>
      <c r="I2527" t="s">
        <v>629</v>
      </c>
      <c r="J2527" t="s">
        <v>66</v>
      </c>
      <c r="K2527" t="s">
        <v>194</v>
      </c>
      <c r="L2527" t="s">
        <v>452</v>
      </c>
      <c r="M2527" t="s">
        <v>103</v>
      </c>
    </row>
    <row r="2528" spans="1:13" x14ac:dyDescent="0.3">
      <c r="A2528" t="s">
        <v>27</v>
      </c>
      <c r="B2528" t="s">
        <v>198</v>
      </c>
      <c r="C2528">
        <v>136</v>
      </c>
      <c r="D2528" t="s">
        <v>159</v>
      </c>
      <c r="E2528" t="s">
        <v>103</v>
      </c>
      <c r="F2528" t="s">
        <v>103</v>
      </c>
      <c r="G2528" t="s">
        <v>103</v>
      </c>
      <c r="H2528" t="s">
        <v>95</v>
      </c>
      <c r="I2528" t="s">
        <v>652</v>
      </c>
      <c r="J2528" t="s">
        <v>103</v>
      </c>
      <c r="K2528" t="s">
        <v>103</v>
      </c>
      <c r="L2528" t="s">
        <v>103</v>
      </c>
      <c r="M2528" t="s">
        <v>103</v>
      </c>
    </row>
    <row r="2529" spans="1:13" x14ac:dyDescent="0.3">
      <c r="A2529" t="s">
        <v>27</v>
      </c>
      <c r="B2529" t="s">
        <v>199</v>
      </c>
      <c r="C2529">
        <v>164</v>
      </c>
      <c r="D2529" t="s">
        <v>215</v>
      </c>
      <c r="E2529" t="s">
        <v>103</v>
      </c>
      <c r="F2529" t="s">
        <v>103</v>
      </c>
      <c r="G2529" t="s">
        <v>278</v>
      </c>
      <c r="H2529" t="s">
        <v>345</v>
      </c>
      <c r="I2529" t="s">
        <v>232</v>
      </c>
      <c r="J2529" t="s">
        <v>103</v>
      </c>
      <c r="K2529" t="s">
        <v>282</v>
      </c>
      <c r="L2529" t="s">
        <v>103</v>
      </c>
      <c r="M2529" t="s">
        <v>103</v>
      </c>
    </row>
    <row r="2530" spans="1:13" x14ac:dyDescent="0.3">
      <c r="A2530" t="s">
        <v>41</v>
      </c>
      <c r="B2530" t="s">
        <v>198</v>
      </c>
      <c r="C2530">
        <v>521</v>
      </c>
      <c r="D2530" t="s">
        <v>828</v>
      </c>
      <c r="E2530" t="s">
        <v>103</v>
      </c>
      <c r="F2530" t="s">
        <v>95</v>
      </c>
      <c r="G2530" t="s">
        <v>216</v>
      </c>
      <c r="H2530" t="s">
        <v>208</v>
      </c>
      <c r="I2530" t="s">
        <v>281</v>
      </c>
      <c r="J2530" t="s">
        <v>103</v>
      </c>
      <c r="K2530" t="s">
        <v>216</v>
      </c>
      <c r="L2530" t="s">
        <v>120</v>
      </c>
      <c r="M2530" t="s">
        <v>103</v>
      </c>
    </row>
    <row r="2531" spans="1:13" x14ac:dyDescent="0.3">
      <c r="A2531" t="s">
        <v>41</v>
      </c>
      <c r="B2531" t="s">
        <v>199</v>
      </c>
      <c r="C2531">
        <v>1517</v>
      </c>
      <c r="D2531" t="s">
        <v>712</v>
      </c>
      <c r="E2531" t="s">
        <v>103</v>
      </c>
      <c r="F2531" t="s">
        <v>139</v>
      </c>
      <c r="G2531" t="s">
        <v>591</v>
      </c>
      <c r="H2531" t="s">
        <v>33</v>
      </c>
      <c r="I2531" t="s">
        <v>195</v>
      </c>
      <c r="J2531" t="s">
        <v>91</v>
      </c>
      <c r="K2531" t="s">
        <v>239</v>
      </c>
      <c r="L2531" t="s">
        <v>116</v>
      </c>
      <c r="M2531" t="s">
        <v>103</v>
      </c>
    </row>
    <row r="2533" spans="1:13" x14ac:dyDescent="0.3">
      <c r="A2533" t="s">
        <v>1311</v>
      </c>
    </row>
    <row r="2534" spans="1:13" x14ac:dyDescent="0.3">
      <c r="A2534" t="s">
        <v>36</v>
      </c>
      <c r="B2534" t="s">
        <v>210</v>
      </c>
      <c r="C2534" t="s">
        <v>24</v>
      </c>
      <c r="D2534" t="s">
        <v>1297</v>
      </c>
      <c r="E2534" t="s">
        <v>1268</v>
      </c>
      <c r="F2534" t="s">
        <v>1298</v>
      </c>
      <c r="G2534" t="s">
        <v>1299</v>
      </c>
      <c r="H2534" t="s">
        <v>1300</v>
      </c>
      <c r="I2534" t="s">
        <v>1301</v>
      </c>
      <c r="J2534" t="s">
        <v>1302</v>
      </c>
      <c r="K2534" t="s">
        <v>1303</v>
      </c>
      <c r="L2534" t="s">
        <v>87</v>
      </c>
      <c r="M2534" t="s">
        <v>181</v>
      </c>
    </row>
    <row r="2535" spans="1:13" x14ac:dyDescent="0.3">
      <c r="A2535" t="s">
        <v>25</v>
      </c>
      <c r="B2535" t="s">
        <v>211</v>
      </c>
      <c r="C2535">
        <v>414</v>
      </c>
      <c r="D2535" t="s">
        <v>885</v>
      </c>
      <c r="E2535" t="s">
        <v>103</v>
      </c>
      <c r="F2535" t="s">
        <v>194</v>
      </c>
      <c r="G2535" t="s">
        <v>70</v>
      </c>
      <c r="H2535" t="s">
        <v>128</v>
      </c>
      <c r="I2535" t="s">
        <v>468</v>
      </c>
      <c r="J2535" t="s">
        <v>103</v>
      </c>
      <c r="K2535" t="s">
        <v>345</v>
      </c>
      <c r="L2535" t="s">
        <v>103</v>
      </c>
      <c r="M2535" t="s">
        <v>103</v>
      </c>
    </row>
    <row r="2536" spans="1:13" x14ac:dyDescent="0.3">
      <c r="A2536" t="s">
        <v>26</v>
      </c>
      <c r="B2536" t="s">
        <v>211</v>
      </c>
      <c r="C2536">
        <v>223</v>
      </c>
      <c r="D2536" t="s">
        <v>841</v>
      </c>
      <c r="E2536" t="s">
        <v>103</v>
      </c>
      <c r="F2536" t="s">
        <v>468</v>
      </c>
      <c r="G2536" t="s">
        <v>216</v>
      </c>
      <c r="H2536" t="s">
        <v>239</v>
      </c>
      <c r="I2536" t="s">
        <v>266</v>
      </c>
      <c r="J2536" t="s">
        <v>103</v>
      </c>
      <c r="K2536" t="s">
        <v>468</v>
      </c>
      <c r="L2536" t="s">
        <v>103</v>
      </c>
      <c r="M2536" t="s">
        <v>103</v>
      </c>
    </row>
    <row r="2537" spans="1:13" x14ac:dyDescent="0.3">
      <c r="A2537" t="s">
        <v>26</v>
      </c>
      <c r="B2537" t="s">
        <v>212</v>
      </c>
      <c r="C2537">
        <v>254</v>
      </c>
      <c r="D2537" t="s">
        <v>769</v>
      </c>
      <c r="E2537" t="s">
        <v>103</v>
      </c>
      <c r="F2537" t="s">
        <v>216</v>
      </c>
      <c r="G2537" t="s">
        <v>601</v>
      </c>
      <c r="H2537" t="s">
        <v>117</v>
      </c>
      <c r="I2537" t="s">
        <v>93</v>
      </c>
      <c r="J2537" t="s">
        <v>95</v>
      </c>
      <c r="K2537" t="s">
        <v>257</v>
      </c>
      <c r="L2537" t="s">
        <v>103</v>
      </c>
      <c r="M2537" t="s">
        <v>103</v>
      </c>
    </row>
    <row r="2538" spans="1:13" x14ac:dyDescent="0.3">
      <c r="A2538" t="s">
        <v>29</v>
      </c>
      <c r="B2538" t="s">
        <v>211</v>
      </c>
      <c r="C2538">
        <v>530</v>
      </c>
      <c r="D2538" t="s">
        <v>170</v>
      </c>
      <c r="E2538" t="s">
        <v>103</v>
      </c>
      <c r="F2538" t="s">
        <v>116</v>
      </c>
      <c r="G2538" t="s">
        <v>341</v>
      </c>
      <c r="H2538" t="s">
        <v>532</v>
      </c>
      <c r="I2538" t="s">
        <v>186</v>
      </c>
      <c r="J2538" t="s">
        <v>103</v>
      </c>
      <c r="K2538" t="s">
        <v>216</v>
      </c>
      <c r="L2538" t="s">
        <v>116</v>
      </c>
      <c r="M2538" t="s">
        <v>103</v>
      </c>
    </row>
    <row r="2539" spans="1:13" x14ac:dyDescent="0.3">
      <c r="A2539" t="s">
        <v>28</v>
      </c>
      <c r="B2539" t="s">
        <v>211</v>
      </c>
      <c r="C2539">
        <v>277</v>
      </c>
      <c r="D2539" t="s">
        <v>739</v>
      </c>
      <c r="E2539" t="s">
        <v>103</v>
      </c>
      <c r="F2539" t="s">
        <v>194</v>
      </c>
      <c r="G2539" t="s">
        <v>216</v>
      </c>
      <c r="H2539" t="s">
        <v>266</v>
      </c>
      <c r="I2539" t="s">
        <v>629</v>
      </c>
      <c r="J2539" t="s">
        <v>66</v>
      </c>
      <c r="K2539" t="s">
        <v>345</v>
      </c>
      <c r="L2539" t="s">
        <v>284</v>
      </c>
      <c r="M2539" t="s">
        <v>103</v>
      </c>
    </row>
    <row r="2540" spans="1:13" x14ac:dyDescent="0.3">
      <c r="A2540" t="s">
        <v>28</v>
      </c>
      <c r="B2540" t="s">
        <v>212</v>
      </c>
      <c r="C2540">
        <v>40</v>
      </c>
      <c r="D2540" t="s">
        <v>192</v>
      </c>
      <c r="E2540" t="s">
        <v>103</v>
      </c>
      <c r="F2540" t="s">
        <v>103</v>
      </c>
      <c r="G2540" t="s">
        <v>103</v>
      </c>
      <c r="H2540" t="s">
        <v>103</v>
      </c>
      <c r="I2540" t="s">
        <v>103</v>
      </c>
      <c r="J2540" t="s">
        <v>103</v>
      </c>
      <c r="K2540" t="s">
        <v>103</v>
      </c>
      <c r="L2540" t="s">
        <v>103</v>
      </c>
      <c r="M2540" t="s">
        <v>103</v>
      </c>
    </row>
    <row r="2541" spans="1:13" x14ac:dyDescent="0.3">
      <c r="A2541" t="s">
        <v>27</v>
      </c>
      <c r="B2541" t="s">
        <v>211</v>
      </c>
      <c r="C2541">
        <v>270</v>
      </c>
      <c r="D2541" t="s">
        <v>158</v>
      </c>
      <c r="E2541" t="s">
        <v>103</v>
      </c>
      <c r="F2541" t="s">
        <v>103</v>
      </c>
      <c r="G2541" t="s">
        <v>64</v>
      </c>
      <c r="H2541" t="s">
        <v>98</v>
      </c>
      <c r="I2541" t="s">
        <v>737</v>
      </c>
      <c r="J2541" t="s">
        <v>103</v>
      </c>
      <c r="K2541" t="s">
        <v>97</v>
      </c>
      <c r="L2541" t="s">
        <v>103</v>
      </c>
      <c r="M2541" t="s">
        <v>103</v>
      </c>
    </row>
    <row r="2542" spans="1:13" s="3" customFormat="1" x14ac:dyDescent="0.3">
      <c r="A2542" s="3" t="s">
        <v>27</v>
      </c>
      <c r="B2542" s="3" t="s">
        <v>212</v>
      </c>
      <c r="C2542" s="3">
        <v>30</v>
      </c>
      <c r="D2542" s="3" t="s">
        <v>192</v>
      </c>
      <c r="E2542" s="3" t="s">
        <v>103</v>
      </c>
      <c r="F2542" s="3" t="s">
        <v>103</v>
      </c>
      <c r="G2542" s="3" t="s">
        <v>103</v>
      </c>
      <c r="H2542" s="3" t="s">
        <v>103</v>
      </c>
      <c r="I2542" s="3" t="s">
        <v>103</v>
      </c>
      <c r="J2542" s="3" t="s">
        <v>103</v>
      </c>
      <c r="K2542" s="3" t="s">
        <v>103</v>
      </c>
      <c r="L2542" s="3" t="s">
        <v>103</v>
      </c>
      <c r="M2542" s="3" t="s">
        <v>103</v>
      </c>
    </row>
    <row r="2543" spans="1:13" x14ac:dyDescent="0.3">
      <c r="A2543" t="s">
        <v>41</v>
      </c>
      <c r="B2543" t="s">
        <v>211</v>
      </c>
      <c r="C2543">
        <v>1714</v>
      </c>
      <c r="D2543" t="s">
        <v>818</v>
      </c>
      <c r="E2543" t="s">
        <v>103</v>
      </c>
      <c r="F2543" t="s">
        <v>95</v>
      </c>
      <c r="G2543" t="s">
        <v>266</v>
      </c>
      <c r="H2543" t="s">
        <v>467</v>
      </c>
      <c r="I2543" t="s">
        <v>493</v>
      </c>
      <c r="J2543" t="s">
        <v>103</v>
      </c>
      <c r="K2543" t="s">
        <v>110</v>
      </c>
      <c r="L2543" t="s">
        <v>122</v>
      </c>
      <c r="M2543" t="s">
        <v>103</v>
      </c>
    </row>
    <row r="2544" spans="1:13" x14ac:dyDescent="0.3">
      <c r="A2544" t="s">
        <v>41</v>
      </c>
      <c r="B2544" t="s">
        <v>212</v>
      </c>
      <c r="C2544">
        <v>324</v>
      </c>
      <c r="D2544" t="s">
        <v>761</v>
      </c>
      <c r="E2544" t="s">
        <v>103</v>
      </c>
      <c r="F2544" t="s">
        <v>239</v>
      </c>
      <c r="G2544" t="s">
        <v>571</v>
      </c>
      <c r="H2544" t="s">
        <v>146</v>
      </c>
      <c r="I2544" t="s">
        <v>329</v>
      </c>
      <c r="J2544" t="s">
        <v>120</v>
      </c>
      <c r="K2544" t="s">
        <v>118</v>
      </c>
      <c r="L2544" t="s">
        <v>103</v>
      </c>
      <c r="M2544" t="s">
        <v>103</v>
      </c>
    </row>
    <row r="2546" spans="1:6" x14ac:dyDescent="0.3">
      <c r="A2546" t="s">
        <v>1312</v>
      </c>
    </row>
    <row r="2547" spans="1:6" x14ac:dyDescent="0.3">
      <c r="A2547" t="s">
        <v>36</v>
      </c>
      <c r="B2547" t="s">
        <v>24</v>
      </c>
      <c r="C2547" t="s">
        <v>1313</v>
      </c>
      <c r="D2547" t="s">
        <v>1314</v>
      </c>
      <c r="E2547" t="s">
        <v>1315</v>
      </c>
    </row>
    <row r="2548" spans="1:6" x14ac:dyDescent="0.3">
      <c r="A2548" t="s">
        <v>25</v>
      </c>
      <c r="B2548">
        <v>414</v>
      </c>
      <c r="C2548" t="s">
        <v>495</v>
      </c>
      <c r="D2548" t="s">
        <v>571</v>
      </c>
      <c r="E2548" t="s">
        <v>1316</v>
      </c>
    </row>
    <row r="2549" spans="1:6" x14ac:dyDescent="0.3">
      <c r="A2549" t="s">
        <v>26</v>
      </c>
      <c r="B2549">
        <v>477</v>
      </c>
      <c r="C2549" t="s">
        <v>547</v>
      </c>
      <c r="D2549" t="s">
        <v>918</v>
      </c>
      <c r="E2549" t="s">
        <v>356</v>
      </c>
    </row>
    <row r="2550" spans="1:6" x14ac:dyDescent="0.3">
      <c r="A2550" t="s">
        <v>29</v>
      </c>
      <c r="B2550">
        <v>530</v>
      </c>
      <c r="C2550" t="s">
        <v>552</v>
      </c>
      <c r="D2550" t="s">
        <v>130</v>
      </c>
      <c r="E2550" t="s">
        <v>979</v>
      </c>
    </row>
    <row r="2551" spans="1:6" x14ac:dyDescent="0.3">
      <c r="A2551" t="s">
        <v>28</v>
      </c>
      <c r="B2551">
        <v>317</v>
      </c>
      <c r="C2551" t="s">
        <v>568</v>
      </c>
      <c r="D2551" t="s">
        <v>205</v>
      </c>
      <c r="E2551" t="s">
        <v>1317</v>
      </c>
    </row>
    <row r="2552" spans="1:6" x14ac:dyDescent="0.3">
      <c r="A2552" t="s">
        <v>27</v>
      </c>
      <c r="B2552">
        <v>300</v>
      </c>
      <c r="C2552" t="s">
        <v>579</v>
      </c>
      <c r="D2552" t="s">
        <v>1212</v>
      </c>
      <c r="E2552" t="s">
        <v>396</v>
      </c>
    </row>
    <row r="2553" spans="1:6" x14ac:dyDescent="0.3">
      <c r="A2553" t="s">
        <v>41</v>
      </c>
      <c r="B2553">
        <v>2038</v>
      </c>
      <c r="C2553" t="s">
        <v>256</v>
      </c>
      <c r="D2553" t="s">
        <v>148</v>
      </c>
      <c r="E2553" t="s">
        <v>926</v>
      </c>
    </row>
    <row r="2555" spans="1:6" x14ac:dyDescent="0.3">
      <c r="A2555" t="s">
        <v>1318</v>
      </c>
    </row>
    <row r="2556" spans="1:6" x14ac:dyDescent="0.3">
      <c r="A2556" t="s">
        <v>36</v>
      </c>
      <c r="B2556" t="s">
        <v>307</v>
      </c>
      <c r="C2556" t="s">
        <v>24</v>
      </c>
      <c r="D2556" t="s">
        <v>1313</v>
      </c>
      <c r="E2556" t="s">
        <v>1314</v>
      </c>
      <c r="F2556" t="s">
        <v>1315</v>
      </c>
    </row>
    <row r="2557" spans="1:6" x14ac:dyDescent="0.3">
      <c r="A2557" t="s">
        <v>25</v>
      </c>
      <c r="B2557" t="s">
        <v>291</v>
      </c>
      <c r="C2557">
        <v>156</v>
      </c>
      <c r="D2557" t="s">
        <v>1319</v>
      </c>
      <c r="E2557" t="s">
        <v>125</v>
      </c>
      <c r="F2557" t="s">
        <v>1320</v>
      </c>
    </row>
    <row r="2558" spans="1:6" x14ac:dyDescent="0.3">
      <c r="A2558" t="s">
        <v>25</v>
      </c>
      <c r="B2558" t="s">
        <v>292</v>
      </c>
      <c r="C2558">
        <v>254</v>
      </c>
      <c r="D2558" t="s">
        <v>162</v>
      </c>
      <c r="E2558" t="s">
        <v>157</v>
      </c>
      <c r="F2558" t="s">
        <v>296</v>
      </c>
    </row>
    <row r="2559" spans="1:6" x14ac:dyDescent="0.3">
      <c r="A2559" t="s">
        <v>25</v>
      </c>
      <c r="B2559" t="s">
        <v>308</v>
      </c>
      <c r="C2559">
        <v>4</v>
      </c>
      <c r="D2559" t="s">
        <v>103</v>
      </c>
      <c r="E2559" t="s">
        <v>693</v>
      </c>
      <c r="F2559" t="s">
        <v>240</v>
      </c>
    </row>
    <row r="2560" spans="1:6" x14ac:dyDescent="0.3">
      <c r="A2560" t="s">
        <v>26</v>
      </c>
      <c r="B2560" t="s">
        <v>291</v>
      </c>
      <c r="C2560">
        <v>122</v>
      </c>
      <c r="D2560" t="s">
        <v>474</v>
      </c>
      <c r="E2560" t="s">
        <v>90</v>
      </c>
      <c r="F2560" t="s">
        <v>1017</v>
      </c>
    </row>
    <row r="2561" spans="1:6" x14ac:dyDescent="0.3">
      <c r="A2561" t="s">
        <v>26</v>
      </c>
      <c r="B2561" t="s">
        <v>292</v>
      </c>
      <c r="C2561">
        <v>352</v>
      </c>
      <c r="D2561" t="s">
        <v>746</v>
      </c>
      <c r="E2561" t="s">
        <v>171</v>
      </c>
      <c r="F2561" t="s">
        <v>419</v>
      </c>
    </row>
    <row r="2562" spans="1:6" x14ac:dyDescent="0.3">
      <c r="A2562" t="s">
        <v>26</v>
      </c>
      <c r="B2562" t="s">
        <v>308</v>
      </c>
      <c r="C2562">
        <v>3</v>
      </c>
      <c r="D2562" t="s">
        <v>103</v>
      </c>
      <c r="E2562" t="s">
        <v>103</v>
      </c>
      <c r="F2562" t="s">
        <v>192</v>
      </c>
    </row>
    <row r="2563" spans="1:6" x14ac:dyDescent="0.3">
      <c r="A2563" t="s">
        <v>29</v>
      </c>
      <c r="B2563" t="s">
        <v>291</v>
      </c>
      <c r="C2563">
        <v>205</v>
      </c>
      <c r="D2563" t="s">
        <v>681</v>
      </c>
      <c r="E2563" t="s">
        <v>566</v>
      </c>
      <c r="F2563" t="s">
        <v>1283</v>
      </c>
    </row>
    <row r="2564" spans="1:6" x14ac:dyDescent="0.3">
      <c r="A2564" t="s">
        <v>29</v>
      </c>
      <c r="B2564" t="s">
        <v>292</v>
      </c>
      <c r="C2564">
        <v>325</v>
      </c>
      <c r="D2564" t="s">
        <v>1219</v>
      </c>
      <c r="E2564" t="s">
        <v>244</v>
      </c>
      <c r="F2564" t="s">
        <v>1047</v>
      </c>
    </row>
    <row r="2565" spans="1:6" x14ac:dyDescent="0.3">
      <c r="A2565" t="s">
        <v>28</v>
      </c>
      <c r="B2565" t="s">
        <v>291</v>
      </c>
      <c r="C2565">
        <v>114</v>
      </c>
      <c r="D2565" t="s">
        <v>409</v>
      </c>
      <c r="E2565" t="s">
        <v>543</v>
      </c>
      <c r="F2565" t="s">
        <v>377</v>
      </c>
    </row>
    <row r="2566" spans="1:6" x14ac:dyDescent="0.3">
      <c r="A2566" t="s">
        <v>28</v>
      </c>
      <c r="B2566" t="s">
        <v>292</v>
      </c>
      <c r="C2566">
        <v>191</v>
      </c>
      <c r="D2566" t="s">
        <v>680</v>
      </c>
      <c r="E2566" t="s">
        <v>531</v>
      </c>
      <c r="F2566" t="s">
        <v>252</v>
      </c>
    </row>
    <row r="2567" spans="1:6" x14ac:dyDescent="0.3">
      <c r="A2567" t="s">
        <v>28</v>
      </c>
      <c r="B2567" t="s">
        <v>308</v>
      </c>
      <c r="C2567">
        <v>12</v>
      </c>
      <c r="D2567" t="s">
        <v>268</v>
      </c>
      <c r="E2567" t="s">
        <v>483</v>
      </c>
      <c r="F2567" t="s">
        <v>1321</v>
      </c>
    </row>
    <row r="2568" spans="1:6" x14ac:dyDescent="0.3">
      <c r="A2568" t="s">
        <v>27</v>
      </c>
      <c r="B2568" t="s">
        <v>291</v>
      </c>
      <c r="C2568">
        <v>95</v>
      </c>
      <c r="D2568" t="s">
        <v>526</v>
      </c>
      <c r="E2568" t="s">
        <v>303</v>
      </c>
      <c r="F2568" t="s">
        <v>375</v>
      </c>
    </row>
    <row r="2569" spans="1:6" x14ac:dyDescent="0.3">
      <c r="A2569" t="s">
        <v>27</v>
      </c>
      <c r="B2569" t="s">
        <v>292</v>
      </c>
      <c r="C2569">
        <v>198</v>
      </c>
      <c r="D2569" t="s">
        <v>819</v>
      </c>
      <c r="E2569" t="s">
        <v>535</v>
      </c>
      <c r="F2569" t="s">
        <v>627</v>
      </c>
    </row>
    <row r="2570" spans="1:6" x14ac:dyDescent="0.3">
      <c r="A2570" t="s">
        <v>27</v>
      </c>
      <c r="B2570" t="s">
        <v>308</v>
      </c>
      <c r="C2570">
        <v>7</v>
      </c>
      <c r="D2570" t="s">
        <v>488</v>
      </c>
      <c r="E2570" t="s">
        <v>1322</v>
      </c>
      <c r="F2570" t="s">
        <v>131</v>
      </c>
    </row>
    <row r="2571" spans="1:6" x14ac:dyDescent="0.3">
      <c r="A2571" t="s">
        <v>41</v>
      </c>
      <c r="B2571" t="s">
        <v>291</v>
      </c>
      <c r="C2571">
        <v>692</v>
      </c>
      <c r="D2571" t="s">
        <v>514</v>
      </c>
      <c r="E2571" t="s">
        <v>104</v>
      </c>
      <c r="F2571" t="s">
        <v>787</v>
      </c>
    </row>
    <row r="2572" spans="1:6" x14ac:dyDescent="0.3">
      <c r="A2572" t="s">
        <v>41</v>
      </c>
      <c r="B2572" t="s">
        <v>292</v>
      </c>
      <c r="C2572">
        <v>1320</v>
      </c>
      <c r="D2572" t="s">
        <v>568</v>
      </c>
      <c r="E2572" t="s">
        <v>925</v>
      </c>
      <c r="F2572" t="s">
        <v>801</v>
      </c>
    </row>
    <row r="2573" spans="1:6" x14ac:dyDescent="0.3">
      <c r="A2573" t="s">
        <v>41</v>
      </c>
      <c r="B2573" t="s">
        <v>308</v>
      </c>
      <c r="C2573">
        <v>26</v>
      </c>
      <c r="D2573" t="s">
        <v>494</v>
      </c>
      <c r="E2573" t="s">
        <v>927</v>
      </c>
      <c r="F2573" t="s">
        <v>428</v>
      </c>
    </row>
    <row r="2575" spans="1:6" x14ac:dyDescent="0.3">
      <c r="A2575" t="s">
        <v>1323</v>
      </c>
    </row>
    <row r="2576" spans="1:6" x14ac:dyDescent="0.3">
      <c r="A2576" t="s">
        <v>36</v>
      </c>
      <c r="B2576" t="s">
        <v>310</v>
      </c>
      <c r="C2576" t="s">
        <v>24</v>
      </c>
      <c r="D2576" t="s">
        <v>1313</v>
      </c>
      <c r="E2576" t="s">
        <v>1314</v>
      </c>
      <c r="F2576" t="s">
        <v>1315</v>
      </c>
    </row>
    <row r="2577" spans="1:6" x14ac:dyDescent="0.3">
      <c r="A2577" t="s">
        <v>25</v>
      </c>
      <c r="B2577" t="s">
        <v>311</v>
      </c>
      <c r="C2577">
        <v>324</v>
      </c>
      <c r="D2577" t="s">
        <v>750</v>
      </c>
      <c r="E2577" t="s">
        <v>601</v>
      </c>
      <c r="F2577" t="s">
        <v>985</v>
      </c>
    </row>
    <row r="2578" spans="1:6" x14ac:dyDescent="0.3">
      <c r="A2578" t="s">
        <v>25</v>
      </c>
      <c r="B2578" t="s">
        <v>312</v>
      </c>
      <c r="C2578">
        <v>80</v>
      </c>
      <c r="D2578" t="s">
        <v>813</v>
      </c>
      <c r="E2578" t="s">
        <v>251</v>
      </c>
      <c r="F2578" t="s">
        <v>156</v>
      </c>
    </row>
    <row r="2579" spans="1:6" x14ac:dyDescent="0.3">
      <c r="A2579" t="s">
        <v>25</v>
      </c>
      <c r="B2579" t="s">
        <v>308</v>
      </c>
      <c r="C2579">
        <v>10</v>
      </c>
      <c r="D2579" t="s">
        <v>1196</v>
      </c>
      <c r="E2579" t="s">
        <v>108</v>
      </c>
      <c r="F2579" t="s">
        <v>1278</v>
      </c>
    </row>
    <row r="2580" spans="1:6" x14ac:dyDescent="0.3">
      <c r="A2580" t="s">
        <v>26</v>
      </c>
      <c r="B2580" t="s">
        <v>311</v>
      </c>
      <c r="C2580">
        <v>343</v>
      </c>
      <c r="D2580" t="s">
        <v>31</v>
      </c>
      <c r="E2580" t="s">
        <v>117</v>
      </c>
      <c r="F2580" t="s">
        <v>1321</v>
      </c>
    </row>
    <row r="2581" spans="1:6" x14ac:dyDescent="0.3">
      <c r="A2581" t="s">
        <v>26</v>
      </c>
      <c r="B2581" t="s">
        <v>312</v>
      </c>
      <c r="C2581">
        <v>96</v>
      </c>
      <c r="D2581" t="s">
        <v>681</v>
      </c>
      <c r="E2581" t="s">
        <v>470</v>
      </c>
      <c r="F2581" t="s">
        <v>235</v>
      </c>
    </row>
    <row r="2582" spans="1:6" x14ac:dyDescent="0.3">
      <c r="A2582" t="s">
        <v>26</v>
      </c>
      <c r="B2582" t="s">
        <v>308</v>
      </c>
      <c r="C2582">
        <v>38</v>
      </c>
      <c r="D2582" t="s">
        <v>474</v>
      </c>
      <c r="E2582" t="s">
        <v>273</v>
      </c>
      <c r="F2582" t="s">
        <v>1047</v>
      </c>
    </row>
    <row r="2583" spans="1:6" x14ac:dyDescent="0.3">
      <c r="A2583" t="s">
        <v>29</v>
      </c>
      <c r="B2583" t="s">
        <v>311</v>
      </c>
      <c r="C2583">
        <v>414</v>
      </c>
      <c r="D2583" t="s">
        <v>568</v>
      </c>
      <c r="E2583" t="s">
        <v>495</v>
      </c>
      <c r="F2583" t="s">
        <v>304</v>
      </c>
    </row>
    <row r="2584" spans="1:6" x14ac:dyDescent="0.3">
      <c r="A2584" t="s">
        <v>29</v>
      </c>
      <c r="B2584" t="s">
        <v>312</v>
      </c>
      <c r="C2584">
        <v>103</v>
      </c>
      <c r="D2584" t="s">
        <v>819</v>
      </c>
      <c r="E2584" t="s">
        <v>214</v>
      </c>
      <c r="F2584" t="s">
        <v>1324</v>
      </c>
    </row>
    <row r="2585" spans="1:6" x14ac:dyDescent="0.3">
      <c r="A2585" t="s">
        <v>29</v>
      </c>
      <c r="B2585" t="s">
        <v>308</v>
      </c>
      <c r="C2585">
        <v>13</v>
      </c>
      <c r="D2585" t="s">
        <v>464</v>
      </c>
      <c r="E2585" t="s">
        <v>649</v>
      </c>
      <c r="F2585" t="s">
        <v>1032</v>
      </c>
    </row>
    <row r="2586" spans="1:6" x14ac:dyDescent="0.3">
      <c r="A2586" t="s">
        <v>28</v>
      </c>
      <c r="B2586" t="s">
        <v>311</v>
      </c>
      <c r="C2586">
        <v>223</v>
      </c>
      <c r="D2586" t="s">
        <v>461</v>
      </c>
      <c r="E2586" t="s">
        <v>242</v>
      </c>
      <c r="F2586" t="s">
        <v>1133</v>
      </c>
    </row>
    <row r="2587" spans="1:6" x14ac:dyDescent="0.3">
      <c r="A2587" t="s">
        <v>28</v>
      </c>
      <c r="B2587" t="s">
        <v>312</v>
      </c>
      <c r="C2587">
        <v>93</v>
      </c>
      <c r="D2587" t="s">
        <v>232</v>
      </c>
      <c r="E2587" t="s">
        <v>254</v>
      </c>
      <c r="F2587" t="s">
        <v>174</v>
      </c>
    </row>
    <row r="2588" spans="1:6" x14ac:dyDescent="0.3">
      <c r="A2588" t="s">
        <v>28</v>
      </c>
      <c r="B2588" t="s">
        <v>308</v>
      </c>
      <c r="C2588">
        <v>1</v>
      </c>
      <c r="D2588" t="s">
        <v>103</v>
      </c>
      <c r="E2588" t="s">
        <v>103</v>
      </c>
      <c r="F2588" t="s">
        <v>192</v>
      </c>
    </row>
    <row r="2589" spans="1:6" x14ac:dyDescent="0.3">
      <c r="A2589" t="s">
        <v>27</v>
      </c>
      <c r="B2589" t="s">
        <v>311</v>
      </c>
      <c r="C2589">
        <v>237</v>
      </c>
      <c r="D2589" t="s">
        <v>56</v>
      </c>
      <c r="E2589" t="s">
        <v>498</v>
      </c>
      <c r="F2589" t="s">
        <v>404</v>
      </c>
    </row>
    <row r="2590" spans="1:6" x14ac:dyDescent="0.3">
      <c r="A2590" t="s">
        <v>27</v>
      </c>
      <c r="B2590" t="s">
        <v>312</v>
      </c>
      <c r="C2590">
        <v>60</v>
      </c>
      <c r="D2590" t="s">
        <v>521</v>
      </c>
      <c r="E2590" t="s">
        <v>387</v>
      </c>
      <c r="F2590" t="s">
        <v>541</v>
      </c>
    </row>
    <row r="2591" spans="1:6" x14ac:dyDescent="0.3">
      <c r="A2591" t="s">
        <v>27</v>
      </c>
      <c r="B2591" t="s">
        <v>308</v>
      </c>
      <c r="C2591">
        <v>3</v>
      </c>
      <c r="D2591" t="s">
        <v>103</v>
      </c>
      <c r="E2591" t="s">
        <v>527</v>
      </c>
      <c r="F2591" t="s">
        <v>943</v>
      </c>
    </row>
    <row r="2592" spans="1:6" x14ac:dyDescent="0.3">
      <c r="A2592" t="s">
        <v>41</v>
      </c>
      <c r="B2592" t="s">
        <v>311</v>
      </c>
      <c r="C2592">
        <v>1541</v>
      </c>
      <c r="D2592" t="s">
        <v>756</v>
      </c>
      <c r="E2592" t="s">
        <v>171</v>
      </c>
      <c r="F2592" t="s">
        <v>1133</v>
      </c>
    </row>
    <row r="2593" spans="1:6" x14ac:dyDescent="0.3">
      <c r="A2593" t="s">
        <v>41</v>
      </c>
      <c r="B2593" t="s">
        <v>312</v>
      </c>
      <c r="C2593">
        <v>432</v>
      </c>
      <c r="D2593" t="s">
        <v>807</v>
      </c>
      <c r="E2593" t="s">
        <v>652</v>
      </c>
      <c r="F2593" t="s">
        <v>1325</v>
      </c>
    </row>
    <row r="2594" spans="1:6" x14ac:dyDescent="0.3">
      <c r="A2594" t="s">
        <v>41</v>
      </c>
      <c r="B2594" t="s">
        <v>308</v>
      </c>
      <c r="C2594">
        <v>65</v>
      </c>
      <c r="D2594" t="s">
        <v>539</v>
      </c>
      <c r="E2594" t="s">
        <v>813</v>
      </c>
      <c r="F2594" t="s">
        <v>394</v>
      </c>
    </row>
    <row r="2596" spans="1:6" x14ac:dyDescent="0.3">
      <c r="A2596" t="s">
        <v>1326</v>
      </c>
    </row>
    <row r="2597" spans="1:6" x14ac:dyDescent="0.3">
      <c r="A2597" t="s">
        <v>36</v>
      </c>
      <c r="B2597" t="s">
        <v>197</v>
      </c>
      <c r="C2597" t="s">
        <v>24</v>
      </c>
      <c r="D2597" t="s">
        <v>1313</v>
      </c>
      <c r="E2597" t="s">
        <v>1314</v>
      </c>
      <c r="F2597" t="s">
        <v>1315</v>
      </c>
    </row>
    <row r="2598" spans="1:6" x14ac:dyDescent="0.3">
      <c r="A2598" t="s">
        <v>25</v>
      </c>
      <c r="B2598" t="s">
        <v>198</v>
      </c>
      <c r="C2598">
        <v>104</v>
      </c>
      <c r="D2598" t="s">
        <v>695</v>
      </c>
      <c r="E2598" t="s">
        <v>568</v>
      </c>
      <c r="F2598" t="s">
        <v>1327</v>
      </c>
    </row>
    <row r="2599" spans="1:6" x14ac:dyDescent="0.3">
      <c r="A2599" t="s">
        <v>25</v>
      </c>
      <c r="B2599" t="s">
        <v>199</v>
      </c>
      <c r="C2599">
        <v>310</v>
      </c>
      <c r="D2599" t="s">
        <v>148</v>
      </c>
      <c r="E2599" t="s">
        <v>281</v>
      </c>
      <c r="F2599" t="s">
        <v>143</v>
      </c>
    </row>
    <row r="2600" spans="1:6" x14ac:dyDescent="0.3">
      <c r="A2600" t="s">
        <v>26</v>
      </c>
      <c r="B2600" t="s">
        <v>198</v>
      </c>
      <c r="C2600">
        <v>41</v>
      </c>
      <c r="D2600" t="s">
        <v>684</v>
      </c>
      <c r="E2600" t="s">
        <v>284</v>
      </c>
      <c r="F2600" t="s">
        <v>1037</v>
      </c>
    </row>
    <row r="2601" spans="1:6" x14ac:dyDescent="0.3">
      <c r="A2601" t="s">
        <v>26</v>
      </c>
      <c r="B2601" t="s">
        <v>199</v>
      </c>
      <c r="C2601">
        <v>436</v>
      </c>
      <c r="D2601" t="s">
        <v>525</v>
      </c>
      <c r="E2601" t="s">
        <v>152</v>
      </c>
      <c r="F2601" t="s">
        <v>304</v>
      </c>
    </row>
    <row r="2602" spans="1:6" x14ac:dyDescent="0.3">
      <c r="A2602" t="s">
        <v>29</v>
      </c>
      <c r="B2602" t="s">
        <v>198</v>
      </c>
      <c r="C2602">
        <v>170</v>
      </c>
      <c r="D2602" t="s">
        <v>477</v>
      </c>
      <c r="E2602" t="s">
        <v>652</v>
      </c>
      <c r="F2602" t="s">
        <v>1328</v>
      </c>
    </row>
    <row r="2603" spans="1:6" x14ac:dyDescent="0.3">
      <c r="A2603" t="s">
        <v>29</v>
      </c>
      <c r="B2603" t="s">
        <v>199</v>
      </c>
      <c r="C2603">
        <v>360</v>
      </c>
      <c r="D2603" t="s">
        <v>268</v>
      </c>
      <c r="E2603" t="s">
        <v>488</v>
      </c>
      <c r="F2603" t="s">
        <v>905</v>
      </c>
    </row>
    <row r="2604" spans="1:6" x14ac:dyDescent="0.3">
      <c r="A2604" t="s">
        <v>28</v>
      </c>
      <c r="B2604" t="s">
        <v>198</v>
      </c>
      <c r="C2604">
        <v>70</v>
      </c>
      <c r="D2604" t="s">
        <v>407</v>
      </c>
      <c r="E2604" t="s">
        <v>108</v>
      </c>
      <c r="F2604" t="s">
        <v>1329</v>
      </c>
    </row>
    <row r="2605" spans="1:6" x14ac:dyDescent="0.3">
      <c r="A2605" t="s">
        <v>28</v>
      </c>
      <c r="B2605" t="s">
        <v>199</v>
      </c>
      <c r="C2605">
        <v>247</v>
      </c>
      <c r="D2605" t="s">
        <v>475</v>
      </c>
      <c r="E2605" t="s">
        <v>90</v>
      </c>
      <c r="F2605" t="s">
        <v>1052</v>
      </c>
    </row>
    <row r="2606" spans="1:6" x14ac:dyDescent="0.3">
      <c r="A2606" t="s">
        <v>27</v>
      </c>
      <c r="B2606" t="s">
        <v>198</v>
      </c>
      <c r="C2606">
        <v>136</v>
      </c>
      <c r="D2606" t="s">
        <v>746</v>
      </c>
      <c r="E2606" t="s">
        <v>626</v>
      </c>
      <c r="F2606" t="s">
        <v>462</v>
      </c>
    </row>
    <row r="2607" spans="1:6" x14ac:dyDescent="0.3">
      <c r="A2607" t="s">
        <v>27</v>
      </c>
      <c r="B2607" t="s">
        <v>199</v>
      </c>
      <c r="C2607">
        <v>164</v>
      </c>
      <c r="D2607" t="s">
        <v>700</v>
      </c>
      <c r="E2607" t="s">
        <v>401</v>
      </c>
      <c r="F2607" t="s">
        <v>655</v>
      </c>
    </row>
    <row r="2608" spans="1:6" x14ac:dyDescent="0.3">
      <c r="A2608" t="s">
        <v>41</v>
      </c>
      <c r="B2608" t="s">
        <v>198</v>
      </c>
      <c r="C2608">
        <v>521</v>
      </c>
      <c r="D2608" t="s">
        <v>52</v>
      </c>
      <c r="E2608" t="s">
        <v>925</v>
      </c>
      <c r="F2608" t="s">
        <v>628</v>
      </c>
    </row>
    <row r="2609" spans="1:7" x14ac:dyDescent="0.3">
      <c r="A2609" t="s">
        <v>41</v>
      </c>
      <c r="B2609" t="s">
        <v>199</v>
      </c>
      <c r="C2609">
        <v>1517</v>
      </c>
      <c r="D2609" t="s">
        <v>474</v>
      </c>
      <c r="E2609" t="s">
        <v>130</v>
      </c>
      <c r="F2609" t="s">
        <v>703</v>
      </c>
    </row>
    <row r="2611" spans="1:7" x14ac:dyDescent="0.3">
      <c r="A2611" t="s">
        <v>1330</v>
      </c>
    </row>
    <row r="2612" spans="1:7" x14ac:dyDescent="0.3">
      <c r="A2612" t="s">
        <v>36</v>
      </c>
      <c r="B2612" t="s">
        <v>24</v>
      </c>
      <c r="C2612" t="s">
        <v>37</v>
      </c>
      <c r="D2612" t="s">
        <v>38</v>
      </c>
      <c r="E2612" t="s">
        <v>39</v>
      </c>
      <c r="F2612" t="s">
        <v>40</v>
      </c>
    </row>
    <row r="2613" spans="1:7" x14ac:dyDescent="0.3">
      <c r="A2613" t="s">
        <v>25</v>
      </c>
      <c r="B2613">
        <v>223</v>
      </c>
      <c r="C2613">
        <v>2.14</v>
      </c>
      <c r="D2613">
        <v>1</v>
      </c>
      <c r="E2613">
        <v>0.17</v>
      </c>
      <c r="F2613">
        <v>13</v>
      </c>
    </row>
    <row r="2614" spans="1:7" x14ac:dyDescent="0.3">
      <c r="A2614" t="s">
        <v>26</v>
      </c>
      <c r="B2614">
        <v>137</v>
      </c>
      <c r="C2614">
        <v>2.08</v>
      </c>
      <c r="D2614">
        <v>1.5</v>
      </c>
      <c r="E2614">
        <v>0</v>
      </c>
      <c r="F2614">
        <v>12</v>
      </c>
    </row>
    <row r="2615" spans="1:7" x14ac:dyDescent="0.3">
      <c r="A2615" t="s">
        <v>29</v>
      </c>
      <c r="B2615">
        <v>353</v>
      </c>
      <c r="C2615">
        <v>1.41</v>
      </c>
      <c r="D2615">
        <v>1</v>
      </c>
      <c r="E2615">
        <v>0.2</v>
      </c>
      <c r="F2615">
        <v>7</v>
      </c>
    </row>
    <row r="2616" spans="1:7" x14ac:dyDescent="0.3">
      <c r="A2616" t="s">
        <v>28</v>
      </c>
      <c r="B2616">
        <v>173</v>
      </c>
      <c r="C2616">
        <v>2.23</v>
      </c>
      <c r="D2616">
        <v>2</v>
      </c>
      <c r="E2616">
        <v>0.33</v>
      </c>
      <c r="F2616">
        <v>5</v>
      </c>
    </row>
    <row r="2617" spans="1:7" x14ac:dyDescent="0.3">
      <c r="A2617" t="s">
        <v>27</v>
      </c>
      <c r="B2617">
        <v>116</v>
      </c>
      <c r="C2617">
        <v>0.43</v>
      </c>
      <c r="D2617">
        <v>0</v>
      </c>
      <c r="E2617">
        <v>0</v>
      </c>
      <c r="F2617">
        <v>3</v>
      </c>
    </row>
    <row r="2618" spans="1:7" x14ac:dyDescent="0.3">
      <c r="A2618" t="s">
        <v>41</v>
      </c>
      <c r="B2618">
        <v>1002</v>
      </c>
      <c r="C2618">
        <v>1.65</v>
      </c>
      <c r="D2618">
        <v>1</v>
      </c>
      <c r="E2618">
        <v>0</v>
      </c>
      <c r="F2618">
        <v>13</v>
      </c>
    </row>
    <row r="2620" spans="1:7" x14ac:dyDescent="0.3">
      <c r="A2620" t="s">
        <v>1331</v>
      </c>
    </row>
    <row r="2621" spans="1:7" x14ac:dyDescent="0.3">
      <c r="A2621" t="s">
        <v>36</v>
      </c>
      <c r="B2621" t="s">
        <v>307</v>
      </c>
      <c r="C2621" t="s">
        <v>24</v>
      </c>
      <c r="D2621" t="s">
        <v>37</v>
      </c>
      <c r="E2621" t="s">
        <v>38</v>
      </c>
      <c r="F2621" t="s">
        <v>39</v>
      </c>
      <c r="G2621" t="s">
        <v>40</v>
      </c>
    </row>
    <row r="2622" spans="1:7" x14ac:dyDescent="0.3">
      <c r="A2622" t="s">
        <v>25</v>
      </c>
      <c r="B2622" t="s">
        <v>291</v>
      </c>
      <c r="C2622">
        <v>76</v>
      </c>
      <c r="D2622">
        <v>1.6</v>
      </c>
      <c r="E2622">
        <v>1</v>
      </c>
      <c r="F2622">
        <v>0.17</v>
      </c>
      <c r="G2622">
        <v>12</v>
      </c>
    </row>
    <row r="2623" spans="1:7" x14ac:dyDescent="0.3">
      <c r="A2623" t="s">
        <v>25</v>
      </c>
      <c r="B2623" t="s">
        <v>292</v>
      </c>
      <c r="C2623">
        <v>144</v>
      </c>
      <c r="D2623">
        <v>2.4500000000000002</v>
      </c>
      <c r="E2623">
        <v>1.5</v>
      </c>
      <c r="F2623">
        <v>0.25</v>
      </c>
      <c r="G2623">
        <v>13</v>
      </c>
    </row>
    <row r="2624" spans="1:7" x14ac:dyDescent="0.3">
      <c r="A2624" t="s">
        <v>25</v>
      </c>
      <c r="B2624" t="s">
        <v>308</v>
      </c>
      <c r="C2624">
        <v>3</v>
      </c>
      <c r="D2624">
        <v>0.81</v>
      </c>
      <c r="E2624">
        <v>0.67</v>
      </c>
      <c r="F2624">
        <v>0.5</v>
      </c>
      <c r="G2624">
        <v>2.33</v>
      </c>
    </row>
    <row r="2625" spans="1:7" x14ac:dyDescent="0.3">
      <c r="A2625" t="s">
        <v>26</v>
      </c>
      <c r="B2625" t="s">
        <v>291</v>
      </c>
      <c r="C2625">
        <v>35</v>
      </c>
      <c r="D2625">
        <v>2.52</v>
      </c>
      <c r="E2625">
        <v>1.5</v>
      </c>
      <c r="F2625">
        <v>0.43</v>
      </c>
      <c r="G2625">
        <v>12</v>
      </c>
    </row>
    <row r="2626" spans="1:7" x14ac:dyDescent="0.3">
      <c r="A2626" t="s">
        <v>26</v>
      </c>
      <c r="B2626" t="s">
        <v>292</v>
      </c>
      <c r="C2626">
        <v>102</v>
      </c>
      <c r="D2626">
        <v>1.96</v>
      </c>
      <c r="E2626">
        <v>1.5</v>
      </c>
      <c r="F2626">
        <v>0</v>
      </c>
      <c r="G2626">
        <v>11</v>
      </c>
    </row>
    <row r="2627" spans="1:7" x14ac:dyDescent="0.3">
      <c r="A2627" t="s">
        <v>29</v>
      </c>
      <c r="B2627" t="s">
        <v>291</v>
      </c>
      <c r="C2627">
        <v>130</v>
      </c>
      <c r="D2627">
        <v>1.43</v>
      </c>
      <c r="E2627">
        <v>1</v>
      </c>
      <c r="F2627">
        <v>0.33</v>
      </c>
      <c r="G2627">
        <v>7</v>
      </c>
    </row>
    <row r="2628" spans="1:7" x14ac:dyDescent="0.3">
      <c r="A2628" t="s">
        <v>29</v>
      </c>
      <c r="B2628" t="s">
        <v>292</v>
      </c>
      <c r="C2628">
        <v>223</v>
      </c>
      <c r="D2628">
        <v>1.39</v>
      </c>
      <c r="E2628">
        <v>1</v>
      </c>
      <c r="F2628">
        <v>0.2</v>
      </c>
      <c r="G2628">
        <v>6.5</v>
      </c>
    </row>
    <row r="2629" spans="1:7" x14ac:dyDescent="0.3">
      <c r="A2629" t="s">
        <v>28</v>
      </c>
      <c r="B2629" t="s">
        <v>291</v>
      </c>
      <c r="C2629">
        <v>66</v>
      </c>
      <c r="D2629">
        <v>2.17</v>
      </c>
      <c r="E2629">
        <v>2</v>
      </c>
      <c r="F2629">
        <v>0.6</v>
      </c>
      <c r="G2629">
        <v>5</v>
      </c>
    </row>
    <row r="2630" spans="1:7" x14ac:dyDescent="0.3">
      <c r="A2630" t="s">
        <v>28</v>
      </c>
      <c r="B2630" t="s">
        <v>292</v>
      </c>
      <c r="C2630">
        <v>105</v>
      </c>
      <c r="D2630">
        <v>2.29</v>
      </c>
      <c r="E2630">
        <v>2</v>
      </c>
      <c r="F2630">
        <v>0.33</v>
      </c>
      <c r="G2630">
        <v>4</v>
      </c>
    </row>
    <row r="2631" spans="1:7" x14ac:dyDescent="0.3">
      <c r="A2631" t="s">
        <v>28</v>
      </c>
      <c r="B2631" t="s">
        <v>308</v>
      </c>
      <c r="C2631">
        <v>2</v>
      </c>
      <c r="D2631">
        <v>1.21</v>
      </c>
      <c r="E2631">
        <v>1.67</v>
      </c>
      <c r="F2631">
        <v>0.8</v>
      </c>
      <c r="G2631">
        <v>1.67</v>
      </c>
    </row>
    <row r="2632" spans="1:7" x14ac:dyDescent="0.3">
      <c r="A2632" t="s">
        <v>27</v>
      </c>
      <c r="B2632" t="s">
        <v>291</v>
      </c>
      <c r="C2632">
        <v>31</v>
      </c>
      <c r="D2632">
        <v>0.4</v>
      </c>
      <c r="E2632">
        <v>0</v>
      </c>
      <c r="F2632">
        <v>0</v>
      </c>
      <c r="G2632">
        <v>3</v>
      </c>
    </row>
    <row r="2633" spans="1:7" x14ac:dyDescent="0.3">
      <c r="A2633" t="s">
        <v>27</v>
      </c>
      <c r="B2633" t="s">
        <v>292</v>
      </c>
      <c r="C2633">
        <v>80</v>
      </c>
      <c r="D2633">
        <v>0.47</v>
      </c>
      <c r="E2633">
        <v>0</v>
      </c>
      <c r="F2633">
        <v>0</v>
      </c>
      <c r="G2633">
        <v>3</v>
      </c>
    </row>
    <row r="2634" spans="1:7" x14ac:dyDescent="0.3">
      <c r="A2634" t="s">
        <v>27</v>
      </c>
      <c r="B2634" t="s">
        <v>308</v>
      </c>
      <c r="C2634">
        <v>5</v>
      </c>
      <c r="D2634">
        <v>0</v>
      </c>
      <c r="E2634">
        <v>0</v>
      </c>
      <c r="F2634">
        <v>0</v>
      </c>
      <c r="G2634">
        <v>0</v>
      </c>
    </row>
    <row r="2635" spans="1:7" x14ac:dyDescent="0.3">
      <c r="A2635" t="s">
        <v>41</v>
      </c>
      <c r="B2635" t="s">
        <v>291</v>
      </c>
      <c r="C2635">
        <v>338</v>
      </c>
      <c r="D2635">
        <v>1.58</v>
      </c>
      <c r="E2635">
        <v>1</v>
      </c>
      <c r="F2635">
        <v>0</v>
      </c>
      <c r="G2635">
        <v>12</v>
      </c>
    </row>
    <row r="2636" spans="1:7" x14ac:dyDescent="0.3">
      <c r="A2636" t="s">
        <v>41</v>
      </c>
      <c r="B2636" t="s">
        <v>292</v>
      </c>
      <c r="C2636">
        <v>654</v>
      </c>
      <c r="D2636">
        <v>1.69</v>
      </c>
      <c r="E2636">
        <v>1</v>
      </c>
      <c r="F2636">
        <v>0</v>
      </c>
      <c r="G2636">
        <v>13</v>
      </c>
    </row>
    <row r="2637" spans="1:7" x14ac:dyDescent="0.3">
      <c r="A2637" t="s">
        <v>41</v>
      </c>
      <c r="B2637" t="s">
        <v>308</v>
      </c>
      <c r="C2637">
        <v>10</v>
      </c>
      <c r="D2637">
        <v>0.54</v>
      </c>
      <c r="E2637">
        <v>0.5</v>
      </c>
      <c r="F2637">
        <v>0</v>
      </c>
      <c r="G2637">
        <v>2.33</v>
      </c>
    </row>
    <row r="2639" spans="1:7" x14ac:dyDescent="0.3">
      <c r="A2639" t="s">
        <v>1332</v>
      </c>
    </row>
    <row r="2640" spans="1:7" x14ac:dyDescent="0.3">
      <c r="A2640" t="s">
        <v>36</v>
      </c>
      <c r="B2640" t="s">
        <v>310</v>
      </c>
      <c r="C2640" t="s">
        <v>24</v>
      </c>
      <c r="D2640" t="s">
        <v>37</v>
      </c>
      <c r="E2640" t="s">
        <v>38</v>
      </c>
      <c r="F2640" t="s">
        <v>39</v>
      </c>
      <c r="G2640" t="s">
        <v>40</v>
      </c>
    </row>
    <row r="2641" spans="1:7" x14ac:dyDescent="0.3">
      <c r="A2641" t="s">
        <v>25</v>
      </c>
      <c r="B2641" t="s">
        <v>311</v>
      </c>
      <c r="C2641">
        <v>179</v>
      </c>
      <c r="D2641">
        <v>2.15</v>
      </c>
      <c r="E2641">
        <v>1</v>
      </c>
      <c r="F2641">
        <v>0.17</v>
      </c>
      <c r="G2641">
        <v>13</v>
      </c>
    </row>
    <row r="2642" spans="1:7" x14ac:dyDescent="0.3">
      <c r="A2642" t="s">
        <v>25</v>
      </c>
      <c r="B2642" t="s">
        <v>312</v>
      </c>
      <c r="C2642">
        <v>44</v>
      </c>
      <c r="D2642">
        <v>2.1</v>
      </c>
      <c r="E2642">
        <v>1.5</v>
      </c>
      <c r="F2642">
        <v>0.33</v>
      </c>
      <c r="G2642">
        <v>9</v>
      </c>
    </row>
    <row r="2643" spans="1:7" x14ac:dyDescent="0.3">
      <c r="A2643" t="s">
        <v>26</v>
      </c>
      <c r="B2643" t="s">
        <v>311</v>
      </c>
      <c r="C2643">
        <v>99</v>
      </c>
      <c r="D2643">
        <v>2.12</v>
      </c>
      <c r="E2643">
        <v>1.5</v>
      </c>
      <c r="F2643">
        <v>0</v>
      </c>
      <c r="G2643">
        <v>12</v>
      </c>
    </row>
    <row r="2644" spans="1:7" s="3" customFormat="1" x14ac:dyDescent="0.3">
      <c r="A2644" s="3" t="s">
        <v>26</v>
      </c>
      <c r="B2644" s="3" t="s">
        <v>312</v>
      </c>
      <c r="C2644" s="3">
        <v>30</v>
      </c>
      <c r="D2644" s="3">
        <v>2.2000000000000002</v>
      </c>
      <c r="E2644" s="3">
        <v>2</v>
      </c>
      <c r="F2644" s="3">
        <v>0.5</v>
      </c>
      <c r="G2644" s="3">
        <v>6</v>
      </c>
    </row>
    <row r="2645" spans="1:7" x14ac:dyDescent="0.3">
      <c r="A2645" t="s">
        <v>26</v>
      </c>
      <c r="B2645" t="s">
        <v>308</v>
      </c>
      <c r="C2645">
        <v>8</v>
      </c>
      <c r="D2645">
        <v>1.3</v>
      </c>
      <c r="E2645">
        <v>1.5</v>
      </c>
      <c r="F2645">
        <v>0.43</v>
      </c>
      <c r="G2645">
        <v>1.75</v>
      </c>
    </row>
    <row r="2646" spans="1:7" x14ac:dyDescent="0.3">
      <c r="A2646" t="s">
        <v>29</v>
      </c>
      <c r="B2646" t="s">
        <v>311</v>
      </c>
      <c r="C2646">
        <v>275</v>
      </c>
      <c r="D2646">
        <v>1.41</v>
      </c>
      <c r="E2646">
        <v>1</v>
      </c>
      <c r="F2646">
        <v>0.2</v>
      </c>
      <c r="G2646">
        <v>7</v>
      </c>
    </row>
    <row r="2647" spans="1:7" x14ac:dyDescent="0.3">
      <c r="A2647" t="s">
        <v>29</v>
      </c>
      <c r="B2647" t="s">
        <v>312</v>
      </c>
      <c r="C2647">
        <v>68</v>
      </c>
      <c r="D2647">
        <v>1.41</v>
      </c>
      <c r="E2647">
        <v>1</v>
      </c>
      <c r="F2647">
        <v>0.5</v>
      </c>
      <c r="G2647">
        <v>6</v>
      </c>
    </row>
    <row r="2648" spans="1:7" x14ac:dyDescent="0.3">
      <c r="A2648" t="s">
        <v>29</v>
      </c>
      <c r="B2648" t="s">
        <v>308</v>
      </c>
      <c r="C2648">
        <v>10</v>
      </c>
      <c r="D2648">
        <v>1.21</v>
      </c>
      <c r="E2648">
        <v>1</v>
      </c>
      <c r="F2648">
        <v>0.31</v>
      </c>
      <c r="G2648">
        <v>4</v>
      </c>
    </row>
    <row r="2649" spans="1:7" x14ac:dyDescent="0.3">
      <c r="A2649" t="s">
        <v>28</v>
      </c>
      <c r="B2649" t="s">
        <v>311</v>
      </c>
      <c r="C2649">
        <v>118</v>
      </c>
      <c r="D2649">
        <v>2.2200000000000002</v>
      </c>
      <c r="E2649">
        <v>2</v>
      </c>
      <c r="F2649">
        <v>0.6</v>
      </c>
      <c r="G2649">
        <v>5</v>
      </c>
    </row>
    <row r="2650" spans="1:7" x14ac:dyDescent="0.3">
      <c r="A2650" t="s">
        <v>28</v>
      </c>
      <c r="B2650" t="s">
        <v>312</v>
      </c>
      <c r="C2650">
        <v>54</v>
      </c>
      <c r="D2650">
        <v>2.2799999999999998</v>
      </c>
      <c r="E2650">
        <v>2</v>
      </c>
      <c r="F2650">
        <v>0.33</v>
      </c>
      <c r="G2650">
        <v>4</v>
      </c>
    </row>
    <row r="2651" spans="1:7" x14ac:dyDescent="0.3">
      <c r="A2651" t="s">
        <v>28</v>
      </c>
      <c r="B2651" t="s">
        <v>308</v>
      </c>
      <c r="C2651">
        <v>1</v>
      </c>
      <c r="D2651">
        <v>1.33</v>
      </c>
      <c r="E2651">
        <v>1.33</v>
      </c>
      <c r="F2651">
        <v>1.33</v>
      </c>
      <c r="G2651">
        <v>1.33</v>
      </c>
    </row>
    <row r="2652" spans="1:7" x14ac:dyDescent="0.3">
      <c r="A2652" t="s">
        <v>27</v>
      </c>
      <c r="B2652" t="s">
        <v>311</v>
      </c>
      <c r="C2652">
        <v>88</v>
      </c>
      <c r="D2652">
        <v>0.38</v>
      </c>
      <c r="E2652">
        <v>0</v>
      </c>
      <c r="F2652">
        <v>0</v>
      </c>
      <c r="G2652">
        <v>3</v>
      </c>
    </row>
    <row r="2653" spans="1:7" s="3" customFormat="1" x14ac:dyDescent="0.3">
      <c r="A2653" s="3" t="s">
        <v>27</v>
      </c>
      <c r="B2653" s="3" t="s">
        <v>312</v>
      </c>
      <c r="C2653" s="3">
        <v>26</v>
      </c>
      <c r="D2653" s="3">
        <v>0.62</v>
      </c>
      <c r="E2653" s="3">
        <v>0</v>
      </c>
      <c r="F2653" s="3">
        <v>0</v>
      </c>
      <c r="G2653" s="3">
        <v>3</v>
      </c>
    </row>
    <row r="2654" spans="1:7" x14ac:dyDescent="0.3">
      <c r="A2654" t="s">
        <v>27</v>
      </c>
      <c r="B2654" t="s">
        <v>308</v>
      </c>
      <c r="C2654">
        <v>2</v>
      </c>
      <c r="D2654">
        <v>1.5</v>
      </c>
      <c r="E2654">
        <v>1.5</v>
      </c>
      <c r="F2654">
        <v>1.5</v>
      </c>
      <c r="G2654">
        <v>1.5</v>
      </c>
    </row>
    <row r="2655" spans="1:7" x14ac:dyDescent="0.3">
      <c r="A2655" t="s">
        <v>41</v>
      </c>
      <c r="B2655" t="s">
        <v>311</v>
      </c>
      <c r="C2655">
        <v>759</v>
      </c>
      <c r="D2655">
        <v>1.65</v>
      </c>
      <c r="E2655">
        <v>1</v>
      </c>
      <c r="F2655">
        <v>0</v>
      </c>
      <c r="G2655">
        <v>13</v>
      </c>
    </row>
    <row r="2656" spans="1:7" x14ac:dyDescent="0.3">
      <c r="A2656" t="s">
        <v>41</v>
      </c>
      <c r="B2656" t="s">
        <v>312</v>
      </c>
      <c r="C2656">
        <v>222</v>
      </c>
      <c r="D2656">
        <v>1.69</v>
      </c>
      <c r="E2656">
        <v>1</v>
      </c>
      <c r="F2656">
        <v>0</v>
      </c>
      <c r="G2656">
        <v>9</v>
      </c>
    </row>
    <row r="2657" spans="1:7" x14ac:dyDescent="0.3">
      <c r="A2657" t="s">
        <v>41</v>
      </c>
      <c r="B2657" t="s">
        <v>308</v>
      </c>
      <c r="C2657">
        <v>21</v>
      </c>
      <c r="D2657">
        <v>1.25</v>
      </c>
      <c r="E2657">
        <v>1</v>
      </c>
      <c r="F2657">
        <v>0.31</v>
      </c>
      <c r="G2657">
        <v>4</v>
      </c>
    </row>
    <row r="2659" spans="1:7" x14ac:dyDescent="0.3">
      <c r="A2659" t="s">
        <v>1333</v>
      </c>
    </row>
    <row r="2660" spans="1:7" x14ac:dyDescent="0.3">
      <c r="A2660" t="s">
        <v>36</v>
      </c>
      <c r="B2660" t="s">
        <v>197</v>
      </c>
      <c r="C2660" t="s">
        <v>24</v>
      </c>
      <c r="D2660" t="s">
        <v>37</v>
      </c>
      <c r="E2660" t="s">
        <v>38</v>
      </c>
      <c r="F2660" t="s">
        <v>39</v>
      </c>
      <c r="G2660" t="s">
        <v>40</v>
      </c>
    </row>
    <row r="2661" spans="1:7" x14ac:dyDescent="0.3">
      <c r="A2661" t="s">
        <v>25</v>
      </c>
      <c r="B2661" t="s">
        <v>198</v>
      </c>
      <c r="C2661">
        <v>60</v>
      </c>
      <c r="D2661">
        <v>2.5</v>
      </c>
      <c r="E2661">
        <v>1.67</v>
      </c>
      <c r="F2661">
        <v>0.17</v>
      </c>
      <c r="G2661">
        <v>12</v>
      </c>
    </row>
    <row r="2662" spans="1:7" x14ac:dyDescent="0.3">
      <c r="A2662" t="s">
        <v>25</v>
      </c>
      <c r="B2662" t="s">
        <v>199</v>
      </c>
      <c r="C2662">
        <v>163</v>
      </c>
      <c r="D2662">
        <v>2.04</v>
      </c>
      <c r="E2662">
        <v>1</v>
      </c>
      <c r="F2662">
        <v>0.25</v>
      </c>
      <c r="G2662">
        <v>13</v>
      </c>
    </row>
    <row r="2663" spans="1:7" s="3" customFormat="1" x14ac:dyDescent="0.3">
      <c r="A2663" s="3" t="s">
        <v>26</v>
      </c>
      <c r="B2663" s="3" t="s">
        <v>198</v>
      </c>
      <c r="C2663" s="3">
        <v>18</v>
      </c>
      <c r="D2663" s="3">
        <v>2.0699999999999998</v>
      </c>
      <c r="E2663" s="3">
        <v>2</v>
      </c>
      <c r="F2663" s="3">
        <v>0.75</v>
      </c>
      <c r="G2663" s="3">
        <v>6</v>
      </c>
    </row>
    <row r="2664" spans="1:7" x14ac:dyDescent="0.3">
      <c r="A2664" t="s">
        <v>26</v>
      </c>
      <c r="B2664" t="s">
        <v>199</v>
      </c>
      <c r="C2664">
        <v>119</v>
      </c>
      <c r="D2664">
        <v>2.09</v>
      </c>
      <c r="E2664">
        <v>1.5</v>
      </c>
      <c r="F2664">
        <v>0</v>
      </c>
      <c r="G2664">
        <v>12</v>
      </c>
    </row>
    <row r="2665" spans="1:7" x14ac:dyDescent="0.3">
      <c r="A2665" t="s">
        <v>29</v>
      </c>
      <c r="B2665" t="s">
        <v>198</v>
      </c>
      <c r="C2665">
        <v>117</v>
      </c>
      <c r="D2665">
        <v>1.46</v>
      </c>
      <c r="E2665">
        <v>1</v>
      </c>
      <c r="F2665">
        <v>0.31</v>
      </c>
      <c r="G2665">
        <v>7</v>
      </c>
    </row>
    <row r="2666" spans="1:7" x14ac:dyDescent="0.3">
      <c r="A2666" t="s">
        <v>29</v>
      </c>
      <c r="B2666" t="s">
        <v>199</v>
      </c>
      <c r="C2666">
        <v>236</v>
      </c>
      <c r="D2666">
        <v>1.38</v>
      </c>
      <c r="E2666">
        <v>1</v>
      </c>
      <c r="F2666">
        <v>0.2</v>
      </c>
      <c r="G2666">
        <v>6.5</v>
      </c>
    </row>
    <row r="2667" spans="1:7" s="3" customFormat="1" x14ac:dyDescent="0.3">
      <c r="A2667" s="3" t="s">
        <v>28</v>
      </c>
      <c r="B2667" s="3" t="s">
        <v>198</v>
      </c>
      <c r="C2667" s="3">
        <v>20</v>
      </c>
      <c r="D2667" s="3">
        <v>1.87</v>
      </c>
      <c r="E2667" s="3">
        <v>1.5</v>
      </c>
      <c r="F2667" s="3">
        <v>0.6</v>
      </c>
      <c r="G2667" s="3">
        <v>4</v>
      </c>
    </row>
    <row r="2668" spans="1:7" x14ac:dyDescent="0.3">
      <c r="A2668" t="s">
        <v>28</v>
      </c>
      <c r="B2668" t="s">
        <v>199</v>
      </c>
      <c r="C2668">
        <v>153</v>
      </c>
      <c r="D2668">
        <v>2.2799999999999998</v>
      </c>
      <c r="E2668">
        <v>2</v>
      </c>
      <c r="F2668">
        <v>0.33</v>
      </c>
      <c r="G2668">
        <v>5</v>
      </c>
    </row>
    <row r="2669" spans="1:7" x14ac:dyDescent="0.3">
      <c r="A2669" t="s">
        <v>27</v>
      </c>
      <c r="B2669" t="s">
        <v>198</v>
      </c>
      <c r="C2669">
        <v>44</v>
      </c>
      <c r="D2669">
        <v>0.47</v>
      </c>
      <c r="E2669">
        <v>0</v>
      </c>
      <c r="F2669">
        <v>0</v>
      </c>
      <c r="G2669">
        <v>3</v>
      </c>
    </row>
    <row r="2670" spans="1:7" x14ac:dyDescent="0.3">
      <c r="A2670" t="s">
        <v>27</v>
      </c>
      <c r="B2670" t="s">
        <v>199</v>
      </c>
      <c r="C2670">
        <v>72</v>
      </c>
      <c r="D2670">
        <v>0.41</v>
      </c>
      <c r="E2670">
        <v>0</v>
      </c>
      <c r="F2670">
        <v>0</v>
      </c>
      <c r="G2670">
        <v>3</v>
      </c>
    </row>
    <row r="2671" spans="1:7" x14ac:dyDescent="0.3">
      <c r="A2671" t="s">
        <v>41</v>
      </c>
      <c r="B2671" t="s">
        <v>198</v>
      </c>
      <c r="C2671">
        <v>259</v>
      </c>
      <c r="D2671">
        <v>1.61</v>
      </c>
      <c r="E2671">
        <v>1</v>
      </c>
      <c r="F2671">
        <v>0</v>
      </c>
      <c r="G2671">
        <v>12</v>
      </c>
    </row>
    <row r="2672" spans="1:7" x14ac:dyDescent="0.3">
      <c r="A2672" t="s">
        <v>41</v>
      </c>
      <c r="B2672" t="s">
        <v>199</v>
      </c>
      <c r="C2672">
        <v>743</v>
      </c>
      <c r="D2672">
        <v>1.66</v>
      </c>
      <c r="E2672">
        <v>1</v>
      </c>
      <c r="F2672">
        <v>0</v>
      </c>
      <c r="G2672">
        <v>13</v>
      </c>
    </row>
    <row r="2674" spans="1:7" x14ac:dyDescent="0.3">
      <c r="A2674" t="s">
        <v>1334</v>
      </c>
    </row>
    <row r="2675" spans="1:7" x14ac:dyDescent="0.3">
      <c r="A2675" t="s">
        <v>36</v>
      </c>
      <c r="B2675" t="s">
        <v>763</v>
      </c>
      <c r="C2675" t="s">
        <v>24</v>
      </c>
      <c r="D2675" t="s">
        <v>37</v>
      </c>
      <c r="E2675" t="s">
        <v>38</v>
      </c>
      <c r="F2675" t="s">
        <v>39</v>
      </c>
      <c r="G2675" t="s">
        <v>40</v>
      </c>
    </row>
    <row r="2676" spans="1:7" s="3" customFormat="1" x14ac:dyDescent="0.3">
      <c r="A2676" s="3" t="s">
        <v>25</v>
      </c>
      <c r="B2676" s="3" t="s">
        <v>764</v>
      </c>
      <c r="C2676" s="3">
        <v>16</v>
      </c>
      <c r="D2676" s="3">
        <v>2.61</v>
      </c>
      <c r="E2676" s="3">
        <v>3</v>
      </c>
      <c r="F2676" s="3">
        <v>0.5</v>
      </c>
      <c r="G2676" s="3">
        <v>8</v>
      </c>
    </row>
    <row r="2677" spans="1:7" x14ac:dyDescent="0.3">
      <c r="A2677" t="s">
        <v>25</v>
      </c>
      <c r="B2677" t="s">
        <v>765</v>
      </c>
      <c r="C2677">
        <v>151</v>
      </c>
      <c r="D2677">
        <v>2.54</v>
      </c>
      <c r="E2677">
        <v>1.5</v>
      </c>
      <c r="F2677">
        <v>0.25</v>
      </c>
      <c r="G2677">
        <v>13</v>
      </c>
    </row>
    <row r="2678" spans="1:7" x14ac:dyDescent="0.3">
      <c r="A2678" t="s">
        <v>25</v>
      </c>
      <c r="B2678" t="s">
        <v>767</v>
      </c>
      <c r="C2678">
        <v>56</v>
      </c>
      <c r="D2678">
        <v>0.94</v>
      </c>
      <c r="E2678">
        <v>0.75</v>
      </c>
      <c r="F2678">
        <v>0.17</v>
      </c>
      <c r="G2678">
        <v>4.5</v>
      </c>
    </row>
    <row r="2679" spans="1:7" s="3" customFormat="1" x14ac:dyDescent="0.3">
      <c r="A2679" s="3" t="s">
        <v>26</v>
      </c>
      <c r="B2679" s="3" t="s">
        <v>764</v>
      </c>
      <c r="C2679" s="3">
        <v>14</v>
      </c>
      <c r="D2679" s="3">
        <v>2.62</v>
      </c>
      <c r="E2679" s="3">
        <v>3</v>
      </c>
      <c r="F2679" s="3">
        <v>1</v>
      </c>
      <c r="G2679" s="3">
        <v>6</v>
      </c>
    </row>
    <row r="2680" spans="1:7" x14ac:dyDescent="0.3">
      <c r="A2680" t="s">
        <v>26</v>
      </c>
      <c r="B2680" t="s">
        <v>765</v>
      </c>
      <c r="C2680">
        <v>84</v>
      </c>
      <c r="D2680">
        <v>2.35</v>
      </c>
      <c r="E2680">
        <v>1.5</v>
      </c>
      <c r="F2680">
        <v>0.43</v>
      </c>
      <c r="G2680">
        <v>12</v>
      </c>
    </row>
    <row r="2681" spans="1:7" x14ac:dyDescent="0.3">
      <c r="A2681" t="s">
        <v>26</v>
      </c>
      <c r="B2681" t="s">
        <v>767</v>
      </c>
      <c r="C2681">
        <v>39</v>
      </c>
      <c r="D2681">
        <v>1.25</v>
      </c>
      <c r="E2681">
        <v>1</v>
      </c>
      <c r="F2681">
        <v>0</v>
      </c>
      <c r="G2681">
        <v>6</v>
      </c>
    </row>
    <row r="2682" spans="1:7" s="3" customFormat="1" x14ac:dyDescent="0.3">
      <c r="A2682" s="3" t="s">
        <v>29</v>
      </c>
      <c r="B2682" s="3" t="s">
        <v>764</v>
      </c>
      <c r="C2682" s="3">
        <v>8</v>
      </c>
      <c r="D2682" s="3">
        <v>1.62</v>
      </c>
      <c r="E2682" s="3">
        <v>1</v>
      </c>
      <c r="F2682" s="3">
        <v>0.5</v>
      </c>
      <c r="G2682" s="3">
        <v>4</v>
      </c>
    </row>
    <row r="2683" spans="1:7" x14ac:dyDescent="0.3">
      <c r="A2683" t="s">
        <v>29</v>
      </c>
      <c r="B2683" t="s">
        <v>765</v>
      </c>
      <c r="C2683">
        <v>232</v>
      </c>
      <c r="D2683">
        <v>1.59</v>
      </c>
      <c r="E2683">
        <v>1</v>
      </c>
      <c r="F2683">
        <v>0.2</v>
      </c>
      <c r="G2683">
        <v>7</v>
      </c>
    </row>
    <row r="2684" spans="1:7" x14ac:dyDescent="0.3">
      <c r="A2684" t="s">
        <v>29</v>
      </c>
      <c r="B2684" t="s">
        <v>767</v>
      </c>
      <c r="C2684">
        <v>113</v>
      </c>
      <c r="D2684">
        <v>1.03</v>
      </c>
      <c r="E2684">
        <v>0.8</v>
      </c>
      <c r="F2684">
        <v>0.2</v>
      </c>
      <c r="G2684">
        <v>5.5</v>
      </c>
    </row>
    <row r="2685" spans="1:7" s="3" customFormat="1" x14ac:dyDescent="0.3">
      <c r="A2685" s="3" t="s">
        <v>28</v>
      </c>
      <c r="B2685" s="3" t="s">
        <v>764</v>
      </c>
      <c r="C2685" s="3">
        <v>10</v>
      </c>
      <c r="D2685" s="3">
        <v>2.72</v>
      </c>
      <c r="E2685" s="3">
        <v>2</v>
      </c>
      <c r="F2685" s="3">
        <v>1</v>
      </c>
      <c r="G2685" s="3">
        <v>4</v>
      </c>
    </row>
    <row r="2686" spans="1:7" x14ac:dyDescent="0.3">
      <c r="A2686" t="s">
        <v>28</v>
      </c>
      <c r="B2686" t="s">
        <v>765</v>
      </c>
      <c r="C2686">
        <v>139</v>
      </c>
      <c r="D2686">
        <v>2.2999999999999998</v>
      </c>
      <c r="E2686">
        <v>2</v>
      </c>
      <c r="F2686">
        <v>0.33</v>
      </c>
      <c r="G2686">
        <v>5</v>
      </c>
    </row>
    <row r="2687" spans="1:7" s="3" customFormat="1" x14ac:dyDescent="0.3">
      <c r="A2687" s="3" t="s">
        <v>28</v>
      </c>
      <c r="B2687" s="3" t="s">
        <v>767</v>
      </c>
      <c r="C2687" s="3">
        <v>24</v>
      </c>
      <c r="D2687" s="3">
        <v>1.26</v>
      </c>
      <c r="E2687" s="3">
        <v>1.25</v>
      </c>
      <c r="F2687" s="3">
        <v>0.6</v>
      </c>
      <c r="G2687" s="3">
        <v>3</v>
      </c>
    </row>
    <row r="2688" spans="1:7" s="3" customFormat="1" x14ac:dyDescent="0.3">
      <c r="A2688" s="3" t="s">
        <v>27</v>
      </c>
      <c r="B2688" s="3" t="s">
        <v>764</v>
      </c>
      <c r="C2688" s="3">
        <v>13</v>
      </c>
      <c r="D2688" s="3">
        <v>0.9</v>
      </c>
      <c r="E2688" s="3">
        <v>0</v>
      </c>
      <c r="F2688" s="3">
        <v>0</v>
      </c>
      <c r="G2688" s="3">
        <v>3</v>
      </c>
    </row>
    <row r="2689" spans="1:14" x14ac:dyDescent="0.3">
      <c r="A2689" t="s">
        <v>27</v>
      </c>
      <c r="B2689" t="s">
        <v>765</v>
      </c>
      <c r="C2689">
        <v>84</v>
      </c>
      <c r="D2689">
        <v>0.27</v>
      </c>
      <c r="E2689">
        <v>0</v>
      </c>
      <c r="F2689">
        <v>0</v>
      </c>
      <c r="G2689">
        <v>3</v>
      </c>
    </row>
    <row r="2690" spans="1:14" s="3" customFormat="1" x14ac:dyDescent="0.3">
      <c r="A2690" s="3" t="s">
        <v>27</v>
      </c>
      <c r="B2690" s="3" t="s">
        <v>767</v>
      </c>
      <c r="C2690" s="3">
        <v>19</v>
      </c>
      <c r="D2690" s="3">
        <v>0.6</v>
      </c>
      <c r="E2690" s="3">
        <v>0.75</v>
      </c>
      <c r="F2690" s="3">
        <v>0</v>
      </c>
      <c r="G2690" s="3">
        <v>2</v>
      </c>
    </row>
    <row r="2691" spans="1:14" x14ac:dyDescent="0.3">
      <c r="A2691" t="s">
        <v>41</v>
      </c>
      <c r="B2691" t="s">
        <v>764</v>
      </c>
      <c r="C2691">
        <v>61</v>
      </c>
      <c r="D2691">
        <v>2.29</v>
      </c>
      <c r="E2691">
        <v>2</v>
      </c>
      <c r="F2691">
        <v>0</v>
      </c>
      <c r="G2691">
        <v>8</v>
      </c>
    </row>
    <row r="2692" spans="1:14" x14ac:dyDescent="0.3">
      <c r="A2692" t="s">
        <v>41</v>
      </c>
      <c r="B2692" t="s">
        <v>765</v>
      </c>
      <c r="C2692">
        <v>690</v>
      </c>
      <c r="D2692">
        <v>1.86</v>
      </c>
      <c r="E2692">
        <v>1.5</v>
      </c>
      <c r="F2692">
        <v>0</v>
      </c>
      <c r="G2692">
        <v>13</v>
      </c>
    </row>
    <row r="2693" spans="1:14" x14ac:dyDescent="0.3">
      <c r="A2693" t="s">
        <v>41</v>
      </c>
      <c r="B2693" t="s">
        <v>767</v>
      </c>
      <c r="C2693">
        <v>251</v>
      </c>
      <c r="D2693">
        <v>1.03</v>
      </c>
      <c r="E2693">
        <v>0.8</v>
      </c>
      <c r="F2693">
        <v>0</v>
      </c>
      <c r="G2693">
        <v>6</v>
      </c>
    </row>
    <row r="2695" spans="1:14" x14ac:dyDescent="0.3">
      <c r="A2695" t="s">
        <v>1335</v>
      </c>
    </row>
    <row r="2696" spans="1:14" x14ac:dyDescent="0.3">
      <c r="A2696" t="s">
        <v>36</v>
      </c>
      <c r="B2696" t="s">
        <v>41</v>
      </c>
      <c r="C2696" t="s">
        <v>1336</v>
      </c>
      <c r="D2696" t="s">
        <v>1337</v>
      </c>
      <c r="E2696" t="s">
        <v>1338</v>
      </c>
      <c r="F2696" t="s">
        <v>1339</v>
      </c>
      <c r="G2696" t="s">
        <v>1340</v>
      </c>
      <c r="H2696" t="s">
        <v>1341</v>
      </c>
      <c r="I2696" t="s">
        <v>1342</v>
      </c>
      <c r="J2696" t="s">
        <v>1343</v>
      </c>
      <c r="K2696" t="s">
        <v>1344</v>
      </c>
      <c r="L2696" t="s">
        <v>1345</v>
      </c>
      <c r="M2696" t="s">
        <v>1346</v>
      </c>
      <c r="N2696" t="s">
        <v>1347</v>
      </c>
    </row>
    <row r="2697" spans="1:14" x14ac:dyDescent="0.3">
      <c r="A2697" t="s">
        <v>25</v>
      </c>
      <c r="B2697">
        <v>414</v>
      </c>
      <c r="C2697" t="s">
        <v>150</v>
      </c>
      <c r="D2697" t="s">
        <v>758</v>
      </c>
      <c r="E2697" t="s">
        <v>107</v>
      </c>
      <c r="F2697" t="s">
        <v>33</v>
      </c>
      <c r="G2697" t="s">
        <v>850</v>
      </c>
      <c r="H2697" t="s">
        <v>103</v>
      </c>
      <c r="I2697" t="s">
        <v>481</v>
      </c>
      <c r="J2697" t="s">
        <v>599</v>
      </c>
      <c r="K2697" t="s">
        <v>139</v>
      </c>
      <c r="L2697" t="s">
        <v>531</v>
      </c>
      <c r="M2697" t="s">
        <v>862</v>
      </c>
      <c r="N2697" t="s">
        <v>103</v>
      </c>
    </row>
    <row r="2698" spans="1:14" x14ac:dyDescent="0.3">
      <c r="A2698" t="s">
        <v>26</v>
      </c>
      <c r="B2698">
        <v>477</v>
      </c>
      <c r="C2698" t="s">
        <v>526</v>
      </c>
      <c r="D2698" t="s">
        <v>1169</v>
      </c>
      <c r="E2698" t="s">
        <v>467</v>
      </c>
      <c r="F2698" t="s">
        <v>495</v>
      </c>
      <c r="G2698" t="s">
        <v>902</v>
      </c>
      <c r="H2698" t="s">
        <v>97</v>
      </c>
      <c r="I2698" t="s">
        <v>706</v>
      </c>
      <c r="J2698" t="s">
        <v>755</v>
      </c>
      <c r="K2698" t="s">
        <v>110</v>
      </c>
      <c r="L2698" t="s">
        <v>273</v>
      </c>
      <c r="M2698" t="s">
        <v>276</v>
      </c>
      <c r="N2698" t="s">
        <v>95</v>
      </c>
    </row>
    <row r="2699" spans="1:14" x14ac:dyDescent="0.3">
      <c r="A2699" t="s">
        <v>29</v>
      </c>
      <c r="B2699">
        <v>530</v>
      </c>
      <c r="C2699" t="s">
        <v>275</v>
      </c>
      <c r="D2699" t="s">
        <v>156</v>
      </c>
      <c r="E2699" t="s">
        <v>591</v>
      </c>
      <c r="F2699" t="s">
        <v>549</v>
      </c>
      <c r="G2699" t="s">
        <v>184</v>
      </c>
      <c r="H2699" t="s">
        <v>122</v>
      </c>
      <c r="I2699" t="s">
        <v>459</v>
      </c>
      <c r="J2699" t="s">
        <v>616</v>
      </c>
      <c r="K2699" t="s">
        <v>98</v>
      </c>
      <c r="L2699" t="s">
        <v>60</v>
      </c>
      <c r="M2699" t="s">
        <v>207</v>
      </c>
      <c r="N2699" t="s">
        <v>116</v>
      </c>
    </row>
    <row r="2700" spans="1:14" x14ac:dyDescent="0.3">
      <c r="A2700" t="s">
        <v>28</v>
      </c>
      <c r="B2700">
        <v>317</v>
      </c>
      <c r="C2700" t="s">
        <v>452</v>
      </c>
      <c r="D2700" t="s">
        <v>673</v>
      </c>
      <c r="E2700" t="s">
        <v>1205</v>
      </c>
      <c r="F2700" t="s">
        <v>93</v>
      </c>
      <c r="G2700" t="s">
        <v>339</v>
      </c>
      <c r="H2700" t="s">
        <v>66</v>
      </c>
      <c r="I2700" t="s">
        <v>93</v>
      </c>
      <c r="J2700" t="s">
        <v>851</v>
      </c>
      <c r="K2700" t="s">
        <v>466</v>
      </c>
      <c r="L2700" t="s">
        <v>266</v>
      </c>
      <c r="M2700" t="s">
        <v>855</v>
      </c>
      <c r="N2700" t="s">
        <v>493</v>
      </c>
    </row>
    <row r="2701" spans="1:14" x14ac:dyDescent="0.3">
      <c r="A2701" t="s">
        <v>27</v>
      </c>
      <c r="B2701">
        <v>300</v>
      </c>
      <c r="C2701" t="s">
        <v>236</v>
      </c>
      <c r="D2701" t="s">
        <v>1030</v>
      </c>
      <c r="E2701" t="s">
        <v>681</v>
      </c>
      <c r="F2701" t="s">
        <v>520</v>
      </c>
      <c r="G2701" t="s">
        <v>831</v>
      </c>
      <c r="H2701" t="s">
        <v>601</v>
      </c>
      <c r="I2701" t="s">
        <v>1070</v>
      </c>
      <c r="J2701" t="s">
        <v>810</v>
      </c>
      <c r="K2701" t="s">
        <v>146</v>
      </c>
      <c r="L2701" t="s">
        <v>108</v>
      </c>
      <c r="M2701" t="s">
        <v>740</v>
      </c>
      <c r="N2701" t="s">
        <v>32</v>
      </c>
    </row>
    <row r="2702" spans="1:14" x14ac:dyDescent="0.3">
      <c r="A2702" t="s">
        <v>41</v>
      </c>
      <c r="B2702">
        <v>2038</v>
      </c>
      <c r="C2702" t="s">
        <v>807</v>
      </c>
      <c r="D2702" t="s">
        <v>1348</v>
      </c>
      <c r="E2702" t="s">
        <v>94</v>
      </c>
      <c r="F2702" t="s">
        <v>135</v>
      </c>
      <c r="G2702" t="s">
        <v>614</v>
      </c>
      <c r="H2702" t="s">
        <v>95</v>
      </c>
      <c r="I2702" t="s">
        <v>131</v>
      </c>
      <c r="J2702" t="s">
        <v>1308</v>
      </c>
      <c r="K2702" t="s">
        <v>245</v>
      </c>
      <c r="L2702" t="s">
        <v>262</v>
      </c>
      <c r="M2702" t="s">
        <v>240</v>
      </c>
      <c r="N2702" t="s">
        <v>95</v>
      </c>
    </row>
    <row r="2704" spans="1:14" x14ac:dyDescent="0.3">
      <c r="A2704" t="s">
        <v>1349</v>
      </c>
    </row>
    <row r="2705" spans="1:18" x14ac:dyDescent="0.3">
      <c r="A2705" t="s">
        <v>36</v>
      </c>
      <c r="B2705" t="s">
        <v>307</v>
      </c>
      <c r="C2705" t="s">
        <v>1350</v>
      </c>
      <c r="D2705" t="s">
        <v>1336</v>
      </c>
      <c r="E2705" t="s">
        <v>1337</v>
      </c>
      <c r="F2705" t="s">
        <v>1338</v>
      </c>
      <c r="G2705" t="s">
        <v>1351</v>
      </c>
      <c r="H2705" t="s">
        <v>1339</v>
      </c>
      <c r="I2705" t="s">
        <v>1340</v>
      </c>
      <c r="J2705" t="s">
        <v>1341</v>
      </c>
      <c r="K2705" t="s">
        <v>1352</v>
      </c>
      <c r="L2705" t="s">
        <v>1342</v>
      </c>
      <c r="M2705" t="s">
        <v>1343</v>
      </c>
      <c r="N2705" t="s">
        <v>1344</v>
      </c>
      <c r="O2705" t="s">
        <v>1353</v>
      </c>
      <c r="P2705" t="s">
        <v>1345</v>
      </c>
      <c r="Q2705" t="s">
        <v>1346</v>
      </c>
      <c r="R2705" t="s">
        <v>1347</v>
      </c>
    </row>
    <row r="2706" spans="1:18" x14ac:dyDescent="0.3">
      <c r="A2706" t="s">
        <v>25</v>
      </c>
      <c r="B2706" t="s">
        <v>291</v>
      </c>
      <c r="C2706">
        <v>156</v>
      </c>
      <c r="D2706" t="s">
        <v>169</v>
      </c>
      <c r="E2706" t="s">
        <v>53</v>
      </c>
      <c r="F2706" t="s">
        <v>532</v>
      </c>
      <c r="G2706">
        <v>156</v>
      </c>
      <c r="H2706" t="s">
        <v>68</v>
      </c>
      <c r="I2706" t="s">
        <v>69</v>
      </c>
      <c r="J2706" t="s">
        <v>103</v>
      </c>
      <c r="K2706">
        <v>156</v>
      </c>
      <c r="L2706" t="s">
        <v>131</v>
      </c>
      <c r="M2706" t="s">
        <v>897</v>
      </c>
      <c r="N2706" t="s">
        <v>97</v>
      </c>
      <c r="O2706">
        <v>156</v>
      </c>
      <c r="P2706" t="s">
        <v>251</v>
      </c>
      <c r="Q2706" t="s">
        <v>991</v>
      </c>
      <c r="R2706" t="s">
        <v>103</v>
      </c>
    </row>
    <row r="2707" spans="1:18" x14ac:dyDescent="0.3">
      <c r="A2707" t="s">
        <v>25</v>
      </c>
      <c r="B2707" t="s">
        <v>292</v>
      </c>
      <c r="C2707">
        <v>254</v>
      </c>
      <c r="D2707" t="s">
        <v>106</v>
      </c>
      <c r="E2707" t="s">
        <v>806</v>
      </c>
      <c r="F2707" t="s">
        <v>186</v>
      </c>
      <c r="G2707">
        <v>254</v>
      </c>
      <c r="H2707" t="s">
        <v>206</v>
      </c>
      <c r="I2707" t="s">
        <v>849</v>
      </c>
      <c r="J2707" t="s">
        <v>103</v>
      </c>
      <c r="K2707">
        <v>254</v>
      </c>
      <c r="L2707" t="s">
        <v>543</v>
      </c>
      <c r="M2707" t="s">
        <v>215</v>
      </c>
      <c r="N2707" t="s">
        <v>98</v>
      </c>
      <c r="O2707">
        <v>254</v>
      </c>
      <c r="P2707" t="s">
        <v>232</v>
      </c>
      <c r="Q2707" t="s">
        <v>864</v>
      </c>
      <c r="R2707" t="s">
        <v>103</v>
      </c>
    </row>
    <row r="2708" spans="1:18" x14ac:dyDescent="0.3">
      <c r="A2708" t="s">
        <v>25</v>
      </c>
      <c r="B2708" t="s">
        <v>308</v>
      </c>
      <c r="C2708">
        <v>4</v>
      </c>
      <c r="D2708" t="s">
        <v>103</v>
      </c>
      <c r="E2708" t="s">
        <v>192</v>
      </c>
      <c r="F2708" t="s">
        <v>103</v>
      </c>
      <c r="G2708">
        <v>4</v>
      </c>
      <c r="H2708" t="s">
        <v>693</v>
      </c>
      <c r="I2708" t="s">
        <v>240</v>
      </c>
      <c r="J2708" t="s">
        <v>103</v>
      </c>
      <c r="K2708">
        <v>4</v>
      </c>
      <c r="L2708" t="s">
        <v>103</v>
      </c>
      <c r="M2708" t="s">
        <v>192</v>
      </c>
      <c r="N2708" t="s">
        <v>103</v>
      </c>
      <c r="O2708">
        <v>4</v>
      </c>
      <c r="P2708" t="s">
        <v>693</v>
      </c>
      <c r="Q2708" t="s">
        <v>240</v>
      </c>
      <c r="R2708" t="s">
        <v>103</v>
      </c>
    </row>
    <row r="2709" spans="1:18" x14ac:dyDescent="0.3">
      <c r="A2709" t="s">
        <v>26</v>
      </c>
      <c r="B2709" t="s">
        <v>291</v>
      </c>
      <c r="C2709">
        <v>122</v>
      </c>
      <c r="D2709" t="s">
        <v>681</v>
      </c>
      <c r="E2709" t="s">
        <v>618</v>
      </c>
      <c r="F2709" t="s">
        <v>615</v>
      </c>
      <c r="G2709">
        <v>122</v>
      </c>
      <c r="H2709" t="s">
        <v>171</v>
      </c>
      <c r="I2709" t="s">
        <v>612</v>
      </c>
      <c r="J2709" t="s">
        <v>282</v>
      </c>
      <c r="K2709">
        <v>122</v>
      </c>
      <c r="L2709" t="s">
        <v>921</v>
      </c>
      <c r="M2709" t="s">
        <v>1354</v>
      </c>
      <c r="N2709" t="s">
        <v>270</v>
      </c>
      <c r="O2709">
        <v>122</v>
      </c>
      <c r="P2709" t="s">
        <v>518</v>
      </c>
      <c r="Q2709" t="s">
        <v>1308</v>
      </c>
      <c r="R2709" t="s">
        <v>282</v>
      </c>
    </row>
    <row r="2710" spans="1:18" x14ac:dyDescent="0.3">
      <c r="A2710" t="s">
        <v>26</v>
      </c>
      <c r="B2710" t="s">
        <v>292</v>
      </c>
      <c r="C2710">
        <v>352</v>
      </c>
      <c r="D2710" t="s">
        <v>552</v>
      </c>
      <c r="E2710" t="s">
        <v>895</v>
      </c>
      <c r="F2710" t="s">
        <v>270</v>
      </c>
      <c r="G2710">
        <v>352</v>
      </c>
      <c r="H2710" t="s">
        <v>528</v>
      </c>
      <c r="I2710" t="s">
        <v>774</v>
      </c>
      <c r="J2710" t="s">
        <v>122</v>
      </c>
      <c r="K2710">
        <v>352</v>
      </c>
      <c r="L2710" t="s">
        <v>695</v>
      </c>
      <c r="M2710" t="s">
        <v>1305</v>
      </c>
      <c r="N2710" t="s">
        <v>139</v>
      </c>
      <c r="O2710">
        <v>352</v>
      </c>
      <c r="P2710" t="s">
        <v>275</v>
      </c>
      <c r="Q2710" t="s">
        <v>622</v>
      </c>
      <c r="R2710" t="s">
        <v>120</v>
      </c>
    </row>
    <row r="2711" spans="1:18" x14ac:dyDescent="0.3">
      <c r="A2711" t="s">
        <v>26</v>
      </c>
      <c r="B2711" t="s">
        <v>308</v>
      </c>
      <c r="C2711">
        <v>3</v>
      </c>
      <c r="D2711" t="s">
        <v>699</v>
      </c>
      <c r="E2711" t="s">
        <v>784</v>
      </c>
      <c r="F2711" t="s">
        <v>103</v>
      </c>
      <c r="G2711">
        <v>3</v>
      </c>
      <c r="H2711" t="s">
        <v>103</v>
      </c>
      <c r="I2711" t="s">
        <v>192</v>
      </c>
      <c r="J2711" t="s">
        <v>103</v>
      </c>
      <c r="K2711">
        <v>3</v>
      </c>
      <c r="L2711" t="s">
        <v>699</v>
      </c>
      <c r="M2711" t="s">
        <v>784</v>
      </c>
      <c r="N2711" t="s">
        <v>103</v>
      </c>
      <c r="O2711">
        <v>3</v>
      </c>
      <c r="P2711" t="s">
        <v>699</v>
      </c>
      <c r="Q2711" t="s">
        <v>784</v>
      </c>
      <c r="R2711" t="s">
        <v>103</v>
      </c>
    </row>
    <row r="2712" spans="1:18" x14ac:dyDescent="0.3">
      <c r="A2712" t="s">
        <v>29</v>
      </c>
      <c r="B2712" t="s">
        <v>291</v>
      </c>
      <c r="C2712">
        <v>205</v>
      </c>
      <c r="D2712" t="s">
        <v>48</v>
      </c>
      <c r="E2712" t="s">
        <v>610</v>
      </c>
      <c r="F2712" t="s">
        <v>102</v>
      </c>
      <c r="G2712">
        <v>205</v>
      </c>
      <c r="H2712" t="s">
        <v>549</v>
      </c>
      <c r="I2712" t="s">
        <v>863</v>
      </c>
      <c r="J2712" t="s">
        <v>282</v>
      </c>
      <c r="K2712">
        <v>205</v>
      </c>
      <c r="L2712" t="s">
        <v>918</v>
      </c>
      <c r="M2712" t="s">
        <v>599</v>
      </c>
      <c r="N2712" t="s">
        <v>66</v>
      </c>
      <c r="O2712">
        <v>205</v>
      </c>
      <c r="P2712" t="s">
        <v>90</v>
      </c>
      <c r="Q2712" t="s">
        <v>1177</v>
      </c>
      <c r="R2712" t="s">
        <v>103</v>
      </c>
    </row>
    <row r="2713" spans="1:18" x14ac:dyDescent="0.3">
      <c r="A2713" t="s">
        <v>29</v>
      </c>
      <c r="B2713" t="s">
        <v>292</v>
      </c>
      <c r="C2713">
        <v>325</v>
      </c>
      <c r="D2713" t="s">
        <v>150</v>
      </c>
      <c r="E2713" t="s">
        <v>274</v>
      </c>
      <c r="F2713" t="s">
        <v>107</v>
      </c>
      <c r="G2713">
        <v>325</v>
      </c>
      <c r="H2713" t="s">
        <v>262</v>
      </c>
      <c r="I2713" t="s">
        <v>827</v>
      </c>
      <c r="J2713" t="s">
        <v>103</v>
      </c>
      <c r="K2713">
        <v>325</v>
      </c>
      <c r="L2713" t="s">
        <v>224</v>
      </c>
      <c r="M2713" t="s">
        <v>193</v>
      </c>
      <c r="N2713" t="s">
        <v>194</v>
      </c>
      <c r="O2713">
        <v>325</v>
      </c>
      <c r="P2713" t="s">
        <v>94</v>
      </c>
      <c r="Q2713" t="s">
        <v>1355</v>
      </c>
      <c r="R2713" t="s">
        <v>122</v>
      </c>
    </row>
    <row r="2714" spans="1:18" x14ac:dyDescent="0.3">
      <c r="A2714" t="s">
        <v>28</v>
      </c>
      <c r="B2714" t="s">
        <v>291</v>
      </c>
      <c r="C2714">
        <v>114</v>
      </c>
      <c r="D2714" t="s">
        <v>459</v>
      </c>
      <c r="E2714" t="s">
        <v>1278</v>
      </c>
      <c r="F2714" t="s">
        <v>698</v>
      </c>
      <c r="G2714">
        <v>114</v>
      </c>
      <c r="H2714" t="s">
        <v>278</v>
      </c>
      <c r="I2714" t="s">
        <v>611</v>
      </c>
      <c r="J2714" t="s">
        <v>120</v>
      </c>
      <c r="K2714">
        <v>114</v>
      </c>
      <c r="L2714" t="s">
        <v>662</v>
      </c>
      <c r="M2714" t="s">
        <v>172</v>
      </c>
      <c r="N2714" t="s">
        <v>108</v>
      </c>
      <c r="O2714">
        <v>114</v>
      </c>
      <c r="P2714" t="s">
        <v>112</v>
      </c>
      <c r="Q2714" t="s">
        <v>147</v>
      </c>
      <c r="R2714" t="s">
        <v>615</v>
      </c>
    </row>
    <row r="2715" spans="1:18" x14ac:dyDescent="0.3">
      <c r="A2715" t="s">
        <v>28</v>
      </c>
      <c r="B2715" t="s">
        <v>292</v>
      </c>
      <c r="C2715">
        <v>191</v>
      </c>
      <c r="D2715" t="s">
        <v>64</v>
      </c>
      <c r="E2715" t="s">
        <v>1356</v>
      </c>
      <c r="F2715" t="s">
        <v>424</v>
      </c>
      <c r="G2715">
        <v>191</v>
      </c>
      <c r="H2715" t="s">
        <v>122</v>
      </c>
      <c r="I2715" t="s">
        <v>327</v>
      </c>
      <c r="J2715" t="s">
        <v>103</v>
      </c>
      <c r="K2715">
        <v>191</v>
      </c>
      <c r="L2715" t="s">
        <v>103</v>
      </c>
      <c r="M2715" t="s">
        <v>859</v>
      </c>
      <c r="N2715" t="s">
        <v>112</v>
      </c>
      <c r="O2715">
        <v>191</v>
      </c>
      <c r="P2715" t="s">
        <v>282</v>
      </c>
      <c r="Q2715" t="s">
        <v>200</v>
      </c>
      <c r="R2715" t="s">
        <v>438</v>
      </c>
    </row>
    <row r="2716" spans="1:18" x14ac:dyDescent="0.3">
      <c r="A2716" t="s">
        <v>28</v>
      </c>
      <c r="B2716" t="s">
        <v>308</v>
      </c>
      <c r="C2716">
        <v>12</v>
      </c>
      <c r="D2716" t="s">
        <v>524</v>
      </c>
      <c r="E2716" t="s">
        <v>572</v>
      </c>
      <c r="F2716" t="s">
        <v>376</v>
      </c>
      <c r="G2716">
        <v>12</v>
      </c>
      <c r="H2716" t="s">
        <v>103</v>
      </c>
      <c r="I2716" t="s">
        <v>192</v>
      </c>
      <c r="J2716" t="s">
        <v>103</v>
      </c>
      <c r="K2716">
        <v>12</v>
      </c>
      <c r="L2716" t="s">
        <v>103</v>
      </c>
      <c r="M2716" t="s">
        <v>192</v>
      </c>
      <c r="N2716" t="s">
        <v>103</v>
      </c>
      <c r="O2716">
        <v>12</v>
      </c>
      <c r="P2716" t="s">
        <v>103</v>
      </c>
      <c r="Q2716" t="s">
        <v>192</v>
      </c>
      <c r="R2716" t="s">
        <v>103</v>
      </c>
    </row>
    <row r="2717" spans="1:18" x14ac:dyDescent="0.3">
      <c r="A2717" t="s">
        <v>27</v>
      </c>
      <c r="B2717" t="s">
        <v>291</v>
      </c>
      <c r="C2717">
        <v>95</v>
      </c>
      <c r="D2717" t="s">
        <v>398</v>
      </c>
      <c r="E2717" t="s">
        <v>1030</v>
      </c>
      <c r="F2717" t="s">
        <v>646</v>
      </c>
      <c r="G2717">
        <v>95</v>
      </c>
      <c r="H2717" t="s">
        <v>398</v>
      </c>
      <c r="I2717" t="s">
        <v>620</v>
      </c>
      <c r="J2717" t="s">
        <v>463</v>
      </c>
      <c r="K2717">
        <v>95</v>
      </c>
      <c r="L2717" t="s">
        <v>698</v>
      </c>
      <c r="M2717" t="s">
        <v>933</v>
      </c>
      <c r="N2717" t="s">
        <v>160</v>
      </c>
      <c r="O2717">
        <v>95</v>
      </c>
      <c r="P2717" t="s">
        <v>32</v>
      </c>
      <c r="Q2717" t="s">
        <v>1357</v>
      </c>
      <c r="R2717" t="s">
        <v>549</v>
      </c>
    </row>
    <row r="2718" spans="1:18" x14ac:dyDescent="0.3">
      <c r="A2718" t="s">
        <v>27</v>
      </c>
      <c r="B2718" t="s">
        <v>292</v>
      </c>
      <c r="C2718">
        <v>198</v>
      </c>
      <c r="D2718" t="s">
        <v>788</v>
      </c>
      <c r="E2718" t="s">
        <v>1358</v>
      </c>
      <c r="F2718" t="s">
        <v>734</v>
      </c>
      <c r="G2718">
        <v>198</v>
      </c>
      <c r="H2718" t="s">
        <v>1084</v>
      </c>
      <c r="I2718" t="s">
        <v>830</v>
      </c>
      <c r="J2718" t="s">
        <v>460</v>
      </c>
      <c r="K2718">
        <v>198</v>
      </c>
      <c r="L2718" t="s">
        <v>407</v>
      </c>
      <c r="M2718" t="s">
        <v>415</v>
      </c>
      <c r="N2718" t="s">
        <v>460</v>
      </c>
      <c r="O2718">
        <v>198</v>
      </c>
      <c r="P2718" t="s">
        <v>601</v>
      </c>
      <c r="Q2718" t="s">
        <v>712</v>
      </c>
      <c r="R2718" t="s">
        <v>270</v>
      </c>
    </row>
    <row r="2719" spans="1:18" x14ac:dyDescent="0.3">
      <c r="A2719" t="s">
        <v>27</v>
      </c>
      <c r="B2719" t="s">
        <v>308</v>
      </c>
      <c r="C2719">
        <v>7</v>
      </c>
      <c r="D2719" t="s">
        <v>129</v>
      </c>
      <c r="E2719" t="s">
        <v>488</v>
      </c>
      <c r="F2719" t="s">
        <v>389</v>
      </c>
      <c r="G2719">
        <v>7</v>
      </c>
      <c r="H2719" t="s">
        <v>1210</v>
      </c>
      <c r="I2719" t="s">
        <v>477</v>
      </c>
      <c r="J2719" t="s">
        <v>534</v>
      </c>
      <c r="K2719">
        <v>7</v>
      </c>
      <c r="L2719" t="s">
        <v>1251</v>
      </c>
      <c r="M2719" t="s">
        <v>488</v>
      </c>
      <c r="N2719" t="s">
        <v>534</v>
      </c>
      <c r="O2719">
        <v>7</v>
      </c>
      <c r="P2719" t="s">
        <v>469</v>
      </c>
      <c r="Q2719" t="s">
        <v>823</v>
      </c>
      <c r="R2719" t="s">
        <v>131</v>
      </c>
    </row>
    <row r="2720" spans="1:18" x14ac:dyDescent="0.3">
      <c r="A2720" t="s">
        <v>41</v>
      </c>
      <c r="B2720" t="s">
        <v>291</v>
      </c>
      <c r="C2720">
        <v>692</v>
      </c>
      <c r="D2720" t="s">
        <v>578</v>
      </c>
      <c r="E2720" t="s">
        <v>1359</v>
      </c>
      <c r="F2720" t="s">
        <v>531</v>
      </c>
      <c r="G2720">
        <v>692</v>
      </c>
      <c r="H2720" t="s">
        <v>262</v>
      </c>
      <c r="I2720" t="s">
        <v>818</v>
      </c>
      <c r="J2720" t="s">
        <v>468</v>
      </c>
      <c r="K2720">
        <v>692</v>
      </c>
      <c r="L2720" t="s">
        <v>275</v>
      </c>
      <c r="M2720" t="s">
        <v>330</v>
      </c>
      <c r="N2720" t="s">
        <v>105</v>
      </c>
      <c r="O2720">
        <v>692</v>
      </c>
      <c r="P2720" t="s">
        <v>262</v>
      </c>
      <c r="Q2720" t="s">
        <v>632</v>
      </c>
      <c r="R2720" t="s">
        <v>95</v>
      </c>
    </row>
    <row r="2721" spans="1:18" x14ac:dyDescent="0.3">
      <c r="A2721" t="s">
        <v>41</v>
      </c>
      <c r="B2721" t="s">
        <v>292</v>
      </c>
      <c r="C2721">
        <v>1320</v>
      </c>
      <c r="D2721" t="s">
        <v>682</v>
      </c>
      <c r="E2721" t="s">
        <v>1324</v>
      </c>
      <c r="F2721" t="s">
        <v>94</v>
      </c>
      <c r="G2721">
        <v>1320</v>
      </c>
      <c r="H2721" t="s">
        <v>543</v>
      </c>
      <c r="I2721" t="s">
        <v>616</v>
      </c>
      <c r="J2721" t="s">
        <v>97</v>
      </c>
      <c r="K2721">
        <v>1320</v>
      </c>
      <c r="L2721" t="s">
        <v>150</v>
      </c>
      <c r="M2721" t="s">
        <v>721</v>
      </c>
      <c r="N2721" t="s">
        <v>216</v>
      </c>
      <c r="O2721">
        <v>1320</v>
      </c>
      <c r="P2721" t="s">
        <v>262</v>
      </c>
      <c r="Q2721" t="s">
        <v>885</v>
      </c>
      <c r="R2721" t="s">
        <v>120</v>
      </c>
    </row>
    <row r="2722" spans="1:18" x14ac:dyDescent="0.3">
      <c r="A2722" t="s">
        <v>41</v>
      </c>
      <c r="B2722" t="s">
        <v>308</v>
      </c>
      <c r="C2722">
        <v>26</v>
      </c>
      <c r="D2722" t="s">
        <v>486</v>
      </c>
      <c r="E2722" t="s">
        <v>1172</v>
      </c>
      <c r="F2722" t="s">
        <v>552</v>
      </c>
      <c r="G2722">
        <v>26</v>
      </c>
      <c r="H2722" t="s">
        <v>136</v>
      </c>
      <c r="I2722" t="s">
        <v>711</v>
      </c>
      <c r="J2722" t="s">
        <v>112</v>
      </c>
      <c r="K2722">
        <v>26</v>
      </c>
      <c r="L2722" t="s">
        <v>548</v>
      </c>
      <c r="M2722" t="s">
        <v>989</v>
      </c>
      <c r="N2722" t="s">
        <v>112</v>
      </c>
      <c r="O2722">
        <v>26</v>
      </c>
      <c r="P2722" t="s">
        <v>92</v>
      </c>
      <c r="Q2722" t="s">
        <v>735</v>
      </c>
      <c r="R2722" t="s">
        <v>266</v>
      </c>
    </row>
    <row r="2724" spans="1:18" x14ac:dyDescent="0.3">
      <c r="A2724" t="s">
        <v>1360</v>
      </c>
    </row>
    <row r="2725" spans="1:18" x14ac:dyDescent="0.3">
      <c r="A2725" t="s">
        <v>36</v>
      </c>
      <c r="B2725" t="s">
        <v>197</v>
      </c>
      <c r="C2725" t="s">
        <v>1350</v>
      </c>
      <c r="D2725" t="s">
        <v>1336</v>
      </c>
      <c r="E2725" t="s">
        <v>1337</v>
      </c>
      <c r="F2725" t="s">
        <v>1338</v>
      </c>
      <c r="G2725" t="s">
        <v>1351</v>
      </c>
      <c r="H2725" t="s">
        <v>1339</v>
      </c>
      <c r="I2725" t="s">
        <v>1340</v>
      </c>
      <c r="J2725" t="s">
        <v>1341</v>
      </c>
      <c r="K2725" t="s">
        <v>1352</v>
      </c>
      <c r="L2725" t="s">
        <v>1342</v>
      </c>
      <c r="M2725" t="s">
        <v>1343</v>
      </c>
      <c r="N2725" t="s">
        <v>1344</v>
      </c>
      <c r="O2725" t="s">
        <v>1353</v>
      </c>
      <c r="P2725" t="s">
        <v>1345</v>
      </c>
      <c r="Q2725" t="s">
        <v>1346</v>
      </c>
      <c r="R2725" t="s">
        <v>1347</v>
      </c>
    </row>
    <row r="2726" spans="1:18" x14ac:dyDescent="0.3">
      <c r="A2726" t="s">
        <v>25</v>
      </c>
      <c r="B2726" t="s">
        <v>198</v>
      </c>
      <c r="C2726">
        <v>104</v>
      </c>
      <c r="D2726" t="s">
        <v>228</v>
      </c>
      <c r="E2726" t="s">
        <v>1361</v>
      </c>
      <c r="F2726" t="s">
        <v>188</v>
      </c>
      <c r="G2726">
        <v>104</v>
      </c>
      <c r="H2726" t="s">
        <v>107</v>
      </c>
      <c r="I2726" t="s">
        <v>1173</v>
      </c>
      <c r="J2726" t="s">
        <v>103</v>
      </c>
      <c r="K2726">
        <v>104</v>
      </c>
      <c r="L2726" t="s">
        <v>191</v>
      </c>
      <c r="M2726" t="s">
        <v>863</v>
      </c>
      <c r="N2726" t="s">
        <v>103</v>
      </c>
      <c r="O2726">
        <v>104</v>
      </c>
      <c r="P2726" t="s">
        <v>242</v>
      </c>
      <c r="Q2726" t="s">
        <v>710</v>
      </c>
      <c r="R2726" t="s">
        <v>103</v>
      </c>
    </row>
    <row r="2727" spans="1:18" x14ac:dyDescent="0.3">
      <c r="A2727" t="s">
        <v>25</v>
      </c>
      <c r="B2727" t="s">
        <v>199</v>
      </c>
      <c r="C2727">
        <v>310</v>
      </c>
      <c r="D2727" t="s">
        <v>144</v>
      </c>
      <c r="E2727" t="s">
        <v>735</v>
      </c>
      <c r="F2727" t="s">
        <v>113</v>
      </c>
      <c r="G2727">
        <v>310</v>
      </c>
      <c r="H2727" t="s">
        <v>284</v>
      </c>
      <c r="I2727" t="s">
        <v>781</v>
      </c>
      <c r="J2727" t="s">
        <v>103</v>
      </c>
      <c r="K2727">
        <v>310</v>
      </c>
      <c r="L2727" t="s">
        <v>144</v>
      </c>
      <c r="M2727" t="s">
        <v>168</v>
      </c>
      <c r="N2727" t="s">
        <v>282</v>
      </c>
      <c r="O2727">
        <v>310</v>
      </c>
      <c r="P2727" t="s">
        <v>662</v>
      </c>
      <c r="Q2727" t="s">
        <v>611</v>
      </c>
      <c r="R2727" t="s">
        <v>103</v>
      </c>
    </row>
    <row r="2728" spans="1:18" x14ac:dyDescent="0.3">
      <c r="A2728" t="s">
        <v>26</v>
      </c>
      <c r="B2728" t="s">
        <v>198</v>
      </c>
      <c r="C2728">
        <v>41</v>
      </c>
      <c r="D2728" t="s">
        <v>171</v>
      </c>
      <c r="E2728" t="s">
        <v>1063</v>
      </c>
      <c r="F2728" t="s">
        <v>536</v>
      </c>
      <c r="G2728">
        <v>41</v>
      </c>
      <c r="H2728" t="s">
        <v>524</v>
      </c>
      <c r="I2728" t="s">
        <v>53</v>
      </c>
      <c r="J2728" t="s">
        <v>95</v>
      </c>
      <c r="K2728">
        <v>41</v>
      </c>
      <c r="L2728" t="s">
        <v>524</v>
      </c>
      <c r="M2728" t="s">
        <v>758</v>
      </c>
      <c r="N2728" t="s">
        <v>68</v>
      </c>
      <c r="O2728">
        <v>41</v>
      </c>
      <c r="P2728" t="s">
        <v>469</v>
      </c>
      <c r="Q2728" t="s">
        <v>238</v>
      </c>
      <c r="R2728" t="s">
        <v>95</v>
      </c>
    </row>
    <row r="2729" spans="1:18" x14ac:dyDescent="0.3">
      <c r="A2729" t="s">
        <v>26</v>
      </c>
      <c r="B2729" t="s">
        <v>199</v>
      </c>
      <c r="C2729">
        <v>436</v>
      </c>
      <c r="D2729" t="s">
        <v>568</v>
      </c>
      <c r="E2729" t="s">
        <v>1052</v>
      </c>
      <c r="F2729" t="s">
        <v>64</v>
      </c>
      <c r="G2729">
        <v>436</v>
      </c>
      <c r="H2729" t="s">
        <v>495</v>
      </c>
      <c r="I2729" t="s">
        <v>902</v>
      </c>
      <c r="J2729" t="s">
        <v>97</v>
      </c>
      <c r="K2729">
        <v>436</v>
      </c>
      <c r="L2729" t="s">
        <v>525</v>
      </c>
      <c r="M2729" t="s">
        <v>618</v>
      </c>
      <c r="N2729" t="s">
        <v>468</v>
      </c>
      <c r="O2729">
        <v>436</v>
      </c>
      <c r="P2729" t="s">
        <v>273</v>
      </c>
      <c r="Q2729" t="s">
        <v>276</v>
      </c>
      <c r="R2729" t="s">
        <v>95</v>
      </c>
    </row>
    <row r="2730" spans="1:18" x14ac:dyDescent="0.3">
      <c r="A2730" t="s">
        <v>29</v>
      </c>
      <c r="B2730" t="s">
        <v>198</v>
      </c>
      <c r="C2730">
        <v>170</v>
      </c>
      <c r="D2730" t="s">
        <v>516</v>
      </c>
      <c r="E2730" t="s">
        <v>878</v>
      </c>
      <c r="F2730" t="s">
        <v>107</v>
      </c>
      <c r="G2730">
        <v>170</v>
      </c>
      <c r="H2730" t="s">
        <v>482</v>
      </c>
      <c r="I2730" t="s">
        <v>1134</v>
      </c>
      <c r="J2730" t="s">
        <v>103</v>
      </c>
      <c r="K2730">
        <v>170</v>
      </c>
      <c r="L2730" t="s">
        <v>571</v>
      </c>
      <c r="M2730" t="s">
        <v>851</v>
      </c>
      <c r="N2730" t="s">
        <v>103</v>
      </c>
      <c r="O2730">
        <v>170</v>
      </c>
      <c r="P2730" t="s">
        <v>601</v>
      </c>
      <c r="Q2730" t="s">
        <v>280</v>
      </c>
      <c r="R2730" t="s">
        <v>103</v>
      </c>
    </row>
    <row r="2731" spans="1:18" x14ac:dyDescent="0.3">
      <c r="A2731" t="s">
        <v>29</v>
      </c>
      <c r="B2731" t="s">
        <v>199</v>
      </c>
      <c r="C2731">
        <v>360</v>
      </c>
      <c r="D2731" t="s">
        <v>687</v>
      </c>
      <c r="E2731" t="s">
        <v>992</v>
      </c>
      <c r="F2731" t="s">
        <v>114</v>
      </c>
      <c r="G2731">
        <v>360</v>
      </c>
      <c r="H2731" t="s">
        <v>571</v>
      </c>
      <c r="I2731" t="s">
        <v>184</v>
      </c>
      <c r="J2731" t="s">
        <v>120</v>
      </c>
      <c r="K2731">
        <v>360</v>
      </c>
      <c r="L2731" t="s">
        <v>169</v>
      </c>
      <c r="M2731" t="s">
        <v>744</v>
      </c>
      <c r="N2731" t="s">
        <v>194</v>
      </c>
      <c r="O2731">
        <v>360</v>
      </c>
      <c r="P2731" t="s">
        <v>466</v>
      </c>
      <c r="Q2731" t="s">
        <v>1027</v>
      </c>
      <c r="R2731" t="s">
        <v>122</v>
      </c>
    </row>
    <row r="2732" spans="1:18" x14ac:dyDescent="0.3">
      <c r="A2732" t="s">
        <v>28</v>
      </c>
      <c r="B2732" t="s">
        <v>198</v>
      </c>
      <c r="C2732">
        <v>70</v>
      </c>
      <c r="D2732" t="s">
        <v>558</v>
      </c>
      <c r="E2732" t="s">
        <v>1292</v>
      </c>
      <c r="F2732" t="s">
        <v>635</v>
      </c>
      <c r="G2732">
        <v>70</v>
      </c>
      <c r="H2732" t="s">
        <v>103</v>
      </c>
      <c r="I2732" t="s">
        <v>192</v>
      </c>
      <c r="J2732" t="s">
        <v>103</v>
      </c>
      <c r="K2732">
        <v>70</v>
      </c>
      <c r="L2732" t="s">
        <v>103</v>
      </c>
      <c r="M2732" t="s">
        <v>151</v>
      </c>
      <c r="N2732" t="s">
        <v>150</v>
      </c>
      <c r="O2732">
        <v>70</v>
      </c>
      <c r="P2732" t="s">
        <v>245</v>
      </c>
      <c r="Q2732" t="s">
        <v>880</v>
      </c>
      <c r="R2732" t="s">
        <v>139</v>
      </c>
    </row>
    <row r="2733" spans="1:18" x14ac:dyDescent="0.3">
      <c r="A2733" t="s">
        <v>28</v>
      </c>
      <c r="B2733" t="s">
        <v>199</v>
      </c>
      <c r="C2733">
        <v>247</v>
      </c>
      <c r="D2733" t="s">
        <v>452</v>
      </c>
      <c r="E2733" t="s">
        <v>401</v>
      </c>
      <c r="F2733" t="s">
        <v>462</v>
      </c>
      <c r="G2733">
        <v>247</v>
      </c>
      <c r="H2733" t="s">
        <v>270</v>
      </c>
      <c r="I2733" t="s">
        <v>336</v>
      </c>
      <c r="J2733" t="s">
        <v>116</v>
      </c>
      <c r="K2733">
        <v>247</v>
      </c>
      <c r="L2733" t="s">
        <v>270</v>
      </c>
      <c r="M2733" t="s">
        <v>1355</v>
      </c>
      <c r="N2733" t="s">
        <v>114</v>
      </c>
      <c r="O2733">
        <v>247</v>
      </c>
      <c r="P2733" t="s">
        <v>195</v>
      </c>
      <c r="Q2733" t="s">
        <v>625</v>
      </c>
      <c r="R2733" t="s">
        <v>214</v>
      </c>
    </row>
    <row r="2734" spans="1:18" x14ac:dyDescent="0.3">
      <c r="A2734" t="s">
        <v>27</v>
      </c>
      <c r="B2734" t="s">
        <v>198</v>
      </c>
      <c r="C2734">
        <v>136</v>
      </c>
      <c r="D2734" t="s">
        <v>1082</v>
      </c>
      <c r="E2734" t="s">
        <v>675</v>
      </c>
      <c r="F2734" t="s">
        <v>331</v>
      </c>
      <c r="G2734">
        <v>136</v>
      </c>
      <c r="H2734" t="s">
        <v>921</v>
      </c>
      <c r="I2734" t="s">
        <v>1362</v>
      </c>
      <c r="J2734" t="s">
        <v>270</v>
      </c>
      <c r="K2734">
        <v>136</v>
      </c>
      <c r="L2734" t="s">
        <v>542</v>
      </c>
      <c r="M2734" t="s">
        <v>229</v>
      </c>
      <c r="N2734" t="s">
        <v>615</v>
      </c>
      <c r="O2734">
        <v>136</v>
      </c>
      <c r="P2734" t="s">
        <v>543</v>
      </c>
      <c r="Q2734" t="s">
        <v>176</v>
      </c>
      <c r="R2734" t="s">
        <v>270</v>
      </c>
    </row>
    <row r="2735" spans="1:18" x14ac:dyDescent="0.3">
      <c r="A2735" t="s">
        <v>27</v>
      </c>
      <c r="B2735" t="s">
        <v>199</v>
      </c>
      <c r="C2735">
        <v>164</v>
      </c>
      <c r="D2735" t="s">
        <v>435</v>
      </c>
      <c r="E2735" t="s">
        <v>1284</v>
      </c>
      <c r="F2735" t="s">
        <v>1198</v>
      </c>
      <c r="G2735">
        <v>164</v>
      </c>
      <c r="H2735" t="s">
        <v>646</v>
      </c>
      <c r="I2735" t="s">
        <v>1245</v>
      </c>
      <c r="J2735" t="s">
        <v>524</v>
      </c>
      <c r="K2735">
        <v>164</v>
      </c>
      <c r="L2735" t="s">
        <v>1007</v>
      </c>
      <c r="M2735" t="s">
        <v>443</v>
      </c>
      <c r="N2735" t="s">
        <v>273</v>
      </c>
      <c r="O2735">
        <v>164</v>
      </c>
      <c r="P2735" t="s">
        <v>558</v>
      </c>
      <c r="Q2735" t="s">
        <v>613</v>
      </c>
      <c r="R2735" t="s">
        <v>251</v>
      </c>
    </row>
    <row r="2736" spans="1:18" x14ac:dyDescent="0.3">
      <c r="A2736" t="s">
        <v>41</v>
      </c>
      <c r="B2736" t="s">
        <v>198</v>
      </c>
      <c r="C2736">
        <v>521</v>
      </c>
      <c r="D2736" t="s">
        <v>160</v>
      </c>
      <c r="E2736" t="s">
        <v>985</v>
      </c>
      <c r="F2736" t="s">
        <v>100</v>
      </c>
      <c r="G2736">
        <v>521</v>
      </c>
      <c r="H2736" t="s">
        <v>135</v>
      </c>
      <c r="I2736" t="s">
        <v>147</v>
      </c>
      <c r="J2736" t="s">
        <v>116</v>
      </c>
      <c r="K2736">
        <v>521</v>
      </c>
      <c r="L2736" t="s">
        <v>123</v>
      </c>
      <c r="M2736" t="s">
        <v>613</v>
      </c>
      <c r="N2736" t="s">
        <v>194</v>
      </c>
      <c r="O2736">
        <v>521</v>
      </c>
      <c r="P2736" t="s">
        <v>601</v>
      </c>
      <c r="Q2736" t="s">
        <v>885</v>
      </c>
      <c r="R2736" t="s">
        <v>122</v>
      </c>
    </row>
    <row r="2737" spans="1:18" x14ac:dyDescent="0.3">
      <c r="A2737" t="s">
        <v>41</v>
      </c>
      <c r="B2737" t="s">
        <v>199</v>
      </c>
      <c r="C2737">
        <v>1517</v>
      </c>
      <c r="D2737" t="s">
        <v>734</v>
      </c>
      <c r="E2737" t="s">
        <v>1171</v>
      </c>
      <c r="F2737" t="s">
        <v>531</v>
      </c>
      <c r="G2737">
        <v>1517</v>
      </c>
      <c r="H2737" t="s">
        <v>649</v>
      </c>
      <c r="I2737" t="s">
        <v>170</v>
      </c>
      <c r="J2737" t="s">
        <v>98</v>
      </c>
      <c r="K2737">
        <v>1517</v>
      </c>
      <c r="L2737" t="s">
        <v>54</v>
      </c>
      <c r="M2737" t="s">
        <v>202</v>
      </c>
      <c r="N2737" t="s">
        <v>105</v>
      </c>
      <c r="O2737">
        <v>1517</v>
      </c>
      <c r="P2737" t="s">
        <v>549</v>
      </c>
      <c r="Q2737" t="s">
        <v>240</v>
      </c>
      <c r="R2737" t="s">
        <v>139</v>
      </c>
    </row>
    <row r="2739" spans="1:18" x14ac:dyDescent="0.3">
      <c r="A2739" t="s">
        <v>1363</v>
      </c>
    </row>
    <row r="2740" spans="1:18" x14ac:dyDescent="0.3">
      <c r="A2740" t="s">
        <v>36</v>
      </c>
      <c r="B2740" t="s">
        <v>24</v>
      </c>
      <c r="C2740" t="s">
        <v>1364</v>
      </c>
      <c r="D2740" t="s">
        <v>1365</v>
      </c>
      <c r="E2740" t="s">
        <v>1366</v>
      </c>
      <c r="F2740" t="s">
        <v>1367</v>
      </c>
    </row>
    <row r="2741" spans="1:18" x14ac:dyDescent="0.3">
      <c r="A2741" t="s">
        <v>25</v>
      </c>
      <c r="B2741">
        <v>414</v>
      </c>
      <c r="C2741" t="s">
        <v>1368</v>
      </c>
      <c r="D2741" t="s">
        <v>269</v>
      </c>
      <c r="E2741" t="s">
        <v>549</v>
      </c>
      <c r="F2741" t="s">
        <v>615</v>
      </c>
    </row>
    <row r="2742" spans="1:18" x14ac:dyDescent="0.3">
      <c r="A2742" t="s">
        <v>26</v>
      </c>
      <c r="B2742">
        <v>477</v>
      </c>
      <c r="C2742" t="s">
        <v>984</v>
      </c>
      <c r="D2742" t="s">
        <v>108</v>
      </c>
      <c r="E2742" t="s">
        <v>112</v>
      </c>
      <c r="F2742" t="s">
        <v>139</v>
      </c>
    </row>
    <row r="2743" spans="1:18" x14ac:dyDescent="0.3">
      <c r="A2743" t="s">
        <v>29</v>
      </c>
      <c r="B2743">
        <v>530</v>
      </c>
      <c r="C2743" t="s">
        <v>897</v>
      </c>
      <c r="D2743" t="s">
        <v>531</v>
      </c>
      <c r="E2743" t="s">
        <v>452</v>
      </c>
      <c r="F2743" t="s">
        <v>217</v>
      </c>
    </row>
    <row r="2744" spans="1:18" x14ac:dyDescent="0.3">
      <c r="A2744" t="s">
        <v>28</v>
      </c>
      <c r="B2744">
        <v>317</v>
      </c>
      <c r="C2744" t="s">
        <v>1369</v>
      </c>
      <c r="D2744" t="s">
        <v>54</v>
      </c>
      <c r="E2744" t="s">
        <v>171</v>
      </c>
      <c r="F2744" t="s">
        <v>68</v>
      </c>
    </row>
    <row r="2745" spans="1:18" x14ac:dyDescent="0.3">
      <c r="A2745" t="s">
        <v>27</v>
      </c>
      <c r="B2745">
        <v>300</v>
      </c>
      <c r="C2745" t="s">
        <v>747</v>
      </c>
      <c r="D2745" t="s">
        <v>809</v>
      </c>
      <c r="E2745" t="s">
        <v>254</v>
      </c>
      <c r="F2745" t="s">
        <v>257</v>
      </c>
    </row>
    <row r="2746" spans="1:18" x14ac:dyDescent="0.3">
      <c r="A2746" t="s">
        <v>41</v>
      </c>
      <c r="B2746">
        <v>2038</v>
      </c>
      <c r="C2746" t="s">
        <v>274</v>
      </c>
      <c r="D2746" t="s">
        <v>90</v>
      </c>
      <c r="E2746" t="s">
        <v>511</v>
      </c>
      <c r="F2746" t="s">
        <v>217</v>
      </c>
    </row>
    <row r="2748" spans="1:18" x14ac:dyDescent="0.3">
      <c r="A2748" t="s">
        <v>1370</v>
      </c>
    </row>
    <row r="2749" spans="1:18" x14ac:dyDescent="0.3">
      <c r="A2749" t="s">
        <v>36</v>
      </c>
      <c r="B2749" t="s">
        <v>197</v>
      </c>
      <c r="C2749" t="s">
        <v>24</v>
      </c>
      <c r="D2749" t="s">
        <v>1364</v>
      </c>
      <c r="E2749" t="s">
        <v>1365</v>
      </c>
      <c r="F2749" t="s">
        <v>1366</v>
      </c>
      <c r="G2749" t="s">
        <v>1367</v>
      </c>
    </row>
    <row r="2750" spans="1:18" x14ac:dyDescent="0.3">
      <c r="A2750" t="s">
        <v>25</v>
      </c>
      <c r="B2750" t="s">
        <v>198</v>
      </c>
      <c r="C2750">
        <v>104</v>
      </c>
      <c r="D2750" t="s">
        <v>302</v>
      </c>
      <c r="E2750" t="s">
        <v>140</v>
      </c>
      <c r="F2750" t="s">
        <v>171</v>
      </c>
      <c r="G2750" t="s">
        <v>262</v>
      </c>
    </row>
    <row r="2751" spans="1:18" x14ac:dyDescent="0.3">
      <c r="A2751" t="s">
        <v>25</v>
      </c>
      <c r="B2751" t="s">
        <v>199</v>
      </c>
      <c r="C2751">
        <v>310</v>
      </c>
      <c r="D2751" t="s">
        <v>608</v>
      </c>
      <c r="E2751" t="s">
        <v>157</v>
      </c>
      <c r="F2751" t="s">
        <v>124</v>
      </c>
      <c r="G2751" t="s">
        <v>102</v>
      </c>
    </row>
    <row r="2752" spans="1:18" x14ac:dyDescent="0.3">
      <c r="A2752" t="s">
        <v>26</v>
      </c>
      <c r="B2752" t="s">
        <v>198</v>
      </c>
      <c r="C2752">
        <v>41</v>
      </c>
      <c r="D2752" t="s">
        <v>408</v>
      </c>
      <c r="E2752" t="s">
        <v>479</v>
      </c>
      <c r="F2752" t="s">
        <v>103</v>
      </c>
      <c r="G2752" t="s">
        <v>532</v>
      </c>
    </row>
    <row r="2753" spans="1:7" x14ac:dyDescent="0.3">
      <c r="A2753" t="s">
        <v>26</v>
      </c>
      <c r="B2753" t="s">
        <v>199</v>
      </c>
      <c r="C2753">
        <v>436</v>
      </c>
      <c r="D2753" t="s">
        <v>172</v>
      </c>
      <c r="E2753" t="s">
        <v>460</v>
      </c>
      <c r="F2753" t="s">
        <v>232</v>
      </c>
      <c r="G2753" t="s">
        <v>120</v>
      </c>
    </row>
    <row r="2754" spans="1:7" x14ac:dyDescent="0.3">
      <c r="A2754" t="s">
        <v>29</v>
      </c>
      <c r="B2754" t="s">
        <v>198</v>
      </c>
      <c r="C2754">
        <v>170</v>
      </c>
      <c r="D2754" t="s">
        <v>1040</v>
      </c>
      <c r="E2754" t="s">
        <v>100</v>
      </c>
      <c r="F2754" t="s">
        <v>494</v>
      </c>
      <c r="G2754" t="s">
        <v>190</v>
      </c>
    </row>
    <row r="2755" spans="1:7" x14ac:dyDescent="0.3">
      <c r="A2755" t="s">
        <v>29</v>
      </c>
      <c r="B2755" t="s">
        <v>199</v>
      </c>
      <c r="C2755">
        <v>360</v>
      </c>
      <c r="D2755" t="s">
        <v>158</v>
      </c>
      <c r="E2755" t="s">
        <v>133</v>
      </c>
      <c r="F2755" t="s">
        <v>133</v>
      </c>
      <c r="G2755" t="s">
        <v>95</v>
      </c>
    </row>
    <row r="2756" spans="1:7" x14ac:dyDescent="0.3">
      <c r="A2756" t="s">
        <v>28</v>
      </c>
      <c r="B2756" t="s">
        <v>198</v>
      </c>
      <c r="C2756">
        <v>70</v>
      </c>
      <c r="D2756" t="s">
        <v>187</v>
      </c>
      <c r="E2756" t="s">
        <v>649</v>
      </c>
      <c r="F2756" t="s">
        <v>270</v>
      </c>
      <c r="G2756" t="s">
        <v>103</v>
      </c>
    </row>
    <row r="2757" spans="1:7" x14ac:dyDescent="0.3">
      <c r="A2757" t="s">
        <v>28</v>
      </c>
      <c r="B2757" t="s">
        <v>199</v>
      </c>
      <c r="C2757">
        <v>247</v>
      </c>
      <c r="D2757" t="s">
        <v>690</v>
      </c>
      <c r="E2757" t="s">
        <v>578</v>
      </c>
      <c r="F2757" t="s">
        <v>268</v>
      </c>
      <c r="G2757" t="s">
        <v>186</v>
      </c>
    </row>
    <row r="2758" spans="1:7" x14ac:dyDescent="0.3">
      <c r="A2758" t="s">
        <v>27</v>
      </c>
      <c r="B2758" t="s">
        <v>198</v>
      </c>
      <c r="C2758">
        <v>136</v>
      </c>
      <c r="D2758" t="s">
        <v>1291</v>
      </c>
      <c r="E2758" t="s">
        <v>474</v>
      </c>
      <c r="F2758" t="s">
        <v>575</v>
      </c>
      <c r="G2758" t="s">
        <v>591</v>
      </c>
    </row>
    <row r="2759" spans="1:7" x14ac:dyDescent="0.3">
      <c r="A2759" t="s">
        <v>27</v>
      </c>
      <c r="B2759" t="s">
        <v>199</v>
      </c>
      <c r="C2759">
        <v>164</v>
      </c>
      <c r="D2759" t="s">
        <v>603</v>
      </c>
      <c r="E2759" t="s">
        <v>693</v>
      </c>
      <c r="F2759" t="s">
        <v>459</v>
      </c>
      <c r="G2759" t="s">
        <v>468</v>
      </c>
    </row>
    <row r="2760" spans="1:7" x14ac:dyDescent="0.3">
      <c r="A2760" t="s">
        <v>41</v>
      </c>
      <c r="B2760" t="s">
        <v>198</v>
      </c>
      <c r="C2760">
        <v>521</v>
      </c>
      <c r="D2760" t="s">
        <v>1052</v>
      </c>
      <c r="E2760" t="s">
        <v>482</v>
      </c>
      <c r="F2760" t="s">
        <v>126</v>
      </c>
      <c r="G2760" t="s">
        <v>594</v>
      </c>
    </row>
    <row r="2761" spans="1:7" x14ac:dyDescent="0.3">
      <c r="A2761" t="s">
        <v>41</v>
      </c>
      <c r="B2761" t="s">
        <v>199</v>
      </c>
      <c r="C2761">
        <v>1517</v>
      </c>
      <c r="D2761" t="s">
        <v>1371</v>
      </c>
      <c r="E2761" t="s">
        <v>108</v>
      </c>
      <c r="F2761" t="s">
        <v>140</v>
      </c>
      <c r="G2761" t="s">
        <v>110</v>
      </c>
    </row>
    <row r="2763" spans="1:7" x14ac:dyDescent="0.3">
      <c r="A2763" t="s">
        <v>1372</v>
      </c>
    </row>
    <row r="2764" spans="1:7" x14ac:dyDescent="0.3">
      <c r="A2764" t="s">
        <v>36</v>
      </c>
      <c r="B2764" t="s">
        <v>307</v>
      </c>
      <c r="C2764" t="s">
        <v>24</v>
      </c>
      <c r="D2764" t="s">
        <v>1364</v>
      </c>
      <c r="E2764" t="s">
        <v>1365</v>
      </c>
      <c r="F2764" t="s">
        <v>1366</v>
      </c>
      <c r="G2764" t="s">
        <v>1367</v>
      </c>
    </row>
    <row r="2765" spans="1:7" x14ac:dyDescent="0.3">
      <c r="A2765" t="s">
        <v>25</v>
      </c>
      <c r="B2765" t="s">
        <v>291</v>
      </c>
      <c r="C2765">
        <v>156</v>
      </c>
      <c r="D2765" t="s">
        <v>1373</v>
      </c>
      <c r="E2765" t="s">
        <v>528</v>
      </c>
      <c r="F2765" t="s">
        <v>99</v>
      </c>
      <c r="G2765" t="s">
        <v>591</v>
      </c>
    </row>
    <row r="2766" spans="1:7" x14ac:dyDescent="0.3">
      <c r="A2766" t="s">
        <v>25</v>
      </c>
      <c r="B2766" t="s">
        <v>292</v>
      </c>
      <c r="C2766">
        <v>254</v>
      </c>
      <c r="D2766" t="s">
        <v>884</v>
      </c>
      <c r="E2766" t="s">
        <v>108</v>
      </c>
      <c r="F2766" t="s">
        <v>205</v>
      </c>
      <c r="G2766" t="s">
        <v>284</v>
      </c>
    </row>
    <row r="2767" spans="1:7" x14ac:dyDescent="0.3">
      <c r="A2767" t="s">
        <v>25</v>
      </c>
      <c r="B2767" t="s">
        <v>308</v>
      </c>
      <c r="C2767">
        <v>4</v>
      </c>
      <c r="D2767" t="s">
        <v>192</v>
      </c>
      <c r="E2767" t="s">
        <v>103</v>
      </c>
      <c r="F2767" t="s">
        <v>103</v>
      </c>
      <c r="G2767" t="s">
        <v>103</v>
      </c>
    </row>
    <row r="2768" spans="1:7" x14ac:dyDescent="0.3">
      <c r="A2768" t="s">
        <v>26</v>
      </c>
      <c r="B2768" t="s">
        <v>291</v>
      </c>
      <c r="C2768">
        <v>122</v>
      </c>
      <c r="D2768" t="s">
        <v>1282</v>
      </c>
      <c r="E2768" t="s">
        <v>268</v>
      </c>
      <c r="F2768" t="s">
        <v>254</v>
      </c>
      <c r="G2768" t="s">
        <v>98</v>
      </c>
    </row>
    <row r="2769" spans="1:7" x14ac:dyDescent="0.3">
      <c r="A2769" t="s">
        <v>26</v>
      </c>
      <c r="B2769" t="s">
        <v>292</v>
      </c>
      <c r="C2769">
        <v>352</v>
      </c>
      <c r="D2769" t="s">
        <v>818</v>
      </c>
      <c r="E2769" t="s">
        <v>32</v>
      </c>
      <c r="F2769" t="s">
        <v>201</v>
      </c>
      <c r="G2769" t="s">
        <v>139</v>
      </c>
    </row>
    <row r="2770" spans="1:7" x14ac:dyDescent="0.3">
      <c r="A2770" t="s">
        <v>26</v>
      </c>
      <c r="B2770" t="s">
        <v>308</v>
      </c>
      <c r="C2770">
        <v>3</v>
      </c>
      <c r="D2770" t="s">
        <v>192</v>
      </c>
      <c r="E2770" t="s">
        <v>103</v>
      </c>
      <c r="F2770" t="s">
        <v>103</v>
      </c>
      <c r="G2770" t="s">
        <v>103</v>
      </c>
    </row>
    <row r="2771" spans="1:7" x14ac:dyDescent="0.3">
      <c r="A2771" t="s">
        <v>29</v>
      </c>
      <c r="B2771" t="s">
        <v>291</v>
      </c>
      <c r="C2771">
        <v>205</v>
      </c>
      <c r="D2771" t="s">
        <v>238</v>
      </c>
      <c r="E2771" t="s">
        <v>100</v>
      </c>
      <c r="F2771" t="s">
        <v>558</v>
      </c>
      <c r="G2771" t="s">
        <v>195</v>
      </c>
    </row>
    <row r="2772" spans="1:7" x14ac:dyDescent="0.3">
      <c r="A2772" t="s">
        <v>29</v>
      </c>
      <c r="B2772" t="s">
        <v>292</v>
      </c>
      <c r="C2772">
        <v>325</v>
      </c>
      <c r="D2772" t="s">
        <v>605</v>
      </c>
      <c r="E2772" t="s">
        <v>278</v>
      </c>
      <c r="F2772" t="s">
        <v>594</v>
      </c>
      <c r="G2772" t="s">
        <v>128</v>
      </c>
    </row>
    <row r="2773" spans="1:7" x14ac:dyDescent="0.3">
      <c r="A2773" t="s">
        <v>28</v>
      </c>
      <c r="B2773" t="s">
        <v>291</v>
      </c>
      <c r="C2773">
        <v>114</v>
      </c>
      <c r="D2773" t="s">
        <v>1374</v>
      </c>
      <c r="E2773" t="s">
        <v>256</v>
      </c>
      <c r="F2773" t="s">
        <v>92</v>
      </c>
      <c r="G2773" t="s">
        <v>95</v>
      </c>
    </row>
    <row r="2774" spans="1:7" x14ac:dyDescent="0.3">
      <c r="A2774" t="s">
        <v>28</v>
      </c>
      <c r="B2774" t="s">
        <v>292</v>
      </c>
      <c r="C2774">
        <v>191</v>
      </c>
      <c r="D2774" t="s">
        <v>1369</v>
      </c>
      <c r="E2774" t="s">
        <v>130</v>
      </c>
      <c r="F2774" t="s">
        <v>750</v>
      </c>
      <c r="G2774" t="s">
        <v>33</v>
      </c>
    </row>
    <row r="2775" spans="1:7" x14ac:dyDescent="0.3">
      <c r="A2775" t="s">
        <v>28</v>
      </c>
      <c r="B2775" t="s">
        <v>308</v>
      </c>
      <c r="C2775">
        <v>12</v>
      </c>
      <c r="D2775" t="s">
        <v>859</v>
      </c>
      <c r="E2775" t="s">
        <v>112</v>
      </c>
      <c r="F2775" t="s">
        <v>103</v>
      </c>
      <c r="G2775" t="s">
        <v>103</v>
      </c>
    </row>
    <row r="2776" spans="1:7" x14ac:dyDescent="0.3">
      <c r="A2776" t="s">
        <v>27</v>
      </c>
      <c r="B2776" t="s">
        <v>291</v>
      </c>
      <c r="C2776">
        <v>95</v>
      </c>
      <c r="D2776" t="s">
        <v>1375</v>
      </c>
      <c r="E2776" t="s">
        <v>456</v>
      </c>
      <c r="F2776" t="s">
        <v>272</v>
      </c>
      <c r="G2776" t="s">
        <v>93</v>
      </c>
    </row>
    <row r="2777" spans="1:7" x14ac:dyDescent="0.3">
      <c r="A2777" t="s">
        <v>27</v>
      </c>
      <c r="B2777" t="s">
        <v>292</v>
      </c>
      <c r="C2777">
        <v>198</v>
      </c>
      <c r="D2777" t="s">
        <v>1040</v>
      </c>
      <c r="E2777" t="s">
        <v>100</v>
      </c>
      <c r="F2777" t="s">
        <v>111</v>
      </c>
      <c r="G2777" t="s">
        <v>64</v>
      </c>
    </row>
    <row r="2778" spans="1:7" x14ac:dyDescent="0.3">
      <c r="A2778" t="s">
        <v>27</v>
      </c>
      <c r="B2778" t="s">
        <v>308</v>
      </c>
      <c r="C2778">
        <v>7</v>
      </c>
      <c r="D2778" t="s">
        <v>192</v>
      </c>
      <c r="E2778" t="s">
        <v>103</v>
      </c>
      <c r="F2778" t="s">
        <v>103</v>
      </c>
      <c r="G2778" t="s">
        <v>103</v>
      </c>
    </row>
    <row r="2779" spans="1:7" x14ac:dyDescent="0.3">
      <c r="A2779" t="s">
        <v>41</v>
      </c>
      <c r="B2779" t="s">
        <v>291</v>
      </c>
      <c r="C2779">
        <v>692</v>
      </c>
      <c r="D2779" t="s">
        <v>899</v>
      </c>
      <c r="E2779" t="s">
        <v>700</v>
      </c>
      <c r="F2779" t="s">
        <v>494</v>
      </c>
      <c r="G2779" t="s">
        <v>266</v>
      </c>
    </row>
    <row r="2780" spans="1:7" x14ac:dyDescent="0.3">
      <c r="A2780" t="s">
        <v>41</v>
      </c>
      <c r="B2780" t="s">
        <v>292</v>
      </c>
      <c r="C2780">
        <v>1320</v>
      </c>
      <c r="D2780" t="s">
        <v>630</v>
      </c>
      <c r="E2780" t="s">
        <v>452</v>
      </c>
      <c r="F2780" t="s">
        <v>190</v>
      </c>
      <c r="G2780" t="s">
        <v>257</v>
      </c>
    </row>
    <row r="2781" spans="1:7" x14ac:dyDescent="0.3">
      <c r="A2781" t="s">
        <v>41</v>
      </c>
      <c r="B2781" t="s">
        <v>308</v>
      </c>
      <c r="C2781">
        <v>26</v>
      </c>
      <c r="D2781" t="s">
        <v>340</v>
      </c>
      <c r="E2781" t="s">
        <v>216</v>
      </c>
      <c r="F2781" t="s">
        <v>103</v>
      </c>
      <c r="G2781" t="s">
        <v>103</v>
      </c>
    </row>
    <row r="2783" spans="1:7" x14ac:dyDescent="0.3">
      <c r="A2783" t="s">
        <v>1376</v>
      </c>
    </row>
    <row r="2784" spans="1:7" x14ac:dyDescent="0.3">
      <c r="A2784" t="s">
        <v>36</v>
      </c>
      <c r="B2784" t="s">
        <v>763</v>
      </c>
      <c r="C2784" t="s">
        <v>24</v>
      </c>
      <c r="D2784" t="s">
        <v>1364</v>
      </c>
      <c r="E2784" t="s">
        <v>1365</v>
      </c>
      <c r="F2784" t="s">
        <v>1366</v>
      </c>
      <c r="G2784" t="s">
        <v>1367</v>
      </c>
    </row>
    <row r="2785" spans="1:7" x14ac:dyDescent="0.3">
      <c r="A2785" t="s">
        <v>25</v>
      </c>
      <c r="B2785" t="s">
        <v>764</v>
      </c>
      <c r="C2785">
        <v>31</v>
      </c>
      <c r="D2785" t="s">
        <v>1138</v>
      </c>
      <c r="E2785" t="s">
        <v>532</v>
      </c>
      <c r="F2785" t="s">
        <v>92</v>
      </c>
      <c r="G2785" t="s">
        <v>103</v>
      </c>
    </row>
    <row r="2786" spans="1:7" x14ac:dyDescent="0.3">
      <c r="A2786" t="s">
        <v>25</v>
      </c>
      <c r="B2786" t="s">
        <v>765</v>
      </c>
      <c r="C2786">
        <v>280</v>
      </c>
      <c r="D2786" t="s">
        <v>1377</v>
      </c>
      <c r="E2786" t="s">
        <v>162</v>
      </c>
      <c r="F2786" t="s">
        <v>190</v>
      </c>
      <c r="G2786" t="s">
        <v>206</v>
      </c>
    </row>
    <row r="2787" spans="1:7" x14ac:dyDescent="0.3">
      <c r="A2787" t="s">
        <v>25</v>
      </c>
      <c r="B2787" t="s">
        <v>767</v>
      </c>
      <c r="C2787">
        <v>103</v>
      </c>
      <c r="D2787" t="s">
        <v>709</v>
      </c>
      <c r="E2787" t="s">
        <v>195</v>
      </c>
      <c r="F2787" t="s">
        <v>918</v>
      </c>
      <c r="G2787" t="s">
        <v>118</v>
      </c>
    </row>
    <row r="2788" spans="1:7" x14ac:dyDescent="0.3">
      <c r="A2788" t="s">
        <v>26</v>
      </c>
      <c r="B2788" t="s">
        <v>764</v>
      </c>
      <c r="C2788">
        <v>58</v>
      </c>
      <c r="D2788" t="s">
        <v>783</v>
      </c>
      <c r="E2788" t="s">
        <v>571</v>
      </c>
      <c r="F2788" t="s">
        <v>272</v>
      </c>
      <c r="G2788" t="s">
        <v>103</v>
      </c>
    </row>
    <row r="2789" spans="1:7" x14ac:dyDescent="0.3">
      <c r="A2789" t="s">
        <v>26</v>
      </c>
      <c r="B2789" t="s">
        <v>765</v>
      </c>
      <c r="C2789">
        <v>278</v>
      </c>
      <c r="D2789" t="s">
        <v>1378</v>
      </c>
      <c r="E2789" t="s">
        <v>111</v>
      </c>
      <c r="F2789" t="s">
        <v>531</v>
      </c>
      <c r="G2789" t="s">
        <v>110</v>
      </c>
    </row>
    <row r="2790" spans="1:7" x14ac:dyDescent="0.3">
      <c r="A2790" t="s">
        <v>26</v>
      </c>
      <c r="B2790" t="s">
        <v>767</v>
      </c>
      <c r="C2790">
        <v>141</v>
      </c>
      <c r="D2790" t="s">
        <v>849</v>
      </c>
      <c r="E2790" t="s">
        <v>120</v>
      </c>
      <c r="F2790" t="s">
        <v>70</v>
      </c>
      <c r="G2790" t="s">
        <v>103</v>
      </c>
    </row>
    <row r="2791" spans="1:7" s="3" customFormat="1" x14ac:dyDescent="0.3">
      <c r="A2791" s="3" t="s">
        <v>29</v>
      </c>
      <c r="B2791" s="3" t="s">
        <v>764</v>
      </c>
      <c r="C2791" s="3">
        <v>11</v>
      </c>
      <c r="D2791" s="3" t="s">
        <v>1169</v>
      </c>
      <c r="E2791" s="3" t="s">
        <v>117</v>
      </c>
      <c r="F2791" s="3" t="s">
        <v>115</v>
      </c>
      <c r="G2791" s="3" t="s">
        <v>103</v>
      </c>
    </row>
    <row r="2792" spans="1:7" x14ac:dyDescent="0.3">
      <c r="A2792" t="s">
        <v>29</v>
      </c>
      <c r="B2792" t="s">
        <v>765</v>
      </c>
      <c r="C2792">
        <v>365</v>
      </c>
      <c r="D2792" t="s">
        <v>45</v>
      </c>
      <c r="E2792" t="s">
        <v>549</v>
      </c>
      <c r="F2792" t="s">
        <v>232</v>
      </c>
      <c r="G2792" t="s">
        <v>195</v>
      </c>
    </row>
    <row r="2793" spans="1:7" x14ac:dyDescent="0.3">
      <c r="A2793" t="s">
        <v>29</v>
      </c>
      <c r="B2793" t="s">
        <v>767</v>
      </c>
      <c r="C2793">
        <v>154</v>
      </c>
      <c r="D2793" t="s">
        <v>710</v>
      </c>
      <c r="E2793" t="s">
        <v>103</v>
      </c>
      <c r="F2793" t="s">
        <v>466</v>
      </c>
      <c r="G2793" t="s">
        <v>105</v>
      </c>
    </row>
    <row r="2794" spans="1:7" s="3" customFormat="1" x14ac:dyDescent="0.3">
      <c r="A2794" s="3" t="s">
        <v>28</v>
      </c>
      <c r="B2794" s="3" t="s">
        <v>764</v>
      </c>
      <c r="C2794" s="3">
        <v>20</v>
      </c>
      <c r="D2794" s="3" t="s">
        <v>896</v>
      </c>
      <c r="E2794" s="3" t="s">
        <v>103</v>
      </c>
      <c r="F2794" s="3" t="s">
        <v>133</v>
      </c>
      <c r="G2794" s="3" t="s">
        <v>103</v>
      </c>
    </row>
    <row r="2795" spans="1:7" x14ac:dyDescent="0.3">
      <c r="A2795" t="s">
        <v>28</v>
      </c>
      <c r="B2795" t="s">
        <v>765</v>
      </c>
      <c r="C2795">
        <v>260</v>
      </c>
      <c r="D2795" t="s">
        <v>1379</v>
      </c>
      <c r="E2795" t="s">
        <v>142</v>
      </c>
      <c r="F2795" t="s">
        <v>54</v>
      </c>
      <c r="G2795" t="s">
        <v>188</v>
      </c>
    </row>
    <row r="2796" spans="1:7" x14ac:dyDescent="0.3">
      <c r="A2796" t="s">
        <v>28</v>
      </c>
      <c r="B2796" t="s">
        <v>767</v>
      </c>
      <c r="C2796">
        <v>37</v>
      </c>
      <c r="D2796" t="s">
        <v>712</v>
      </c>
      <c r="E2796" t="s">
        <v>591</v>
      </c>
      <c r="F2796" t="s">
        <v>108</v>
      </c>
      <c r="G2796" t="s">
        <v>103</v>
      </c>
    </row>
    <row r="2797" spans="1:7" s="3" customFormat="1" x14ac:dyDescent="0.3">
      <c r="A2797" s="3" t="s">
        <v>27</v>
      </c>
      <c r="B2797" s="3" t="s">
        <v>764</v>
      </c>
      <c r="C2797" s="3">
        <v>29</v>
      </c>
      <c r="D2797" s="3" t="s">
        <v>755</v>
      </c>
      <c r="E2797" s="3" t="s">
        <v>68</v>
      </c>
      <c r="F2797" s="3" t="s">
        <v>115</v>
      </c>
      <c r="G2797" s="3" t="s">
        <v>575</v>
      </c>
    </row>
    <row r="2798" spans="1:7" x14ac:dyDescent="0.3">
      <c r="A2798" t="s">
        <v>27</v>
      </c>
      <c r="B2798" t="s">
        <v>765</v>
      </c>
      <c r="C2798">
        <v>209</v>
      </c>
      <c r="D2798" t="s">
        <v>1035</v>
      </c>
      <c r="E2798" t="s">
        <v>672</v>
      </c>
      <c r="F2798" t="s">
        <v>558</v>
      </c>
      <c r="G2798" t="s">
        <v>216</v>
      </c>
    </row>
    <row r="2799" spans="1:7" x14ac:dyDescent="0.3">
      <c r="A2799" t="s">
        <v>27</v>
      </c>
      <c r="B2799" t="s">
        <v>767</v>
      </c>
      <c r="C2799">
        <v>62</v>
      </c>
      <c r="D2799" t="s">
        <v>1135</v>
      </c>
      <c r="E2799" t="s">
        <v>103</v>
      </c>
      <c r="F2799" t="s">
        <v>469</v>
      </c>
      <c r="G2799" t="s">
        <v>266</v>
      </c>
    </row>
    <row r="2800" spans="1:7" x14ac:dyDescent="0.3">
      <c r="A2800" t="s">
        <v>41</v>
      </c>
      <c r="B2800" t="s">
        <v>764</v>
      </c>
      <c r="C2800">
        <v>149</v>
      </c>
      <c r="D2800" t="s">
        <v>630</v>
      </c>
      <c r="E2800" t="s">
        <v>511</v>
      </c>
      <c r="F2800" t="s">
        <v>575</v>
      </c>
      <c r="G2800" t="s">
        <v>120</v>
      </c>
    </row>
    <row r="2801" spans="1:7" x14ac:dyDescent="0.3">
      <c r="A2801" t="s">
        <v>41</v>
      </c>
      <c r="B2801" t="s">
        <v>765</v>
      </c>
      <c r="C2801">
        <v>1392</v>
      </c>
      <c r="D2801" t="s">
        <v>1001</v>
      </c>
      <c r="E2801" t="s">
        <v>463</v>
      </c>
      <c r="F2801" t="s">
        <v>140</v>
      </c>
      <c r="G2801" t="s">
        <v>272</v>
      </c>
    </row>
    <row r="2802" spans="1:7" x14ac:dyDescent="0.3">
      <c r="A2802" t="s">
        <v>41</v>
      </c>
      <c r="B2802" t="s">
        <v>767</v>
      </c>
      <c r="C2802">
        <v>497</v>
      </c>
      <c r="D2802" t="s">
        <v>828</v>
      </c>
      <c r="E2802" t="s">
        <v>139</v>
      </c>
      <c r="F2802" t="s">
        <v>100</v>
      </c>
      <c r="G2802" t="s">
        <v>110</v>
      </c>
    </row>
    <row r="2804" spans="1:7" x14ac:dyDescent="0.3">
      <c r="A2804" t="s">
        <v>1380</v>
      </c>
    </row>
    <row r="2805" spans="1:7" x14ac:dyDescent="0.3">
      <c r="A2805" t="s">
        <v>36</v>
      </c>
      <c r="B2805" t="s">
        <v>310</v>
      </c>
      <c r="C2805" t="s">
        <v>24</v>
      </c>
      <c r="D2805" t="s">
        <v>1364</v>
      </c>
      <c r="E2805" t="s">
        <v>1365</v>
      </c>
      <c r="F2805" t="s">
        <v>1366</v>
      </c>
      <c r="G2805" t="s">
        <v>1367</v>
      </c>
    </row>
    <row r="2806" spans="1:7" x14ac:dyDescent="0.3">
      <c r="A2806" t="s">
        <v>25</v>
      </c>
      <c r="B2806" t="s">
        <v>311</v>
      </c>
      <c r="C2806">
        <v>324</v>
      </c>
      <c r="D2806" t="s">
        <v>1140</v>
      </c>
      <c r="E2806" t="s">
        <v>119</v>
      </c>
      <c r="F2806" t="s">
        <v>571</v>
      </c>
      <c r="G2806" t="s">
        <v>278</v>
      </c>
    </row>
    <row r="2807" spans="1:7" x14ac:dyDescent="0.3">
      <c r="A2807" t="s">
        <v>25</v>
      </c>
      <c r="B2807" t="s">
        <v>312</v>
      </c>
      <c r="C2807">
        <v>80</v>
      </c>
      <c r="D2807" t="s">
        <v>895</v>
      </c>
      <c r="E2807" t="s">
        <v>693</v>
      </c>
      <c r="F2807" t="s">
        <v>119</v>
      </c>
      <c r="G2807" t="s">
        <v>217</v>
      </c>
    </row>
    <row r="2808" spans="1:7" x14ac:dyDescent="0.3">
      <c r="A2808" t="s">
        <v>25</v>
      </c>
      <c r="B2808" t="s">
        <v>308</v>
      </c>
      <c r="C2808">
        <v>10</v>
      </c>
      <c r="D2808" t="s">
        <v>287</v>
      </c>
      <c r="E2808" t="s">
        <v>103</v>
      </c>
      <c r="F2808" t="s">
        <v>103</v>
      </c>
      <c r="G2808" t="s">
        <v>591</v>
      </c>
    </row>
    <row r="2809" spans="1:7" x14ac:dyDescent="0.3">
      <c r="A2809" t="s">
        <v>26</v>
      </c>
      <c r="B2809" t="s">
        <v>311</v>
      </c>
      <c r="C2809">
        <v>343</v>
      </c>
      <c r="D2809" t="s">
        <v>903</v>
      </c>
      <c r="E2809" t="s">
        <v>99</v>
      </c>
      <c r="F2809" t="s">
        <v>232</v>
      </c>
      <c r="G2809" t="s">
        <v>139</v>
      </c>
    </row>
    <row r="2810" spans="1:7" x14ac:dyDescent="0.3">
      <c r="A2810" t="s">
        <v>26</v>
      </c>
      <c r="B2810" t="s">
        <v>312</v>
      </c>
      <c r="C2810">
        <v>96</v>
      </c>
      <c r="D2810" t="s">
        <v>740</v>
      </c>
      <c r="E2810" t="s">
        <v>281</v>
      </c>
      <c r="F2810" t="s">
        <v>94</v>
      </c>
      <c r="G2810" t="s">
        <v>345</v>
      </c>
    </row>
    <row r="2811" spans="1:7" x14ac:dyDescent="0.3">
      <c r="A2811" t="s">
        <v>26</v>
      </c>
      <c r="B2811" t="s">
        <v>308</v>
      </c>
      <c r="C2811">
        <v>38</v>
      </c>
      <c r="D2811" t="s">
        <v>192</v>
      </c>
      <c r="E2811" t="s">
        <v>103</v>
      </c>
      <c r="F2811" t="s">
        <v>103</v>
      </c>
      <c r="G2811" t="s">
        <v>103</v>
      </c>
    </row>
    <row r="2812" spans="1:7" x14ac:dyDescent="0.3">
      <c r="A2812" t="s">
        <v>29</v>
      </c>
      <c r="B2812" t="s">
        <v>311</v>
      </c>
      <c r="C2812">
        <v>414</v>
      </c>
      <c r="D2812" t="s">
        <v>617</v>
      </c>
      <c r="E2812" t="s">
        <v>284</v>
      </c>
      <c r="F2812" t="s">
        <v>594</v>
      </c>
      <c r="G2812" t="s">
        <v>266</v>
      </c>
    </row>
    <row r="2813" spans="1:7" x14ac:dyDescent="0.3">
      <c r="A2813" t="s">
        <v>29</v>
      </c>
      <c r="B2813" t="s">
        <v>312</v>
      </c>
      <c r="C2813">
        <v>103</v>
      </c>
      <c r="D2813" t="s">
        <v>274</v>
      </c>
      <c r="E2813" t="s">
        <v>269</v>
      </c>
      <c r="F2813" t="s">
        <v>558</v>
      </c>
      <c r="G2813" t="s">
        <v>110</v>
      </c>
    </row>
    <row r="2814" spans="1:7" x14ac:dyDescent="0.3">
      <c r="A2814" t="s">
        <v>29</v>
      </c>
      <c r="B2814" t="s">
        <v>308</v>
      </c>
      <c r="C2814">
        <v>13</v>
      </c>
      <c r="D2814" t="s">
        <v>1308</v>
      </c>
      <c r="E2814" t="s">
        <v>108</v>
      </c>
      <c r="F2814" t="s">
        <v>103</v>
      </c>
      <c r="G2814" t="s">
        <v>126</v>
      </c>
    </row>
    <row r="2815" spans="1:7" x14ac:dyDescent="0.3">
      <c r="A2815" t="s">
        <v>28</v>
      </c>
      <c r="B2815" t="s">
        <v>311</v>
      </c>
      <c r="C2815">
        <v>223</v>
      </c>
      <c r="D2815" t="s">
        <v>787</v>
      </c>
      <c r="E2815" t="s">
        <v>160</v>
      </c>
      <c r="F2815" t="s">
        <v>167</v>
      </c>
      <c r="G2815" t="s">
        <v>282</v>
      </c>
    </row>
    <row r="2816" spans="1:7" x14ac:dyDescent="0.3">
      <c r="A2816" t="s">
        <v>28</v>
      </c>
      <c r="B2816" t="s">
        <v>312</v>
      </c>
      <c r="C2816">
        <v>93</v>
      </c>
      <c r="D2816" t="s">
        <v>394</v>
      </c>
      <c r="E2816" t="s">
        <v>925</v>
      </c>
      <c r="F2816" t="s">
        <v>528</v>
      </c>
      <c r="G2816" t="s">
        <v>247</v>
      </c>
    </row>
    <row r="2817" spans="1:10" x14ac:dyDescent="0.3">
      <c r="A2817" t="s">
        <v>28</v>
      </c>
      <c r="B2817" t="s">
        <v>308</v>
      </c>
      <c r="C2817">
        <v>1</v>
      </c>
      <c r="D2817" t="s">
        <v>192</v>
      </c>
      <c r="E2817" t="s">
        <v>103</v>
      </c>
      <c r="F2817" t="s">
        <v>103</v>
      </c>
      <c r="G2817" t="s">
        <v>103</v>
      </c>
    </row>
    <row r="2818" spans="1:10" x14ac:dyDescent="0.3">
      <c r="A2818" t="s">
        <v>27</v>
      </c>
      <c r="B2818" t="s">
        <v>311</v>
      </c>
      <c r="C2818">
        <v>237</v>
      </c>
      <c r="D2818" t="s">
        <v>899</v>
      </c>
      <c r="E2818" t="s">
        <v>104</v>
      </c>
      <c r="F2818" t="s">
        <v>737</v>
      </c>
      <c r="G2818" t="s">
        <v>64</v>
      </c>
    </row>
    <row r="2819" spans="1:10" x14ac:dyDescent="0.3">
      <c r="A2819" t="s">
        <v>27</v>
      </c>
      <c r="B2819" t="s">
        <v>312</v>
      </c>
      <c r="C2819">
        <v>60</v>
      </c>
      <c r="D2819" t="s">
        <v>826</v>
      </c>
      <c r="E2819" t="s">
        <v>520</v>
      </c>
      <c r="F2819" t="s">
        <v>649</v>
      </c>
      <c r="G2819" t="s">
        <v>194</v>
      </c>
    </row>
    <row r="2820" spans="1:10" x14ac:dyDescent="0.3">
      <c r="A2820" t="s">
        <v>27</v>
      </c>
      <c r="B2820" t="s">
        <v>308</v>
      </c>
      <c r="C2820">
        <v>3</v>
      </c>
      <c r="D2820" t="s">
        <v>527</v>
      </c>
      <c r="E2820" t="s">
        <v>103</v>
      </c>
      <c r="F2820" t="s">
        <v>943</v>
      </c>
      <c r="G2820" t="s">
        <v>103</v>
      </c>
    </row>
    <row r="2821" spans="1:10" x14ac:dyDescent="0.3">
      <c r="A2821" t="s">
        <v>41</v>
      </c>
      <c r="B2821" t="s">
        <v>311</v>
      </c>
      <c r="C2821">
        <v>1541</v>
      </c>
      <c r="D2821" t="s">
        <v>739</v>
      </c>
      <c r="E2821" t="s">
        <v>242</v>
      </c>
      <c r="F2821" t="s">
        <v>101</v>
      </c>
      <c r="G2821" t="s">
        <v>266</v>
      </c>
    </row>
    <row r="2822" spans="1:10" x14ac:dyDescent="0.3">
      <c r="A2822" t="s">
        <v>41</v>
      </c>
      <c r="B2822" t="s">
        <v>312</v>
      </c>
      <c r="C2822">
        <v>432</v>
      </c>
      <c r="D2822" t="s">
        <v>1381</v>
      </c>
      <c r="E2822" t="s">
        <v>135</v>
      </c>
      <c r="F2822" t="s">
        <v>575</v>
      </c>
      <c r="G2822" t="s">
        <v>329</v>
      </c>
    </row>
    <row r="2823" spans="1:10" x14ac:dyDescent="0.3">
      <c r="A2823" t="s">
        <v>41</v>
      </c>
      <c r="B2823" t="s">
        <v>308</v>
      </c>
      <c r="C2823">
        <v>65</v>
      </c>
      <c r="D2823" t="s">
        <v>71</v>
      </c>
      <c r="E2823" t="s">
        <v>329</v>
      </c>
      <c r="F2823" t="s">
        <v>122</v>
      </c>
      <c r="G2823" t="s">
        <v>266</v>
      </c>
    </row>
    <row r="2825" spans="1:10" x14ac:dyDescent="0.3">
      <c r="A2825" t="s">
        <v>1382</v>
      </c>
    </row>
    <row r="2826" spans="1:10" x14ac:dyDescent="0.3">
      <c r="A2826" t="s">
        <v>36</v>
      </c>
      <c r="B2826" t="s">
        <v>24</v>
      </c>
      <c r="C2826" t="s">
        <v>1383</v>
      </c>
      <c r="D2826" t="s">
        <v>1384</v>
      </c>
      <c r="E2826" t="s">
        <v>1385</v>
      </c>
      <c r="F2826" t="s">
        <v>1386</v>
      </c>
      <c r="G2826" t="s">
        <v>1387</v>
      </c>
      <c r="H2826" t="s">
        <v>1388</v>
      </c>
      <c r="I2826" t="s">
        <v>1389</v>
      </c>
      <c r="J2826" t="s">
        <v>848</v>
      </c>
    </row>
    <row r="2827" spans="1:10" x14ac:dyDescent="0.3">
      <c r="A2827" t="s">
        <v>25</v>
      </c>
      <c r="B2827">
        <v>414</v>
      </c>
      <c r="C2827" t="s">
        <v>608</v>
      </c>
      <c r="D2827" t="s">
        <v>1025</v>
      </c>
      <c r="E2827" t="s">
        <v>239</v>
      </c>
      <c r="F2827" t="s">
        <v>103</v>
      </c>
      <c r="G2827" t="s">
        <v>116</v>
      </c>
      <c r="H2827" t="s">
        <v>95</v>
      </c>
      <c r="I2827" t="s">
        <v>244</v>
      </c>
      <c r="J2827" t="s">
        <v>103</v>
      </c>
    </row>
    <row r="2828" spans="1:10" x14ac:dyDescent="0.3">
      <c r="A2828" t="s">
        <v>26</v>
      </c>
      <c r="B2828">
        <v>477</v>
      </c>
      <c r="C2828" t="s">
        <v>596</v>
      </c>
      <c r="D2828" t="s">
        <v>1238</v>
      </c>
      <c r="E2828" t="s">
        <v>105</v>
      </c>
      <c r="F2828" t="s">
        <v>103</v>
      </c>
      <c r="G2828" t="s">
        <v>103</v>
      </c>
      <c r="H2828" t="s">
        <v>271</v>
      </c>
      <c r="I2828" t="s">
        <v>127</v>
      </c>
      <c r="J2828" t="s">
        <v>103</v>
      </c>
    </row>
    <row r="2829" spans="1:10" x14ac:dyDescent="0.3">
      <c r="A2829" t="s">
        <v>29</v>
      </c>
      <c r="B2829">
        <v>530</v>
      </c>
      <c r="C2829" t="s">
        <v>1001</v>
      </c>
      <c r="D2829" t="s">
        <v>364</v>
      </c>
      <c r="E2829" t="s">
        <v>68</v>
      </c>
      <c r="F2829" t="s">
        <v>103</v>
      </c>
      <c r="G2829" t="s">
        <v>95</v>
      </c>
      <c r="H2829" t="s">
        <v>737</v>
      </c>
      <c r="I2829" t="s">
        <v>575</v>
      </c>
      <c r="J2829" t="s">
        <v>103</v>
      </c>
    </row>
    <row r="2830" spans="1:10" x14ac:dyDescent="0.3">
      <c r="A2830" t="s">
        <v>28</v>
      </c>
      <c r="B2830">
        <v>317</v>
      </c>
      <c r="C2830" t="s">
        <v>886</v>
      </c>
      <c r="D2830" t="s">
        <v>1199</v>
      </c>
      <c r="E2830" t="s">
        <v>103</v>
      </c>
      <c r="F2830" t="s">
        <v>103</v>
      </c>
      <c r="G2830" t="s">
        <v>122</v>
      </c>
      <c r="H2830" t="s">
        <v>146</v>
      </c>
      <c r="I2830" t="s">
        <v>483</v>
      </c>
      <c r="J2830" t="s">
        <v>103</v>
      </c>
    </row>
    <row r="2831" spans="1:10" x14ac:dyDescent="0.3">
      <c r="A2831" t="s">
        <v>27</v>
      </c>
      <c r="B2831">
        <v>300</v>
      </c>
      <c r="C2831" t="s">
        <v>426</v>
      </c>
      <c r="D2831" t="s">
        <v>1390</v>
      </c>
      <c r="E2831" t="s">
        <v>116</v>
      </c>
      <c r="F2831" t="s">
        <v>103</v>
      </c>
      <c r="G2831" t="s">
        <v>103</v>
      </c>
      <c r="H2831" t="s">
        <v>122</v>
      </c>
      <c r="I2831" t="s">
        <v>695</v>
      </c>
      <c r="J2831" t="s">
        <v>103</v>
      </c>
    </row>
    <row r="2832" spans="1:10" x14ac:dyDescent="0.3">
      <c r="A2832" t="s">
        <v>41</v>
      </c>
      <c r="B2832">
        <v>2038</v>
      </c>
      <c r="C2832" t="s">
        <v>603</v>
      </c>
      <c r="D2832" t="s">
        <v>678</v>
      </c>
      <c r="E2832" t="s">
        <v>93</v>
      </c>
      <c r="F2832" t="s">
        <v>103</v>
      </c>
      <c r="G2832" t="s">
        <v>122</v>
      </c>
      <c r="H2832" t="s">
        <v>127</v>
      </c>
      <c r="I2832" t="s">
        <v>191</v>
      </c>
      <c r="J2832" t="s">
        <v>103</v>
      </c>
    </row>
    <row r="2834" spans="1:11" x14ac:dyDescent="0.3">
      <c r="A2834" t="s">
        <v>1391</v>
      </c>
    </row>
    <row r="2835" spans="1:11" x14ac:dyDescent="0.3">
      <c r="A2835" t="s">
        <v>36</v>
      </c>
      <c r="B2835" t="s">
        <v>197</v>
      </c>
      <c r="C2835" t="s">
        <v>24</v>
      </c>
      <c r="D2835" t="s">
        <v>1383</v>
      </c>
      <c r="E2835" t="s">
        <v>1384</v>
      </c>
      <c r="F2835" t="s">
        <v>1385</v>
      </c>
      <c r="G2835" t="s">
        <v>1386</v>
      </c>
      <c r="H2835" t="s">
        <v>1387</v>
      </c>
      <c r="I2835" t="s">
        <v>1388</v>
      </c>
      <c r="J2835" t="s">
        <v>1389</v>
      </c>
      <c r="K2835" t="s">
        <v>848</v>
      </c>
    </row>
    <row r="2836" spans="1:11" x14ac:dyDescent="0.3">
      <c r="A2836" t="s">
        <v>25</v>
      </c>
      <c r="B2836" t="s">
        <v>198</v>
      </c>
      <c r="C2836">
        <v>104</v>
      </c>
      <c r="D2836" t="s">
        <v>1135</v>
      </c>
      <c r="E2836" t="s">
        <v>826</v>
      </c>
      <c r="F2836" t="s">
        <v>270</v>
      </c>
      <c r="G2836" t="s">
        <v>103</v>
      </c>
      <c r="H2836" t="s">
        <v>103</v>
      </c>
      <c r="I2836" t="s">
        <v>239</v>
      </c>
      <c r="J2836" t="s">
        <v>594</v>
      </c>
      <c r="K2836" t="s">
        <v>103</v>
      </c>
    </row>
    <row r="2837" spans="1:11" x14ac:dyDescent="0.3">
      <c r="A2837" t="s">
        <v>25</v>
      </c>
      <c r="B2837" t="s">
        <v>199</v>
      </c>
      <c r="C2837">
        <v>310</v>
      </c>
      <c r="D2837" t="s">
        <v>1169</v>
      </c>
      <c r="E2837" t="s">
        <v>804</v>
      </c>
      <c r="F2837" t="s">
        <v>345</v>
      </c>
      <c r="G2837" t="s">
        <v>103</v>
      </c>
      <c r="H2837" t="s">
        <v>122</v>
      </c>
      <c r="I2837" t="s">
        <v>97</v>
      </c>
      <c r="J2837" t="s">
        <v>150</v>
      </c>
      <c r="K2837" t="s">
        <v>103</v>
      </c>
    </row>
    <row r="2838" spans="1:11" x14ac:dyDescent="0.3">
      <c r="A2838" t="s">
        <v>26</v>
      </c>
      <c r="B2838" t="s">
        <v>198</v>
      </c>
      <c r="C2838">
        <v>41</v>
      </c>
      <c r="D2838" t="s">
        <v>1146</v>
      </c>
      <c r="E2838" t="s">
        <v>664</v>
      </c>
      <c r="F2838" t="s">
        <v>103</v>
      </c>
      <c r="G2838" t="s">
        <v>103</v>
      </c>
      <c r="H2838" t="s">
        <v>103</v>
      </c>
      <c r="I2838" t="s">
        <v>137</v>
      </c>
      <c r="J2838" t="s">
        <v>479</v>
      </c>
      <c r="K2838" t="s">
        <v>103</v>
      </c>
    </row>
    <row r="2839" spans="1:11" x14ac:dyDescent="0.3">
      <c r="A2839" t="s">
        <v>26</v>
      </c>
      <c r="B2839" t="s">
        <v>199</v>
      </c>
      <c r="C2839">
        <v>436</v>
      </c>
      <c r="D2839" t="s">
        <v>165</v>
      </c>
      <c r="E2839" t="s">
        <v>810</v>
      </c>
      <c r="F2839" t="s">
        <v>341</v>
      </c>
      <c r="G2839" t="s">
        <v>103</v>
      </c>
      <c r="H2839" t="s">
        <v>103</v>
      </c>
      <c r="I2839" t="s">
        <v>130</v>
      </c>
      <c r="J2839" t="s">
        <v>511</v>
      </c>
      <c r="K2839" t="s">
        <v>103</v>
      </c>
    </row>
    <row r="2840" spans="1:11" x14ac:dyDescent="0.3">
      <c r="A2840" t="s">
        <v>29</v>
      </c>
      <c r="B2840" t="s">
        <v>198</v>
      </c>
      <c r="C2840">
        <v>170</v>
      </c>
      <c r="D2840" t="s">
        <v>1392</v>
      </c>
      <c r="E2840" t="s">
        <v>1146</v>
      </c>
      <c r="F2840" t="s">
        <v>105</v>
      </c>
      <c r="G2840" t="s">
        <v>103</v>
      </c>
      <c r="H2840" t="s">
        <v>95</v>
      </c>
      <c r="I2840" t="s">
        <v>206</v>
      </c>
      <c r="J2840" t="s">
        <v>601</v>
      </c>
      <c r="K2840" t="s">
        <v>103</v>
      </c>
    </row>
    <row r="2841" spans="1:11" x14ac:dyDescent="0.3">
      <c r="A2841" t="s">
        <v>29</v>
      </c>
      <c r="B2841" t="s">
        <v>199</v>
      </c>
      <c r="C2841">
        <v>360</v>
      </c>
      <c r="D2841" t="s">
        <v>758</v>
      </c>
      <c r="E2841" t="s">
        <v>1071</v>
      </c>
      <c r="F2841" t="s">
        <v>493</v>
      </c>
      <c r="G2841" t="s">
        <v>103</v>
      </c>
      <c r="H2841" t="s">
        <v>120</v>
      </c>
      <c r="I2841" t="s">
        <v>693</v>
      </c>
      <c r="J2841" t="s">
        <v>460</v>
      </c>
      <c r="K2841" t="s">
        <v>103</v>
      </c>
    </row>
    <row r="2842" spans="1:11" x14ac:dyDescent="0.3">
      <c r="A2842" t="s">
        <v>28</v>
      </c>
      <c r="B2842" t="s">
        <v>198</v>
      </c>
      <c r="C2842">
        <v>70</v>
      </c>
      <c r="D2842" t="s">
        <v>735</v>
      </c>
      <c r="E2842" t="s">
        <v>1393</v>
      </c>
      <c r="F2842" t="s">
        <v>103</v>
      </c>
      <c r="G2842" t="s">
        <v>103</v>
      </c>
      <c r="H2842" t="s">
        <v>103</v>
      </c>
      <c r="I2842" t="s">
        <v>114</v>
      </c>
      <c r="J2842" t="s">
        <v>136</v>
      </c>
      <c r="K2842" t="s">
        <v>103</v>
      </c>
    </row>
    <row r="2843" spans="1:11" x14ac:dyDescent="0.3">
      <c r="A2843" t="s">
        <v>28</v>
      </c>
      <c r="B2843" t="s">
        <v>199</v>
      </c>
      <c r="C2843">
        <v>247</v>
      </c>
      <c r="D2843" t="s">
        <v>437</v>
      </c>
      <c r="E2843" t="s">
        <v>535</v>
      </c>
      <c r="F2843" t="s">
        <v>103</v>
      </c>
      <c r="G2843" t="s">
        <v>103</v>
      </c>
      <c r="H2843" t="s">
        <v>97</v>
      </c>
      <c r="I2843" t="s">
        <v>144</v>
      </c>
      <c r="J2843" t="s">
        <v>526</v>
      </c>
      <c r="K2843" t="s">
        <v>103</v>
      </c>
    </row>
    <row r="2844" spans="1:11" x14ac:dyDescent="0.3">
      <c r="A2844" t="s">
        <v>27</v>
      </c>
      <c r="B2844" t="s">
        <v>198</v>
      </c>
      <c r="C2844">
        <v>136</v>
      </c>
      <c r="D2844" t="s">
        <v>358</v>
      </c>
      <c r="E2844" t="s">
        <v>392</v>
      </c>
      <c r="F2844" t="s">
        <v>95</v>
      </c>
      <c r="G2844" t="s">
        <v>103</v>
      </c>
      <c r="H2844" t="s">
        <v>103</v>
      </c>
      <c r="I2844" t="s">
        <v>139</v>
      </c>
      <c r="J2844" t="s">
        <v>975</v>
      </c>
      <c r="K2844" t="s">
        <v>103</v>
      </c>
    </row>
    <row r="2845" spans="1:11" x14ac:dyDescent="0.3">
      <c r="A2845" t="s">
        <v>27</v>
      </c>
      <c r="B2845" t="s">
        <v>199</v>
      </c>
      <c r="C2845">
        <v>164</v>
      </c>
      <c r="D2845" t="s">
        <v>364</v>
      </c>
      <c r="E2845" t="s">
        <v>1133</v>
      </c>
      <c r="F2845" t="s">
        <v>103</v>
      </c>
      <c r="G2845" t="s">
        <v>103</v>
      </c>
      <c r="H2845" t="s">
        <v>103</v>
      </c>
      <c r="I2845" t="s">
        <v>103</v>
      </c>
      <c r="J2845" t="s">
        <v>483</v>
      </c>
      <c r="K2845" t="s">
        <v>103</v>
      </c>
    </row>
    <row r="2846" spans="1:11" x14ac:dyDescent="0.3">
      <c r="A2846" t="s">
        <v>41</v>
      </c>
      <c r="B2846" t="s">
        <v>198</v>
      </c>
      <c r="C2846">
        <v>521</v>
      </c>
      <c r="D2846" t="s">
        <v>1137</v>
      </c>
      <c r="E2846" t="s">
        <v>381</v>
      </c>
      <c r="F2846" t="s">
        <v>245</v>
      </c>
      <c r="G2846" t="s">
        <v>103</v>
      </c>
      <c r="H2846" t="s">
        <v>97</v>
      </c>
      <c r="I2846" t="s">
        <v>214</v>
      </c>
      <c r="J2846" t="s">
        <v>169</v>
      </c>
      <c r="K2846" t="s">
        <v>103</v>
      </c>
    </row>
    <row r="2847" spans="1:11" x14ac:dyDescent="0.3">
      <c r="A2847" t="s">
        <v>41</v>
      </c>
      <c r="B2847" t="s">
        <v>199</v>
      </c>
      <c r="C2847">
        <v>1517</v>
      </c>
      <c r="D2847" t="s">
        <v>760</v>
      </c>
      <c r="E2847" t="s">
        <v>1394</v>
      </c>
      <c r="F2847" t="s">
        <v>128</v>
      </c>
      <c r="G2847" t="s">
        <v>103</v>
      </c>
      <c r="H2847" t="s">
        <v>122</v>
      </c>
      <c r="I2847" t="s">
        <v>571</v>
      </c>
      <c r="J2847" t="s">
        <v>629</v>
      </c>
      <c r="K2847" t="s">
        <v>103</v>
      </c>
    </row>
    <row r="2849" spans="1:11" x14ac:dyDescent="0.3">
      <c r="A2849" t="s">
        <v>1395</v>
      </c>
    </row>
    <row r="2850" spans="1:11" x14ac:dyDescent="0.3">
      <c r="A2850" t="s">
        <v>36</v>
      </c>
      <c r="B2850" t="s">
        <v>307</v>
      </c>
      <c r="C2850" t="s">
        <v>24</v>
      </c>
      <c r="D2850" t="s">
        <v>1383</v>
      </c>
      <c r="E2850" t="s">
        <v>1384</v>
      </c>
      <c r="F2850" t="s">
        <v>1385</v>
      </c>
      <c r="G2850" t="s">
        <v>1386</v>
      </c>
      <c r="H2850" t="s">
        <v>1387</v>
      </c>
      <c r="I2850" t="s">
        <v>1388</v>
      </c>
      <c r="J2850" t="s">
        <v>1389</v>
      </c>
      <c r="K2850" t="s">
        <v>848</v>
      </c>
    </row>
    <row r="2851" spans="1:11" x14ac:dyDescent="0.3">
      <c r="A2851" t="s">
        <v>25</v>
      </c>
      <c r="B2851" t="s">
        <v>291</v>
      </c>
      <c r="C2851">
        <v>156</v>
      </c>
      <c r="D2851" t="s">
        <v>255</v>
      </c>
      <c r="E2851" t="s">
        <v>1066</v>
      </c>
      <c r="F2851" t="s">
        <v>139</v>
      </c>
      <c r="G2851" t="s">
        <v>103</v>
      </c>
      <c r="H2851" t="s">
        <v>103</v>
      </c>
      <c r="I2851" t="s">
        <v>239</v>
      </c>
      <c r="J2851" t="s">
        <v>682</v>
      </c>
      <c r="K2851" t="s">
        <v>103</v>
      </c>
    </row>
    <row r="2852" spans="1:11" x14ac:dyDescent="0.3">
      <c r="A2852" t="s">
        <v>25</v>
      </c>
      <c r="B2852" t="s">
        <v>292</v>
      </c>
      <c r="C2852">
        <v>254</v>
      </c>
      <c r="D2852" t="s">
        <v>1144</v>
      </c>
      <c r="E2852" t="s">
        <v>371</v>
      </c>
      <c r="F2852" t="s">
        <v>341</v>
      </c>
      <c r="G2852" t="s">
        <v>103</v>
      </c>
      <c r="H2852" t="s">
        <v>120</v>
      </c>
      <c r="I2852" t="s">
        <v>116</v>
      </c>
      <c r="J2852" t="s">
        <v>693</v>
      </c>
      <c r="K2852" t="s">
        <v>103</v>
      </c>
    </row>
    <row r="2853" spans="1:11" x14ac:dyDescent="0.3">
      <c r="A2853" t="s">
        <v>25</v>
      </c>
      <c r="B2853" t="s">
        <v>308</v>
      </c>
      <c r="C2853">
        <v>4</v>
      </c>
      <c r="D2853" t="s">
        <v>192</v>
      </c>
      <c r="E2853" t="s">
        <v>421</v>
      </c>
      <c r="F2853" t="s">
        <v>103</v>
      </c>
      <c r="G2853" t="s">
        <v>103</v>
      </c>
      <c r="H2853" t="s">
        <v>103</v>
      </c>
      <c r="I2853" t="s">
        <v>103</v>
      </c>
      <c r="J2853" t="s">
        <v>103</v>
      </c>
      <c r="K2853" t="s">
        <v>103</v>
      </c>
    </row>
    <row r="2854" spans="1:11" x14ac:dyDescent="0.3">
      <c r="A2854" t="s">
        <v>26</v>
      </c>
      <c r="B2854" t="s">
        <v>291</v>
      </c>
      <c r="C2854">
        <v>122</v>
      </c>
      <c r="D2854" t="s">
        <v>397</v>
      </c>
      <c r="E2854" t="s">
        <v>490</v>
      </c>
      <c r="F2854" t="s">
        <v>282</v>
      </c>
      <c r="G2854" t="s">
        <v>103</v>
      </c>
      <c r="H2854" t="s">
        <v>103</v>
      </c>
      <c r="I2854" t="s">
        <v>517</v>
      </c>
      <c r="J2854" t="s">
        <v>473</v>
      </c>
      <c r="K2854" t="s">
        <v>103</v>
      </c>
    </row>
    <row r="2855" spans="1:11" x14ac:dyDescent="0.3">
      <c r="A2855" t="s">
        <v>26</v>
      </c>
      <c r="B2855" t="s">
        <v>292</v>
      </c>
      <c r="C2855">
        <v>352</v>
      </c>
      <c r="D2855" t="s">
        <v>63</v>
      </c>
      <c r="E2855" t="s">
        <v>1240</v>
      </c>
      <c r="F2855" t="s">
        <v>329</v>
      </c>
      <c r="G2855" t="s">
        <v>103</v>
      </c>
      <c r="H2855" t="s">
        <v>103</v>
      </c>
      <c r="I2855" t="s">
        <v>164</v>
      </c>
      <c r="J2855" t="s">
        <v>113</v>
      </c>
      <c r="K2855" t="s">
        <v>103</v>
      </c>
    </row>
    <row r="2856" spans="1:11" x14ac:dyDescent="0.3">
      <c r="A2856" t="s">
        <v>26</v>
      </c>
      <c r="B2856" t="s">
        <v>308</v>
      </c>
      <c r="C2856">
        <v>3</v>
      </c>
      <c r="D2856" t="s">
        <v>192</v>
      </c>
      <c r="E2856" t="s">
        <v>1009</v>
      </c>
      <c r="F2856" t="s">
        <v>103</v>
      </c>
      <c r="G2856" t="s">
        <v>103</v>
      </c>
      <c r="H2856" t="s">
        <v>103</v>
      </c>
      <c r="I2856" t="s">
        <v>103</v>
      </c>
      <c r="J2856" t="s">
        <v>103</v>
      </c>
      <c r="K2856" t="s">
        <v>103</v>
      </c>
    </row>
    <row r="2857" spans="1:11" x14ac:dyDescent="0.3">
      <c r="A2857" t="s">
        <v>29</v>
      </c>
      <c r="B2857" t="s">
        <v>291</v>
      </c>
      <c r="C2857">
        <v>205</v>
      </c>
      <c r="D2857" t="s">
        <v>252</v>
      </c>
      <c r="E2857" t="s">
        <v>1328</v>
      </c>
      <c r="F2857" t="s">
        <v>105</v>
      </c>
      <c r="G2857" t="s">
        <v>103</v>
      </c>
      <c r="H2857" t="s">
        <v>103</v>
      </c>
      <c r="I2857" t="s">
        <v>100</v>
      </c>
      <c r="J2857" t="s">
        <v>571</v>
      </c>
      <c r="K2857" t="s">
        <v>103</v>
      </c>
    </row>
    <row r="2858" spans="1:11" x14ac:dyDescent="0.3">
      <c r="A2858" t="s">
        <v>29</v>
      </c>
      <c r="B2858" t="s">
        <v>292</v>
      </c>
      <c r="C2858">
        <v>325</v>
      </c>
      <c r="D2858" t="s">
        <v>1378</v>
      </c>
      <c r="E2858" t="s">
        <v>379</v>
      </c>
      <c r="F2858" t="s">
        <v>114</v>
      </c>
      <c r="G2858" t="s">
        <v>103</v>
      </c>
      <c r="H2858" t="s">
        <v>345</v>
      </c>
      <c r="I2858" t="s">
        <v>254</v>
      </c>
      <c r="J2858" t="s">
        <v>124</v>
      </c>
      <c r="K2858" t="s">
        <v>103</v>
      </c>
    </row>
    <row r="2859" spans="1:11" x14ac:dyDescent="0.3">
      <c r="A2859" t="s">
        <v>28</v>
      </c>
      <c r="B2859" t="s">
        <v>291</v>
      </c>
      <c r="C2859">
        <v>114</v>
      </c>
      <c r="D2859" t="s">
        <v>1244</v>
      </c>
      <c r="E2859" t="s">
        <v>462</v>
      </c>
      <c r="F2859" t="s">
        <v>103</v>
      </c>
      <c r="G2859" t="s">
        <v>103</v>
      </c>
      <c r="H2859" t="s">
        <v>103</v>
      </c>
      <c r="I2859" t="s">
        <v>607</v>
      </c>
      <c r="J2859" t="s">
        <v>875</v>
      </c>
      <c r="K2859" t="s">
        <v>103</v>
      </c>
    </row>
    <row r="2860" spans="1:11" x14ac:dyDescent="0.3">
      <c r="A2860" t="s">
        <v>28</v>
      </c>
      <c r="B2860" t="s">
        <v>292</v>
      </c>
      <c r="C2860">
        <v>191</v>
      </c>
      <c r="D2860" t="s">
        <v>189</v>
      </c>
      <c r="E2860" t="s">
        <v>1238</v>
      </c>
      <c r="F2860" t="s">
        <v>103</v>
      </c>
      <c r="G2860" t="s">
        <v>103</v>
      </c>
      <c r="H2860" t="s">
        <v>95</v>
      </c>
      <c r="I2860" t="s">
        <v>111</v>
      </c>
      <c r="J2860" t="s">
        <v>750</v>
      </c>
      <c r="K2860" t="s">
        <v>103</v>
      </c>
    </row>
    <row r="2861" spans="1:11" x14ac:dyDescent="0.3">
      <c r="A2861" t="s">
        <v>28</v>
      </c>
      <c r="B2861" t="s">
        <v>308</v>
      </c>
      <c r="C2861">
        <v>12</v>
      </c>
      <c r="D2861" t="s">
        <v>616</v>
      </c>
      <c r="E2861" t="s">
        <v>176</v>
      </c>
      <c r="F2861" t="s">
        <v>103</v>
      </c>
      <c r="G2861" t="s">
        <v>103</v>
      </c>
      <c r="H2861" t="s">
        <v>103</v>
      </c>
      <c r="I2861" t="s">
        <v>484</v>
      </c>
      <c r="J2861" t="s">
        <v>112</v>
      </c>
      <c r="K2861" t="s">
        <v>103</v>
      </c>
    </row>
    <row r="2862" spans="1:11" x14ac:dyDescent="0.3">
      <c r="A2862" t="s">
        <v>27</v>
      </c>
      <c r="B2862" t="s">
        <v>291</v>
      </c>
      <c r="C2862">
        <v>95</v>
      </c>
      <c r="D2862" t="s">
        <v>1356</v>
      </c>
      <c r="E2862" t="s">
        <v>498</v>
      </c>
      <c r="F2862" t="s">
        <v>103</v>
      </c>
      <c r="G2862" t="s">
        <v>103</v>
      </c>
      <c r="H2862" t="s">
        <v>103</v>
      </c>
      <c r="I2862" t="s">
        <v>110</v>
      </c>
      <c r="J2862" t="s">
        <v>1396</v>
      </c>
      <c r="K2862" t="s">
        <v>103</v>
      </c>
    </row>
    <row r="2863" spans="1:11" x14ac:dyDescent="0.3">
      <c r="A2863" t="s">
        <v>27</v>
      </c>
      <c r="B2863" t="s">
        <v>292</v>
      </c>
      <c r="C2863">
        <v>198</v>
      </c>
      <c r="D2863" t="s">
        <v>1397</v>
      </c>
      <c r="E2863" t="s">
        <v>1369</v>
      </c>
      <c r="F2863" t="s">
        <v>97</v>
      </c>
      <c r="G2863" t="s">
        <v>103</v>
      </c>
      <c r="H2863" t="s">
        <v>103</v>
      </c>
      <c r="I2863" t="s">
        <v>103</v>
      </c>
      <c r="J2863" t="s">
        <v>244</v>
      </c>
      <c r="K2863" t="s">
        <v>103</v>
      </c>
    </row>
    <row r="2864" spans="1:11" x14ac:dyDescent="0.3">
      <c r="A2864" t="s">
        <v>27</v>
      </c>
      <c r="B2864" t="s">
        <v>308</v>
      </c>
      <c r="C2864">
        <v>7</v>
      </c>
      <c r="D2864" t="s">
        <v>443</v>
      </c>
      <c r="E2864" t="s">
        <v>192</v>
      </c>
      <c r="F2864" t="s">
        <v>103</v>
      </c>
      <c r="G2864" t="s">
        <v>103</v>
      </c>
      <c r="H2864" t="s">
        <v>103</v>
      </c>
      <c r="I2864" t="s">
        <v>103</v>
      </c>
      <c r="J2864" t="s">
        <v>103</v>
      </c>
      <c r="K2864" t="s">
        <v>103</v>
      </c>
    </row>
    <row r="2865" spans="1:11" x14ac:dyDescent="0.3">
      <c r="A2865" t="s">
        <v>41</v>
      </c>
      <c r="B2865" t="s">
        <v>291</v>
      </c>
      <c r="C2865">
        <v>692</v>
      </c>
      <c r="D2865" t="s">
        <v>1398</v>
      </c>
      <c r="E2865" t="s">
        <v>349</v>
      </c>
      <c r="F2865" t="s">
        <v>194</v>
      </c>
      <c r="G2865" t="s">
        <v>103</v>
      </c>
      <c r="H2865" t="s">
        <v>103</v>
      </c>
      <c r="I2865" t="s">
        <v>140</v>
      </c>
      <c r="J2865" t="s">
        <v>92</v>
      </c>
      <c r="K2865" t="s">
        <v>103</v>
      </c>
    </row>
    <row r="2866" spans="1:11" x14ac:dyDescent="0.3">
      <c r="A2866" t="s">
        <v>41</v>
      </c>
      <c r="B2866" t="s">
        <v>292</v>
      </c>
      <c r="C2866">
        <v>1320</v>
      </c>
      <c r="D2866" t="s">
        <v>1022</v>
      </c>
      <c r="E2866" t="s">
        <v>419</v>
      </c>
      <c r="F2866" t="s">
        <v>266</v>
      </c>
      <c r="G2866" t="s">
        <v>103</v>
      </c>
      <c r="H2866" t="s">
        <v>120</v>
      </c>
      <c r="I2866" t="s">
        <v>205</v>
      </c>
      <c r="J2866" t="s">
        <v>494</v>
      </c>
      <c r="K2866" t="s">
        <v>103</v>
      </c>
    </row>
    <row r="2867" spans="1:11" x14ac:dyDescent="0.3">
      <c r="A2867" t="s">
        <v>41</v>
      </c>
      <c r="B2867" t="s">
        <v>308</v>
      </c>
      <c r="C2867">
        <v>26</v>
      </c>
      <c r="D2867" t="s">
        <v>605</v>
      </c>
      <c r="E2867" t="s">
        <v>1037</v>
      </c>
      <c r="F2867" t="s">
        <v>103</v>
      </c>
      <c r="G2867" t="s">
        <v>103</v>
      </c>
      <c r="H2867" t="s">
        <v>103</v>
      </c>
      <c r="I2867" t="s">
        <v>460</v>
      </c>
      <c r="J2867" t="s">
        <v>216</v>
      </c>
      <c r="K2867" t="s">
        <v>103</v>
      </c>
    </row>
    <row r="2869" spans="1:11" x14ac:dyDescent="0.3">
      <c r="A2869" t="s">
        <v>1399</v>
      </c>
    </row>
    <row r="2870" spans="1:11" x14ac:dyDescent="0.3">
      <c r="A2870" t="s">
        <v>36</v>
      </c>
      <c r="B2870" t="s">
        <v>763</v>
      </c>
      <c r="C2870" t="s">
        <v>24</v>
      </c>
      <c r="D2870" t="s">
        <v>1383</v>
      </c>
      <c r="E2870" t="s">
        <v>1384</v>
      </c>
      <c r="F2870" t="s">
        <v>1385</v>
      </c>
      <c r="G2870" t="s">
        <v>1386</v>
      </c>
      <c r="H2870" t="s">
        <v>1387</v>
      </c>
      <c r="I2870" t="s">
        <v>1388</v>
      </c>
      <c r="J2870" t="s">
        <v>1389</v>
      </c>
      <c r="K2870" t="s">
        <v>848</v>
      </c>
    </row>
    <row r="2871" spans="1:11" x14ac:dyDescent="0.3">
      <c r="A2871" t="s">
        <v>25</v>
      </c>
      <c r="B2871" t="s">
        <v>764</v>
      </c>
      <c r="C2871">
        <v>31</v>
      </c>
      <c r="D2871" t="s">
        <v>850</v>
      </c>
      <c r="E2871" t="s">
        <v>948</v>
      </c>
      <c r="F2871" t="s">
        <v>652</v>
      </c>
      <c r="G2871" t="s">
        <v>103</v>
      </c>
      <c r="H2871" t="s">
        <v>32</v>
      </c>
      <c r="I2871" t="s">
        <v>103</v>
      </c>
      <c r="J2871" t="s">
        <v>532</v>
      </c>
      <c r="K2871" t="s">
        <v>103</v>
      </c>
    </row>
    <row r="2872" spans="1:11" x14ac:dyDescent="0.3">
      <c r="A2872" t="s">
        <v>25</v>
      </c>
      <c r="B2872" t="s">
        <v>765</v>
      </c>
      <c r="C2872">
        <v>280</v>
      </c>
      <c r="D2872" t="s">
        <v>1400</v>
      </c>
      <c r="E2872" t="s">
        <v>386</v>
      </c>
      <c r="F2872" t="s">
        <v>103</v>
      </c>
      <c r="G2872" t="s">
        <v>103</v>
      </c>
      <c r="H2872" t="s">
        <v>103</v>
      </c>
      <c r="I2872" t="s">
        <v>97</v>
      </c>
      <c r="J2872" t="s">
        <v>687</v>
      </c>
      <c r="K2872" t="s">
        <v>103</v>
      </c>
    </row>
    <row r="2873" spans="1:11" x14ac:dyDescent="0.3">
      <c r="A2873" t="s">
        <v>25</v>
      </c>
      <c r="B2873" t="s">
        <v>767</v>
      </c>
      <c r="C2873">
        <v>103</v>
      </c>
      <c r="D2873" t="s">
        <v>725</v>
      </c>
      <c r="E2873" t="s">
        <v>831</v>
      </c>
      <c r="F2873" t="s">
        <v>195</v>
      </c>
      <c r="G2873" t="s">
        <v>103</v>
      </c>
      <c r="H2873" t="s">
        <v>103</v>
      </c>
      <c r="I2873" t="s">
        <v>245</v>
      </c>
      <c r="J2873" t="s">
        <v>195</v>
      </c>
      <c r="K2873" t="s">
        <v>103</v>
      </c>
    </row>
    <row r="2874" spans="1:11" x14ac:dyDescent="0.3">
      <c r="A2874" t="s">
        <v>26</v>
      </c>
      <c r="B2874" t="s">
        <v>764</v>
      </c>
      <c r="C2874">
        <v>58</v>
      </c>
      <c r="D2874" t="s">
        <v>864</v>
      </c>
      <c r="E2874" t="s">
        <v>1025</v>
      </c>
      <c r="F2874" t="s">
        <v>133</v>
      </c>
      <c r="G2874" t="s">
        <v>103</v>
      </c>
      <c r="H2874" t="s">
        <v>103</v>
      </c>
      <c r="I2874" t="s">
        <v>62</v>
      </c>
      <c r="J2874" t="s">
        <v>186</v>
      </c>
      <c r="K2874" t="s">
        <v>103</v>
      </c>
    </row>
    <row r="2875" spans="1:11" x14ac:dyDescent="0.3">
      <c r="A2875" t="s">
        <v>26</v>
      </c>
      <c r="B2875" t="s">
        <v>765</v>
      </c>
      <c r="C2875">
        <v>278</v>
      </c>
      <c r="D2875" t="s">
        <v>1144</v>
      </c>
      <c r="E2875" t="s">
        <v>462</v>
      </c>
      <c r="F2875" t="s">
        <v>103</v>
      </c>
      <c r="G2875" t="s">
        <v>103</v>
      </c>
      <c r="H2875" t="s">
        <v>103</v>
      </c>
      <c r="I2875" t="s">
        <v>925</v>
      </c>
      <c r="J2875" t="s">
        <v>700</v>
      </c>
      <c r="K2875" t="s">
        <v>103</v>
      </c>
    </row>
    <row r="2876" spans="1:11" x14ac:dyDescent="0.3">
      <c r="A2876" t="s">
        <v>26</v>
      </c>
      <c r="B2876" t="s">
        <v>767</v>
      </c>
      <c r="C2876">
        <v>141</v>
      </c>
      <c r="D2876" t="s">
        <v>828</v>
      </c>
      <c r="E2876" t="s">
        <v>1282</v>
      </c>
      <c r="F2876" t="s">
        <v>493</v>
      </c>
      <c r="G2876" t="s">
        <v>103</v>
      </c>
      <c r="H2876" t="s">
        <v>103</v>
      </c>
      <c r="I2876" t="s">
        <v>104</v>
      </c>
      <c r="J2876" t="s">
        <v>103</v>
      </c>
      <c r="K2876" t="s">
        <v>103</v>
      </c>
    </row>
    <row r="2877" spans="1:11" s="3" customFormat="1" x14ac:dyDescent="0.3">
      <c r="A2877" s="3" t="s">
        <v>29</v>
      </c>
      <c r="B2877" s="3" t="s">
        <v>764</v>
      </c>
      <c r="C2877" s="3">
        <v>11</v>
      </c>
      <c r="D2877" s="3" t="s">
        <v>753</v>
      </c>
      <c r="E2877" s="3" t="s">
        <v>1181</v>
      </c>
      <c r="F2877" s="3" t="s">
        <v>645</v>
      </c>
      <c r="G2877" s="3" t="s">
        <v>103</v>
      </c>
      <c r="H2877" s="3" t="s">
        <v>103</v>
      </c>
      <c r="I2877" s="3" t="s">
        <v>155</v>
      </c>
      <c r="J2877" s="3" t="s">
        <v>117</v>
      </c>
      <c r="K2877" s="3" t="s">
        <v>103</v>
      </c>
    </row>
    <row r="2878" spans="1:11" x14ac:dyDescent="0.3">
      <c r="A2878" t="s">
        <v>29</v>
      </c>
      <c r="B2878" t="s">
        <v>765</v>
      </c>
      <c r="C2878">
        <v>365</v>
      </c>
      <c r="D2878" t="s">
        <v>1017</v>
      </c>
      <c r="E2878" t="s">
        <v>1401</v>
      </c>
      <c r="F2878" t="s">
        <v>103</v>
      </c>
      <c r="G2878" t="s">
        <v>103</v>
      </c>
      <c r="H2878" t="s">
        <v>120</v>
      </c>
      <c r="I2878" t="s">
        <v>140</v>
      </c>
      <c r="J2878" t="s">
        <v>890</v>
      </c>
      <c r="K2878" t="s">
        <v>103</v>
      </c>
    </row>
    <row r="2879" spans="1:11" x14ac:dyDescent="0.3">
      <c r="A2879" t="s">
        <v>29</v>
      </c>
      <c r="B2879" t="s">
        <v>767</v>
      </c>
      <c r="C2879">
        <v>154</v>
      </c>
      <c r="D2879" t="s">
        <v>889</v>
      </c>
      <c r="E2879" t="s">
        <v>437</v>
      </c>
      <c r="F2879" t="s">
        <v>224</v>
      </c>
      <c r="G2879" t="s">
        <v>103</v>
      </c>
      <c r="H2879" t="s">
        <v>139</v>
      </c>
      <c r="I2879" t="s">
        <v>481</v>
      </c>
      <c r="J2879" t="s">
        <v>194</v>
      </c>
      <c r="K2879" t="s">
        <v>103</v>
      </c>
    </row>
    <row r="2880" spans="1:11" s="3" customFormat="1" x14ac:dyDescent="0.3">
      <c r="A2880" s="3" t="s">
        <v>28</v>
      </c>
      <c r="B2880" s="3" t="s">
        <v>764</v>
      </c>
      <c r="C2880" s="3">
        <v>20</v>
      </c>
      <c r="D2880" s="3" t="s">
        <v>192</v>
      </c>
      <c r="E2880" s="3" t="s">
        <v>1402</v>
      </c>
      <c r="F2880" s="3" t="s">
        <v>103</v>
      </c>
      <c r="G2880" s="3" t="s">
        <v>103</v>
      </c>
      <c r="H2880" s="3" t="s">
        <v>103</v>
      </c>
      <c r="I2880" s="3" t="s">
        <v>477</v>
      </c>
      <c r="J2880" s="3" t="s">
        <v>103</v>
      </c>
      <c r="K2880" s="3" t="s">
        <v>103</v>
      </c>
    </row>
    <row r="2881" spans="1:11" x14ac:dyDescent="0.3">
      <c r="A2881" t="s">
        <v>28</v>
      </c>
      <c r="B2881" t="s">
        <v>765</v>
      </c>
      <c r="C2881">
        <v>260</v>
      </c>
      <c r="D2881" t="s">
        <v>1012</v>
      </c>
      <c r="E2881" t="s">
        <v>1402</v>
      </c>
      <c r="F2881" t="s">
        <v>103</v>
      </c>
      <c r="G2881" t="s">
        <v>103</v>
      </c>
      <c r="H2881" t="s">
        <v>97</v>
      </c>
      <c r="I2881" t="s">
        <v>224</v>
      </c>
      <c r="J2881" t="s">
        <v>927</v>
      </c>
      <c r="K2881" t="s">
        <v>103</v>
      </c>
    </row>
    <row r="2882" spans="1:11" x14ac:dyDescent="0.3">
      <c r="A2882" t="s">
        <v>28</v>
      </c>
      <c r="B2882" t="s">
        <v>767</v>
      </c>
      <c r="C2882">
        <v>37</v>
      </c>
      <c r="D2882" t="s">
        <v>771</v>
      </c>
      <c r="E2882" t="s">
        <v>989</v>
      </c>
      <c r="F2882" t="s">
        <v>103</v>
      </c>
      <c r="G2882" t="s">
        <v>103</v>
      </c>
      <c r="H2882" t="s">
        <v>103</v>
      </c>
      <c r="I2882" t="s">
        <v>629</v>
      </c>
      <c r="J2882" t="s">
        <v>591</v>
      </c>
      <c r="K2882" t="s">
        <v>103</v>
      </c>
    </row>
    <row r="2883" spans="1:11" s="3" customFormat="1" x14ac:dyDescent="0.3">
      <c r="A2883" s="3" t="s">
        <v>27</v>
      </c>
      <c r="B2883" s="3" t="s">
        <v>764</v>
      </c>
      <c r="C2883" s="3">
        <v>29</v>
      </c>
      <c r="D2883" s="3" t="s">
        <v>1169</v>
      </c>
      <c r="E2883" s="3" t="s">
        <v>814</v>
      </c>
      <c r="F2883" s="3" t="s">
        <v>103</v>
      </c>
      <c r="G2883" s="3" t="s">
        <v>103</v>
      </c>
      <c r="H2883" s="3" t="s">
        <v>103</v>
      </c>
      <c r="I2883" s="3" t="s">
        <v>103</v>
      </c>
      <c r="J2883" s="3" t="s">
        <v>575</v>
      </c>
      <c r="K2883" s="3" t="s">
        <v>103</v>
      </c>
    </row>
    <row r="2884" spans="1:11" x14ac:dyDescent="0.3">
      <c r="A2884" t="s">
        <v>27</v>
      </c>
      <c r="B2884" t="s">
        <v>765</v>
      </c>
      <c r="C2884">
        <v>209</v>
      </c>
      <c r="D2884" t="s">
        <v>1250</v>
      </c>
      <c r="E2884" t="s">
        <v>1257</v>
      </c>
      <c r="F2884" t="s">
        <v>103</v>
      </c>
      <c r="G2884" t="s">
        <v>103</v>
      </c>
      <c r="H2884" t="s">
        <v>103</v>
      </c>
      <c r="I2884" t="s">
        <v>120</v>
      </c>
      <c r="J2884" t="s">
        <v>1090</v>
      </c>
      <c r="K2884" t="s">
        <v>103</v>
      </c>
    </row>
    <row r="2885" spans="1:11" x14ac:dyDescent="0.3">
      <c r="A2885" t="s">
        <v>27</v>
      </c>
      <c r="B2885" t="s">
        <v>767</v>
      </c>
      <c r="C2885">
        <v>62</v>
      </c>
      <c r="D2885" t="s">
        <v>724</v>
      </c>
      <c r="E2885" t="s">
        <v>753</v>
      </c>
      <c r="F2885" t="s">
        <v>110</v>
      </c>
      <c r="G2885" t="s">
        <v>103</v>
      </c>
      <c r="H2885" t="s">
        <v>103</v>
      </c>
      <c r="I2885" t="s">
        <v>103</v>
      </c>
      <c r="J2885" t="s">
        <v>270</v>
      </c>
      <c r="K2885" t="s">
        <v>103</v>
      </c>
    </row>
    <row r="2886" spans="1:11" x14ac:dyDescent="0.3">
      <c r="A2886" t="s">
        <v>41</v>
      </c>
      <c r="B2886" t="s">
        <v>764</v>
      </c>
      <c r="C2886">
        <v>149</v>
      </c>
      <c r="D2886" t="s">
        <v>1307</v>
      </c>
      <c r="E2886" t="s">
        <v>1240</v>
      </c>
      <c r="F2886" t="s">
        <v>601</v>
      </c>
      <c r="G2886" t="s">
        <v>103</v>
      </c>
      <c r="H2886" t="s">
        <v>282</v>
      </c>
      <c r="I2886" t="s">
        <v>99</v>
      </c>
      <c r="J2886" t="s">
        <v>278</v>
      </c>
      <c r="K2886" t="s">
        <v>103</v>
      </c>
    </row>
    <row r="2887" spans="1:11" x14ac:dyDescent="0.3">
      <c r="A2887" t="s">
        <v>41</v>
      </c>
      <c r="B2887" t="s">
        <v>765</v>
      </c>
      <c r="C2887">
        <v>1392</v>
      </c>
      <c r="D2887" t="s">
        <v>296</v>
      </c>
      <c r="E2887" t="s">
        <v>363</v>
      </c>
      <c r="F2887" t="s">
        <v>103</v>
      </c>
      <c r="G2887" t="s">
        <v>103</v>
      </c>
      <c r="H2887" t="s">
        <v>116</v>
      </c>
      <c r="I2887" t="s">
        <v>190</v>
      </c>
      <c r="J2887" t="s">
        <v>171</v>
      </c>
      <c r="K2887" t="s">
        <v>103</v>
      </c>
    </row>
    <row r="2888" spans="1:11" x14ac:dyDescent="0.3">
      <c r="A2888" t="s">
        <v>41</v>
      </c>
      <c r="B2888" t="s">
        <v>767</v>
      </c>
      <c r="C2888">
        <v>497</v>
      </c>
      <c r="D2888" t="s">
        <v>749</v>
      </c>
      <c r="E2888" t="s">
        <v>1063</v>
      </c>
      <c r="F2888" t="s">
        <v>232</v>
      </c>
      <c r="G2888" t="s">
        <v>103</v>
      </c>
      <c r="H2888" t="s">
        <v>122</v>
      </c>
      <c r="I2888" t="s">
        <v>482</v>
      </c>
      <c r="J2888" t="s">
        <v>110</v>
      </c>
      <c r="K2888" t="s">
        <v>103</v>
      </c>
    </row>
    <row r="2890" spans="1:11" x14ac:dyDescent="0.3">
      <c r="A2890" t="s">
        <v>1403</v>
      </c>
    </row>
    <row r="2891" spans="1:11" x14ac:dyDescent="0.3">
      <c r="A2891" t="s">
        <v>36</v>
      </c>
      <c r="B2891" t="s">
        <v>310</v>
      </c>
      <c r="C2891" t="s">
        <v>24</v>
      </c>
      <c r="D2891" t="s">
        <v>1383</v>
      </c>
      <c r="E2891" t="s">
        <v>1384</v>
      </c>
      <c r="F2891" t="s">
        <v>1385</v>
      </c>
      <c r="G2891" t="s">
        <v>1386</v>
      </c>
      <c r="H2891" t="s">
        <v>1387</v>
      </c>
      <c r="I2891" t="s">
        <v>1388</v>
      </c>
      <c r="J2891" t="s">
        <v>1389</v>
      </c>
      <c r="K2891" t="s">
        <v>848</v>
      </c>
    </row>
    <row r="2892" spans="1:11" x14ac:dyDescent="0.3">
      <c r="A2892" t="s">
        <v>25</v>
      </c>
      <c r="B2892" t="s">
        <v>311</v>
      </c>
      <c r="C2892">
        <v>324</v>
      </c>
      <c r="D2892" t="s">
        <v>610</v>
      </c>
      <c r="E2892" t="s">
        <v>374</v>
      </c>
      <c r="F2892" t="s">
        <v>239</v>
      </c>
      <c r="G2892" t="s">
        <v>103</v>
      </c>
      <c r="H2892" t="s">
        <v>103</v>
      </c>
      <c r="I2892" t="s">
        <v>97</v>
      </c>
      <c r="J2892" t="s">
        <v>536</v>
      </c>
      <c r="K2892" t="s">
        <v>103</v>
      </c>
    </row>
    <row r="2893" spans="1:11" x14ac:dyDescent="0.3">
      <c r="A2893" t="s">
        <v>25</v>
      </c>
      <c r="B2893" t="s">
        <v>312</v>
      </c>
      <c r="C2893">
        <v>80</v>
      </c>
      <c r="D2893" t="s">
        <v>1393</v>
      </c>
      <c r="E2893" t="s">
        <v>1404</v>
      </c>
      <c r="F2893" t="s">
        <v>216</v>
      </c>
      <c r="G2893" t="s">
        <v>103</v>
      </c>
      <c r="H2893" t="s">
        <v>341</v>
      </c>
      <c r="I2893" t="s">
        <v>105</v>
      </c>
      <c r="J2893" t="s">
        <v>131</v>
      </c>
      <c r="K2893" t="s">
        <v>103</v>
      </c>
    </row>
    <row r="2894" spans="1:11" x14ac:dyDescent="0.3">
      <c r="A2894" t="s">
        <v>25</v>
      </c>
      <c r="B2894" t="s">
        <v>308</v>
      </c>
      <c r="C2894">
        <v>10</v>
      </c>
      <c r="D2894" t="s">
        <v>984</v>
      </c>
      <c r="E2894" t="s">
        <v>1081</v>
      </c>
      <c r="F2894" t="s">
        <v>103</v>
      </c>
      <c r="G2894" t="s">
        <v>103</v>
      </c>
      <c r="H2894" t="s">
        <v>103</v>
      </c>
      <c r="I2894" t="s">
        <v>103</v>
      </c>
      <c r="J2894" t="s">
        <v>103</v>
      </c>
      <c r="K2894" t="s">
        <v>103</v>
      </c>
    </row>
    <row r="2895" spans="1:11" x14ac:dyDescent="0.3">
      <c r="A2895" t="s">
        <v>26</v>
      </c>
      <c r="B2895" t="s">
        <v>311</v>
      </c>
      <c r="C2895">
        <v>343</v>
      </c>
      <c r="D2895" t="s">
        <v>903</v>
      </c>
      <c r="E2895" t="s">
        <v>1030</v>
      </c>
      <c r="F2895" t="s">
        <v>341</v>
      </c>
      <c r="G2895" t="s">
        <v>103</v>
      </c>
      <c r="H2895" t="s">
        <v>103</v>
      </c>
      <c r="I2895" t="s">
        <v>918</v>
      </c>
      <c r="J2895" t="s">
        <v>482</v>
      </c>
      <c r="K2895" t="s">
        <v>103</v>
      </c>
    </row>
    <row r="2896" spans="1:11" x14ac:dyDescent="0.3">
      <c r="A2896" t="s">
        <v>26</v>
      </c>
      <c r="B2896" t="s">
        <v>312</v>
      </c>
      <c r="C2896">
        <v>96</v>
      </c>
      <c r="D2896" t="s">
        <v>871</v>
      </c>
      <c r="E2896" t="s">
        <v>431</v>
      </c>
      <c r="F2896" t="s">
        <v>103</v>
      </c>
      <c r="G2896" t="s">
        <v>103</v>
      </c>
      <c r="H2896" t="s">
        <v>103</v>
      </c>
      <c r="I2896" t="s">
        <v>549</v>
      </c>
      <c r="J2896" t="s">
        <v>281</v>
      </c>
      <c r="K2896" t="s">
        <v>103</v>
      </c>
    </row>
    <row r="2897" spans="1:15" x14ac:dyDescent="0.3">
      <c r="A2897" t="s">
        <v>26</v>
      </c>
      <c r="B2897" t="s">
        <v>308</v>
      </c>
      <c r="C2897">
        <v>38</v>
      </c>
      <c r="D2897" t="s">
        <v>288</v>
      </c>
      <c r="E2897" t="s">
        <v>1390</v>
      </c>
      <c r="F2897" t="s">
        <v>532</v>
      </c>
      <c r="G2897" t="s">
        <v>103</v>
      </c>
      <c r="H2897" t="s">
        <v>103</v>
      </c>
      <c r="I2897" t="s">
        <v>1084</v>
      </c>
      <c r="J2897" t="s">
        <v>103</v>
      </c>
      <c r="K2897" t="s">
        <v>103</v>
      </c>
    </row>
    <row r="2898" spans="1:15" x14ac:dyDescent="0.3">
      <c r="A2898" t="s">
        <v>29</v>
      </c>
      <c r="B2898" t="s">
        <v>311</v>
      </c>
      <c r="C2898">
        <v>414</v>
      </c>
      <c r="D2898" t="s">
        <v>1141</v>
      </c>
      <c r="E2898" t="s">
        <v>1245</v>
      </c>
      <c r="F2898" t="s">
        <v>272</v>
      </c>
      <c r="G2898" t="s">
        <v>103</v>
      </c>
      <c r="H2898" t="s">
        <v>97</v>
      </c>
      <c r="I2898" t="s">
        <v>254</v>
      </c>
      <c r="J2898" t="s">
        <v>206</v>
      </c>
      <c r="K2898" t="s">
        <v>103</v>
      </c>
    </row>
    <row r="2899" spans="1:15" x14ac:dyDescent="0.3">
      <c r="A2899" t="s">
        <v>29</v>
      </c>
      <c r="B2899" t="s">
        <v>312</v>
      </c>
      <c r="C2899">
        <v>103</v>
      </c>
      <c r="D2899" t="s">
        <v>785</v>
      </c>
      <c r="E2899" t="s">
        <v>726</v>
      </c>
      <c r="F2899" t="s">
        <v>270</v>
      </c>
      <c r="G2899" t="s">
        <v>103</v>
      </c>
      <c r="H2899" t="s">
        <v>468</v>
      </c>
      <c r="I2899" t="s">
        <v>251</v>
      </c>
      <c r="J2899" t="s">
        <v>106</v>
      </c>
      <c r="K2899" t="s">
        <v>103</v>
      </c>
    </row>
    <row r="2900" spans="1:15" x14ac:dyDescent="0.3">
      <c r="A2900" t="s">
        <v>29</v>
      </c>
      <c r="B2900" t="s">
        <v>308</v>
      </c>
      <c r="C2900">
        <v>13</v>
      </c>
      <c r="D2900" t="s">
        <v>258</v>
      </c>
      <c r="E2900" t="s">
        <v>283</v>
      </c>
      <c r="F2900" t="s">
        <v>103</v>
      </c>
      <c r="G2900" t="s">
        <v>103</v>
      </c>
      <c r="H2900" t="s">
        <v>103</v>
      </c>
      <c r="I2900" t="s">
        <v>254</v>
      </c>
      <c r="J2900" t="s">
        <v>108</v>
      </c>
      <c r="K2900" t="s">
        <v>103</v>
      </c>
    </row>
    <row r="2901" spans="1:15" x14ac:dyDescent="0.3">
      <c r="A2901" t="s">
        <v>28</v>
      </c>
      <c r="B2901" t="s">
        <v>311</v>
      </c>
      <c r="C2901">
        <v>223</v>
      </c>
      <c r="D2901" t="s">
        <v>1004</v>
      </c>
      <c r="E2901" t="s">
        <v>673</v>
      </c>
      <c r="F2901" t="s">
        <v>103</v>
      </c>
      <c r="G2901" t="s">
        <v>103</v>
      </c>
      <c r="H2901" t="s">
        <v>97</v>
      </c>
      <c r="I2901" t="s">
        <v>481</v>
      </c>
      <c r="J2901" t="s">
        <v>48</v>
      </c>
      <c r="K2901" t="s">
        <v>103</v>
      </c>
    </row>
    <row r="2902" spans="1:15" x14ac:dyDescent="0.3">
      <c r="A2902" t="s">
        <v>28</v>
      </c>
      <c r="B2902" t="s">
        <v>312</v>
      </c>
      <c r="C2902">
        <v>93</v>
      </c>
      <c r="D2902" t="s">
        <v>758</v>
      </c>
      <c r="E2902" t="s">
        <v>405</v>
      </c>
      <c r="F2902" t="s">
        <v>103</v>
      </c>
      <c r="G2902" t="s">
        <v>103</v>
      </c>
      <c r="H2902" t="s">
        <v>103</v>
      </c>
      <c r="I2902" t="s">
        <v>466</v>
      </c>
      <c r="J2902" t="s">
        <v>1319</v>
      </c>
      <c r="K2902" t="s">
        <v>103</v>
      </c>
    </row>
    <row r="2903" spans="1:15" x14ac:dyDescent="0.3">
      <c r="A2903" t="s">
        <v>28</v>
      </c>
      <c r="B2903" t="s">
        <v>308</v>
      </c>
      <c r="C2903">
        <v>1</v>
      </c>
      <c r="D2903" t="s">
        <v>192</v>
      </c>
      <c r="E2903" t="s">
        <v>192</v>
      </c>
      <c r="F2903" t="s">
        <v>103</v>
      </c>
      <c r="G2903" t="s">
        <v>103</v>
      </c>
      <c r="H2903" t="s">
        <v>103</v>
      </c>
      <c r="I2903" t="s">
        <v>103</v>
      </c>
      <c r="J2903" t="s">
        <v>103</v>
      </c>
      <c r="K2903" t="s">
        <v>103</v>
      </c>
    </row>
    <row r="2904" spans="1:15" x14ac:dyDescent="0.3">
      <c r="A2904" t="s">
        <v>27</v>
      </c>
      <c r="B2904" t="s">
        <v>311</v>
      </c>
      <c r="C2904">
        <v>237</v>
      </c>
      <c r="D2904" t="s">
        <v>1034</v>
      </c>
      <c r="E2904" t="s">
        <v>817</v>
      </c>
      <c r="F2904" t="s">
        <v>122</v>
      </c>
      <c r="G2904" t="s">
        <v>103</v>
      </c>
      <c r="H2904" t="s">
        <v>103</v>
      </c>
      <c r="I2904" t="s">
        <v>97</v>
      </c>
      <c r="J2904" t="s">
        <v>50</v>
      </c>
      <c r="K2904" t="s">
        <v>103</v>
      </c>
    </row>
    <row r="2905" spans="1:15" x14ac:dyDescent="0.3">
      <c r="A2905" t="s">
        <v>27</v>
      </c>
      <c r="B2905" t="s">
        <v>312</v>
      </c>
      <c r="C2905">
        <v>60</v>
      </c>
      <c r="D2905" t="s">
        <v>1394</v>
      </c>
      <c r="E2905" t="s">
        <v>1220</v>
      </c>
      <c r="F2905" t="s">
        <v>103</v>
      </c>
      <c r="G2905" t="s">
        <v>103</v>
      </c>
      <c r="H2905" t="s">
        <v>103</v>
      </c>
      <c r="I2905" t="s">
        <v>103</v>
      </c>
      <c r="J2905" t="s">
        <v>935</v>
      </c>
      <c r="K2905" t="s">
        <v>103</v>
      </c>
    </row>
    <row r="2906" spans="1:15" x14ac:dyDescent="0.3">
      <c r="A2906" t="s">
        <v>27</v>
      </c>
      <c r="B2906" t="s">
        <v>308</v>
      </c>
      <c r="C2906">
        <v>3</v>
      </c>
      <c r="D2906" t="s">
        <v>192</v>
      </c>
      <c r="E2906" t="s">
        <v>103</v>
      </c>
      <c r="F2906" t="s">
        <v>103</v>
      </c>
      <c r="G2906" t="s">
        <v>103</v>
      </c>
      <c r="H2906" t="s">
        <v>103</v>
      </c>
      <c r="I2906" t="s">
        <v>103</v>
      </c>
      <c r="J2906" t="s">
        <v>103</v>
      </c>
      <c r="K2906" t="s">
        <v>103</v>
      </c>
    </row>
    <row r="2907" spans="1:15" x14ac:dyDescent="0.3">
      <c r="A2907" t="s">
        <v>41</v>
      </c>
      <c r="B2907" t="s">
        <v>311</v>
      </c>
      <c r="C2907">
        <v>1541</v>
      </c>
      <c r="D2907" t="s">
        <v>992</v>
      </c>
      <c r="E2907" t="s">
        <v>802</v>
      </c>
      <c r="F2907" t="s">
        <v>128</v>
      </c>
      <c r="G2907" t="s">
        <v>103</v>
      </c>
      <c r="H2907" t="s">
        <v>116</v>
      </c>
      <c r="I2907" t="s">
        <v>127</v>
      </c>
      <c r="J2907" t="s">
        <v>482</v>
      </c>
      <c r="K2907" t="s">
        <v>103</v>
      </c>
    </row>
    <row r="2908" spans="1:15" x14ac:dyDescent="0.3">
      <c r="A2908" t="s">
        <v>41</v>
      </c>
      <c r="B2908" t="s">
        <v>312</v>
      </c>
      <c r="C2908">
        <v>432</v>
      </c>
      <c r="D2908" t="s">
        <v>408</v>
      </c>
      <c r="E2908" t="s">
        <v>371</v>
      </c>
      <c r="F2908" t="s">
        <v>245</v>
      </c>
      <c r="G2908" t="s">
        <v>103</v>
      </c>
      <c r="H2908" t="s">
        <v>98</v>
      </c>
      <c r="I2908" t="s">
        <v>232</v>
      </c>
      <c r="J2908" t="s">
        <v>150</v>
      </c>
      <c r="K2908" t="s">
        <v>103</v>
      </c>
    </row>
    <row r="2909" spans="1:15" x14ac:dyDescent="0.3">
      <c r="A2909" t="s">
        <v>41</v>
      </c>
      <c r="B2909" t="s">
        <v>308</v>
      </c>
      <c r="C2909">
        <v>65</v>
      </c>
      <c r="D2909" t="s">
        <v>189</v>
      </c>
      <c r="E2909" t="s">
        <v>377</v>
      </c>
      <c r="F2909" t="s">
        <v>257</v>
      </c>
      <c r="G2909" t="s">
        <v>103</v>
      </c>
      <c r="H2909" t="s">
        <v>103</v>
      </c>
      <c r="I2909" t="s">
        <v>469</v>
      </c>
      <c r="J2909" t="s">
        <v>329</v>
      </c>
      <c r="K2909" t="s">
        <v>103</v>
      </c>
    </row>
    <row r="2911" spans="1:15" x14ac:dyDescent="0.3">
      <c r="A2911" t="s">
        <v>1405</v>
      </c>
    </row>
    <row r="2912" spans="1:15" x14ac:dyDescent="0.3">
      <c r="A2912" t="s">
        <v>36</v>
      </c>
      <c r="B2912" t="s">
        <v>24</v>
      </c>
      <c r="C2912" t="s">
        <v>1406</v>
      </c>
      <c r="D2912" t="s">
        <v>1407</v>
      </c>
      <c r="E2912" t="s">
        <v>1408</v>
      </c>
      <c r="F2912" t="s">
        <v>1409</v>
      </c>
      <c r="G2912" t="s">
        <v>1410</v>
      </c>
      <c r="H2912" t="s">
        <v>1411</v>
      </c>
      <c r="I2912" t="s">
        <v>1412</v>
      </c>
      <c r="J2912" t="s">
        <v>1413</v>
      </c>
      <c r="K2912" t="s">
        <v>1414</v>
      </c>
      <c r="L2912" t="s">
        <v>1415</v>
      </c>
      <c r="M2912" t="s">
        <v>1416</v>
      </c>
      <c r="N2912" t="s">
        <v>183</v>
      </c>
      <c r="O2912" t="s">
        <v>1271</v>
      </c>
    </row>
    <row r="2913" spans="1:16" x14ac:dyDescent="0.3">
      <c r="A2913" t="s">
        <v>25</v>
      </c>
      <c r="B2913">
        <v>414</v>
      </c>
      <c r="C2913" t="s">
        <v>784</v>
      </c>
      <c r="D2913" t="s">
        <v>105</v>
      </c>
      <c r="E2913" t="s">
        <v>247</v>
      </c>
      <c r="F2913" t="s">
        <v>217</v>
      </c>
      <c r="G2913" t="s">
        <v>103</v>
      </c>
      <c r="H2913" t="s">
        <v>194</v>
      </c>
      <c r="I2913" t="s">
        <v>195</v>
      </c>
      <c r="J2913" t="s">
        <v>539</v>
      </c>
      <c r="K2913" t="s">
        <v>402</v>
      </c>
      <c r="L2913" t="s">
        <v>103</v>
      </c>
      <c r="M2913" t="s">
        <v>103</v>
      </c>
      <c r="N2913" t="s">
        <v>103</v>
      </c>
      <c r="O2913" t="s">
        <v>103</v>
      </c>
    </row>
    <row r="2914" spans="1:16" x14ac:dyDescent="0.3">
      <c r="A2914" t="s">
        <v>26</v>
      </c>
      <c r="B2914">
        <v>477</v>
      </c>
      <c r="C2914" t="s">
        <v>31</v>
      </c>
      <c r="D2914" t="s">
        <v>216</v>
      </c>
      <c r="E2914" t="s">
        <v>217</v>
      </c>
      <c r="F2914" t="s">
        <v>531</v>
      </c>
      <c r="G2914" t="s">
        <v>103</v>
      </c>
      <c r="H2914" t="s">
        <v>122</v>
      </c>
      <c r="I2914" t="s">
        <v>532</v>
      </c>
      <c r="J2914" t="s">
        <v>424</v>
      </c>
      <c r="K2914" t="s">
        <v>816</v>
      </c>
      <c r="L2914" t="s">
        <v>66</v>
      </c>
      <c r="M2914" t="s">
        <v>103</v>
      </c>
      <c r="N2914" t="s">
        <v>103</v>
      </c>
      <c r="O2914" t="s">
        <v>103</v>
      </c>
    </row>
    <row r="2915" spans="1:16" x14ac:dyDescent="0.3">
      <c r="A2915" t="s">
        <v>29</v>
      </c>
      <c r="B2915">
        <v>530</v>
      </c>
      <c r="C2915" t="s">
        <v>1244</v>
      </c>
      <c r="D2915" t="s">
        <v>194</v>
      </c>
      <c r="E2915" t="s">
        <v>135</v>
      </c>
      <c r="F2915" t="s">
        <v>278</v>
      </c>
      <c r="G2915" t="s">
        <v>120</v>
      </c>
      <c r="H2915" t="s">
        <v>122</v>
      </c>
      <c r="I2915" t="s">
        <v>122</v>
      </c>
      <c r="J2915" t="s">
        <v>549</v>
      </c>
      <c r="K2915" t="s">
        <v>390</v>
      </c>
      <c r="L2915" t="s">
        <v>103</v>
      </c>
      <c r="M2915" t="s">
        <v>103</v>
      </c>
      <c r="N2915" t="s">
        <v>103</v>
      </c>
      <c r="O2915" t="s">
        <v>103</v>
      </c>
    </row>
    <row r="2916" spans="1:16" x14ac:dyDescent="0.3">
      <c r="A2916" t="s">
        <v>28</v>
      </c>
      <c r="B2916">
        <v>317</v>
      </c>
      <c r="C2916" t="s">
        <v>1236</v>
      </c>
      <c r="D2916" t="s">
        <v>329</v>
      </c>
      <c r="E2916" t="s">
        <v>544</v>
      </c>
      <c r="F2916" t="s">
        <v>70</v>
      </c>
      <c r="G2916" t="s">
        <v>103</v>
      </c>
      <c r="H2916" t="s">
        <v>571</v>
      </c>
      <c r="I2916" t="s">
        <v>120</v>
      </c>
      <c r="J2916" t="s">
        <v>566</v>
      </c>
      <c r="K2916" t="s">
        <v>1236</v>
      </c>
      <c r="L2916" t="s">
        <v>103</v>
      </c>
      <c r="M2916" t="s">
        <v>103</v>
      </c>
      <c r="N2916" t="s">
        <v>103</v>
      </c>
      <c r="O2916" t="s">
        <v>103</v>
      </c>
    </row>
    <row r="2917" spans="1:16" x14ac:dyDescent="0.3">
      <c r="A2917" t="s">
        <v>27</v>
      </c>
      <c r="B2917">
        <v>300</v>
      </c>
      <c r="C2917" t="s">
        <v>618</v>
      </c>
      <c r="D2917" t="s">
        <v>743</v>
      </c>
      <c r="E2917" t="s">
        <v>32</v>
      </c>
      <c r="F2917" t="s">
        <v>190</v>
      </c>
      <c r="G2917" t="s">
        <v>257</v>
      </c>
      <c r="H2917" t="s">
        <v>272</v>
      </c>
      <c r="I2917" t="s">
        <v>116</v>
      </c>
      <c r="J2917" t="s">
        <v>115</v>
      </c>
      <c r="K2917" t="s">
        <v>581</v>
      </c>
      <c r="L2917" t="s">
        <v>103</v>
      </c>
      <c r="M2917" t="s">
        <v>103</v>
      </c>
      <c r="N2917" t="s">
        <v>103</v>
      </c>
      <c r="O2917" t="s">
        <v>116</v>
      </c>
    </row>
    <row r="2918" spans="1:16" x14ac:dyDescent="0.3">
      <c r="A2918" t="s">
        <v>41</v>
      </c>
      <c r="B2918">
        <v>2038</v>
      </c>
      <c r="C2918" t="s">
        <v>802</v>
      </c>
      <c r="D2918" t="s">
        <v>208</v>
      </c>
      <c r="E2918" t="s">
        <v>126</v>
      </c>
      <c r="F2918" t="s">
        <v>33</v>
      </c>
      <c r="G2918" t="s">
        <v>122</v>
      </c>
      <c r="H2918" t="s">
        <v>345</v>
      </c>
      <c r="I2918" t="s">
        <v>341</v>
      </c>
      <c r="J2918" t="s">
        <v>805</v>
      </c>
      <c r="K2918" t="s">
        <v>373</v>
      </c>
      <c r="L2918" t="s">
        <v>103</v>
      </c>
      <c r="M2918" t="s">
        <v>103</v>
      </c>
      <c r="N2918" t="s">
        <v>103</v>
      </c>
      <c r="O2918" t="s">
        <v>103</v>
      </c>
    </row>
    <row r="2920" spans="1:16" x14ac:dyDescent="0.3">
      <c r="A2920" t="s">
        <v>1417</v>
      </c>
    </row>
    <row r="2921" spans="1:16" x14ac:dyDescent="0.3">
      <c r="A2921" t="s">
        <v>36</v>
      </c>
      <c r="B2921" t="s">
        <v>197</v>
      </c>
      <c r="C2921" t="s">
        <v>24</v>
      </c>
      <c r="D2921" t="s">
        <v>1406</v>
      </c>
      <c r="E2921" t="s">
        <v>1407</v>
      </c>
      <c r="F2921" t="s">
        <v>1408</v>
      </c>
      <c r="G2921" t="s">
        <v>1409</v>
      </c>
      <c r="H2921" t="s">
        <v>1410</v>
      </c>
      <c r="I2921" t="s">
        <v>1411</v>
      </c>
      <c r="J2921" t="s">
        <v>1412</v>
      </c>
      <c r="K2921" t="s">
        <v>1413</v>
      </c>
      <c r="L2921" t="s">
        <v>1414</v>
      </c>
      <c r="M2921" t="s">
        <v>1415</v>
      </c>
      <c r="N2921" t="s">
        <v>1416</v>
      </c>
      <c r="O2921" t="s">
        <v>183</v>
      </c>
      <c r="P2921" t="s">
        <v>1271</v>
      </c>
    </row>
    <row r="2922" spans="1:16" x14ac:dyDescent="0.3">
      <c r="A2922" t="s">
        <v>25</v>
      </c>
      <c r="B2922" t="s">
        <v>198</v>
      </c>
      <c r="C2922">
        <v>104</v>
      </c>
      <c r="D2922" t="s">
        <v>1418</v>
      </c>
      <c r="E2922" t="s">
        <v>257</v>
      </c>
      <c r="F2922" t="s">
        <v>382</v>
      </c>
      <c r="G2922" t="s">
        <v>188</v>
      </c>
      <c r="H2922" t="s">
        <v>103</v>
      </c>
      <c r="I2922" t="s">
        <v>266</v>
      </c>
      <c r="J2922" t="s">
        <v>116</v>
      </c>
      <c r="K2922" t="s">
        <v>601</v>
      </c>
      <c r="L2922" t="s">
        <v>691</v>
      </c>
      <c r="M2922" t="s">
        <v>103</v>
      </c>
      <c r="N2922" t="s">
        <v>103</v>
      </c>
      <c r="O2922" t="s">
        <v>103</v>
      </c>
      <c r="P2922" t="s">
        <v>103</v>
      </c>
    </row>
    <row r="2923" spans="1:16" x14ac:dyDescent="0.3">
      <c r="A2923" t="s">
        <v>25</v>
      </c>
      <c r="B2923" t="s">
        <v>199</v>
      </c>
      <c r="C2923">
        <v>310</v>
      </c>
      <c r="D2923" t="s">
        <v>1222</v>
      </c>
      <c r="E2923" t="s">
        <v>216</v>
      </c>
      <c r="F2923" t="s">
        <v>195</v>
      </c>
      <c r="G2923" t="s">
        <v>128</v>
      </c>
      <c r="H2923" t="s">
        <v>103</v>
      </c>
      <c r="I2923" t="s">
        <v>98</v>
      </c>
      <c r="J2923" t="s">
        <v>188</v>
      </c>
      <c r="K2923" t="s">
        <v>1227</v>
      </c>
      <c r="L2923" t="s">
        <v>1218</v>
      </c>
      <c r="M2923" t="s">
        <v>103</v>
      </c>
      <c r="N2923" t="s">
        <v>103</v>
      </c>
      <c r="O2923" t="s">
        <v>103</v>
      </c>
      <c r="P2923" t="s">
        <v>103</v>
      </c>
    </row>
    <row r="2924" spans="1:16" x14ac:dyDescent="0.3">
      <c r="A2924" t="s">
        <v>26</v>
      </c>
      <c r="B2924" t="s">
        <v>198</v>
      </c>
      <c r="C2924">
        <v>41</v>
      </c>
      <c r="D2924" t="s">
        <v>694</v>
      </c>
      <c r="E2924" t="s">
        <v>251</v>
      </c>
      <c r="F2924" t="s">
        <v>601</v>
      </c>
      <c r="G2924" t="s">
        <v>476</v>
      </c>
      <c r="H2924" t="s">
        <v>103</v>
      </c>
      <c r="I2924" t="s">
        <v>105</v>
      </c>
      <c r="J2924" t="s">
        <v>700</v>
      </c>
      <c r="K2924" t="s">
        <v>137</v>
      </c>
      <c r="L2924" t="s">
        <v>382</v>
      </c>
      <c r="M2924" t="s">
        <v>103</v>
      </c>
      <c r="N2924" t="s">
        <v>103</v>
      </c>
      <c r="O2924" t="s">
        <v>103</v>
      </c>
      <c r="P2924" t="s">
        <v>103</v>
      </c>
    </row>
    <row r="2925" spans="1:16" x14ac:dyDescent="0.3">
      <c r="A2925" t="s">
        <v>26</v>
      </c>
      <c r="B2925" t="s">
        <v>199</v>
      </c>
      <c r="C2925">
        <v>436</v>
      </c>
      <c r="D2925" t="s">
        <v>581</v>
      </c>
      <c r="E2925" t="s">
        <v>194</v>
      </c>
      <c r="F2925" t="s">
        <v>93</v>
      </c>
      <c r="G2925" t="s">
        <v>70</v>
      </c>
      <c r="H2925" t="s">
        <v>103</v>
      </c>
      <c r="I2925" t="s">
        <v>116</v>
      </c>
      <c r="J2925" t="s">
        <v>591</v>
      </c>
      <c r="K2925" t="s">
        <v>363</v>
      </c>
      <c r="L2925" t="s">
        <v>1211</v>
      </c>
      <c r="M2925" t="s">
        <v>66</v>
      </c>
      <c r="N2925" t="s">
        <v>103</v>
      </c>
      <c r="O2925" t="s">
        <v>103</v>
      </c>
      <c r="P2925" t="s">
        <v>103</v>
      </c>
    </row>
    <row r="2926" spans="1:16" x14ac:dyDescent="0.3">
      <c r="A2926" t="s">
        <v>29</v>
      </c>
      <c r="B2926" t="s">
        <v>198</v>
      </c>
      <c r="C2926">
        <v>170</v>
      </c>
      <c r="D2926" t="s">
        <v>628</v>
      </c>
      <c r="E2926" t="s">
        <v>468</v>
      </c>
      <c r="F2926" t="s">
        <v>684</v>
      </c>
      <c r="G2926" t="s">
        <v>459</v>
      </c>
      <c r="H2926" t="s">
        <v>116</v>
      </c>
      <c r="I2926" t="s">
        <v>95</v>
      </c>
      <c r="J2926" t="s">
        <v>95</v>
      </c>
      <c r="K2926" t="s">
        <v>591</v>
      </c>
      <c r="L2926" t="s">
        <v>129</v>
      </c>
      <c r="M2926" t="s">
        <v>103</v>
      </c>
      <c r="N2926" t="s">
        <v>103</v>
      </c>
      <c r="O2926" t="s">
        <v>103</v>
      </c>
      <c r="P2926" t="s">
        <v>103</v>
      </c>
    </row>
    <row r="2927" spans="1:16" x14ac:dyDescent="0.3">
      <c r="A2927" t="s">
        <v>29</v>
      </c>
      <c r="B2927" t="s">
        <v>199</v>
      </c>
      <c r="C2927">
        <v>360</v>
      </c>
      <c r="D2927" t="s">
        <v>1348</v>
      </c>
      <c r="E2927" t="s">
        <v>194</v>
      </c>
      <c r="F2927" t="s">
        <v>217</v>
      </c>
      <c r="G2927" t="s">
        <v>270</v>
      </c>
      <c r="H2927" t="s">
        <v>95</v>
      </c>
      <c r="I2927" t="s">
        <v>116</v>
      </c>
      <c r="J2927" t="s">
        <v>66</v>
      </c>
      <c r="K2927" t="s">
        <v>117</v>
      </c>
      <c r="L2927" t="s">
        <v>387</v>
      </c>
      <c r="M2927" t="s">
        <v>103</v>
      </c>
      <c r="N2927" t="s">
        <v>103</v>
      </c>
      <c r="O2927" t="s">
        <v>103</v>
      </c>
      <c r="P2927" t="s">
        <v>103</v>
      </c>
    </row>
    <row r="2928" spans="1:16" x14ac:dyDescent="0.3">
      <c r="A2928" t="s">
        <v>28</v>
      </c>
      <c r="B2928" t="s">
        <v>198</v>
      </c>
      <c r="C2928">
        <v>70</v>
      </c>
      <c r="D2928" t="s">
        <v>406</v>
      </c>
      <c r="E2928" t="s">
        <v>98</v>
      </c>
      <c r="F2928" t="s">
        <v>1212</v>
      </c>
      <c r="G2928" t="s">
        <v>649</v>
      </c>
      <c r="H2928" t="s">
        <v>103</v>
      </c>
      <c r="I2928" t="s">
        <v>662</v>
      </c>
      <c r="J2928" t="s">
        <v>139</v>
      </c>
      <c r="K2928" t="s">
        <v>98</v>
      </c>
      <c r="L2928" t="s">
        <v>253</v>
      </c>
      <c r="M2928" t="s">
        <v>103</v>
      </c>
      <c r="N2928" t="s">
        <v>103</v>
      </c>
      <c r="O2928" t="s">
        <v>103</v>
      </c>
      <c r="P2928" t="s">
        <v>103</v>
      </c>
    </row>
    <row r="2929" spans="1:16" x14ac:dyDescent="0.3">
      <c r="A2929" t="s">
        <v>28</v>
      </c>
      <c r="B2929" t="s">
        <v>199</v>
      </c>
      <c r="C2929">
        <v>247</v>
      </c>
      <c r="D2929" t="s">
        <v>500</v>
      </c>
      <c r="E2929" t="s">
        <v>257</v>
      </c>
      <c r="F2929" t="s">
        <v>257</v>
      </c>
      <c r="G2929" t="s">
        <v>114</v>
      </c>
      <c r="H2929" t="s">
        <v>103</v>
      </c>
      <c r="I2929" t="s">
        <v>629</v>
      </c>
      <c r="J2929" t="s">
        <v>97</v>
      </c>
      <c r="K2929" t="s">
        <v>142</v>
      </c>
      <c r="L2929" t="s">
        <v>1071</v>
      </c>
      <c r="M2929" t="s">
        <v>103</v>
      </c>
      <c r="N2929" t="s">
        <v>103</v>
      </c>
      <c r="O2929" t="s">
        <v>103</v>
      </c>
      <c r="P2929" t="s">
        <v>103</v>
      </c>
    </row>
    <row r="2930" spans="1:16" x14ac:dyDescent="0.3">
      <c r="A2930" t="s">
        <v>27</v>
      </c>
      <c r="B2930" t="s">
        <v>198</v>
      </c>
      <c r="C2930">
        <v>136</v>
      </c>
      <c r="D2930" t="s">
        <v>757</v>
      </c>
      <c r="E2930" t="s">
        <v>481</v>
      </c>
      <c r="F2930" t="s">
        <v>460</v>
      </c>
      <c r="G2930" t="s">
        <v>33</v>
      </c>
      <c r="H2930" t="s">
        <v>257</v>
      </c>
      <c r="I2930" t="s">
        <v>329</v>
      </c>
      <c r="J2930" t="s">
        <v>103</v>
      </c>
      <c r="K2930" t="s">
        <v>278</v>
      </c>
      <c r="L2930" t="s">
        <v>256</v>
      </c>
      <c r="M2930" t="s">
        <v>103</v>
      </c>
      <c r="N2930" t="s">
        <v>103</v>
      </c>
      <c r="O2930" t="s">
        <v>103</v>
      </c>
      <c r="P2930" t="s">
        <v>97</v>
      </c>
    </row>
    <row r="2931" spans="1:16" x14ac:dyDescent="0.3">
      <c r="A2931" t="s">
        <v>27</v>
      </c>
      <c r="B2931" t="s">
        <v>199</v>
      </c>
      <c r="C2931">
        <v>164</v>
      </c>
      <c r="D2931" t="s">
        <v>741</v>
      </c>
      <c r="E2931" t="s">
        <v>918</v>
      </c>
      <c r="F2931" t="s">
        <v>266</v>
      </c>
      <c r="G2931" t="s">
        <v>224</v>
      </c>
      <c r="H2931" t="s">
        <v>118</v>
      </c>
      <c r="I2931" t="s">
        <v>113</v>
      </c>
      <c r="J2931" t="s">
        <v>120</v>
      </c>
      <c r="K2931" t="s">
        <v>580</v>
      </c>
      <c r="L2931" t="s">
        <v>686</v>
      </c>
      <c r="M2931" t="s">
        <v>103</v>
      </c>
      <c r="N2931" t="s">
        <v>103</v>
      </c>
      <c r="O2931" t="s">
        <v>103</v>
      </c>
      <c r="P2931" t="s">
        <v>103</v>
      </c>
    </row>
    <row r="2932" spans="1:16" x14ac:dyDescent="0.3">
      <c r="A2932" t="s">
        <v>41</v>
      </c>
      <c r="B2932" t="s">
        <v>198</v>
      </c>
      <c r="C2932">
        <v>521</v>
      </c>
      <c r="D2932" t="s">
        <v>1048</v>
      </c>
      <c r="E2932" t="s">
        <v>266</v>
      </c>
      <c r="F2932" t="s">
        <v>398</v>
      </c>
      <c r="G2932" t="s">
        <v>137</v>
      </c>
      <c r="H2932" t="s">
        <v>122</v>
      </c>
      <c r="I2932" t="s">
        <v>239</v>
      </c>
      <c r="J2932" t="s">
        <v>468</v>
      </c>
      <c r="K2932" t="s">
        <v>278</v>
      </c>
      <c r="L2932" t="s">
        <v>553</v>
      </c>
      <c r="M2932" t="s">
        <v>103</v>
      </c>
      <c r="N2932" t="s">
        <v>103</v>
      </c>
      <c r="O2932" t="s">
        <v>103</v>
      </c>
      <c r="P2932" t="s">
        <v>91</v>
      </c>
    </row>
    <row r="2933" spans="1:16" x14ac:dyDescent="0.3">
      <c r="A2933" t="s">
        <v>41</v>
      </c>
      <c r="B2933" t="s">
        <v>199</v>
      </c>
      <c r="C2933">
        <v>1517</v>
      </c>
      <c r="D2933" t="s">
        <v>383</v>
      </c>
      <c r="E2933" t="s">
        <v>105</v>
      </c>
      <c r="F2933" t="s">
        <v>217</v>
      </c>
      <c r="G2933" t="s">
        <v>493</v>
      </c>
      <c r="H2933" t="s">
        <v>122</v>
      </c>
      <c r="I2933" t="s">
        <v>282</v>
      </c>
      <c r="J2933" t="s">
        <v>329</v>
      </c>
      <c r="K2933" t="s">
        <v>477</v>
      </c>
      <c r="L2933" t="s">
        <v>1205</v>
      </c>
      <c r="M2933" t="s">
        <v>91</v>
      </c>
      <c r="N2933" t="s">
        <v>103</v>
      </c>
      <c r="O2933" t="s">
        <v>103</v>
      </c>
      <c r="P2933" t="s">
        <v>103</v>
      </c>
    </row>
    <row r="2935" spans="1:16" x14ac:dyDescent="0.3">
      <c r="A2935" t="s">
        <v>1419</v>
      </c>
    </row>
    <row r="2936" spans="1:16" x14ac:dyDescent="0.3">
      <c r="A2936" t="s">
        <v>36</v>
      </c>
      <c r="B2936" t="s">
        <v>307</v>
      </c>
      <c r="C2936" t="s">
        <v>24</v>
      </c>
      <c r="D2936" t="s">
        <v>1406</v>
      </c>
      <c r="E2936" t="s">
        <v>1407</v>
      </c>
      <c r="F2936" t="s">
        <v>1408</v>
      </c>
      <c r="G2936" t="s">
        <v>1409</v>
      </c>
      <c r="H2936" t="s">
        <v>1410</v>
      </c>
      <c r="I2936" t="s">
        <v>1411</v>
      </c>
      <c r="J2936" t="s">
        <v>1412</v>
      </c>
      <c r="K2936" t="s">
        <v>1413</v>
      </c>
      <c r="L2936" t="s">
        <v>1414</v>
      </c>
      <c r="M2936" t="s">
        <v>1415</v>
      </c>
      <c r="N2936" t="s">
        <v>1416</v>
      </c>
      <c r="O2936" t="s">
        <v>183</v>
      </c>
      <c r="P2936" t="s">
        <v>1271</v>
      </c>
    </row>
    <row r="2937" spans="1:16" x14ac:dyDescent="0.3">
      <c r="A2937" t="s">
        <v>25</v>
      </c>
      <c r="B2937" t="s">
        <v>291</v>
      </c>
      <c r="C2937">
        <v>156</v>
      </c>
      <c r="D2937" t="s">
        <v>726</v>
      </c>
      <c r="E2937" t="s">
        <v>216</v>
      </c>
      <c r="F2937" t="s">
        <v>108</v>
      </c>
      <c r="G2937" t="s">
        <v>467</v>
      </c>
      <c r="H2937" t="s">
        <v>103</v>
      </c>
      <c r="I2937" t="s">
        <v>239</v>
      </c>
      <c r="J2937" t="s">
        <v>93</v>
      </c>
      <c r="K2937" t="s">
        <v>671</v>
      </c>
      <c r="L2937" t="s">
        <v>1204</v>
      </c>
      <c r="M2937" t="s">
        <v>103</v>
      </c>
      <c r="N2937" t="s">
        <v>103</v>
      </c>
      <c r="O2937" t="s">
        <v>103</v>
      </c>
      <c r="P2937" t="s">
        <v>103</v>
      </c>
    </row>
    <row r="2938" spans="1:16" x14ac:dyDescent="0.3">
      <c r="A2938" t="s">
        <v>25</v>
      </c>
      <c r="B2938" t="s">
        <v>292</v>
      </c>
      <c r="C2938">
        <v>254</v>
      </c>
      <c r="D2938" t="s">
        <v>1420</v>
      </c>
      <c r="E2938" t="s">
        <v>208</v>
      </c>
      <c r="F2938" t="s">
        <v>62</v>
      </c>
      <c r="G2938" t="s">
        <v>93</v>
      </c>
      <c r="H2938" t="s">
        <v>103</v>
      </c>
      <c r="I2938" t="s">
        <v>345</v>
      </c>
      <c r="J2938" t="s">
        <v>125</v>
      </c>
      <c r="K2938" t="s">
        <v>539</v>
      </c>
      <c r="L2938" t="s">
        <v>1196</v>
      </c>
      <c r="M2938" t="s">
        <v>103</v>
      </c>
      <c r="N2938" t="s">
        <v>103</v>
      </c>
      <c r="O2938" t="s">
        <v>103</v>
      </c>
      <c r="P2938" t="s">
        <v>103</v>
      </c>
    </row>
    <row r="2939" spans="1:16" x14ac:dyDescent="0.3">
      <c r="A2939" t="s">
        <v>25</v>
      </c>
      <c r="B2939" t="s">
        <v>308</v>
      </c>
      <c r="C2939">
        <v>4</v>
      </c>
      <c r="D2939" t="s">
        <v>240</v>
      </c>
      <c r="E2939" t="s">
        <v>103</v>
      </c>
      <c r="F2939" t="s">
        <v>103</v>
      </c>
      <c r="G2939" t="s">
        <v>103</v>
      </c>
      <c r="H2939" t="s">
        <v>103</v>
      </c>
      <c r="I2939" t="s">
        <v>103</v>
      </c>
      <c r="J2939" t="s">
        <v>103</v>
      </c>
      <c r="K2939" t="s">
        <v>455</v>
      </c>
      <c r="L2939" t="s">
        <v>297</v>
      </c>
      <c r="M2939" t="s">
        <v>103</v>
      </c>
      <c r="N2939" t="s">
        <v>103</v>
      </c>
      <c r="O2939" t="s">
        <v>103</v>
      </c>
      <c r="P2939" t="s">
        <v>103</v>
      </c>
    </row>
    <row r="2940" spans="1:16" x14ac:dyDescent="0.3">
      <c r="A2940" t="s">
        <v>26</v>
      </c>
      <c r="B2940" t="s">
        <v>291</v>
      </c>
      <c r="C2940">
        <v>122</v>
      </c>
      <c r="D2940" t="s">
        <v>1203</v>
      </c>
      <c r="E2940" t="s">
        <v>345</v>
      </c>
      <c r="F2940" t="s">
        <v>112</v>
      </c>
      <c r="G2940" t="s">
        <v>511</v>
      </c>
      <c r="H2940" t="s">
        <v>103</v>
      </c>
      <c r="I2940" t="s">
        <v>110</v>
      </c>
      <c r="J2940" t="s">
        <v>615</v>
      </c>
      <c r="K2940" t="s">
        <v>659</v>
      </c>
      <c r="L2940" t="s">
        <v>797</v>
      </c>
      <c r="M2940" t="s">
        <v>103</v>
      </c>
      <c r="N2940" t="s">
        <v>103</v>
      </c>
      <c r="O2940" t="s">
        <v>103</v>
      </c>
      <c r="P2940" t="s">
        <v>103</v>
      </c>
    </row>
    <row r="2941" spans="1:16" x14ac:dyDescent="0.3">
      <c r="A2941" t="s">
        <v>26</v>
      </c>
      <c r="B2941" t="s">
        <v>292</v>
      </c>
      <c r="C2941">
        <v>352</v>
      </c>
      <c r="D2941" t="s">
        <v>525</v>
      </c>
      <c r="E2941" t="s">
        <v>105</v>
      </c>
      <c r="F2941" t="s">
        <v>216</v>
      </c>
      <c r="G2941" t="s">
        <v>206</v>
      </c>
      <c r="H2941" t="s">
        <v>103</v>
      </c>
      <c r="I2941" t="s">
        <v>103</v>
      </c>
      <c r="J2941" t="s">
        <v>532</v>
      </c>
      <c r="K2941" t="s">
        <v>1032</v>
      </c>
      <c r="L2941" t="s">
        <v>559</v>
      </c>
      <c r="M2941" t="s">
        <v>66</v>
      </c>
      <c r="N2941" t="s">
        <v>103</v>
      </c>
      <c r="O2941" t="s">
        <v>103</v>
      </c>
      <c r="P2941" t="s">
        <v>103</v>
      </c>
    </row>
    <row r="2942" spans="1:16" x14ac:dyDescent="0.3">
      <c r="A2942" t="s">
        <v>26</v>
      </c>
      <c r="B2942" t="s">
        <v>308</v>
      </c>
      <c r="C2942">
        <v>3</v>
      </c>
      <c r="D2942" t="s">
        <v>1178</v>
      </c>
      <c r="E2942" t="s">
        <v>103</v>
      </c>
      <c r="F2942" t="s">
        <v>103</v>
      </c>
      <c r="G2942" t="s">
        <v>103</v>
      </c>
      <c r="H2942" t="s">
        <v>103</v>
      </c>
      <c r="I2942" t="s">
        <v>103</v>
      </c>
      <c r="J2942" t="s">
        <v>103</v>
      </c>
      <c r="K2942" t="s">
        <v>103</v>
      </c>
      <c r="L2942" t="s">
        <v>784</v>
      </c>
      <c r="M2942" t="s">
        <v>103</v>
      </c>
      <c r="N2942" t="s">
        <v>103</v>
      </c>
      <c r="O2942" t="s">
        <v>103</v>
      </c>
      <c r="P2942" t="s">
        <v>103</v>
      </c>
    </row>
    <row r="2943" spans="1:16" x14ac:dyDescent="0.3">
      <c r="A2943" t="s">
        <v>29</v>
      </c>
      <c r="B2943" t="s">
        <v>291</v>
      </c>
      <c r="C2943">
        <v>205</v>
      </c>
      <c r="D2943" t="s">
        <v>895</v>
      </c>
      <c r="E2943" t="s">
        <v>282</v>
      </c>
      <c r="F2943" t="s">
        <v>575</v>
      </c>
      <c r="G2943" t="s">
        <v>68</v>
      </c>
      <c r="H2943" t="s">
        <v>139</v>
      </c>
      <c r="I2943" t="s">
        <v>103</v>
      </c>
      <c r="J2943" t="s">
        <v>103</v>
      </c>
      <c r="K2943" t="s">
        <v>531</v>
      </c>
      <c r="L2943" t="s">
        <v>1210</v>
      </c>
      <c r="M2943" t="s">
        <v>103</v>
      </c>
      <c r="N2943" t="s">
        <v>103</v>
      </c>
      <c r="O2943" t="s">
        <v>103</v>
      </c>
      <c r="P2943" t="s">
        <v>103</v>
      </c>
    </row>
    <row r="2944" spans="1:16" x14ac:dyDescent="0.3">
      <c r="A2944" t="s">
        <v>29</v>
      </c>
      <c r="B2944" t="s">
        <v>292</v>
      </c>
      <c r="C2944">
        <v>325</v>
      </c>
      <c r="D2944" t="s">
        <v>822</v>
      </c>
      <c r="E2944" t="s">
        <v>110</v>
      </c>
      <c r="F2944" t="s">
        <v>104</v>
      </c>
      <c r="G2944" t="s">
        <v>94</v>
      </c>
      <c r="H2944" t="s">
        <v>122</v>
      </c>
      <c r="I2944" t="s">
        <v>120</v>
      </c>
      <c r="J2944" t="s">
        <v>120</v>
      </c>
      <c r="K2944" t="s">
        <v>62</v>
      </c>
      <c r="L2944" t="s">
        <v>416</v>
      </c>
      <c r="M2944" t="s">
        <v>103</v>
      </c>
      <c r="N2944" t="s">
        <v>103</v>
      </c>
      <c r="O2944" t="s">
        <v>103</v>
      </c>
      <c r="P2944" t="s">
        <v>103</v>
      </c>
    </row>
    <row r="2945" spans="1:16" x14ac:dyDescent="0.3">
      <c r="A2945" t="s">
        <v>28</v>
      </c>
      <c r="B2945" t="s">
        <v>291</v>
      </c>
      <c r="C2945">
        <v>114</v>
      </c>
      <c r="D2945" t="s">
        <v>374</v>
      </c>
      <c r="E2945" t="s">
        <v>493</v>
      </c>
      <c r="F2945" t="s">
        <v>152</v>
      </c>
      <c r="G2945" t="s">
        <v>127</v>
      </c>
      <c r="H2945" t="s">
        <v>103</v>
      </c>
      <c r="I2945" t="s">
        <v>107</v>
      </c>
      <c r="J2945" t="s">
        <v>98</v>
      </c>
      <c r="K2945" t="s">
        <v>750</v>
      </c>
      <c r="L2945" t="s">
        <v>416</v>
      </c>
      <c r="M2945" t="s">
        <v>103</v>
      </c>
      <c r="N2945" t="s">
        <v>103</v>
      </c>
      <c r="O2945" t="s">
        <v>103</v>
      </c>
      <c r="P2945" t="s">
        <v>103</v>
      </c>
    </row>
    <row r="2946" spans="1:16" x14ac:dyDescent="0.3">
      <c r="A2946" t="s">
        <v>28</v>
      </c>
      <c r="B2946" t="s">
        <v>292</v>
      </c>
      <c r="C2946">
        <v>191</v>
      </c>
      <c r="D2946" t="s">
        <v>934</v>
      </c>
      <c r="E2946" t="s">
        <v>468</v>
      </c>
      <c r="F2946" t="s">
        <v>544</v>
      </c>
      <c r="G2946" t="s">
        <v>188</v>
      </c>
      <c r="H2946" t="s">
        <v>103</v>
      </c>
      <c r="I2946" t="s">
        <v>536</v>
      </c>
      <c r="J2946" t="s">
        <v>103</v>
      </c>
      <c r="K2946" t="s">
        <v>566</v>
      </c>
      <c r="L2946" t="s">
        <v>1238</v>
      </c>
      <c r="M2946" t="s">
        <v>103</v>
      </c>
      <c r="N2946" t="s">
        <v>103</v>
      </c>
      <c r="O2946" t="s">
        <v>103</v>
      </c>
      <c r="P2946" t="s">
        <v>103</v>
      </c>
    </row>
    <row r="2947" spans="1:16" x14ac:dyDescent="0.3">
      <c r="A2947" t="s">
        <v>28</v>
      </c>
      <c r="B2947" t="s">
        <v>308</v>
      </c>
      <c r="C2947">
        <v>12</v>
      </c>
      <c r="D2947" t="s">
        <v>432</v>
      </c>
      <c r="E2947" t="s">
        <v>103</v>
      </c>
      <c r="F2947" t="s">
        <v>205</v>
      </c>
      <c r="G2947" t="s">
        <v>112</v>
      </c>
      <c r="H2947" t="s">
        <v>103</v>
      </c>
      <c r="I2947" t="s">
        <v>103</v>
      </c>
      <c r="J2947" t="s">
        <v>70</v>
      </c>
      <c r="K2947" t="s">
        <v>517</v>
      </c>
      <c r="L2947" t="s">
        <v>1214</v>
      </c>
      <c r="M2947" t="s">
        <v>103</v>
      </c>
      <c r="N2947" t="s">
        <v>103</v>
      </c>
      <c r="O2947" t="s">
        <v>103</v>
      </c>
      <c r="P2947" t="s">
        <v>103</v>
      </c>
    </row>
    <row r="2948" spans="1:16" x14ac:dyDescent="0.3">
      <c r="A2948" t="s">
        <v>27</v>
      </c>
      <c r="B2948" t="s">
        <v>291</v>
      </c>
      <c r="C2948">
        <v>95</v>
      </c>
      <c r="D2948" t="s">
        <v>1259</v>
      </c>
      <c r="E2948" t="s">
        <v>169</v>
      </c>
      <c r="F2948" t="s">
        <v>140</v>
      </c>
      <c r="G2948" t="s">
        <v>90</v>
      </c>
      <c r="H2948" t="s">
        <v>281</v>
      </c>
      <c r="I2948" t="s">
        <v>188</v>
      </c>
      <c r="J2948" t="s">
        <v>103</v>
      </c>
      <c r="K2948" t="s">
        <v>99</v>
      </c>
      <c r="L2948" t="s">
        <v>518</v>
      </c>
      <c r="M2948" t="s">
        <v>103</v>
      </c>
      <c r="N2948" t="s">
        <v>103</v>
      </c>
      <c r="O2948" t="s">
        <v>103</v>
      </c>
      <c r="P2948" t="s">
        <v>103</v>
      </c>
    </row>
    <row r="2949" spans="1:16" x14ac:dyDescent="0.3">
      <c r="A2949" t="s">
        <v>27</v>
      </c>
      <c r="B2949" t="s">
        <v>292</v>
      </c>
      <c r="C2949">
        <v>198</v>
      </c>
      <c r="D2949" t="s">
        <v>618</v>
      </c>
      <c r="E2949" t="s">
        <v>144</v>
      </c>
      <c r="F2949" t="s">
        <v>113</v>
      </c>
      <c r="G2949" t="s">
        <v>206</v>
      </c>
      <c r="H2949" t="s">
        <v>239</v>
      </c>
      <c r="I2949" t="s">
        <v>68</v>
      </c>
      <c r="J2949" t="s">
        <v>97</v>
      </c>
      <c r="K2949" t="s">
        <v>813</v>
      </c>
      <c r="L2949" t="s">
        <v>1226</v>
      </c>
      <c r="M2949" t="s">
        <v>103</v>
      </c>
      <c r="N2949" t="s">
        <v>103</v>
      </c>
      <c r="O2949" t="s">
        <v>103</v>
      </c>
      <c r="P2949" t="s">
        <v>122</v>
      </c>
    </row>
    <row r="2950" spans="1:16" x14ac:dyDescent="0.3">
      <c r="A2950" t="s">
        <v>27</v>
      </c>
      <c r="B2950" t="s">
        <v>308</v>
      </c>
      <c r="C2950">
        <v>7</v>
      </c>
      <c r="D2950" t="s">
        <v>192</v>
      </c>
      <c r="E2950" t="s">
        <v>54</v>
      </c>
      <c r="F2950" t="s">
        <v>103</v>
      </c>
      <c r="G2950" t="s">
        <v>150</v>
      </c>
      <c r="H2950" t="s">
        <v>103</v>
      </c>
      <c r="I2950" t="s">
        <v>103</v>
      </c>
      <c r="J2950" t="s">
        <v>103</v>
      </c>
      <c r="K2950" t="s">
        <v>797</v>
      </c>
      <c r="L2950" t="s">
        <v>236</v>
      </c>
      <c r="M2950" t="s">
        <v>103</v>
      </c>
      <c r="N2950" t="s">
        <v>103</v>
      </c>
      <c r="O2950" t="s">
        <v>103</v>
      </c>
      <c r="P2950" t="s">
        <v>103</v>
      </c>
    </row>
    <row r="2951" spans="1:16" x14ac:dyDescent="0.3">
      <c r="A2951" t="s">
        <v>41</v>
      </c>
      <c r="B2951" t="s">
        <v>291</v>
      </c>
      <c r="C2951">
        <v>692</v>
      </c>
      <c r="D2951" t="s">
        <v>866</v>
      </c>
      <c r="E2951" t="s">
        <v>216</v>
      </c>
      <c r="F2951" t="s">
        <v>127</v>
      </c>
      <c r="G2951" t="s">
        <v>107</v>
      </c>
      <c r="H2951" t="s">
        <v>120</v>
      </c>
      <c r="I2951" t="s">
        <v>98</v>
      </c>
      <c r="J2951" t="s">
        <v>194</v>
      </c>
      <c r="K2951" t="s">
        <v>570</v>
      </c>
      <c r="L2951" t="s">
        <v>453</v>
      </c>
      <c r="M2951" t="s">
        <v>103</v>
      </c>
      <c r="N2951" t="s">
        <v>103</v>
      </c>
      <c r="O2951" t="s">
        <v>103</v>
      </c>
      <c r="P2951" t="s">
        <v>103</v>
      </c>
    </row>
    <row r="2952" spans="1:16" x14ac:dyDescent="0.3">
      <c r="A2952" t="s">
        <v>41</v>
      </c>
      <c r="B2952" t="s">
        <v>292</v>
      </c>
      <c r="C2952">
        <v>1320</v>
      </c>
      <c r="D2952" t="s">
        <v>431</v>
      </c>
      <c r="E2952" t="s">
        <v>93</v>
      </c>
      <c r="F2952" t="s">
        <v>242</v>
      </c>
      <c r="G2952" t="s">
        <v>70</v>
      </c>
      <c r="H2952" t="s">
        <v>116</v>
      </c>
      <c r="I2952" t="s">
        <v>468</v>
      </c>
      <c r="J2952" t="s">
        <v>93</v>
      </c>
      <c r="K2952" t="s">
        <v>295</v>
      </c>
      <c r="L2952" t="s">
        <v>1197</v>
      </c>
      <c r="M2952" t="s">
        <v>91</v>
      </c>
      <c r="N2952" t="s">
        <v>103</v>
      </c>
      <c r="O2952" t="s">
        <v>103</v>
      </c>
      <c r="P2952" t="s">
        <v>103</v>
      </c>
    </row>
    <row r="2953" spans="1:16" x14ac:dyDescent="0.3">
      <c r="A2953" t="s">
        <v>41</v>
      </c>
      <c r="B2953" t="s">
        <v>308</v>
      </c>
      <c r="C2953">
        <v>26</v>
      </c>
      <c r="D2953" t="s">
        <v>989</v>
      </c>
      <c r="E2953" t="s">
        <v>270</v>
      </c>
      <c r="F2953" t="s">
        <v>128</v>
      </c>
      <c r="G2953" t="s">
        <v>186</v>
      </c>
      <c r="H2953" t="s">
        <v>103</v>
      </c>
      <c r="I2953" t="s">
        <v>103</v>
      </c>
      <c r="J2953" t="s">
        <v>239</v>
      </c>
      <c r="K2953" t="s">
        <v>672</v>
      </c>
      <c r="L2953" t="s">
        <v>932</v>
      </c>
      <c r="M2953" t="s">
        <v>103</v>
      </c>
      <c r="N2953" t="s">
        <v>103</v>
      </c>
      <c r="O2953" t="s">
        <v>103</v>
      </c>
      <c r="P2953" t="s">
        <v>103</v>
      </c>
    </row>
    <row r="2955" spans="1:16" x14ac:dyDescent="0.3">
      <c r="A2955" t="s">
        <v>1421</v>
      </c>
    </row>
    <row r="2956" spans="1:16" x14ac:dyDescent="0.3">
      <c r="A2956" t="s">
        <v>36</v>
      </c>
      <c r="B2956" t="s">
        <v>763</v>
      </c>
      <c r="C2956" t="s">
        <v>24</v>
      </c>
      <c r="D2956" t="s">
        <v>1406</v>
      </c>
      <c r="E2956" t="s">
        <v>1407</v>
      </c>
      <c r="F2956" t="s">
        <v>1408</v>
      </c>
      <c r="G2956" t="s">
        <v>1409</v>
      </c>
      <c r="H2956" t="s">
        <v>1410</v>
      </c>
      <c r="I2956" t="s">
        <v>1411</v>
      </c>
      <c r="J2956" t="s">
        <v>1412</v>
      </c>
      <c r="K2956" t="s">
        <v>1413</v>
      </c>
      <c r="L2956" t="s">
        <v>1414</v>
      </c>
      <c r="M2956" t="s">
        <v>1415</v>
      </c>
      <c r="N2956" t="s">
        <v>1416</v>
      </c>
      <c r="O2956" t="s">
        <v>183</v>
      </c>
      <c r="P2956" t="s">
        <v>1271</v>
      </c>
    </row>
    <row r="2957" spans="1:16" x14ac:dyDescent="0.3">
      <c r="A2957" t="s">
        <v>25</v>
      </c>
      <c r="B2957" t="s">
        <v>764</v>
      </c>
      <c r="C2957">
        <v>31</v>
      </c>
      <c r="D2957" t="s">
        <v>161</v>
      </c>
      <c r="E2957" t="s">
        <v>103</v>
      </c>
      <c r="F2957" t="s">
        <v>133</v>
      </c>
      <c r="G2957" t="s">
        <v>103</v>
      </c>
      <c r="H2957" t="s">
        <v>103</v>
      </c>
      <c r="I2957" t="s">
        <v>103</v>
      </c>
      <c r="J2957" t="s">
        <v>103</v>
      </c>
      <c r="K2957" t="s">
        <v>475</v>
      </c>
      <c r="L2957" t="s">
        <v>1224</v>
      </c>
      <c r="M2957" t="s">
        <v>103</v>
      </c>
      <c r="N2957" t="s">
        <v>103</v>
      </c>
      <c r="O2957" t="s">
        <v>103</v>
      </c>
      <c r="P2957" t="s">
        <v>103</v>
      </c>
    </row>
    <row r="2958" spans="1:16" x14ac:dyDescent="0.3">
      <c r="A2958" t="s">
        <v>25</v>
      </c>
      <c r="B2958" t="s">
        <v>765</v>
      </c>
      <c r="C2958">
        <v>280</v>
      </c>
      <c r="D2958" t="s">
        <v>1374</v>
      </c>
      <c r="E2958" t="s">
        <v>266</v>
      </c>
      <c r="F2958" t="s">
        <v>254</v>
      </c>
      <c r="G2958" t="s">
        <v>257</v>
      </c>
      <c r="H2958" t="s">
        <v>103</v>
      </c>
      <c r="I2958" t="s">
        <v>110</v>
      </c>
      <c r="J2958" t="s">
        <v>195</v>
      </c>
      <c r="K2958" t="s">
        <v>644</v>
      </c>
      <c r="L2958" t="s">
        <v>1088</v>
      </c>
      <c r="M2958" t="s">
        <v>103</v>
      </c>
      <c r="N2958" t="s">
        <v>103</v>
      </c>
      <c r="O2958" t="s">
        <v>103</v>
      </c>
      <c r="P2958" t="s">
        <v>103</v>
      </c>
    </row>
    <row r="2959" spans="1:16" x14ac:dyDescent="0.3">
      <c r="A2959" t="s">
        <v>25</v>
      </c>
      <c r="B2959" t="s">
        <v>767</v>
      </c>
      <c r="C2959">
        <v>103</v>
      </c>
      <c r="D2959" t="s">
        <v>235</v>
      </c>
      <c r="E2959" t="s">
        <v>103</v>
      </c>
      <c r="F2959" t="s">
        <v>157</v>
      </c>
      <c r="G2959" t="s">
        <v>102</v>
      </c>
      <c r="H2959" t="s">
        <v>103</v>
      </c>
      <c r="I2959" t="s">
        <v>194</v>
      </c>
      <c r="J2959" t="s">
        <v>114</v>
      </c>
      <c r="K2959" t="s">
        <v>382</v>
      </c>
      <c r="L2959" t="s">
        <v>698</v>
      </c>
      <c r="M2959" t="s">
        <v>103</v>
      </c>
      <c r="N2959" t="s">
        <v>103</v>
      </c>
      <c r="O2959" t="s">
        <v>103</v>
      </c>
      <c r="P2959" t="s">
        <v>103</v>
      </c>
    </row>
    <row r="2960" spans="1:16" x14ac:dyDescent="0.3">
      <c r="A2960" t="s">
        <v>26</v>
      </c>
      <c r="B2960" t="s">
        <v>764</v>
      </c>
      <c r="C2960">
        <v>58</v>
      </c>
      <c r="D2960" t="s">
        <v>686</v>
      </c>
      <c r="E2960" t="s">
        <v>103</v>
      </c>
      <c r="F2960" t="s">
        <v>105</v>
      </c>
      <c r="G2960" t="s">
        <v>133</v>
      </c>
      <c r="H2960" t="s">
        <v>103</v>
      </c>
      <c r="I2960" t="s">
        <v>103</v>
      </c>
      <c r="J2960" t="s">
        <v>103</v>
      </c>
      <c r="K2960" t="s">
        <v>1241</v>
      </c>
      <c r="L2960" t="s">
        <v>109</v>
      </c>
      <c r="M2960" t="s">
        <v>103</v>
      </c>
      <c r="N2960" t="s">
        <v>103</v>
      </c>
      <c r="O2960" t="s">
        <v>103</v>
      </c>
      <c r="P2960" t="s">
        <v>103</v>
      </c>
    </row>
    <row r="2961" spans="1:16" x14ac:dyDescent="0.3">
      <c r="A2961" t="s">
        <v>26</v>
      </c>
      <c r="B2961" t="s">
        <v>765</v>
      </c>
      <c r="C2961">
        <v>278</v>
      </c>
      <c r="D2961" t="s">
        <v>52</v>
      </c>
      <c r="E2961" t="s">
        <v>329</v>
      </c>
      <c r="F2961" t="s">
        <v>93</v>
      </c>
      <c r="G2961" t="s">
        <v>452</v>
      </c>
      <c r="H2961" t="s">
        <v>103</v>
      </c>
      <c r="I2961" t="s">
        <v>120</v>
      </c>
      <c r="J2961" t="s">
        <v>186</v>
      </c>
      <c r="K2961" t="s">
        <v>932</v>
      </c>
      <c r="L2961" t="s">
        <v>1422</v>
      </c>
      <c r="M2961" t="s">
        <v>103</v>
      </c>
      <c r="N2961" t="s">
        <v>103</v>
      </c>
      <c r="O2961" t="s">
        <v>103</v>
      </c>
      <c r="P2961" t="s">
        <v>103</v>
      </c>
    </row>
    <row r="2962" spans="1:16" x14ac:dyDescent="0.3">
      <c r="A2962" t="s">
        <v>26</v>
      </c>
      <c r="B2962" t="s">
        <v>767</v>
      </c>
      <c r="C2962">
        <v>141</v>
      </c>
      <c r="D2962" t="s">
        <v>56</v>
      </c>
      <c r="E2962" t="s">
        <v>239</v>
      </c>
      <c r="F2962" t="s">
        <v>188</v>
      </c>
      <c r="G2962" t="s">
        <v>140</v>
      </c>
      <c r="H2962" t="s">
        <v>103</v>
      </c>
      <c r="I2962" t="s">
        <v>103</v>
      </c>
      <c r="J2962" t="s">
        <v>494</v>
      </c>
      <c r="K2962" t="s">
        <v>810</v>
      </c>
      <c r="L2962" t="s">
        <v>556</v>
      </c>
      <c r="M2962" t="s">
        <v>120</v>
      </c>
      <c r="N2962" t="s">
        <v>103</v>
      </c>
      <c r="O2962" t="s">
        <v>103</v>
      </c>
      <c r="P2962" t="s">
        <v>103</v>
      </c>
    </row>
    <row r="2963" spans="1:16" s="3" customFormat="1" x14ac:dyDescent="0.3">
      <c r="A2963" s="3" t="s">
        <v>29</v>
      </c>
      <c r="B2963" s="3" t="s">
        <v>764</v>
      </c>
      <c r="C2963" s="3">
        <v>11</v>
      </c>
      <c r="D2963" s="3" t="s">
        <v>1259</v>
      </c>
      <c r="E2963" s="3" t="s">
        <v>103</v>
      </c>
      <c r="F2963" s="3" t="s">
        <v>186</v>
      </c>
      <c r="G2963" s="3" t="s">
        <v>103</v>
      </c>
      <c r="H2963" s="3" t="s">
        <v>103</v>
      </c>
      <c r="I2963" s="3" t="s">
        <v>103</v>
      </c>
      <c r="J2963" s="3" t="s">
        <v>103</v>
      </c>
      <c r="K2963" s="3" t="s">
        <v>115</v>
      </c>
      <c r="L2963" s="3" t="s">
        <v>249</v>
      </c>
      <c r="M2963" s="3" t="s">
        <v>103</v>
      </c>
      <c r="N2963" s="3" t="s">
        <v>103</v>
      </c>
      <c r="O2963" s="3" t="s">
        <v>103</v>
      </c>
      <c r="P2963" s="3" t="s">
        <v>103</v>
      </c>
    </row>
    <row r="2964" spans="1:16" x14ac:dyDescent="0.3">
      <c r="A2964" t="s">
        <v>29</v>
      </c>
      <c r="B2964" t="s">
        <v>765</v>
      </c>
      <c r="C2964">
        <v>365</v>
      </c>
      <c r="D2964" t="s">
        <v>1325</v>
      </c>
      <c r="E2964" t="s">
        <v>105</v>
      </c>
      <c r="F2964" t="s">
        <v>136</v>
      </c>
      <c r="G2964" t="s">
        <v>133</v>
      </c>
      <c r="H2964" t="s">
        <v>95</v>
      </c>
      <c r="I2964" t="s">
        <v>116</v>
      </c>
      <c r="J2964" t="s">
        <v>116</v>
      </c>
      <c r="K2964" t="s">
        <v>224</v>
      </c>
      <c r="L2964" t="s">
        <v>96</v>
      </c>
      <c r="M2964" t="s">
        <v>103</v>
      </c>
      <c r="N2964" t="s">
        <v>103</v>
      </c>
      <c r="O2964" t="s">
        <v>103</v>
      </c>
      <c r="P2964" t="s">
        <v>103</v>
      </c>
    </row>
    <row r="2965" spans="1:16" x14ac:dyDescent="0.3">
      <c r="A2965" t="s">
        <v>29</v>
      </c>
      <c r="B2965" t="s">
        <v>767</v>
      </c>
      <c r="C2965">
        <v>154</v>
      </c>
      <c r="D2965" t="s">
        <v>857</v>
      </c>
      <c r="E2965" t="s">
        <v>103</v>
      </c>
      <c r="F2965" t="s">
        <v>126</v>
      </c>
      <c r="G2965" t="s">
        <v>32</v>
      </c>
      <c r="H2965" t="s">
        <v>116</v>
      </c>
      <c r="I2965" t="s">
        <v>120</v>
      </c>
      <c r="J2965" t="s">
        <v>120</v>
      </c>
      <c r="K2965" t="s">
        <v>549</v>
      </c>
      <c r="L2965" t="s">
        <v>1032</v>
      </c>
      <c r="M2965" t="s">
        <v>103</v>
      </c>
      <c r="N2965" t="s">
        <v>103</v>
      </c>
      <c r="O2965" t="s">
        <v>103</v>
      </c>
      <c r="P2965" t="s">
        <v>103</v>
      </c>
    </row>
    <row r="2966" spans="1:16" s="3" customFormat="1" x14ac:dyDescent="0.3">
      <c r="A2966" s="3" t="s">
        <v>28</v>
      </c>
      <c r="B2966" s="3" t="s">
        <v>764</v>
      </c>
      <c r="C2966" s="3">
        <v>20</v>
      </c>
      <c r="D2966" s="3" t="s">
        <v>755</v>
      </c>
      <c r="E2966" s="3" t="s">
        <v>103</v>
      </c>
      <c r="F2966" s="3" t="s">
        <v>103</v>
      </c>
      <c r="G2966" s="3" t="s">
        <v>282</v>
      </c>
      <c r="H2966" s="3" t="s">
        <v>103</v>
      </c>
      <c r="I2966" s="3" t="s">
        <v>118</v>
      </c>
      <c r="J2966" s="3" t="s">
        <v>103</v>
      </c>
      <c r="K2966" s="3" t="s">
        <v>729</v>
      </c>
      <c r="L2966" s="3" t="s">
        <v>461</v>
      </c>
      <c r="M2966" s="3" t="s">
        <v>103</v>
      </c>
      <c r="N2966" s="3" t="s">
        <v>103</v>
      </c>
      <c r="O2966" s="3" t="s">
        <v>103</v>
      </c>
      <c r="P2966" s="3" t="s">
        <v>103</v>
      </c>
    </row>
    <row r="2967" spans="1:16" x14ac:dyDescent="0.3">
      <c r="A2967" t="s">
        <v>28</v>
      </c>
      <c r="B2967" t="s">
        <v>765</v>
      </c>
      <c r="C2967">
        <v>260</v>
      </c>
      <c r="D2967" t="s">
        <v>538</v>
      </c>
      <c r="E2967" t="s">
        <v>105</v>
      </c>
      <c r="F2967" t="s">
        <v>271</v>
      </c>
      <c r="G2967" t="s">
        <v>281</v>
      </c>
      <c r="H2967" t="s">
        <v>103</v>
      </c>
      <c r="I2967" t="s">
        <v>482</v>
      </c>
      <c r="J2967" t="s">
        <v>95</v>
      </c>
      <c r="K2967" t="s">
        <v>890</v>
      </c>
      <c r="L2967" t="s">
        <v>415</v>
      </c>
      <c r="M2967" t="s">
        <v>103</v>
      </c>
      <c r="N2967" t="s">
        <v>103</v>
      </c>
      <c r="O2967" t="s">
        <v>103</v>
      </c>
      <c r="P2967" t="s">
        <v>103</v>
      </c>
    </row>
    <row r="2968" spans="1:16" x14ac:dyDescent="0.3">
      <c r="A2968" t="s">
        <v>28</v>
      </c>
      <c r="B2968" t="s">
        <v>767</v>
      </c>
      <c r="C2968">
        <v>37</v>
      </c>
      <c r="D2968" t="s">
        <v>793</v>
      </c>
      <c r="E2968" t="s">
        <v>94</v>
      </c>
      <c r="F2968" t="s">
        <v>50</v>
      </c>
      <c r="G2968" t="s">
        <v>652</v>
      </c>
      <c r="H2968" t="s">
        <v>103</v>
      </c>
      <c r="I2968" t="s">
        <v>126</v>
      </c>
      <c r="J2968" t="s">
        <v>103</v>
      </c>
      <c r="K2968" t="s">
        <v>547</v>
      </c>
      <c r="L2968" t="s">
        <v>825</v>
      </c>
      <c r="M2968" t="s">
        <v>103</v>
      </c>
      <c r="N2968" t="s">
        <v>103</v>
      </c>
      <c r="O2968" t="s">
        <v>103</v>
      </c>
      <c r="P2968" t="s">
        <v>103</v>
      </c>
    </row>
    <row r="2969" spans="1:16" s="3" customFormat="1" x14ac:dyDescent="0.3">
      <c r="A2969" s="3" t="s">
        <v>27</v>
      </c>
      <c r="B2969" s="3" t="s">
        <v>764</v>
      </c>
      <c r="C2969" s="3">
        <v>29</v>
      </c>
      <c r="D2969" s="3" t="s">
        <v>986</v>
      </c>
      <c r="E2969" s="3" t="s">
        <v>99</v>
      </c>
      <c r="F2969" s="3" t="s">
        <v>64</v>
      </c>
      <c r="G2969" s="3" t="s">
        <v>629</v>
      </c>
      <c r="H2969" s="3" t="s">
        <v>195</v>
      </c>
      <c r="I2969" s="3" t="s">
        <v>103</v>
      </c>
      <c r="J2969" s="3" t="s">
        <v>103</v>
      </c>
      <c r="K2969" s="3" t="s">
        <v>191</v>
      </c>
      <c r="L2969" s="3" t="s">
        <v>484</v>
      </c>
      <c r="M2969" s="3" t="s">
        <v>103</v>
      </c>
      <c r="N2969" s="3" t="s">
        <v>103</v>
      </c>
      <c r="O2969" s="3" t="s">
        <v>103</v>
      </c>
      <c r="P2969" s="3" t="s">
        <v>103</v>
      </c>
    </row>
    <row r="2970" spans="1:16" x14ac:dyDescent="0.3">
      <c r="A2970" t="s">
        <v>27</v>
      </c>
      <c r="B2970" t="s">
        <v>765</v>
      </c>
      <c r="C2970">
        <v>209</v>
      </c>
      <c r="D2970" t="s">
        <v>899</v>
      </c>
      <c r="E2970" t="s">
        <v>92</v>
      </c>
      <c r="F2970" t="s">
        <v>281</v>
      </c>
      <c r="G2970" t="s">
        <v>607</v>
      </c>
      <c r="H2970" t="s">
        <v>93</v>
      </c>
      <c r="I2970" t="s">
        <v>467</v>
      </c>
      <c r="J2970" t="s">
        <v>103</v>
      </c>
      <c r="K2970" t="s">
        <v>117</v>
      </c>
      <c r="L2970" t="s">
        <v>514</v>
      </c>
      <c r="M2970" t="s">
        <v>103</v>
      </c>
      <c r="N2970" t="s">
        <v>103</v>
      </c>
      <c r="O2970" t="s">
        <v>103</v>
      </c>
      <c r="P2970" t="s">
        <v>122</v>
      </c>
    </row>
    <row r="2971" spans="1:16" x14ac:dyDescent="0.3">
      <c r="A2971" t="s">
        <v>27</v>
      </c>
      <c r="B2971" t="s">
        <v>767</v>
      </c>
      <c r="C2971">
        <v>62</v>
      </c>
      <c r="D2971" t="s">
        <v>1423</v>
      </c>
      <c r="E2971" t="s">
        <v>494</v>
      </c>
      <c r="F2971" t="s">
        <v>32</v>
      </c>
      <c r="G2971" t="s">
        <v>70</v>
      </c>
      <c r="H2971" t="s">
        <v>64</v>
      </c>
      <c r="I2971" t="s">
        <v>113</v>
      </c>
      <c r="J2971" t="s">
        <v>110</v>
      </c>
      <c r="K2971" t="s">
        <v>155</v>
      </c>
      <c r="L2971" t="s">
        <v>380</v>
      </c>
      <c r="M2971" t="s">
        <v>103</v>
      </c>
      <c r="N2971" t="s">
        <v>103</v>
      </c>
      <c r="O2971" t="s">
        <v>103</v>
      </c>
      <c r="P2971" t="s">
        <v>103</v>
      </c>
    </row>
    <row r="2972" spans="1:16" x14ac:dyDescent="0.3">
      <c r="A2972" t="s">
        <v>41</v>
      </c>
      <c r="B2972" t="s">
        <v>764</v>
      </c>
      <c r="C2972">
        <v>149</v>
      </c>
      <c r="D2972" t="s">
        <v>673</v>
      </c>
      <c r="E2972" t="s">
        <v>139</v>
      </c>
      <c r="F2972" t="s">
        <v>64</v>
      </c>
      <c r="G2972" t="s">
        <v>125</v>
      </c>
      <c r="H2972" t="s">
        <v>66</v>
      </c>
      <c r="I2972" t="s">
        <v>91</v>
      </c>
      <c r="J2972" t="s">
        <v>103</v>
      </c>
      <c r="K2972" t="s">
        <v>1197</v>
      </c>
      <c r="L2972" t="s">
        <v>1200</v>
      </c>
      <c r="M2972" t="s">
        <v>103</v>
      </c>
      <c r="N2972" t="s">
        <v>103</v>
      </c>
      <c r="O2972" t="s">
        <v>103</v>
      </c>
      <c r="P2972" t="s">
        <v>103</v>
      </c>
    </row>
    <row r="2973" spans="1:16" x14ac:dyDescent="0.3">
      <c r="A2973" t="s">
        <v>41</v>
      </c>
      <c r="B2973" t="s">
        <v>765</v>
      </c>
      <c r="C2973">
        <v>1392</v>
      </c>
      <c r="D2973" t="s">
        <v>1048</v>
      </c>
      <c r="E2973" t="s">
        <v>217</v>
      </c>
      <c r="F2973" t="s">
        <v>571</v>
      </c>
      <c r="G2973" t="s">
        <v>284</v>
      </c>
      <c r="H2973" t="s">
        <v>122</v>
      </c>
      <c r="I2973" t="s">
        <v>194</v>
      </c>
      <c r="J2973" t="s">
        <v>245</v>
      </c>
      <c r="K2973" t="s">
        <v>727</v>
      </c>
      <c r="L2973" t="s">
        <v>420</v>
      </c>
      <c r="M2973" t="s">
        <v>103</v>
      </c>
      <c r="N2973" t="s">
        <v>103</v>
      </c>
      <c r="O2973" t="s">
        <v>103</v>
      </c>
      <c r="P2973" t="s">
        <v>103</v>
      </c>
    </row>
    <row r="2974" spans="1:16" x14ac:dyDescent="0.3">
      <c r="A2974" t="s">
        <v>41</v>
      </c>
      <c r="B2974" t="s">
        <v>767</v>
      </c>
      <c r="C2974">
        <v>497</v>
      </c>
      <c r="D2974" t="s">
        <v>1404</v>
      </c>
      <c r="E2974" t="s">
        <v>139</v>
      </c>
      <c r="F2974" t="s">
        <v>127</v>
      </c>
      <c r="G2974" t="s">
        <v>281</v>
      </c>
      <c r="H2974" t="s">
        <v>116</v>
      </c>
      <c r="I2974" t="s">
        <v>98</v>
      </c>
      <c r="J2974" t="s">
        <v>270</v>
      </c>
      <c r="K2974" t="s">
        <v>651</v>
      </c>
      <c r="L2974" t="s">
        <v>797</v>
      </c>
      <c r="M2974" t="s">
        <v>66</v>
      </c>
      <c r="N2974" t="s">
        <v>103</v>
      </c>
      <c r="O2974" t="s">
        <v>103</v>
      </c>
      <c r="P2974" t="s">
        <v>103</v>
      </c>
    </row>
    <row r="2976" spans="1:16" x14ac:dyDescent="0.3">
      <c r="A2976" t="s">
        <v>1424</v>
      </c>
    </row>
    <row r="2977" spans="1:16" x14ac:dyDescent="0.3">
      <c r="A2977" t="s">
        <v>36</v>
      </c>
      <c r="B2977" t="s">
        <v>310</v>
      </c>
      <c r="C2977" t="s">
        <v>24</v>
      </c>
      <c r="D2977" t="s">
        <v>1406</v>
      </c>
      <c r="E2977" t="s">
        <v>1407</v>
      </c>
      <c r="F2977" t="s">
        <v>1408</v>
      </c>
      <c r="G2977" t="s">
        <v>1409</v>
      </c>
      <c r="H2977" t="s">
        <v>1410</v>
      </c>
      <c r="I2977" t="s">
        <v>1411</v>
      </c>
      <c r="J2977" t="s">
        <v>1412</v>
      </c>
      <c r="K2977" t="s">
        <v>1413</v>
      </c>
      <c r="L2977" t="s">
        <v>1414</v>
      </c>
      <c r="M2977" t="s">
        <v>1415</v>
      </c>
      <c r="N2977" t="s">
        <v>1416</v>
      </c>
      <c r="O2977" t="s">
        <v>183</v>
      </c>
      <c r="P2977" t="s">
        <v>1271</v>
      </c>
    </row>
    <row r="2978" spans="1:16" x14ac:dyDescent="0.3">
      <c r="A2978" t="s">
        <v>25</v>
      </c>
      <c r="B2978" t="s">
        <v>311</v>
      </c>
      <c r="C2978">
        <v>324</v>
      </c>
      <c r="D2978" t="s">
        <v>801</v>
      </c>
      <c r="E2978" t="s">
        <v>128</v>
      </c>
      <c r="F2978" t="s">
        <v>90</v>
      </c>
      <c r="G2978" t="s">
        <v>266</v>
      </c>
      <c r="H2978" t="s">
        <v>103</v>
      </c>
      <c r="I2978" t="s">
        <v>239</v>
      </c>
      <c r="J2978" t="s">
        <v>216</v>
      </c>
      <c r="K2978" t="s">
        <v>582</v>
      </c>
      <c r="L2978" t="s">
        <v>529</v>
      </c>
      <c r="M2978" t="s">
        <v>103</v>
      </c>
      <c r="N2978" t="s">
        <v>103</v>
      </c>
      <c r="O2978" t="s">
        <v>103</v>
      </c>
      <c r="P2978" t="s">
        <v>103</v>
      </c>
    </row>
    <row r="2979" spans="1:16" x14ac:dyDescent="0.3">
      <c r="A2979" t="s">
        <v>25</v>
      </c>
      <c r="B2979" t="s">
        <v>312</v>
      </c>
      <c r="C2979">
        <v>80</v>
      </c>
      <c r="D2979" t="s">
        <v>356</v>
      </c>
      <c r="E2979" t="s">
        <v>103</v>
      </c>
      <c r="F2979" t="s">
        <v>157</v>
      </c>
      <c r="G2979" t="s">
        <v>217</v>
      </c>
      <c r="H2979" t="s">
        <v>103</v>
      </c>
      <c r="I2979" t="s">
        <v>97</v>
      </c>
      <c r="J2979" t="s">
        <v>549</v>
      </c>
      <c r="K2979" t="s">
        <v>228</v>
      </c>
      <c r="L2979" t="s">
        <v>435</v>
      </c>
      <c r="M2979" t="s">
        <v>103</v>
      </c>
      <c r="N2979" t="s">
        <v>103</v>
      </c>
      <c r="O2979" t="s">
        <v>103</v>
      </c>
      <c r="P2979" t="s">
        <v>103</v>
      </c>
    </row>
    <row r="2980" spans="1:16" x14ac:dyDescent="0.3">
      <c r="A2980" t="s">
        <v>25</v>
      </c>
      <c r="B2980" t="s">
        <v>308</v>
      </c>
      <c r="C2980">
        <v>10</v>
      </c>
      <c r="D2980" t="s">
        <v>840</v>
      </c>
      <c r="E2980" t="s">
        <v>103</v>
      </c>
      <c r="F2980" t="s">
        <v>409</v>
      </c>
      <c r="G2980" t="s">
        <v>103</v>
      </c>
      <c r="H2980" t="s">
        <v>103</v>
      </c>
      <c r="I2980" t="s">
        <v>103</v>
      </c>
      <c r="J2980" t="s">
        <v>101</v>
      </c>
      <c r="K2980" t="s">
        <v>438</v>
      </c>
      <c r="L2980" t="s">
        <v>551</v>
      </c>
      <c r="M2980" t="s">
        <v>103</v>
      </c>
      <c r="N2980" t="s">
        <v>103</v>
      </c>
      <c r="O2980" t="s">
        <v>103</v>
      </c>
      <c r="P2980" t="s">
        <v>103</v>
      </c>
    </row>
    <row r="2981" spans="1:16" x14ac:dyDescent="0.3">
      <c r="A2981" t="s">
        <v>26</v>
      </c>
      <c r="B2981" t="s">
        <v>311</v>
      </c>
      <c r="C2981">
        <v>343</v>
      </c>
      <c r="D2981" t="s">
        <v>259</v>
      </c>
      <c r="E2981" t="s">
        <v>329</v>
      </c>
      <c r="F2981" t="s">
        <v>68</v>
      </c>
      <c r="G2981" t="s">
        <v>140</v>
      </c>
      <c r="H2981" t="s">
        <v>103</v>
      </c>
      <c r="I2981" t="s">
        <v>97</v>
      </c>
      <c r="J2981" t="s">
        <v>284</v>
      </c>
      <c r="K2981" t="s">
        <v>1425</v>
      </c>
      <c r="L2981" t="s">
        <v>1229</v>
      </c>
      <c r="M2981" t="s">
        <v>66</v>
      </c>
      <c r="N2981" t="s">
        <v>103</v>
      </c>
      <c r="O2981" t="s">
        <v>103</v>
      </c>
      <c r="P2981" t="s">
        <v>103</v>
      </c>
    </row>
    <row r="2982" spans="1:16" x14ac:dyDescent="0.3">
      <c r="A2982" t="s">
        <v>26</v>
      </c>
      <c r="B2982" t="s">
        <v>312</v>
      </c>
      <c r="C2982">
        <v>96</v>
      </c>
      <c r="D2982" t="s">
        <v>707</v>
      </c>
      <c r="E2982" t="s">
        <v>122</v>
      </c>
      <c r="F2982" t="s">
        <v>208</v>
      </c>
      <c r="G2982" t="s">
        <v>558</v>
      </c>
      <c r="H2982" t="s">
        <v>103</v>
      </c>
      <c r="I2982" t="s">
        <v>103</v>
      </c>
      <c r="J2982" t="s">
        <v>195</v>
      </c>
      <c r="K2982" t="s">
        <v>425</v>
      </c>
      <c r="L2982" t="s">
        <v>1204</v>
      </c>
      <c r="M2982" t="s">
        <v>103</v>
      </c>
      <c r="N2982" t="s">
        <v>103</v>
      </c>
      <c r="O2982" t="s">
        <v>103</v>
      </c>
      <c r="P2982" t="s">
        <v>103</v>
      </c>
    </row>
    <row r="2983" spans="1:16" x14ac:dyDescent="0.3">
      <c r="A2983" t="s">
        <v>26</v>
      </c>
      <c r="B2983" t="s">
        <v>308</v>
      </c>
      <c r="C2983">
        <v>38</v>
      </c>
      <c r="D2983" t="s">
        <v>228</v>
      </c>
      <c r="E2983" t="s">
        <v>103</v>
      </c>
      <c r="F2983" t="s">
        <v>103</v>
      </c>
      <c r="G2983" t="s">
        <v>195</v>
      </c>
      <c r="H2983" t="s">
        <v>103</v>
      </c>
      <c r="I2983" t="s">
        <v>103</v>
      </c>
      <c r="J2983" t="s">
        <v>217</v>
      </c>
      <c r="K2983" t="s">
        <v>1153</v>
      </c>
      <c r="L2983" t="s">
        <v>331</v>
      </c>
      <c r="M2983" t="s">
        <v>103</v>
      </c>
      <c r="N2983" t="s">
        <v>103</v>
      </c>
      <c r="O2983" t="s">
        <v>103</v>
      </c>
      <c r="P2983" t="s">
        <v>103</v>
      </c>
    </row>
    <row r="2984" spans="1:16" x14ac:dyDescent="0.3">
      <c r="A2984" t="s">
        <v>29</v>
      </c>
      <c r="B2984" t="s">
        <v>311</v>
      </c>
      <c r="C2984">
        <v>414</v>
      </c>
      <c r="D2984" t="s">
        <v>834</v>
      </c>
      <c r="E2984" t="s">
        <v>139</v>
      </c>
      <c r="F2984" t="s">
        <v>601</v>
      </c>
      <c r="G2984" t="s">
        <v>284</v>
      </c>
      <c r="H2984" t="s">
        <v>95</v>
      </c>
      <c r="I2984" t="s">
        <v>116</v>
      </c>
      <c r="J2984" t="s">
        <v>116</v>
      </c>
      <c r="K2984" t="s">
        <v>571</v>
      </c>
      <c r="L2984" t="s">
        <v>932</v>
      </c>
      <c r="M2984" t="s">
        <v>103</v>
      </c>
      <c r="N2984" t="s">
        <v>103</v>
      </c>
      <c r="O2984" t="s">
        <v>103</v>
      </c>
      <c r="P2984" t="s">
        <v>103</v>
      </c>
    </row>
    <row r="2985" spans="1:16" x14ac:dyDescent="0.3">
      <c r="A2985" t="s">
        <v>29</v>
      </c>
      <c r="B2985" t="s">
        <v>312</v>
      </c>
      <c r="C2985">
        <v>103</v>
      </c>
      <c r="D2985" t="s">
        <v>439</v>
      </c>
      <c r="E2985" t="s">
        <v>467</v>
      </c>
      <c r="F2985" t="s">
        <v>481</v>
      </c>
      <c r="G2985" t="s">
        <v>112</v>
      </c>
      <c r="H2985" t="s">
        <v>103</v>
      </c>
      <c r="I2985" t="s">
        <v>282</v>
      </c>
      <c r="J2985" t="s">
        <v>98</v>
      </c>
      <c r="K2985" t="s">
        <v>571</v>
      </c>
      <c r="L2985" t="s">
        <v>490</v>
      </c>
      <c r="M2985" t="s">
        <v>103</v>
      </c>
      <c r="N2985" t="s">
        <v>103</v>
      </c>
      <c r="O2985" t="s">
        <v>103</v>
      </c>
      <c r="P2985" t="s">
        <v>103</v>
      </c>
    </row>
    <row r="2986" spans="1:16" x14ac:dyDescent="0.3">
      <c r="A2986" t="s">
        <v>29</v>
      </c>
      <c r="B2986" t="s">
        <v>308</v>
      </c>
      <c r="C2986">
        <v>13</v>
      </c>
      <c r="D2986" t="s">
        <v>1397</v>
      </c>
      <c r="E2986" t="s">
        <v>103</v>
      </c>
      <c r="F2986" t="s">
        <v>645</v>
      </c>
      <c r="G2986" t="s">
        <v>251</v>
      </c>
      <c r="H2986" t="s">
        <v>103</v>
      </c>
      <c r="I2986" t="s">
        <v>103</v>
      </c>
      <c r="J2986" t="s">
        <v>103</v>
      </c>
      <c r="K2986" t="s">
        <v>132</v>
      </c>
      <c r="L2986" t="s">
        <v>404</v>
      </c>
      <c r="M2986" t="s">
        <v>103</v>
      </c>
      <c r="N2986" t="s">
        <v>103</v>
      </c>
      <c r="O2986" t="s">
        <v>103</v>
      </c>
      <c r="P2986" t="s">
        <v>103</v>
      </c>
    </row>
    <row r="2987" spans="1:16" x14ac:dyDescent="0.3">
      <c r="A2987" t="s">
        <v>28</v>
      </c>
      <c r="B2987" t="s">
        <v>311</v>
      </c>
      <c r="C2987">
        <v>223</v>
      </c>
      <c r="D2987" t="s">
        <v>1242</v>
      </c>
      <c r="E2987" t="s">
        <v>329</v>
      </c>
      <c r="F2987" t="s">
        <v>144</v>
      </c>
      <c r="G2987" t="s">
        <v>33</v>
      </c>
      <c r="H2987" t="s">
        <v>103</v>
      </c>
      <c r="I2987" t="s">
        <v>90</v>
      </c>
      <c r="J2987" t="s">
        <v>97</v>
      </c>
      <c r="K2987" t="s">
        <v>925</v>
      </c>
      <c r="L2987" t="s">
        <v>1066</v>
      </c>
      <c r="M2987" t="s">
        <v>103</v>
      </c>
      <c r="N2987" t="s">
        <v>103</v>
      </c>
      <c r="O2987" t="s">
        <v>103</v>
      </c>
      <c r="P2987" t="s">
        <v>103</v>
      </c>
    </row>
    <row r="2988" spans="1:16" x14ac:dyDescent="0.3">
      <c r="A2988" t="s">
        <v>28</v>
      </c>
      <c r="B2988" t="s">
        <v>312</v>
      </c>
      <c r="C2988">
        <v>93</v>
      </c>
      <c r="D2988" t="s">
        <v>1006</v>
      </c>
      <c r="E2988" t="s">
        <v>93</v>
      </c>
      <c r="F2988" t="s">
        <v>536</v>
      </c>
      <c r="G2988" t="s">
        <v>251</v>
      </c>
      <c r="H2988" t="s">
        <v>103</v>
      </c>
      <c r="I2988" t="s">
        <v>137</v>
      </c>
      <c r="J2988" t="s">
        <v>95</v>
      </c>
      <c r="K2988" t="s">
        <v>925</v>
      </c>
      <c r="L2988" t="s">
        <v>1426</v>
      </c>
      <c r="M2988" t="s">
        <v>103</v>
      </c>
      <c r="N2988" t="s">
        <v>103</v>
      </c>
      <c r="O2988" t="s">
        <v>103</v>
      </c>
      <c r="P2988" t="s">
        <v>103</v>
      </c>
    </row>
    <row r="2989" spans="1:16" x14ac:dyDescent="0.3">
      <c r="A2989" t="s">
        <v>28</v>
      </c>
      <c r="B2989" t="s">
        <v>308</v>
      </c>
      <c r="C2989">
        <v>1</v>
      </c>
      <c r="D2989" t="s">
        <v>103</v>
      </c>
      <c r="E2989" t="s">
        <v>103</v>
      </c>
      <c r="F2989" t="s">
        <v>103</v>
      </c>
      <c r="G2989" t="s">
        <v>103</v>
      </c>
      <c r="H2989" t="s">
        <v>103</v>
      </c>
      <c r="I2989" t="s">
        <v>103</v>
      </c>
      <c r="J2989" t="s">
        <v>103</v>
      </c>
      <c r="K2989" t="s">
        <v>192</v>
      </c>
      <c r="L2989" t="s">
        <v>103</v>
      </c>
      <c r="M2989" t="s">
        <v>103</v>
      </c>
      <c r="N2989" t="s">
        <v>103</v>
      </c>
      <c r="O2989" t="s">
        <v>103</v>
      </c>
      <c r="P2989" t="s">
        <v>103</v>
      </c>
    </row>
    <row r="2990" spans="1:16" x14ac:dyDescent="0.3">
      <c r="A2990" t="s">
        <v>27</v>
      </c>
      <c r="B2990" t="s">
        <v>311</v>
      </c>
      <c r="C2990">
        <v>237</v>
      </c>
      <c r="D2990" t="s">
        <v>408</v>
      </c>
      <c r="E2990" t="s">
        <v>115</v>
      </c>
      <c r="F2990" t="s">
        <v>214</v>
      </c>
      <c r="G2990" t="s">
        <v>251</v>
      </c>
      <c r="H2990" t="s">
        <v>217</v>
      </c>
      <c r="I2990" t="s">
        <v>93</v>
      </c>
      <c r="J2990" t="s">
        <v>122</v>
      </c>
      <c r="K2990" t="s">
        <v>516</v>
      </c>
      <c r="L2990" t="s">
        <v>250</v>
      </c>
      <c r="M2990" t="s">
        <v>103</v>
      </c>
      <c r="N2990" t="s">
        <v>103</v>
      </c>
      <c r="O2990" t="s">
        <v>103</v>
      </c>
      <c r="P2990" t="s">
        <v>116</v>
      </c>
    </row>
    <row r="2991" spans="1:16" x14ac:dyDescent="0.3">
      <c r="A2991" t="s">
        <v>27</v>
      </c>
      <c r="B2991" t="s">
        <v>312</v>
      </c>
      <c r="C2991">
        <v>60</v>
      </c>
      <c r="D2991" t="s">
        <v>437</v>
      </c>
      <c r="E2991" t="s">
        <v>90</v>
      </c>
      <c r="F2991" t="s">
        <v>662</v>
      </c>
      <c r="G2991" t="s">
        <v>205</v>
      </c>
      <c r="H2991" t="s">
        <v>329</v>
      </c>
      <c r="I2991" t="s">
        <v>571</v>
      </c>
      <c r="J2991" t="s">
        <v>103</v>
      </c>
      <c r="K2991" t="s">
        <v>278</v>
      </c>
      <c r="L2991" t="s">
        <v>594</v>
      </c>
      <c r="M2991" t="s">
        <v>103</v>
      </c>
      <c r="N2991" t="s">
        <v>103</v>
      </c>
      <c r="O2991" t="s">
        <v>103</v>
      </c>
      <c r="P2991" t="s">
        <v>103</v>
      </c>
    </row>
    <row r="2992" spans="1:16" x14ac:dyDescent="0.3">
      <c r="A2992" t="s">
        <v>27</v>
      </c>
      <c r="B2992" t="s">
        <v>308</v>
      </c>
      <c r="C2992">
        <v>3</v>
      </c>
      <c r="D2992" t="s">
        <v>192</v>
      </c>
      <c r="E2992" t="s">
        <v>103</v>
      </c>
      <c r="F2992" t="s">
        <v>103</v>
      </c>
      <c r="G2992" t="s">
        <v>103</v>
      </c>
      <c r="H2992" t="s">
        <v>103</v>
      </c>
      <c r="I2992" t="s">
        <v>103</v>
      </c>
      <c r="J2992" t="s">
        <v>103</v>
      </c>
      <c r="K2992" t="s">
        <v>103</v>
      </c>
      <c r="L2992" t="s">
        <v>103</v>
      </c>
      <c r="M2992" t="s">
        <v>103</v>
      </c>
      <c r="N2992" t="s">
        <v>103</v>
      </c>
      <c r="O2992" t="s">
        <v>103</v>
      </c>
      <c r="P2992" t="s">
        <v>103</v>
      </c>
    </row>
    <row r="2993" spans="1:16" x14ac:dyDescent="0.3">
      <c r="A2993" t="s">
        <v>41</v>
      </c>
      <c r="B2993" t="s">
        <v>311</v>
      </c>
      <c r="C2993">
        <v>1541</v>
      </c>
      <c r="D2993" t="s">
        <v>300</v>
      </c>
      <c r="E2993" t="s">
        <v>329</v>
      </c>
      <c r="F2993" t="s">
        <v>124</v>
      </c>
      <c r="G2993" t="s">
        <v>284</v>
      </c>
      <c r="H2993" t="s">
        <v>97</v>
      </c>
      <c r="I2993" t="s">
        <v>282</v>
      </c>
      <c r="J2993" t="s">
        <v>216</v>
      </c>
      <c r="K2993" t="s">
        <v>927</v>
      </c>
      <c r="L2993" t="s">
        <v>1007</v>
      </c>
      <c r="M2993" t="s">
        <v>91</v>
      </c>
      <c r="N2993" t="s">
        <v>103</v>
      </c>
      <c r="O2993" t="s">
        <v>103</v>
      </c>
      <c r="P2993" t="s">
        <v>103</v>
      </c>
    </row>
    <row r="2994" spans="1:16" x14ac:dyDescent="0.3">
      <c r="A2994" t="s">
        <v>41</v>
      </c>
      <c r="B2994" t="s">
        <v>312</v>
      </c>
      <c r="C2994">
        <v>432</v>
      </c>
      <c r="D2994" t="s">
        <v>1025</v>
      </c>
      <c r="E2994" t="s">
        <v>329</v>
      </c>
      <c r="F2994" t="s">
        <v>482</v>
      </c>
      <c r="G2994" t="s">
        <v>281</v>
      </c>
      <c r="H2994" t="s">
        <v>91</v>
      </c>
      <c r="I2994" t="s">
        <v>239</v>
      </c>
      <c r="J2994" t="s">
        <v>64</v>
      </c>
      <c r="K2994" t="s">
        <v>756</v>
      </c>
      <c r="L2994" t="s">
        <v>357</v>
      </c>
      <c r="M2994" t="s">
        <v>103</v>
      </c>
      <c r="N2994" t="s">
        <v>103</v>
      </c>
      <c r="O2994" t="s">
        <v>103</v>
      </c>
      <c r="P2994" t="s">
        <v>103</v>
      </c>
    </row>
    <row r="2995" spans="1:16" x14ac:dyDescent="0.3">
      <c r="A2995" t="s">
        <v>41</v>
      </c>
      <c r="B2995" t="s">
        <v>308</v>
      </c>
      <c r="C2995">
        <v>65</v>
      </c>
      <c r="D2995" t="s">
        <v>1054</v>
      </c>
      <c r="E2995" t="s">
        <v>103</v>
      </c>
      <c r="F2995" t="s">
        <v>743</v>
      </c>
      <c r="G2995" t="s">
        <v>438</v>
      </c>
      <c r="H2995" t="s">
        <v>103</v>
      </c>
      <c r="I2995" t="s">
        <v>103</v>
      </c>
      <c r="J2995" t="s">
        <v>217</v>
      </c>
      <c r="K2995" t="s">
        <v>401</v>
      </c>
      <c r="L2995" t="s">
        <v>754</v>
      </c>
      <c r="M2995" t="s">
        <v>103</v>
      </c>
      <c r="N2995" t="s">
        <v>103</v>
      </c>
      <c r="O2995" t="s">
        <v>103</v>
      </c>
      <c r="P2995" t="s">
        <v>103</v>
      </c>
    </row>
    <row r="2997" spans="1:16" x14ac:dyDescent="0.3">
      <c r="A2997" t="s">
        <v>1427</v>
      </c>
    </row>
    <row r="2998" spans="1:16" x14ac:dyDescent="0.3">
      <c r="A2998" t="s">
        <v>36</v>
      </c>
      <c r="B2998" t="s">
        <v>24</v>
      </c>
      <c r="C2998" t="s">
        <v>37</v>
      </c>
      <c r="D2998" t="s">
        <v>38</v>
      </c>
      <c r="E2998" t="s">
        <v>39</v>
      </c>
      <c r="F2998" t="s">
        <v>40</v>
      </c>
    </row>
    <row r="2999" spans="1:16" x14ac:dyDescent="0.3">
      <c r="A2999" t="s">
        <v>25</v>
      </c>
      <c r="B2999">
        <v>91</v>
      </c>
      <c r="C2999">
        <v>17.440000000000001</v>
      </c>
      <c r="D2999">
        <v>10</v>
      </c>
      <c r="E2999">
        <v>2</v>
      </c>
      <c r="F2999">
        <v>60</v>
      </c>
    </row>
    <row r="3000" spans="1:16" x14ac:dyDescent="0.3">
      <c r="A3000" t="s">
        <v>26</v>
      </c>
      <c r="B3000">
        <v>271</v>
      </c>
      <c r="C3000">
        <v>14.83</v>
      </c>
      <c r="D3000">
        <v>10</v>
      </c>
      <c r="E3000">
        <v>2</v>
      </c>
      <c r="F3000">
        <v>120</v>
      </c>
    </row>
    <row r="3001" spans="1:16" x14ac:dyDescent="0.3">
      <c r="A3001" t="s">
        <v>29</v>
      </c>
      <c r="B3001">
        <v>59</v>
      </c>
      <c r="C3001">
        <v>16.36</v>
      </c>
      <c r="D3001">
        <v>5</v>
      </c>
      <c r="E3001">
        <v>2</v>
      </c>
      <c r="F3001">
        <v>60</v>
      </c>
    </row>
    <row r="3002" spans="1:16" x14ac:dyDescent="0.3">
      <c r="A3002" t="s">
        <v>28</v>
      </c>
      <c r="B3002">
        <v>38</v>
      </c>
      <c r="C3002">
        <v>15.44</v>
      </c>
      <c r="D3002">
        <v>5</v>
      </c>
      <c r="E3002">
        <v>2</v>
      </c>
      <c r="F3002">
        <v>90</v>
      </c>
    </row>
    <row r="3003" spans="1:16" s="3" customFormat="1" x14ac:dyDescent="0.3">
      <c r="A3003" s="3" t="s">
        <v>27</v>
      </c>
      <c r="B3003" s="3">
        <v>29</v>
      </c>
      <c r="C3003" s="3">
        <v>17.28</v>
      </c>
      <c r="D3003" s="3">
        <v>15</v>
      </c>
      <c r="E3003" s="3">
        <v>5</v>
      </c>
      <c r="F3003" s="3">
        <v>60</v>
      </c>
    </row>
    <row r="3004" spans="1:16" x14ac:dyDescent="0.3">
      <c r="A3004" t="s">
        <v>41</v>
      </c>
      <c r="B3004">
        <v>488</v>
      </c>
      <c r="C3004">
        <v>15.7</v>
      </c>
      <c r="D3004">
        <v>10</v>
      </c>
      <c r="E3004">
        <v>2</v>
      </c>
      <c r="F3004">
        <v>120</v>
      </c>
    </row>
    <row r="3006" spans="1:16" x14ac:dyDescent="0.3">
      <c r="A3006" t="s">
        <v>1428</v>
      </c>
    </row>
    <row r="3007" spans="1:16" x14ac:dyDescent="0.3">
      <c r="A3007" t="s">
        <v>36</v>
      </c>
      <c r="B3007" t="s">
        <v>197</v>
      </c>
      <c r="C3007" t="s">
        <v>24</v>
      </c>
      <c r="D3007" t="s">
        <v>37</v>
      </c>
      <c r="E3007" t="s">
        <v>38</v>
      </c>
      <c r="F3007" t="s">
        <v>39</v>
      </c>
      <c r="G3007" t="s">
        <v>40</v>
      </c>
    </row>
    <row r="3008" spans="1:16" s="3" customFormat="1" x14ac:dyDescent="0.3">
      <c r="A3008" s="3" t="s">
        <v>25</v>
      </c>
      <c r="B3008" s="3" t="s">
        <v>198</v>
      </c>
      <c r="C3008" s="3">
        <v>13</v>
      </c>
      <c r="D3008" s="3">
        <v>23.5</v>
      </c>
      <c r="E3008" s="3">
        <v>5</v>
      </c>
      <c r="F3008" s="3">
        <v>2</v>
      </c>
      <c r="G3008" s="3">
        <v>60</v>
      </c>
    </row>
    <row r="3009" spans="1:7" x14ac:dyDescent="0.3">
      <c r="A3009" t="s">
        <v>25</v>
      </c>
      <c r="B3009" t="s">
        <v>199</v>
      </c>
      <c r="C3009">
        <v>78</v>
      </c>
      <c r="D3009">
        <v>16.66</v>
      </c>
      <c r="E3009">
        <v>10</v>
      </c>
      <c r="F3009">
        <v>2</v>
      </c>
      <c r="G3009">
        <v>60</v>
      </c>
    </row>
    <row r="3010" spans="1:7" s="3" customFormat="1" x14ac:dyDescent="0.3">
      <c r="A3010" s="3" t="s">
        <v>26</v>
      </c>
      <c r="B3010" s="3" t="s">
        <v>198</v>
      </c>
      <c r="C3010" s="3">
        <v>16</v>
      </c>
      <c r="D3010" s="3">
        <v>22.88</v>
      </c>
      <c r="E3010" s="3">
        <v>20</v>
      </c>
      <c r="F3010" s="3">
        <v>5</v>
      </c>
      <c r="G3010" s="3">
        <v>60</v>
      </c>
    </row>
    <row r="3011" spans="1:7" x14ac:dyDescent="0.3">
      <c r="A3011" t="s">
        <v>26</v>
      </c>
      <c r="B3011" t="s">
        <v>199</v>
      </c>
      <c r="C3011">
        <v>255</v>
      </c>
      <c r="D3011">
        <v>14.51</v>
      </c>
      <c r="E3011">
        <v>10</v>
      </c>
      <c r="F3011">
        <v>2</v>
      </c>
      <c r="G3011">
        <v>120</v>
      </c>
    </row>
    <row r="3012" spans="1:7" s="3" customFormat="1" x14ac:dyDescent="0.3">
      <c r="A3012" s="3" t="s">
        <v>29</v>
      </c>
      <c r="B3012" s="3" t="s">
        <v>198</v>
      </c>
      <c r="C3012" s="3">
        <v>18</v>
      </c>
      <c r="D3012" s="3">
        <v>34.799999999999997</v>
      </c>
      <c r="E3012" s="3">
        <v>60</v>
      </c>
      <c r="F3012" s="3">
        <v>2</v>
      </c>
      <c r="G3012" s="3">
        <v>60</v>
      </c>
    </row>
    <row r="3013" spans="1:7" x14ac:dyDescent="0.3">
      <c r="A3013" t="s">
        <v>29</v>
      </c>
      <c r="B3013" t="s">
        <v>199</v>
      </c>
      <c r="C3013">
        <v>41</v>
      </c>
      <c r="D3013">
        <v>8.66</v>
      </c>
      <c r="E3013">
        <v>5</v>
      </c>
      <c r="F3013">
        <v>2</v>
      </c>
      <c r="G3013">
        <v>60</v>
      </c>
    </row>
    <row r="3014" spans="1:7" s="3" customFormat="1" x14ac:dyDescent="0.3">
      <c r="A3014" s="3" t="s">
        <v>28</v>
      </c>
      <c r="B3014" s="3" t="s">
        <v>198</v>
      </c>
      <c r="C3014" s="3">
        <v>5</v>
      </c>
      <c r="D3014" s="3">
        <v>6.85</v>
      </c>
      <c r="E3014" s="3">
        <v>5</v>
      </c>
      <c r="F3014" s="3">
        <v>5</v>
      </c>
      <c r="G3014" s="3">
        <v>10</v>
      </c>
    </row>
    <row r="3015" spans="1:7" x14ac:dyDescent="0.3">
      <c r="A3015" t="s">
        <v>28</v>
      </c>
      <c r="B3015" t="s">
        <v>199</v>
      </c>
      <c r="C3015">
        <v>33</v>
      </c>
      <c r="D3015">
        <v>17.059999999999999</v>
      </c>
      <c r="E3015">
        <v>5</v>
      </c>
      <c r="F3015">
        <v>2</v>
      </c>
      <c r="G3015">
        <v>90</v>
      </c>
    </row>
    <row r="3016" spans="1:7" s="3" customFormat="1" x14ac:dyDescent="0.3">
      <c r="A3016" s="3" t="s">
        <v>27</v>
      </c>
      <c r="B3016" s="3" t="s">
        <v>198</v>
      </c>
      <c r="C3016" s="3">
        <v>10</v>
      </c>
      <c r="D3016" s="3">
        <v>10.43</v>
      </c>
      <c r="E3016" s="3">
        <v>10</v>
      </c>
      <c r="F3016" s="3">
        <v>5</v>
      </c>
      <c r="G3016" s="3">
        <v>20</v>
      </c>
    </row>
    <row r="3017" spans="1:7" s="3" customFormat="1" x14ac:dyDescent="0.3">
      <c r="A3017" s="3" t="s">
        <v>27</v>
      </c>
      <c r="B3017" s="3" t="s">
        <v>199</v>
      </c>
      <c r="C3017" s="3">
        <v>19</v>
      </c>
      <c r="D3017" s="3">
        <v>20.89</v>
      </c>
      <c r="E3017" s="3">
        <v>20</v>
      </c>
      <c r="F3017" s="3">
        <v>5</v>
      </c>
      <c r="G3017" s="3">
        <v>60</v>
      </c>
    </row>
    <row r="3018" spans="1:7" x14ac:dyDescent="0.3">
      <c r="A3018" t="s">
        <v>41</v>
      </c>
      <c r="B3018" t="s">
        <v>198</v>
      </c>
      <c r="C3018">
        <v>62</v>
      </c>
      <c r="D3018">
        <v>28.82</v>
      </c>
      <c r="E3018">
        <v>15</v>
      </c>
      <c r="F3018">
        <v>2</v>
      </c>
      <c r="G3018">
        <v>60</v>
      </c>
    </row>
    <row r="3019" spans="1:7" x14ac:dyDescent="0.3">
      <c r="A3019" t="s">
        <v>41</v>
      </c>
      <c r="B3019" t="s">
        <v>199</v>
      </c>
      <c r="C3019">
        <v>426</v>
      </c>
      <c r="D3019">
        <v>13.93</v>
      </c>
      <c r="E3019">
        <v>10</v>
      </c>
      <c r="F3019">
        <v>2</v>
      </c>
      <c r="G3019">
        <v>120</v>
      </c>
    </row>
    <row r="3021" spans="1:7" x14ac:dyDescent="0.3">
      <c r="A3021" t="s">
        <v>1429</v>
      </c>
    </row>
    <row r="3022" spans="1:7" x14ac:dyDescent="0.3">
      <c r="A3022" t="s">
        <v>36</v>
      </c>
      <c r="B3022" t="s">
        <v>307</v>
      </c>
      <c r="C3022" t="s">
        <v>24</v>
      </c>
      <c r="D3022" t="s">
        <v>37</v>
      </c>
      <c r="E3022" t="s">
        <v>38</v>
      </c>
      <c r="F3022" t="s">
        <v>39</v>
      </c>
      <c r="G3022" t="s">
        <v>40</v>
      </c>
    </row>
    <row r="3023" spans="1:7" x14ac:dyDescent="0.3">
      <c r="A3023" t="s">
        <v>25</v>
      </c>
      <c r="B3023" t="s">
        <v>291</v>
      </c>
      <c r="C3023">
        <v>35</v>
      </c>
      <c r="D3023">
        <v>22.32</v>
      </c>
      <c r="E3023">
        <v>15</v>
      </c>
      <c r="F3023">
        <v>2</v>
      </c>
      <c r="G3023">
        <v>60</v>
      </c>
    </row>
    <row r="3024" spans="1:7" x14ac:dyDescent="0.3">
      <c r="A3024" t="s">
        <v>25</v>
      </c>
      <c r="B3024" t="s">
        <v>292</v>
      </c>
      <c r="C3024">
        <v>55</v>
      </c>
      <c r="D3024">
        <v>14.17</v>
      </c>
      <c r="E3024">
        <v>5</v>
      </c>
      <c r="F3024">
        <v>2</v>
      </c>
      <c r="G3024">
        <v>60</v>
      </c>
    </row>
    <row r="3025" spans="1:7" x14ac:dyDescent="0.3">
      <c r="A3025" t="s">
        <v>25</v>
      </c>
      <c r="B3025" t="s">
        <v>308</v>
      </c>
      <c r="C3025">
        <v>1</v>
      </c>
      <c r="D3025">
        <v>60</v>
      </c>
      <c r="E3025">
        <v>60</v>
      </c>
      <c r="F3025">
        <v>60</v>
      </c>
      <c r="G3025">
        <v>60</v>
      </c>
    </row>
    <row r="3026" spans="1:7" x14ac:dyDescent="0.3">
      <c r="A3026" t="s">
        <v>26</v>
      </c>
      <c r="B3026" t="s">
        <v>291</v>
      </c>
      <c r="C3026">
        <v>61</v>
      </c>
      <c r="D3026">
        <v>14.22</v>
      </c>
      <c r="E3026">
        <v>10</v>
      </c>
      <c r="F3026">
        <v>2</v>
      </c>
      <c r="G3026">
        <v>60</v>
      </c>
    </row>
    <row r="3027" spans="1:7" x14ac:dyDescent="0.3">
      <c r="A3027" t="s">
        <v>26</v>
      </c>
      <c r="B3027" t="s">
        <v>292</v>
      </c>
      <c r="C3027">
        <v>210</v>
      </c>
      <c r="D3027">
        <v>15</v>
      </c>
      <c r="E3027">
        <v>10</v>
      </c>
      <c r="F3027">
        <v>2</v>
      </c>
      <c r="G3027">
        <v>120</v>
      </c>
    </row>
    <row r="3028" spans="1:7" s="3" customFormat="1" x14ac:dyDescent="0.3">
      <c r="A3028" s="3" t="s">
        <v>29</v>
      </c>
      <c r="B3028" s="3" t="s">
        <v>291</v>
      </c>
      <c r="C3028" s="3">
        <v>29</v>
      </c>
      <c r="D3028" s="3">
        <v>15.65</v>
      </c>
      <c r="E3028" s="3">
        <v>7</v>
      </c>
      <c r="F3028" s="3">
        <v>2</v>
      </c>
      <c r="G3028" s="3">
        <v>60</v>
      </c>
    </row>
    <row r="3029" spans="1:7" s="3" customFormat="1" x14ac:dyDescent="0.3">
      <c r="A3029" s="3" t="s">
        <v>29</v>
      </c>
      <c r="B3029" s="3" t="s">
        <v>292</v>
      </c>
      <c r="C3029" s="3">
        <v>30</v>
      </c>
      <c r="D3029" s="3">
        <v>17.03</v>
      </c>
      <c r="E3029" s="3">
        <v>5</v>
      </c>
      <c r="F3029" s="3">
        <v>2</v>
      </c>
      <c r="G3029" s="3">
        <v>60</v>
      </c>
    </row>
    <row r="3030" spans="1:7" s="3" customFormat="1" x14ac:dyDescent="0.3">
      <c r="A3030" s="3" t="s">
        <v>28</v>
      </c>
      <c r="B3030" s="3" t="s">
        <v>291</v>
      </c>
      <c r="C3030" s="3">
        <v>10</v>
      </c>
      <c r="D3030" s="3">
        <v>23.24</v>
      </c>
      <c r="E3030" s="3">
        <v>20</v>
      </c>
      <c r="F3030" s="3">
        <v>5</v>
      </c>
      <c r="G3030" s="3">
        <v>60</v>
      </c>
    </row>
    <row r="3031" spans="1:7" s="3" customFormat="1" x14ac:dyDescent="0.3">
      <c r="A3031" s="3" t="s">
        <v>28</v>
      </c>
      <c r="B3031" s="3" t="s">
        <v>292</v>
      </c>
      <c r="C3031" s="3">
        <v>26</v>
      </c>
      <c r="D3031" s="3">
        <v>12.02</v>
      </c>
      <c r="E3031" s="3">
        <v>5</v>
      </c>
      <c r="F3031" s="3">
        <v>2</v>
      </c>
      <c r="G3031" s="3">
        <v>90</v>
      </c>
    </row>
    <row r="3032" spans="1:7" x14ac:dyDescent="0.3">
      <c r="A3032" t="s">
        <v>28</v>
      </c>
      <c r="B3032" t="s">
        <v>308</v>
      </c>
      <c r="C3032">
        <v>2</v>
      </c>
      <c r="D3032">
        <v>10</v>
      </c>
      <c r="E3032">
        <v>10</v>
      </c>
      <c r="F3032">
        <v>10</v>
      </c>
      <c r="G3032">
        <v>10</v>
      </c>
    </row>
    <row r="3033" spans="1:7" s="3" customFormat="1" x14ac:dyDescent="0.3">
      <c r="A3033" s="3" t="s">
        <v>27</v>
      </c>
      <c r="B3033" s="3" t="s">
        <v>291</v>
      </c>
      <c r="C3033" s="3">
        <v>10</v>
      </c>
      <c r="D3033" s="3">
        <v>26.56</v>
      </c>
      <c r="E3033" s="3">
        <v>20</v>
      </c>
      <c r="F3033" s="3">
        <v>10</v>
      </c>
      <c r="G3033" s="3">
        <v>60</v>
      </c>
    </row>
    <row r="3034" spans="1:7" s="3" customFormat="1" x14ac:dyDescent="0.3">
      <c r="A3034" s="3" t="s">
        <v>27</v>
      </c>
      <c r="B3034" s="3" t="s">
        <v>292</v>
      </c>
      <c r="C3034" s="3">
        <v>19</v>
      </c>
      <c r="D3034" s="3">
        <v>12.76</v>
      </c>
      <c r="E3034" s="3">
        <v>10</v>
      </c>
      <c r="F3034" s="3">
        <v>5</v>
      </c>
      <c r="G3034" s="3">
        <v>20</v>
      </c>
    </row>
    <row r="3035" spans="1:7" x14ac:dyDescent="0.3">
      <c r="A3035" t="s">
        <v>41</v>
      </c>
      <c r="B3035" t="s">
        <v>291</v>
      </c>
      <c r="C3035">
        <v>145</v>
      </c>
      <c r="D3035">
        <v>16.88</v>
      </c>
      <c r="E3035">
        <v>10</v>
      </c>
      <c r="F3035">
        <v>2</v>
      </c>
      <c r="G3035">
        <v>60</v>
      </c>
    </row>
    <row r="3036" spans="1:7" x14ac:dyDescent="0.3">
      <c r="A3036" t="s">
        <v>41</v>
      </c>
      <c r="B3036" t="s">
        <v>292</v>
      </c>
      <c r="C3036">
        <v>340</v>
      </c>
      <c r="D3036">
        <v>15.13</v>
      </c>
      <c r="E3036">
        <v>10</v>
      </c>
      <c r="F3036">
        <v>2</v>
      </c>
      <c r="G3036">
        <v>120</v>
      </c>
    </row>
    <row r="3037" spans="1:7" x14ac:dyDescent="0.3">
      <c r="A3037" t="s">
        <v>41</v>
      </c>
      <c r="B3037" t="s">
        <v>308</v>
      </c>
      <c r="C3037">
        <v>3</v>
      </c>
      <c r="D3037">
        <v>32.82</v>
      </c>
      <c r="E3037">
        <v>10</v>
      </c>
      <c r="F3037">
        <v>10</v>
      </c>
      <c r="G3037">
        <v>60</v>
      </c>
    </row>
    <row r="3039" spans="1:7" x14ac:dyDescent="0.3">
      <c r="A3039" t="s">
        <v>1430</v>
      </c>
    </row>
    <row r="3040" spans="1:7" x14ac:dyDescent="0.3">
      <c r="A3040" t="s">
        <v>36</v>
      </c>
      <c r="B3040" t="s">
        <v>763</v>
      </c>
      <c r="C3040" t="s">
        <v>24</v>
      </c>
      <c r="D3040" t="s">
        <v>37</v>
      </c>
      <c r="E3040" t="s">
        <v>38</v>
      </c>
      <c r="F3040" t="s">
        <v>39</v>
      </c>
      <c r="G3040" t="s">
        <v>40</v>
      </c>
    </row>
    <row r="3041" spans="1:7" s="3" customFormat="1" x14ac:dyDescent="0.3">
      <c r="A3041" s="3" t="s">
        <v>25</v>
      </c>
      <c r="B3041" s="3" t="s">
        <v>764</v>
      </c>
      <c r="C3041" s="3">
        <v>3</v>
      </c>
      <c r="D3041" s="3">
        <v>5.34</v>
      </c>
      <c r="E3041" s="3">
        <v>5</v>
      </c>
      <c r="F3041" s="3">
        <v>5</v>
      </c>
      <c r="G3041" s="3">
        <v>10</v>
      </c>
    </row>
    <row r="3042" spans="1:7" x14ac:dyDescent="0.3">
      <c r="A3042" t="s">
        <v>25</v>
      </c>
      <c r="B3042" t="s">
        <v>765</v>
      </c>
      <c r="C3042">
        <v>59</v>
      </c>
      <c r="D3042">
        <v>19.66</v>
      </c>
      <c r="E3042">
        <v>10</v>
      </c>
      <c r="F3042">
        <v>2</v>
      </c>
      <c r="G3042">
        <v>60</v>
      </c>
    </row>
    <row r="3043" spans="1:7" s="3" customFormat="1" x14ac:dyDescent="0.3">
      <c r="A3043" s="3" t="s">
        <v>25</v>
      </c>
      <c r="B3043" s="3" t="s">
        <v>767</v>
      </c>
      <c r="C3043" s="3">
        <v>29</v>
      </c>
      <c r="D3043" s="3">
        <v>13.4</v>
      </c>
      <c r="E3043" s="3">
        <v>8</v>
      </c>
      <c r="F3043" s="3">
        <v>2</v>
      </c>
      <c r="G3043" s="3">
        <v>60</v>
      </c>
    </row>
    <row r="3044" spans="1:7" x14ac:dyDescent="0.3">
      <c r="A3044" t="s">
        <v>26</v>
      </c>
      <c r="B3044" t="s">
        <v>764</v>
      </c>
      <c r="C3044">
        <v>40</v>
      </c>
      <c r="D3044">
        <v>17.39</v>
      </c>
      <c r="E3044">
        <v>10</v>
      </c>
      <c r="F3044">
        <v>5</v>
      </c>
      <c r="G3044">
        <v>120</v>
      </c>
    </row>
    <row r="3045" spans="1:7" x14ac:dyDescent="0.3">
      <c r="A3045" t="s">
        <v>26</v>
      </c>
      <c r="B3045" t="s">
        <v>765</v>
      </c>
      <c r="C3045">
        <v>145</v>
      </c>
      <c r="D3045">
        <v>15.22</v>
      </c>
      <c r="E3045">
        <v>10</v>
      </c>
      <c r="F3045">
        <v>2</v>
      </c>
      <c r="G3045">
        <v>60</v>
      </c>
    </row>
    <row r="3046" spans="1:7" x14ac:dyDescent="0.3">
      <c r="A3046" t="s">
        <v>26</v>
      </c>
      <c r="B3046" t="s">
        <v>767</v>
      </c>
      <c r="C3046">
        <v>86</v>
      </c>
      <c r="D3046">
        <v>12.91</v>
      </c>
      <c r="E3046">
        <v>10</v>
      </c>
      <c r="F3046">
        <v>2</v>
      </c>
      <c r="G3046">
        <v>60</v>
      </c>
    </row>
    <row r="3047" spans="1:7" s="3" customFormat="1" x14ac:dyDescent="0.3">
      <c r="A3047" s="3" t="s">
        <v>29</v>
      </c>
      <c r="B3047" s="3" t="s">
        <v>764</v>
      </c>
      <c r="C3047" s="3">
        <v>1</v>
      </c>
      <c r="D3047" s="3">
        <v>10</v>
      </c>
      <c r="E3047" s="3">
        <v>10</v>
      </c>
      <c r="F3047" s="3">
        <v>10</v>
      </c>
      <c r="G3047" s="3">
        <v>10</v>
      </c>
    </row>
    <row r="3048" spans="1:7" x14ac:dyDescent="0.3">
      <c r="A3048" t="s">
        <v>29</v>
      </c>
      <c r="B3048" t="s">
        <v>765</v>
      </c>
      <c r="C3048">
        <v>35</v>
      </c>
      <c r="D3048">
        <v>14.25</v>
      </c>
      <c r="E3048">
        <v>5</v>
      </c>
      <c r="F3048">
        <v>2</v>
      </c>
      <c r="G3048">
        <v>60</v>
      </c>
    </row>
    <row r="3049" spans="1:7" s="3" customFormat="1" x14ac:dyDescent="0.3">
      <c r="A3049" s="3" t="s">
        <v>29</v>
      </c>
      <c r="B3049" s="3" t="s">
        <v>767</v>
      </c>
      <c r="C3049" s="3">
        <v>23</v>
      </c>
      <c r="D3049" s="3">
        <v>19.8</v>
      </c>
      <c r="E3049" s="3">
        <v>5</v>
      </c>
      <c r="F3049" s="3">
        <v>2</v>
      </c>
      <c r="G3049" s="3">
        <v>60</v>
      </c>
    </row>
    <row r="3050" spans="1:7" s="3" customFormat="1" x14ac:dyDescent="0.3">
      <c r="A3050" s="3" t="s">
        <v>28</v>
      </c>
      <c r="B3050" s="3" t="s">
        <v>764</v>
      </c>
      <c r="C3050" s="3">
        <v>1</v>
      </c>
      <c r="D3050" s="3">
        <v>30</v>
      </c>
      <c r="E3050" s="3">
        <v>30</v>
      </c>
      <c r="F3050" s="3">
        <v>30</v>
      </c>
      <c r="G3050" s="3">
        <v>30</v>
      </c>
    </row>
    <row r="3051" spans="1:7" x14ac:dyDescent="0.3">
      <c r="A3051" t="s">
        <v>28</v>
      </c>
      <c r="B3051" t="s">
        <v>765</v>
      </c>
      <c r="C3051">
        <v>32</v>
      </c>
      <c r="D3051">
        <v>12.64</v>
      </c>
      <c r="E3051">
        <v>5</v>
      </c>
      <c r="F3051">
        <v>2</v>
      </c>
      <c r="G3051">
        <v>90</v>
      </c>
    </row>
    <row r="3052" spans="1:7" s="3" customFormat="1" x14ac:dyDescent="0.3">
      <c r="A3052" s="3" t="s">
        <v>28</v>
      </c>
      <c r="B3052" s="3" t="s">
        <v>767</v>
      </c>
      <c r="C3052" s="3">
        <v>5</v>
      </c>
      <c r="D3052" s="3">
        <v>29.55</v>
      </c>
      <c r="E3052" s="3">
        <v>25</v>
      </c>
      <c r="F3052" s="3">
        <v>5</v>
      </c>
      <c r="G3052" s="3">
        <v>60</v>
      </c>
    </row>
    <row r="3053" spans="1:7" s="3" customFormat="1" x14ac:dyDescent="0.3">
      <c r="A3053" s="3" t="s">
        <v>27</v>
      </c>
      <c r="B3053" s="3" t="s">
        <v>764</v>
      </c>
      <c r="C3053" s="3">
        <v>4</v>
      </c>
      <c r="D3053" s="3">
        <v>20</v>
      </c>
      <c r="E3053" s="3">
        <v>20</v>
      </c>
      <c r="F3053" s="3">
        <v>10</v>
      </c>
      <c r="G3053" s="3">
        <v>30</v>
      </c>
    </row>
    <row r="3054" spans="1:7" s="3" customFormat="1" x14ac:dyDescent="0.3">
      <c r="A3054" s="3" t="s">
        <v>27</v>
      </c>
      <c r="B3054" s="3" t="s">
        <v>765</v>
      </c>
      <c r="C3054" s="3">
        <v>15</v>
      </c>
      <c r="D3054" s="3">
        <v>16.96</v>
      </c>
      <c r="E3054" s="3">
        <v>15</v>
      </c>
      <c r="F3054" s="3">
        <v>5</v>
      </c>
      <c r="G3054" s="3">
        <v>60</v>
      </c>
    </row>
    <row r="3055" spans="1:7" s="3" customFormat="1" x14ac:dyDescent="0.3">
      <c r="A3055" s="3" t="s">
        <v>27</v>
      </c>
      <c r="B3055" s="3" t="s">
        <v>767</v>
      </c>
      <c r="C3055" s="3">
        <v>10</v>
      </c>
      <c r="D3055" s="3">
        <v>16.66</v>
      </c>
      <c r="E3055" s="3">
        <v>10</v>
      </c>
      <c r="F3055" s="3">
        <v>5</v>
      </c>
      <c r="G3055" s="3">
        <v>40</v>
      </c>
    </row>
    <row r="3056" spans="1:7" x14ac:dyDescent="0.3">
      <c r="A3056" t="s">
        <v>41</v>
      </c>
      <c r="B3056" t="s">
        <v>764</v>
      </c>
      <c r="C3056">
        <v>49</v>
      </c>
      <c r="D3056">
        <v>16.739999999999998</v>
      </c>
      <c r="E3056">
        <v>10</v>
      </c>
      <c r="F3056">
        <v>5</v>
      </c>
      <c r="G3056">
        <v>120</v>
      </c>
    </row>
    <row r="3057" spans="1:7" x14ac:dyDescent="0.3">
      <c r="A3057" t="s">
        <v>41</v>
      </c>
      <c r="B3057" t="s">
        <v>765</v>
      </c>
      <c r="C3057">
        <v>286</v>
      </c>
      <c r="D3057">
        <v>15.86</v>
      </c>
      <c r="E3057">
        <v>10</v>
      </c>
      <c r="F3057">
        <v>2</v>
      </c>
      <c r="G3057">
        <v>90</v>
      </c>
    </row>
    <row r="3058" spans="1:7" x14ac:dyDescent="0.3">
      <c r="A3058" t="s">
        <v>41</v>
      </c>
      <c r="B3058" t="s">
        <v>767</v>
      </c>
      <c r="C3058">
        <v>153</v>
      </c>
      <c r="D3058">
        <v>15.13</v>
      </c>
      <c r="E3058">
        <v>10</v>
      </c>
      <c r="F3058">
        <v>2</v>
      </c>
      <c r="G3058">
        <v>60</v>
      </c>
    </row>
    <row r="3060" spans="1:7" x14ac:dyDescent="0.3">
      <c r="A3060" t="s">
        <v>1431</v>
      </c>
    </row>
    <row r="3061" spans="1:7" x14ac:dyDescent="0.3">
      <c r="A3061" t="s">
        <v>36</v>
      </c>
      <c r="B3061" t="s">
        <v>310</v>
      </c>
      <c r="C3061" t="s">
        <v>24</v>
      </c>
      <c r="D3061" t="s">
        <v>37</v>
      </c>
      <c r="E3061" t="s">
        <v>38</v>
      </c>
      <c r="F3061" t="s">
        <v>39</v>
      </c>
      <c r="G3061" t="s">
        <v>40</v>
      </c>
    </row>
    <row r="3062" spans="1:7" x14ac:dyDescent="0.3">
      <c r="A3062" t="s">
        <v>25</v>
      </c>
      <c r="B3062" t="s">
        <v>311</v>
      </c>
      <c r="C3062">
        <v>73</v>
      </c>
      <c r="D3062">
        <v>17.11</v>
      </c>
      <c r="E3062">
        <v>8</v>
      </c>
      <c r="F3062">
        <v>2</v>
      </c>
      <c r="G3062">
        <v>60</v>
      </c>
    </row>
    <row r="3063" spans="1:7" s="3" customFormat="1" x14ac:dyDescent="0.3">
      <c r="A3063" s="3" t="s">
        <v>25</v>
      </c>
      <c r="B3063" s="3" t="s">
        <v>312</v>
      </c>
      <c r="C3063" s="3">
        <v>17</v>
      </c>
      <c r="D3063" s="3">
        <v>18.309999999999999</v>
      </c>
      <c r="E3063" s="3">
        <v>10</v>
      </c>
      <c r="F3063" s="3">
        <v>2</v>
      </c>
      <c r="G3063" s="3">
        <v>45</v>
      </c>
    </row>
    <row r="3064" spans="1:7" x14ac:dyDescent="0.3">
      <c r="A3064" t="s">
        <v>25</v>
      </c>
      <c r="B3064" t="s">
        <v>308</v>
      </c>
      <c r="C3064">
        <v>1</v>
      </c>
      <c r="D3064">
        <v>40</v>
      </c>
      <c r="E3064">
        <v>40</v>
      </c>
      <c r="F3064">
        <v>40</v>
      </c>
      <c r="G3064">
        <v>40</v>
      </c>
    </row>
    <row r="3065" spans="1:7" x14ac:dyDescent="0.3">
      <c r="A3065" t="s">
        <v>26</v>
      </c>
      <c r="B3065" t="s">
        <v>311</v>
      </c>
      <c r="C3065">
        <v>189</v>
      </c>
      <c r="D3065">
        <v>14.5</v>
      </c>
      <c r="E3065">
        <v>10</v>
      </c>
      <c r="F3065">
        <v>2</v>
      </c>
      <c r="G3065">
        <v>60</v>
      </c>
    </row>
    <row r="3066" spans="1:7" x14ac:dyDescent="0.3">
      <c r="A3066" t="s">
        <v>26</v>
      </c>
      <c r="B3066" t="s">
        <v>312</v>
      </c>
      <c r="C3066">
        <v>51</v>
      </c>
      <c r="D3066">
        <v>16.420000000000002</v>
      </c>
      <c r="E3066">
        <v>10</v>
      </c>
      <c r="F3066">
        <v>2</v>
      </c>
      <c r="G3066">
        <v>120</v>
      </c>
    </row>
    <row r="3067" spans="1:7" x14ac:dyDescent="0.3">
      <c r="A3067" t="s">
        <v>26</v>
      </c>
      <c r="B3067" t="s">
        <v>308</v>
      </c>
      <c r="C3067">
        <v>31</v>
      </c>
      <c r="D3067">
        <v>14.34</v>
      </c>
      <c r="E3067">
        <v>10</v>
      </c>
      <c r="F3067">
        <v>2</v>
      </c>
      <c r="G3067">
        <v>60</v>
      </c>
    </row>
    <row r="3068" spans="1:7" x14ac:dyDescent="0.3">
      <c r="A3068" t="s">
        <v>29</v>
      </c>
      <c r="B3068" t="s">
        <v>311</v>
      </c>
      <c r="C3068">
        <v>47</v>
      </c>
      <c r="D3068">
        <v>18.79</v>
      </c>
      <c r="E3068">
        <v>7</v>
      </c>
      <c r="F3068">
        <v>2</v>
      </c>
      <c r="G3068">
        <v>60</v>
      </c>
    </row>
    <row r="3069" spans="1:7" s="3" customFormat="1" x14ac:dyDescent="0.3">
      <c r="A3069" s="3" t="s">
        <v>29</v>
      </c>
      <c r="B3069" s="3" t="s">
        <v>312</v>
      </c>
      <c r="C3069" s="3">
        <v>12</v>
      </c>
      <c r="D3069" s="3">
        <v>8.49</v>
      </c>
      <c r="E3069" s="3">
        <v>3</v>
      </c>
      <c r="F3069" s="3">
        <v>2</v>
      </c>
      <c r="G3069" s="3">
        <v>60</v>
      </c>
    </row>
    <row r="3070" spans="1:7" x14ac:dyDescent="0.3">
      <c r="A3070" t="s">
        <v>28</v>
      </c>
      <c r="B3070" t="s">
        <v>311</v>
      </c>
      <c r="C3070">
        <v>32</v>
      </c>
      <c r="D3070">
        <v>16.72</v>
      </c>
      <c r="E3070">
        <v>5</v>
      </c>
      <c r="F3070">
        <v>3</v>
      </c>
      <c r="G3070">
        <v>90</v>
      </c>
    </row>
    <row r="3071" spans="1:7" s="3" customFormat="1" x14ac:dyDescent="0.3">
      <c r="A3071" s="3" t="s">
        <v>28</v>
      </c>
      <c r="B3071" s="3" t="s">
        <v>312</v>
      </c>
      <c r="C3071" s="3">
        <v>6</v>
      </c>
      <c r="D3071" s="3">
        <v>8.1300000000000008</v>
      </c>
      <c r="E3071" s="3">
        <v>5</v>
      </c>
      <c r="F3071" s="3">
        <v>2</v>
      </c>
      <c r="G3071" s="3">
        <v>20</v>
      </c>
    </row>
    <row r="3072" spans="1:7" s="3" customFormat="1" x14ac:dyDescent="0.3">
      <c r="A3072" s="3" t="s">
        <v>27</v>
      </c>
      <c r="B3072" s="3" t="s">
        <v>311</v>
      </c>
      <c r="C3072" s="3">
        <v>24</v>
      </c>
      <c r="D3072" s="3">
        <v>15.68</v>
      </c>
      <c r="E3072" s="3">
        <v>15</v>
      </c>
      <c r="F3072" s="3">
        <v>5</v>
      </c>
      <c r="G3072" s="3">
        <v>40</v>
      </c>
    </row>
    <row r="3073" spans="1:7" s="3" customFormat="1" x14ac:dyDescent="0.3">
      <c r="A3073" s="3" t="s">
        <v>27</v>
      </c>
      <c r="B3073" s="3" t="s">
        <v>312</v>
      </c>
      <c r="C3073" s="3">
        <v>5</v>
      </c>
      <c r="D3073" s="3">
        <v>25.14</v>
      </c>
      <c r="E3073" s="3">
        <v>20</v>
      </c>
      <c r="F3073" s="3">
        <v>5</v>
      </c>
      <c r="G3073" s="3">
        <v>60</v>
      </c>
    </row>
    <row r="3074" spans="1:7" x14ac:dyDescent="0.3">
      <c r="A3074" t="s">
        <v>41</v>
      </c>
      <c r="B3074" t="s">
        <v>311</v>
      </c>
      <c r="C3074">
        <v>365</v>
      </c>
      <c r="D3074">
        <v>16.11</v>
      </c>
      <c r="E3074">
        <v>10</v>
      </c>
      <c r="F3074">
        <v>2</v>
      </c>
      <c r="G3074">
        <v>90</v>
      </c>
    </row>
    <row r="3075" spans="1:7" x14ac:dyDescent="0.3">
      <c r="A3075" t="s">
        <v>41</v>
      </c>
      <c r="B3075" t="s">
        <v>312</v>
      </c>
      <c r="C3075">
        <v>91</v>
      </c>
      <c r="D3075">
        <v>14.51</v>
      </c>
      <c r="E3075">
        <v>10</v>
      </c>
      <c r="F3075">
        <v>2</v>
      </c>
      <c r="G3075">
        <v>120</v>
      </c>
    </row>
    <row r="3076" spans="1:7" x14ac:dyDescent="0.3">
      <c r="A3076" t="s">
        <v>41</v>
      </c>
      <c r="B3076" t="s">
        <v>308</v>
      </c>
      <c r="C3076">
        <v>32</v>
      </c>
      <c r="D3076">
        <v>14.65</v>
      </c>
      <c r="E3076">
        <v>10</v>
      </c>
      <c r="F3076">
        <v>2</v>
      </c>
      <c r="G3076">
        <v>60</v>
      </c>
    </row>
    <row r="3078" spans="1:7" x14ac:dyDescent="0.3">
      <c r="A3078" t="s">
        <v>1432</v>
      </c>
    </row>
    <row r="3079" spans="1:7" x14ac:dyDescent="0.3">
      <c r="A3079" t="s">
        <v>36</v>
      </c>
      <c r="B3079" t="s">
        <v>24</v>
      </c>
      <c r="C3079" t="s">
        <v>58</v>
      </c>
      <c r="D3079" t="s">
        <v>59</v>
      </c>
      <c r="E3079" t="s">
        <v>1433</v>
      </c>
      <c r="F3079" t="s">
        <v>1434</v>
      </c>
    </row>
    <row r="3080" spans="1:7" x14ac:dyDescent="0.3">
      <c r="A3080" t="s">
        <v>25</v>
      </c>
      <c r="B3080">
        <v>414</v>
      </c>
      <c r="C3080" t="s">
        <v>1084</v>
      </c>
      <c r="D3080" t="s">
        <v>717</v>
      </c>
      <c r="E3080" t="s">
        <v>239</v>
      </c>
      <c r="F3080" t="s">
        <v>101</v>
      </c>
    </row>
    <row r="3081" spans="1:7" x14ac:dyDescent="0.3">
      <c r="A3081" t="s">
        <v>26</v>
      </c>
      <c r="B3081">
        <v>477</v>
      </c>
      <c r="C3081" t="s">
        <v>32</v>
      </c>
      <c r="D3081" t="s">
        <v>632</v>
      </c>
      <c r="E3081" t="s">
        <v>438</v>
      </c>
      <c r="F3081" t="s">
        <v>194</v>
      </c>
    </row>
    <row r="3082" spans="1:7" x14ac:dyDescent="0.3">
      <c r="A3082" t="s">
        <v>29</v>
      </c>
      <c r="B3082">
        <v>530</v>
      </c>
      <c r="C3082" t="s">
        <v>543</v>
      </c>
      <c r="D3082" t="s">
        <v>1362</v>
      </c>
      <c r="E3082" t="s">
        <v>117</v>
      </c>
      <c r="F3082" t="s">
        <v>90</v>
      </c>
    </row>
    <row r="3083" spans="1:7" x14ac:dyDescent="0.3">
      <c r="A3083" t="s">
        <v>28</v>
      </c>
      <c r="B3083">
        <v>317</v>
      </c>
      <c r="C3083" t="s">
        <v>191</v>
      </c>
      <c r="D3083" t="s">
        <v>1022</v>
      </c>
      <c r="E3083" t="s">
        <v>282</v>
      </c>
      <c r="F3083" t="s">
        <v>251</v>
      </c>
    </row>
    <row r="3084" spans="1:7" x14ac:dyDescent="0.3">
      <c r="A3084" t="s">
        <v>27</v>
      </c>
      <c r="B3084">
        <v>300</v>
      </c>
      <c r="C3084" t="s">
        <v>452</v>
      </c>
      <c r="D3084" t="s">
        <v>1169</v>
      </c>
      <c r="E3084" t="s">
        <v>160</v>
      </c>
      <c r="F3084" t="s">
        <v>245</v>
      </c>
    </row>
    <row r="3085" spans="1:7" x14ac:dyDescent="0.3">
      <c r="A3085" t="s">
        <v>41</v>
      </c>
      <c r="B3085">
        <v>2038</v>
      </c>
      <c r="C3085" t="s">
        <v>463</v>
      </c>
      <c r="D3085" t="s">
        <v>1016</v>
      </c>
      <c r="E3085" t="s">
        <v>511</v>
      </c>
      <c r="F3085" t="s">
        <v>206</v>
      </c>
    </row>
    <row r="3087" spans="1:7" x14ac:dyDescent="0.3">
      <c r="A3087" t="s">
        <v>1435</v>
      </c>
    </row>
    <row r="3088" spans="1:7" x14ac:dyDescent="0.3">
      <c r="A3088" t="s">
        <v>36</v>
      </c>
      <c r="B3088" t="s">
        <v>197</v>
      </c>
      <c r="C3088" t="s">
        <v>24</v>
      </c>
      <c r="D3088" t="s">
        <v>58</v>
      </c>
      <c r="E3088" t="s">
        <v>59</v>
      </c>
      <c r="F3088" t="s">
        <v>1433</v>
      </c>
      <c r="G3088" t="s">
        <v>1434</v>
      </c>
    </row>
    <row r="3089" spans="1:7" x14ac:dyDescent="0.3">
      <c r="A3089" t="s">
        <v>25</v>
      </c>
      <c r="B3089" t="s">
        <v>198</v>
      </c>
      <c r="C3089">
        <v>104</v>
      </c>
      <c r="D3089" t="s">
        <v>144</v>
      </c>
      <c r="E3089" t="s">
        <v>1013</v>
      </c>
      <c r="F3089" t="s">
        <v>245</v>
      </c>
      <c r="G3089" t="s">
        <v>481</v>
      </c>
    </row>
    <row r="3090" spans="1:7" x14ac:dyDescent="0.3">
      <c r="A3090" t="s">
        <v>25</v>
      </c>
      <c r="B3090" t="s">
        <v>199</v>
      </c>
      <c r="C3090">
        <v>310</v>
      </c>
      <c r="D3090" t="s">
        <v>52</v>
      </c>
      <c r="E3090" t="s">
        <v>794</v>
      </c>
      <c r="F3090" t="s">
        <v>110</v>
      </c>
      <c r="G3090" t="s">
        <v>232</v>
      </c>
    </row>
    <row r="3091" spans="1:7" x14ac:dyDescent="0.3">
      <c r="A3091" t="s">
        <v>26</v>
      </c>
      <c r="B3091" t="s">
        <v>198</v>
      </c>
      <c r="C3091">
        <v>41</v>
      </c>
      <c r="D3091" t="s">
        <v>890</v>
      </c>
      <c r="E3091" t="s">
        <v>1144</v>
      </c>
      <c r="F3091" t="s">
        <v>64</v>
      </c>
      <c r="G3091" t="s">
        <v>214</v>
      </c>
    </row>
    <row r="3092" spans="1:7" x14ac:dyDescent="0.3">
      <c r="A3092" t="s">
        <v>26</v>
      </c>
      <c r="B3092" t="s">
        <v>199</v>
      </c>
      <c r="C3092">
        <v>436</v>
      </c>
      <c r="D3092" t="s">
        <v>532</v>
      </c>
      <c r="E3092" t="s">
        <v>184</v>
      </c>
      <c r="F3092" t="s">
        <v>438</v>
      </c>
      <c r="G3092" t="s">
        <v>345</v>
      </c>
    </row>
    <row r="3093" spans="1:7" x14ac:dyDescent="0.3">
      <c r="A3093" t="s">
        <v>29</v>
      </c>
      <c r="B3093" t="s">
        <v>198</v>
      </c>
      <c r="C3093">
        <v>170</v>
      </c>
      <c r="D3093" t="s">
        <v>482</v>
      </c>
      <c r="E3093" t="s">
        <v>602</v>
      </c>
      <c r="F3093" t="s">
        <v>517</v>
      </c>
      <c r="G3093" t="s">
        <v>194</v>
      </c>
    </row>
    <row r="3094" spans="1:7" x14ac:dyDescent="0.3">
      <c r="A3094" t="s">
        <v>29</v>
      </c>
      <c r="B3094" t="s">
        <v>199</v>
      </c>
      <c r="C3094">
        <v>360</v>
      </c>
      <c r="D3094" t="s">
        <v>136</v>
      </c>
      <c r="E3094" t="s">
        <v>1047</v>
      </c>
      <c r="F3094" t="s">
        <v>169</v>
      </c>
      <c r="G3094" t="s">
        <v>463</v>
      </c>
    </row>
    <row r="3095" spans="1:7" x14ac:dyDescent="0.3">
      <c r="A3095" t="s">
        <v>28</v>
      </c>
      <c r="B3095" t="s">
        <v>198</v>
      </c>
      <c r="C3095">
        <v>70</v>
      </c>
      <c r="D3095" t="s">
        <v>142</v>
      </c>
      <c r="E3095" t="s">
        <v>1348</v>
      </c>
      <c r="F3095" t="s">
        <v>103</v>
      </c>
      <c r="G3095" t="s">
        <v>32</v>
      </c>
    </row>
    <row r="3096" spans="1:7" x14ac:dyDescent="0.3">
      <c r="A3096" t="s">
        <v>28</v>
      </c>
      <c r="B3096" t="s">
        <v>199</v>
      </c>
      <c r="C3096">
        <v>247</v>
      </c>
      <c r="D3096" t="s">
        <v>607</v>
      </c>
      <c r="E3096" t="s">
        <v>630</v>
      </c>
      <c r="F3096" t="s">
        <v>110</v>
      </c>
      <c r="G3096" t="s">
        <v>101</v>
      </c>
    </row>
    <row r="3097" spans="1:7" x14ac:dyDescent="0.3">
      <c r="A3097" t="s">
        <v>27</v>
      </c>
      <c r="B3097" t="s">
        <v>198</v>
      </c>
      <c r="C3097">
        <v>136</v>
      </c>
      <c r="D3097" t="s">
        <v>64</v>
      </c>
      <c r="E3097" t="s">
        <v>592</v>
      </c>
      <c r="F3097" t="s">
        <v>515</v>
      </c>
      <c r="G3097" t="s">
        <v>103</v>
      </c>
    </row>
    <row r="3098" spans="1:7" x14ac:dyDescent="0.3">
      <c r="A3098" t="s">
        <v>27</v>
      </c>
      <c r="B3098" t="s">
        <v>199</v>
      </c>
      <c r="C3098">
        <v>164</v>
      </c>
      <c r="D3098" t="s">
        <v>482</v>
      </c>
      <c r="E3098" t="s">
        <v>1436</v>
      </c>
      <c r="F3098" t="s">
        <v>469</v>
      </c>
      <c r="G3098" t="s">
        <v>467</v>
      </c>
    </row>
    <row r="3099" spans="1:7" x14ac:dyDescent="0.3">
      <c r="A3099" t="s">
        <v>41</v>
      </c>
      <c r="B3099" t="s">
        <v>198</v>
      </c>
      <c r="C3099">
        <v>521</v>
      </c>
      <c r="D3099" t="s">
        <v>99</v>
      </c>
      <c r="E3099" t="s">
        <v>204</v>
      </c>
      <c r="F3099" t="s">
        <v>254</v>
      </c>
      <c r="G3099" t="s">
        <v>438</v>
      </c>
    </row>
    <row r="3100" spans="1:7" x14ac:dyDescent="0.3">
      <c r="A3100" t="s">
        <v>41</v>
      </c>
      <c r="B3100" t="s">
        <v>199</v>
      </c>
      <c r="C3100">
        <v>1517</v>
      </c>
      <c r="D3100" t="s">
        <v>743</v>
      </c>
      <c r="E3100" t="s">
        <v>989</v>
      </c>
      <c r="F3100" t="s">
        <v>594</v>
      </c>
      <c r="G3100" t="s">
        <v>190</v>
      </c>
    </row>
    <row r="3102" spans="1:7" x14ac:dyDescent="0.3">
      <c r="A3102" t="s">
        <v>1437</v>
      </c>
    </row>
    <row r="3103" spans="1:7" x14ac:dyDescent="0.3">
      <c r="A3103" t="s">
        <v>36</v>
      </c>
      <c r="B3103" t="s">
        <v>307</v>
      </c>
      <c r="C3103" t="s">
        <v>24</v>
      </c>
      <c r="D3103" t="s">
        <v>58</v>
      </c>
      <c r="E3103" t="s">
        <v>59</v>
      </c>
      <c r="F3103" t="s">
        <v>1434</v>
      </c>
      <c r="G3103" t="s">
        <v>1433</v>
      </c>
    </row>
    <row r="3104" spans="1:7" x14ac:dyDescent="0.3">
      <c r="A3104" t="s">
        <v>25</v>
      </c>
      <c r="B3104" t="s">
        <v>291</v>
      </c>
      <c r="C3104">
        <v>156</v>
      </c>
      <c r="D3104" t="s">
        <v>569</v>
      </c>
      <c r="E3104" t="s">
        <v>1283</v>
      </c>
      <c r="F3104" t="s">
        <v>254</v>
      </c>
      <c r="G3104" t="s">
        <v>103</v>
      </c>
    </row>
    <row r="3105" spans="1:7" x14ac:dyDescent="0.3">
      <c r="A3105" t="s">
        <v>25</v>
      </c>
      <c r="B3105" t="s">
        <v>292</v>
      </c>
      <c r="C3105">
        <v>254</v>
      </c>
      <c r="D3105" t="s">
        <v>706</v>
      </c>
      <c r="E3105" t="s">
        <v>830</v>
      </c>
      <c r="F3105" t="s">
        <v>452</v>
      </c>
      <c r="G3105" t="s">
        <v>257</v>
      </c>
    </row>
    <row r="3106" spans="1:7" x14ac:dyDescent="0.3">
      <c r="A3106" t="s">
        <v>25</v>
      </c>
      <c r="B3106" t="s">
        <v>308</v>
      </c>
      <c r="C3106">
        <v>4</v>
      </c>
      <c r="D3106" t="s">
        <v>1438</v>
      </c>
      <c r="E3106" t="s">
        <v>534</v>
      </c>
      <c r="F3106" t="s">
        <v>103</v>
      </c>
      <c r="G3106" t="s">
        <v>103</v>
      </c>
    </row>
    <row r="3107" spans="1:7" x14ac:dyDescent="0.3">
      <c r="A3107" t="s">
        <v>26</v>
      </c>
      <c r="B3107" t="s">
        <v>291</v>
      </c>
      <c r="C3107">
        <v>122</v>
      </c>
      <c r="D3107" t="s">
        <v>511</v>
      </c>
      <c r="E3107" t="s">
        <v>612</v>
      </c>
      <c r="F3107" t="s">
        <v>194</v>
      </c>
      <c r="G3107" t="s">
        <v>94</v>
      </c>
    </row>
    <row r="3108" spans="1:7" x14ac:dyDescent="0.3">
      <c r="A3108" t="s">
        <v>26</v>
      </c>
      <c r="B3108" t="s">
        <v>292</v>
      </c>
      <c r="C3108">
        <v>352</v>
      </c>
      <c r="D3108" t="s">
        <v>107</v>
      </c>
      <c r="E3108" t="s">
        <v>624</v>
      </c>
      <c r="F3108" t="s">
        <v>282</v>
      </c>
      <c r="G3108" t="s">
        <v>118</v>
      </c>
    </row>
    <row r="3109" spans="1:7" x14ac:dyDescent="0.3">
      <c r="A3109" t="s">
        <v>26</v>
      </c>
      <c r="B3109" t="s">
        <v>308</v>
      </c>
      <c r="C3109">
        <v>3</v>
      </c>
      <c r="D3109" t="s">
        <v>103</v>
      </c>
      <c r="E3109" t="s">
        <v>784</v>
      </c>
      <c r="F3109" t="s">
        <v>699</v>
      </c>
      <c r="G3109" t="s">
        <v>103</v>
      </c>
    </row>
    <row r="3110" spans="1:7" x14ac:dyDescent="0.3">
      <c r="A3110" t="s">
        <v>29</v>
      </c>
      <c r="B3110" t="s">
        <v>291</v>
      </c>
      <c r="C3110">
        <v>205</v>
      </c>
      <c r="D3110" t="s">
        <v>124</v>
      </c>
      <c r="E3110" t="s">
        <v>1439</v>
      </c>
      <c r="F3110" t="s">
        <v>144</v>
      </c>
      <c r="G3110" t="s">
        <v>652</v>
      </c>
    </row>
    <row r="3111" spans="1:7" x14ac:dyDescent="0.3">
      <c r="A3111" t="s">
        <v>29</v>
      </c>
      <c r="B3111" t="s">
        <v>292</v>
      </c>
      <c r="C3111">
        <v>325</v>
      </c>
      <c r="D3111" t="s">
        <v>144</v>
      </c>
      <c r="E3111" t="s">
        <v>1392</v>
      </c>
      <c r="F3111" t="s">
        <v>558</v>
      </c>
      <c r="G3111" t="s">
        <v>104</v>
      </c>
    </row>
    <row r="3112" spans="1:7" x14ac:dyDescent="0.3">
      <c r="A3112" t="s">
        <v>28</v>
      </c>
      <c r="B3112" t="s">
        <v>291</v>
      </c>
      <c r="C3112">
        <v>114</v>
      </c>
      <c r="D3112" t="s">
        <v>175</v>
      </c>
      <c r="E3112" t="s">
        <v>1377</v>
      </c>
      <c r="F3112" t="s">
        <v>743</v>
      </c>
      <c r="G3112" t="s">
        <v>239</v>
      </c>
    </row>
    <row r="3113" spans="1:7" x14ac:dyDescent="0.3">
      <c r="A3113" t="s">
        <v>28</v>
      </c>
      <c r="B3113" t="s">
        <v>292</v>
      </c>
      <c r="C3113">
        <v>191</v>
      </c>
      <c r="D3113" t="s">
        <v>60</v>
      </c>
      <c r="E3113" t="s">
        <v>771</v>
      </c>
      <c r="F3113" t="s">
        <v>270</v>
      </c>
      <c r="G3113" t="s">
        <v>139</v>
      </c>
    </row>
    <row r="3114" spans="1:7" x14ac:dyDescent="0.3">
      <c r="A3114" t="s">
        <v>28</v>
      </c>
      <c r="B3114" t="s">
        <v>308</v>
      </c>
      <c r="C3114">
        <v>12</v>
      </c>
      <c r="D3114" t="s">
        <v>482</v>
      </c>
      <c r="E3114" t="s">
        <v>774</v>
      </c>
      <c r="F3114" t="s">
        <v>466</v>
      </c>
      <c r="G3114" t="s">
        <v>103</v>
      </c>
    </row>
    <row r="3115" spans="1:7" x14ac:dyDescent="0.3">
      <c r="A3115" t="s">
        <v>27</v>
      </c>
      <c r="B3115" t="s">
        <v>291</v>
      </c>
      <c r="C3115">
        <v>95</v>
      </c>
      <c r="D3115" t="s">
        <v>114</v>
      </c>
      <c r="E3115" t="s">
        <v>724</v>
      </c>
      <c r="F3115" t="s">
        <v>103</v>
      </c>
      <c r="G3115" t="s">
        <v>56</v>
      </c>
    </row>
    <row r="3116" spans="1:7" x14ac:dyDescent="0.3">
      <c r="A3116" t="s">
        <v>27</v>
      </c>
      <c r="B3116" t="s">
        <v>292</v>
      </c>
      <c r="C3116">
        <v>198</v>
      </c>
      <c r="D3116" t="s">
        <v>60</v>
      </c>
      <c r="E3116" t="s">
        <v>1169</v>
      </c>
      <c r="F3116" t="s">
        <v>118</v>
      </c>
      <c r="G3116" t="s">
        <v>566</v>
      </c>
    </row>
    <row r="3117" spans="1:7" x14ac:dyDescent="0.3">
      <c r="A3117" t="s">
        <v>27</v>
      </c>
      <c r="B3117" t="s">
        <v>308</v>
      </c>
      <c r="C3117">
        <v>7</v>
      </c>
      <c r="D3117" t="s">
        <v>103</v>
      </c>
      <c r="E3117" t="s">
        <v>703</v>
      </c>
      <c r="F3117" t="s">
        <v>103</v>
      </c>
      <c r="G3117" t="s">
        <v>645</v>
      </c>
    </row>
    <row r="3118" spans="1:7" x14ac:dyDescent="0.3">
      <c r="A3118" t="s">
        <v>41</v>
      </c>
      <c r="B3118" t="s">
        <v>291</v>
      </c>
      <c r="C3118">
        <v>692</v>
      </c>
      <c r="D3118" t="s">
        <v>119</v>
      </c>
      <c r="E3118" t="s">
        <v>741</v>
      </c>
      <c r="F3118" t="s">
        <v>137</v>
      </c>
      <c r="G3118" t="s">
        <v>60</v>
      </c>
    </row>
    <row r="3119" spans="1:7" x14ac:dyDescent="0.3">
      <c r="A3119" t="s">
        <v>41</v>
      </c>
      <c r="B3119" t="s">
        <v>292</v>
      </c>
      <c r="C3119">
        <v>1320</v>
      </c>
      <c r="D3119" t="s">
        <v>463</v>
      </c>
      <c r="E3119" t="s">
        <v>608</v>
      </c>
      <c r="F3119" t="s">
        <v>107</v>
      </c>
      <c r="G3119" t="s">
        <v>607</v>
      </c>
    </row>
    <row r="3120" spans="1:7" x14ac:dyDescent="0.3">
      <c r="A3120" t="s">
        <v>41</v>
      </c>
      <c r="B3120" t="s">
        <v>308</v>
      </c>
      <c r="C3120">
        <v>26</v>
      </c>
      <c r="D3120" t="s">
        <v>706</v>
      </c>
      <c r="E3120" t="s">
        <v>1252</v>
      </c>
      <c r="F3120" t="s">
        <v>146</v>
      </c>
      <c r="G3120" t="s">
        <v>558</v>
      </c>
    </row>
    <row r="3122" spans="1:7" x14ac:dyDescent="0.3">
      <c r="A3122" t="s">
        <v>1440</v>
      </c>
    </row>
    <row r="3123" spans="1:7" x14ac:dyDescent="0.3">
      <c r="A3123" t="s">
        <v>36</v>
      </c>
      <c r="B3123" t="s">
        <v>763</v>
      </c>
      <c r="C3123" t="s">
        <v>24</v>
      </c>
      <c r="D3123" t="s">
        <v>58</v>
      </c>
      <c r="E3123" t="s">
        <v>59</v>
      </c>
      <c r="F3123" t="s">
        <v>1433</v>
      </c>
      <c r="G3123" t="s">
        <v>1434</v>
      </c>
    </row>
    <row r="3124" spans="1:7" x14ac:dyDescent="0.3">
      <c r="A3124" t="s">
        <v>25</v>
      </c>
      <c r="B3124" t="s">
        <v>764</v>
      </c>
      <c r="C3124">
        <v>31</v>
      </c>
      <c r="D3124" t="s">
        <v>746</v>
      </c>
      <c r="E3124" t="s">
        <v>255</v>
      </c>
      <c r="F3124" t="s">
        <v>128</v>
      </c>
      <c r="G3124" t="s">
        <v>68</v>
      </c>
    </row>
    <row r="3125" spans="1:7" x14ac:dyDescent="0.3">
      <c r="A3125" t="s">
        <v>25</v>
      </c>
      <c r="B3125" t="s">
        <v>765</v>
      </c>
      <c r="C3125">
        <v>280</v>
      </c>
      <c r="D3125" t="s">
        <v>975</v>
      </c>
      <c r="E3125" t="s">
        <v>814</v>
      </c>
      <c r="F3125" t="s">
        <v>282</v>
      </c>
      <c r="G3125" t="s">
        <v>601</v>
      </c>
    </row>
    <row r="3126" spans="1:7" x14ac:dyDescent="0.3">
      <c r="A3126" t="s">
        <v>25</v>
      </c>
      <c r="B3126" t="s">
        <v>767</v>
      </c>
      <c r="C3126">
        <v>103</v>
      </c>
      <c r="D3126" t="s">
        <v>900</v>
      </c>
      <c r="E3126" t="s">
        <v>1146</v>
      </c>
      <c r="F3126" t="s">
        <v>266</v>
      </c>
      <c r="G3126" t="s">
        <v>68</v>
      </c>
    </row>
    <row r="3127" spans="1:7" x14ac:dyDescent="0.3">
      <c r="A3127" t="s">
        <v>26</v>
      </c>
      <c r="B3127" t="s">
        <v>764</v>
      </c>
      <c r="C3127">
        <v>58</v>
      </c>
      <c r="D3127" t="s">
        <v>105</v>
      </c>
      <c r="E3127" t="s">
        <v>322</v>
      </c>
      <c r="F3127" t="s">
        <v>103</v>
      </c>
      <c r="G3127" t="s">
        <v>103</v>
      </c>
    </row>
    <row r="3128" spans="1:7" x14ac:dyDescent="0.3">
      <c r="A3128" t="s">
        <v>26</v>
      </c>
      <c r="B3128" t="s">
        <v>765</v>
      </c>
      <c r="C3128">
        <v>278</v>
      </c>
      <c r="D3128" t="s">
        <v>532</v>
      </c>
      <c r="E3128" t="s">
        <v>712</v>
      </c>
      <c r="F3128" t="s">
        <v>278</v>
      </c>
      <c r="G3128" t="s">
        <v>93</v>
      </c>
    </row>
    <row r="3129" spans="1:7" x14ac:dyDescent="0.3">
      <c r="A3129" t="s">
        <v>26</v>
      </c>
      <c r="B3129" t="s">
        <v>767</v>
      </c>
      <c r="C3129">
        <v>141</v>
      </c>
      <c r="D3129" t="s">
        <v>511</v>
      </c>
      <c r="E3129" t="s">
        <v>851</v>
      </c>
      <c r="F3129" t="s">
        <v>239</v>
      </c>
      <c r="G3129" t="s">
        <v>103</v>
      </c>
    </row>
    <row r="3130" spans="1:7" s="3" customFormat="1" x14ac:dyDescent="0.3">
      <c r="A3130" s="3" t="s">
        <v>29</v>
      </c>
      <c r="B3130" s="3" t="s">
        <v>764</v>
      </c>
      <c r="C3130" s="3">
        <v>11</v>
      </c>
      <c r="D3130" s="3" t="s">
        <v>127</v>
      </c>
      <c r="E3130" s="3" t="s">
        <v>899</v>
      </c>
      <c r="F3130" s="3" t="s">
        <v>186</v>
      </c>
      <c r="G3130" s="3" t="s">
        <v>117</v>
      </c>
    </row>
    <row r="3131" spans="1:7" x14ac:dyDescent="0.3">
      <c r="A3131" t="s">
        <v>29</v>
      </c>
      <c r="B3131" t="s">
        <v>765</v>
      </c>
      <c r="C3131">
        <v>365</v>
      </c>
      <c r="D3131" t="s">
        <v>135</v>
      </c>
      <c r="E3131" t="s">
        <v>1137</v>
      </c>
      <c r="F3131" t="s">
        <v>117</v>
      </c>
      <c r="G3131" t="s">
        <v>575</v>
      </c>
    </row>
    <row r="3132" spans="1:7" x14ac:dyDescent="0.3">
      <c r="A3132" t="s">
        <v>29</v>
      </c>
      <c r="B3132" t="s">
        <v>767</v>
      </c>
      <c r="C3132">
        <v>154</v>
      </c>
      <c r="D3132" t="s">
        <v>481</v>
      </c>
      <c r="E3132" t="s">
        <v>717</v>
      </c>
      <c r="F3132" t="s">
        <v>104</v>
      </c>
      <c r="G3132" t="s">
        <v>482</v>
      </c>
    </row>
    <row r="3133" spans="1:7" s="3" customFormat="1" x14ac:dyDescent="0.3">
      <c r="A3133" s="3" t="s">
        <v>28</v>
      </c>
      <c r="B3133" s="3" t="s">
        <v>764</v>
      </c>
      <c r="C3133" s="3">
        <v>20</v>
      </c>
      <c r="D3133" s="3" t="s">
        <v>473</v>
      </c>
      <c r="E3133" s="3" t="s">
        <v>709</v>
      </c>
      <c r="F3133" s="3" t="s">
        <v>103</v>
      </c>
      <c r="G3133" s="3" t="s">
        <v>103</v>
      </c>
    </row>
    <row r="3134" spans="1:7" x14ac:dyDescent="0.3">
      <c r="A3134" t="s">
        <v>28</v>
      </c>
      <c r="B3134" t="s">
        <v>765</v>
      </c>
      <c r="C3134">
        <v>260</v>
      </c>
      <c r="D3134" t="s">
        <v>601</v>
      </c>
      <c r="E3134" t="s">
        <v>276</v>
      </c>
      <c r="F3134" t="s">
        <v>194</v>
      </c>
      <c r="G3134" t="s">
        <v>232</v>
      </c>
    </row>
    <row r="3135" spans="1:7" x14ac:dyDescent="0.3">
      <c r="A3135" t="s">
        <v>28</v>
      </c>
      <c r="B3135" t="s">
        <v>767</v>
      </c>
      <c r="C3135">
        <v>37</v>
      </c>
      <c r="D3135" t="s">
        <v>224</v>
      </c>
      <c r="E3135" t="s">
        <v>296</v>
      </c>
      <c r="F3135" t="s">
        <v>103</v>
      </c>
      <c r="G3135" t="s">
        <v>268</v>
      </c>
    </row>
    <row r="3136" spans="1:7" s="3" customFormat="1" x14ac:dyDescent="0.3">
      <c r="A3136" s="3" t="s">
        <v>27</v>
      </c>
      <c r="B3136" s="3" t="s">
        <v>764</v>
      </c>
      <c r="C3136" s="3">
        <v>29</v>
      </c>
      <c r="D3136" s="3" t="s">
        <v>103</v>
      </c>
      <c r="E3136" s="3" t="s">
        <v>1239</v>
      </c>
      <c r="F3136" s="3" t="s">
        <v>483</v>
      </c>
      <c r="G3136" s="3" t="s">
        <v>452</v>
      </c>
    </row>
    <row r="3137" spans="1:7" x14ac:dyDescent="0.3">
      <c r="A3137" t="s">
        <v>27</v>
      </c>
      <c r="B3137" t="s">
        <v>765</v>
      </c>
      <c r="C3137">
        <v>209</v>
      </c>
      <c r="D3137" t="s">
        <v>125</v>
      </c>
      <c r="E3137" t="s">
        <v>1348</v>
      </c>
      <c r="F3137" t="s">
        <v>473</v>
      </c>
      <c r="G3137" t="s">
        <v>216</v>
      </c>
    </row>
    <row r="3138" spans="1:7" x14ac:dyDescent="0.3">
      <c r="A3138" t="s">
        <v>27</v>
      </c>
      <c r="B3138" t="s">
        <v>767</v>
      </c>
      <c r="C3138">
        <v>62</v>
      </c>
      <c r="D3138" t="s">
        <v>273</v>
      </c>
      <c r="E3138" t="s">
        <v>1046</v>
      </c>
      <c r="F3138" t="s">
        <v>135</v>
      </c>
      <c r="G3138" t="s">
        <v>103</v>
      </c>
    </row>
    <row r="3139" spans="1:7" x14ac:dyDescent="0.3">
      <c r="A3139" t="s">
        <v>41</v>
      </c>
      <c r="B3139" t="s">
        <v>764</v>
      </c>
      <c r="C3139">
        <v>149</v>
      </c>
      <c r="D3139" t="s">
        <v>571</v>
      </c>
      <c r="E3139" t="s">
        <v>1357</v>
      </c>
      <c r="F3139" t="s">
        <v>257</v>
      </c>
      <c r="G3139" t="s">
        <v>257</v>
      </c>
    </row>
    <row r="3140" spans="1:7" x14ac:dyDescent="0.3">
      <c r="A3140" t="s">
        <v>41</v>
      </c>
      <c r="B3140" t="s">
        <v>765</v>
      </c>
      <c r="C3140">
        <v>1392</v>
      </c>
      <c r="D3140" t="s">
        <v>119</v>
      </c>
      <c r="E3140" t="s">
        <v>989</v>
      </c>
      <c r="F3140" t="s">
        <v>124</v>
      </c>
      <c r="G3140" t="s">
        <v>94</v>
      </c>
    </row>
    <row r="3141" spans="1:7" x14ac:dyDescent="0.3">
      <c r="A3141" t="s">
        <v>41</v>
      </c>
      <c r="B3141" t="s">
        <v>767</v>
      </c>
      <c r="C3141">
        <v>497</v>
      </c>
      <c r="D3141" t="s">
        <v>152</v>
      </c>
      <c r="E3141" t="s">
        <v>1441</v>
      </c>
      <c r="F3141" t="s">
        <v>511</v>
      </c>
      <c r="G3141" t="s">
        <v>112</v>
      </c>
    </row>
    <row r="3143" spans="1:7" x14ac:dyDescent="0.3">
      <c r="A3143" t="s">
        <v>1442</v>
      </c>
    </row>
    <row r="3144" spans="1:7" x14ac:dyDescent="0.3">
      <c r="A3144" t="s">
        <v>36</v>
      </c>
      <c r="B3144" t="s">
        <v>310</v>
      </c>
      <c r="C3144" t="s">
        <v>24</v>
      </c>
      <c r="D3144" t="s">
        <v>58</v>
      </c>
      <c r="E3144" t="s">
        <v>59</v>
      </c>
      <c r="F3144" t="s">
        <v>1433</v>
      </c>
      <c r="G3144" t="s">
        <v>1434</v>
      </c>
    </row>
    <row r="3145" spans="1:7" x14ac:dyDescent="0.3">
      <c r="A3145" t="s">
        <v>25</v>
      </c>
      <c r="B3145" t="s">
        <v>311</v>
      </c>
      <c r="C3145">
        <v>324</v>
      </c>
      <c r="D3145" t="s">
        <v>875</v>
      </c>
      <c r="E3145" t="s">
        <v>1133</v>
      </c>
      <c r="F3145" t="s">
        <v>468</v>
      </c>
      <c r="G3145" t="s">
        <v>108</v>
      </c>
    </row>
    <row r="3146" spans="1:7" x14ac:dyDescent="0.3">
      <c r="A3146" t="s">
        <v>25</v>
      </c>
      <c r="B3146" t="s">
        <v>312</v>
      </c>
      <c r="C3146">
        <v>80</v>
      </c>
      <c r="D3146" t="s">
        <v>697</v>
      </c>
      <c r="E3146" t="s">
        <v>1317</v>
      </c>
      <c r="F3146" t="s">
        <v>272</v>
      </c>
      <c r="G3146" t="s">
        <v>107</v>
      </c>
    </row>
    <row r="3147" spans="1:7" x14ac:dyDescent="0.3">
      <c r="A3147" t="s">
        <v>25</v>
      </c>
      <c r="B3147" t="s">
        <v>308</v>
      </c>
      <c r="C3147">
        <v>10</v>
      </c>
      <c r="D3147" t="s">
        <v>591</v>
      </c>
      <c r="E3147" t="s">
        <v>287</v>
      </c>
      <c r="F3147" t="s">
        <v>103</v>
      </c>
      <c r="G3147" t="s">
        <v>103</v>
      </c>
    </row>
    <row r="3148" spans="1:7" x14ac:dyDescent="0.3">
      <c r="A3148" t="s">
        <v>26</v>
      </c>
      <c r="B3148" t="s">
        <v>311</v>
      </c>
      <c r="C3148">
        <v>343</v>
      </c>
      <c r="D3148" t="s">
        <v>188</v>
      </c>
      <c r="E3148" t="s">
        <v>240</v>
      </c>
      <c r="F3148" t="s">
        <v>114</v>
      </c>
      <c r="G3148" t="s">
        <v>245</v>
      </c>
    </row>
    <row r="3149" spans="1:7" x14ac:dyDescent="0.3">
      <c r="A3149" t="s">
        <v>26</v>
      </c>
      <c r="B3149" t="s">
        <v>312</v>
      </c>
      <c r="C3149">
        <v>96</v>
      </c>
      <c r="D3149" t="s">
        <v>531</v>
      </c>
      <c r="E3149" t="s">
        <v>280</v>
      </c>
      <c r="F3149" t="s">
        <v>64</v>
      </c>
      <c r="G3149" t="s">
        <v>103</v>
      </c>
    </row>
    <row r="3150" spans="1:7" x14ac:dyDescent="0.3">
      <c r="A3150" t="s">
        <v>26</v>
      </c>
      <c r="B3150" t="s">
        <v>308</v>
      </c>
      <c r="C3150">
        <v>38</v>
      </c>
      <c r="D3150" t="s">
        <v>517</v>
      </c>
      <c r="E3150" t="s">
        <v>776</v>
      </c>
      <c r="F3150" t="s">
        <v>103</v>
      </c>
      <c r="G3150" t="s">
        <v>103</v>
      </c>
    </row>
    <row r="3151" spans="1:7" x14ac:dyDescent="0.3">
      <c r="A3151" t="s">
        <v>29</v>
      </c>
      <c r="B3151" t="s">
        <v>311</v>
      </c>
      <c r="C3151">
        <v>414</v>
      </c>
      <c r="D3151" t="s">
        <v>146</v>
      </c>
      <c r="E3151" t="s">
        <v>1443</v>
      </c>
      <c r="F3151" t="s">
        <v>104</v>
      </c>
      <c r="G3151" t="s">
        <v>137</v>
      </c>
    </row>
    <row r="3152" spans="1:7" x14ac:dyDescent="0.3">
      <c r="A3152" t="s">
        <v>29</v>
      </c>
      <c r="B3152" t="s">
        <v>312</v>
      </c>
      <c r="C3152">
        <v>103</v>
      </c>
      <c r="D3152" t="s">
        <v>117</v>
      </c>
      <c r="E3152" t="s">
        <v>724</v>
      </c>
      <c r="F3152" t="s">
        <v>494</v>
      </c>
      <c r="G3152" t="s">
        <v>615</v>
      </c>
    </row>
    <row r="3153" spans="1:13" x14ac:dyDescent="0.3">
      <c r="A3153" t="s">
        <v>29</v>
      </c>
      <c r="B3153" t="s">
        <v>308</v>
      </c>
      <c r="C3153">
        <v>13</v>
      </c>
      <c r="D3153" t="s">
        <v>273</v>
      </c>
      <c r="E3153" t="s">
        <v>1096</v>
      </c>
      <c r="F3153" t="s">
        <v>658</v>
      </c>
      <c r="G3153" t="s">
        <v>99</v>
      </c>
    </row>
    <row r="3154" spans="1:13" x14ac:dyDescent="0.3">
      <c r="A3154" t="s">
        <v>28</v>
      </c>
      <c r="B3154" t="s">
        <v>311</v>
      </c>
      <c r="C3154">
        <v>223</v>
      </c>
      <c r="D3154" t="s">
        <v>890</v>
      </c>
      <c r="E3154" t="s">
        <v>1381</v>
      </c>
      <c r="F3154" t="s">
        <v>139</v>
      </c>
      <c r="G3154" t="s">
        <v>571</v>
      </c>
    </row>
    <row r="3155" spans="1:13" x14ac:dyDescent="0.3">
      <c r="A3155" t="s">
        <v>28</v>
      </c>
      <c r="B3155" t="s">
        <v>312</v>
      </c>
      <c r="C3155">
        <v>93</v>
      </c>
      <c r="D3155" t="s">
        <v>124</v>
      </c>
      <c r="E3155" t="s">
        <v>759</v>
      </c>
      <c r="F3155" t="s">
        <v>105</v>
      </c>
      <c r="G3155" t="s">
        <v>468</v>
      </c>
    </row>
    <row r="3156" spans="1:13" x14ac:dyDescent="0.3">
      <c r="A3156" t="s">
        <v>28</v>
      </c>
      <c r="B3156" t="s">
        <v>308</v>
      </c>
      <c r="C3156">
        <v>1</v>
      </c>
      <c r="D3156" t="s">
        <v>103</v>
      </c>
      <c r="E3156" t="s">
        <v>192</v>
      </c>
      <c r="F3156" t="s">
        <v>103</v>
      </c>
      <c r="G3156" t="s">
        <v>103</v>
      </c>
    </row>
    <row r="3157" spans="1:13" x14ac:dyDescent="0.3">
      <c r="A3157" t="s">
        <v>27</v>
      </c>
      <c r="B3157" t="s">
        <v>311</v>
      </c>
      <c r="C3157">
        <v>237</v>
      </c>
      <c r="D3157" t="s">
        <v>511</v>
      </c>
      <c r="E3157" t="s">
        <v>1012</v>
      </c>
      <c r="F3157" t="s">
        <v>551</v>
      </c>
      <c r="G3157" t="s">
        <v>103</v>
      </c>
    </row>
    <row r="3158" spans="1:13" x14ac:dyDescent="0.3">
      <c r="A3158" t="s">
        <v>27</v>
      </c>
      <c r="B3158" t="s">
        <v>312</v>
      </c>
      <c r="C3158">
        <v>60</v>
      </c>
      <c r="D3158" t="s">
        <v>128</v>
      </c>
      <c r="E3158" t="s">
        <v>227</v>
      </c>
      <c r="F3158" t="s">
        <v>601</v>
      </c>
      <c r="G3158" t="s">
        <v>652</v>
      </c>
    </row>
    <row r="3159" spans="1:13" x14ac:dyDescent="0.3">
      <c r="A3159" t="s">
        <v>27</v>
      </c>
      <c r="B3159" t="s">
        <v>308</v>
      </c>
      <c r="C3159">
        <v>3</v>
      </c>
      <c r="D3159" t="s">
        <v>103</v>
      </c>
      <c r="E3159" t="s">
        <v>192</v>
      </c>
      <c r="F3159" t="s">
        <v>103</v>
      </c>
      <c r="G3159" t="s">
        <v>103</v>
      </c>
    </row>
    <row r="3160" spans="1:13" x14ac:dyDescent="0.3">
      <c r="A3160" t="s">
        <v>41</v>
      </c>
      <c r="B3160" t="s">
        <v>311</v>
      </c>
      <c r="C3160">
        <v>1541</v>
      </c>
      <c r="D3160" t="s">
        <v>111</v>
      </c>
      <c r="E3160" t="s">
        <v>296</v>
      </c>
      <c r="F3160" t="s">
        <v>494</v>
      </c>
      <c r="G3160" t="s">
        <v>140</v>
      </c>
    </row>
    <row r="3161" spans="1:13" x14ac:dyDescent="0.3">
      <c r="A3161" t="s">
        <v>41</v>
      </c>
      <c r="B3161" t="s">
        <v>312</v>
      </c>
      <c r="C3161">
        <v>432</v>
      </c>
      <c r="D3161" t="s">
        <v>517</v>
      </c>
      <c r="E3161" t="s">
        <v>1056</v>
      </c>
      <c r="F3161" t="s">
        <v>281</v>
      </c>
      <c r="G3161" t="s">
        <v>438</v>
      </c>
    </row>
    <row r="3162" spans="1:13" x14ac:dyDescent="0.3">
      <c r="A3162" t="s">
        <v>41</v>
      </c>
      <c r="B3162" t="s">
        <v>308</v>
      </c>
      <c r="C3162">
        <v>65</v>
      </c>
      <c r="D3162" t="s">
        <v>136</v>
      </c>
      <c r="E3162" t="s">
        <v>806</v>
      </c>
      <c r="F3162" t="s">
        <v>232</v>
      </c>
      <c r="G3162" t="s">
        <v>217</v>
      </c>
    </row>
    <row r="3164" spans="1:13" x14ac:dyDescent="0.3">
      <c r="A3164" t="s">
        <v>1444</v>
      </c>
    </row>
    <row r="3165" spans="1:13" x14ac:dyDescent="0.3">
      <c r="A3165" t="s">
        <v>36</v>
      </c>
      <c r="B3165" t="s">
        <v>24</v>
      </c>
      <c r="C3165" t="s">
        <v>1445</v>
      </c>
      <c r="D3165" t="s">
        <v>1446</v>
      </c>
      <c r="E3165" t="s">
        <v>1447</v>
      </c>
      <c r="F3165" t="s">
        <v>1448</v>
      </c>
      <c r="G3165" t="s">
        <v>1449</v>
      </c>
      <c r="H3165" t="s">
        <v>1450</v>
      </c>
      <c r="I3165" t="s">
        <v>1451</v>
      </c>
      <c r="J3165" t="s">
        <v>1452</v>
      </c>
      <c r="K3165" t="s">
        <v>1453</v>
      </c>
      <c r="L3165" t="s">
        <v>181</v>
      </c>
      <c r="M3165" t="s">
        <v>1454</v>
      </c>
    </row>
    <row r="3166" spans="1:13" x14ac:dyDescent="0.3">
      <c r="A3166" t="s">
        <v>25</v>
      </c>
      <c r="B3166">
        <v>139</v>
      </c>
      <c r="C3166" t="s">
        <v>148</v>
      </c>
      <c r="D3166" t="s">
        <v>33</v>
      </c>
      <c r="E3166" t="s">
        <v>1023</v>
      </c>
      <c r="F3166" t="s">
        <v>785</v>
      </c>
      <c r="G3166" t="s">
        <v>91</v>
      </c>
      <c r="H3166" t="s">
        <v>103</v>
      </c>
      <c r="I3166" t="s">
        <v>103</v>
      </c>
      <c r="J3166" t="s">
        <v>164</v>
      </c>
      <c r="K3166" t="s">
        <v>98</v>
      </c>
      <c r="L3166" t="s">
        <v>103</v>
      </c>
      <c r="M3166" t="s">
        <v>95</v>
      </c>
    </row>
    <row r="3167" spans="1:13" x14ac:dyDescent="0.3">
      <c r="A3167" t="s">
        <v>26</v>
      </c>
      <c r="B3167">
        <v>44</v>
      </c>
      <c r="C3167" t="s">
        <v>224</v>
      </c>
      <c r="D3167" t="s">
        <v>60</v>
      </c>
      <c r="E3167" t="s">
        <v>1227</v>
      </c>
      <c r="F3167" t="s">
        <v>1071</v>
      </c>
      <c r="G3167" t="s">
        <v>103</v>
      </c>
      <c r="H3167" t="s">
        <v>217</v>
      </c>
      <c r="I3167" t="s">
        <v>103</v>
      </c>
      <c r="J3167" t="s">
        <v>257</v>
      </c>
      <c r="K3167" t="s">
        <v>217</v>
      </c>
      <c r="L3167" t="s">
        <v>103</v>
      </c>
      <c r="M3167" t="s">
        <v>108</v>
      </c>
    </row>
    <row r="3168" spans="1:13" x14ac:dyDescent="0.3">
      <c r="A3168" t="s">
        <v>29</v>
      </c>
      <c r="B3168">
        <v>152</v>
      </c>
      <c r="C3168" t="s">
        <v>191</v>
      </c>
      <c r="D3168" t="s">
        <v>272</v>
      </c>
      <c r="E3168" t="s">
        <v>743</v>
      </c>
      <c r="F3168" t="s">
        <v>634</v>
      </c>
      <c r="G3168" t="s">
        <v>97</v>
      </c>
      <c r="H3168" t="s">
        <v>139</v>
      </c>
      <c r="I3168" t="s">
        <v>103</v>
      </c>
      <c r="J3168" t="s">
        <v>108</v>
      </c>
      <c r="K3168" t="s">
        <v>345</v>
      </c>
      <c r="L3168" t="s">
        <v>97</v>
      </c>
      <c r="M3168" t="s">
        <v>68</v>
      </c>
    </row>
    <row r="3169" spans="1:14" x14ac:dyDescent="0.3">
      <c r="A3169" t="s">
        <v>28</v>
      </c>
      <c r="B3169">
        <v>50</v>
      </c>
      <c r="C3169" t="s">
        <v>329</v>
      </c>
      <c r="D3169" t="s">
        <v>103</v>
      </c>
      <c r="E3169" t="s">
        <v>750</v>
      </c>
      <c r="F3169" t="s">
        <v>675</v>
      </c>
      <c r="G3169" t="s">
        <v>103</v>
      </c>
      <c r="H3169" t="s">
        <v>257</v>
      </c>
      <c r="I3169" t="s">
        <v>103</v>
      </c>
      <c r="J3169" t="s">
        <v>567</v>
      </c>
      <c r="K3169" t="s">
        <v>103</v>
      </c>
      <c r="L3169" t="s">
        <v>103</v>
      </c>
      <c r="M3169" t="s">
        <v>103</v>
      </c>
    </row>
    <row r="3170" spans="1:14" x14ac:dyDescent="0.3">
      <c r="A3170" t="s">
        <v>27</v>
      </c>
      <c r="B3170">
        <v>55</v>
      </c>
      <c r="C3170" t="s">
        <v>270</v>
      </c>
      <c r="D3170" t="s">
        <v>103</v>
      </c>
      <c r="E3170" t="s">
        <v>205</v>
      </c>
      <c r="F3170" t="s">
        <v>728</v>
      </c>
      <c r="G3170" t="s">
        <v>103</v>
      </c>
      <c r="H3170" t="s">
        <v>239</v>
      </c>
      <c r="I3170" t="s">
        <v>103</v>
      </c>
      <c r="J3170" t="s">
        <v>528</v>
      </c>
      <c r="K3170" t="s">
        <v>103</v>
      </c>
      <c r="L3170" t="s">
        <v>103</v>
      </c>
      <c r="M3170" t="s">
        <v>103</v>
      </c>
    </row>
    <row r="3171" spans="1:14" x14ac:dyDescent="0.3">
      <c r="A3171" t="s">
        <v>41</v>
      </c>
      <c r="B3171">
        <v>440</v>
      </c>
      <c r="C3171" t="s">
        <v>649</v>
      </c>
      <c r="D3171" t="s">
        <v>493</v>
      </c>
      <c r="E3171" t="s">
        <v>570</v>
      </c>
      <c r="F3171" t="s">
        <v>1423</v>
      </c>
      <c r="G3171" t="s">
        <v>116</v>
      </c>
      <c r="H3171" t="s">
        <v>98</v>
      </c>
      <c r="I3171" t="s">
        <v>103</v>
      </c>
      <c r="J3171" t="s">
        <v>652</v>
      </c>
      <c r="K3171" t="s">
        <v>345</v>
      </c>
      <c r="L3171" t="s">
        <v>116</v>
      </c>
      <c r="M3171" t="s">
        <v>266</v>
      </c>
    </row>
    <row r="3173" spans="1:14" x14ac:dyDescent="0.3">
      <c r="A3173" t="s">
        <v>1455</v>
      </c>
    </row>
    <row r="3174" spans="1:14" x14ac:dyDescent="0.3">
      <c r="A3174" t="s">
        <v>36</v>
      </c>
      <c r="B3174" t="s">
        <v>197</v>
      </c>
      <c r="C3174" t="s">
        <v>24</v>
      </c>
      <c r="D3174" t="s">
        <v>1445</v>
      </c>
      <c r="E3174" t="s">
        <v>1446</v>
      </c>
      <c r="F3174" t="s">
        <v>1447</v>
      </c>
      <c r="G3174" t="s">
        <v>1448</v>
      </c>
      <c r="H3174" t="s">
        <v>1449</v>
      </c>
      <c r="I3174" t="s">
        <v>1450</v>
      </c>
      <c r="J3174" t="s">
        <v>1451</v>
      </c>
      <c r="K3174" t="s">
        <v>1452</v>
      </c>
      <c r="L3174" t="s">
        <v>1453</v>
      </c>
      <c r="M3174" t="s">
        <v>181</v>
      </c>
      <c r="N3174" t="s">
        <v>1454</v>
      </c>
    </row>
    <row r="3175" spans="1:14" s="3" customFormat="1" x14ac:dyDescent="0.3">
      <c r="A3175" s="3" t="s">
        <v>25</v>
      </c>
      <c r="B3175" s="3" t="s">
        <v>198</v>
      </c>
      <c r="C3175" s="3">
        <v>30</v>
      </c>
      <c r="D3175" s="3" t="s">
        <v>463</v>
      </c>
      <c r="E3175" s="3" t="s">
        <v>662</v>
      </c>
      <c r="F3175" s="3" t="s">
        <v>234</v>
      </c>
      <c r="G3175" s="3" t="s">
        <v>403</v>
      </c>
      <c r="H3175" s="3" t="s">
        <v>103</v>
      </c>
      <c r="I3175" s="3" t="s">
        <v>103</v>
      </c>
      <c r="J3175" s="3" t="s">
        <v>103</v>
      </c>
      <c r="K3175" s="3" t="s">
        <v>460</v>
      </c>
      <c r="L3175" s="3" t="s">
        <v>133</v>
      </c>
      <c r="M3175" s="3" t="s">
        <v>103</v>
      </c>
      <c r="N3175" s="3" t="s">
        <v>103</v>
      </c>
    </row>
    <row r="3176" spans="1:14" x14ac:dyDescent="0.3">
      <c r="A3176" t="s">
        <v>25</v>
      </c>
      <c r="B3176" t="s">
        <v>199</v>
      </c>
      <c r="C3176">
        <v>109</v>
      </c>
      <c r="D3176" t="s">
        <v>167</v>
      </c>
      <c r="E3176" t="s">
        <v>32</v>
      </c>
      <c r="F3176" t="s">
        <v>667</v>
      </c>
      <c r="G3176" t="s">
        <v>1369</v>
      </c>
      <c r="H3176" t="s">
        <v>91</v>
      </c>
      <c r="I3176" t="s">
        <v>103</v>
      </c>
      <c r="J3176" t="s">
        <v>103</v>
      </c>
      <c r="K3176" t="s">
        <v>750</v>
      </c>
      <c r="L3176" t="s">
        <v>103</v>
      </c>
      <c r="M3176" t="s">
        <v>103</v>
      </c>
      <c r="N3176" t="s">
        <v>139</v>
      </c>
    </row>
    <row r="3177" spans="1:14" s="3" customFormat="1" x14ac:dyDescent="0.3">
      <c r="A3177" s="3" t="s">
        <v>26</v>
      </c>
      <c r="B3177" s="3" t="s">
        <v>198</v>
      </c>
      <c r="C3177" s="3">
        <v>5</v>
      </c>
      <c r="D3177" s="3" t="s">
        <v>103</v>
      </c>
      <c r="E3177" s="3" t="s">
        <v>103</v>
      </c>
      <c r="F3177" s="3" t="s">
        <v>469</v>
      </c>
      <c r="G3177" s="3" t="s">
        <v>725</v>
      </c>
      <c r="H3177" s="3" t="s">
        <v>103</v>
      </c>
      <c r="I3177" s="3" t="s">
        <v>103</v>
      </c>
      <c r="J3177" s="3" t="s">
        <v>103</v>
      </c>
      <c r="K3177" s="3" t="s">
        <v>103</v>
      </c>
      <c r="L3177" s="3" t="s">
        <v>103</v>
      </c>
      <c r="M3177" s="3" t="s">
        <v>103</v>
      </c>
      <c r="N3177" s="3" t="s">
        <v>103</v>
      </c>
    </row>
    <row r="3178" spans="1:14" x14ac:dyDescent="0.3">
      <c r="A3178" t="s">
        <v>26</v>
      </c>
      <c r="B3178" t="s">
        <v>199</v>
      </c>
      <c r="C3178">
        <v>39</v>
      </c>
      <c r="D3178" t="s">
        <v>693</v>
      </c>
      <c r="E3178" t="s">
        <v>108</v>
      </c>
      <c r="F3178" t="s">
        <v>480</v>
      </c>
      <c r="G3178" t="s">
        <v>1401</v>
      </c>
      <c r="H3178" t="s">
        <v>103</v>
      </c>
      <c r="I3178" t="s">
        <v>270</v>
      </c>
      <c r="J3178" t="s">
        <v>103</v>
      </c>
      <c r="K3178" t="s">
        <v>64</v>
      </c>
      <c r="L3178" t="s">
        <v>270</v>
      </c>
      <c r="M3178" t="s">
        <v>103</v>
      </c>
      <c r="N3178" t="s">
        <v>254</v>
      </c>
    </row>
    <row r="3179" spans="1:14" x14ac:dyDescent="0.3">
      <c r="A3179" t="s">
        <v>29</v>
      </c>
      <c r="B3179" t="s">
        <v>198</v>
      </c>
      <c r="C3179">
        <v>37</v>
      </c>
      <c r="D3179" t="s">
        <v>140</v>
      </c>
      <c r="E3179" t="s">
        <v>64</v>
      </c>
      <c r="F3179" t="s">
        <v>150</v>
      </c>
      <c r="G3179" t="s">
        <v>892</v>
      </c>
      <c r="H3179" t="s">
        <v>93</v>
      </c>
      <c r="I3179" t="s">
        <v>102</v>
      </c>
      <c r="J3179" t="s">
        <v>103</v>
      </c>
      <c r="K3179" t="s">
        <v>191</v>
      </c>
      <c r="L3179" t="s">
        <v>103</v>
      </c>
      <c r="M3179" t="s">
        <v>103</v>
      </c>
      <c r="N3179" t="s">
        <v>543</v>
      </c>
    </row>
    <row r="3180" spans="1:14" x14ac:dyDescent="0.3">
      <c r="A3180" t="s">
        <v>29</v>
      </c>
      <c r="B3180" t="s">
        <v>199</v>
      </c>
      <c r="C3180">
        <v>115</v>
      </c>
      <c r="D3180" t="s">
        <v>269</v>
      </c>
      <c r="E3180" t="s">
        <v>467</v>
      </c>
      <c r="F3180" t="s">
        <v>111</v>
      </c>
      <c r="G3180" t="s">
        <v>774</v>
      </c>
      <c r="H3180" t="s">
        <v>103</v>
      </c>
      <c r="I3180" t="s">
        <v>103</v>
      </c>
      <c r="J3180" t="s">
        <v>103</v>
      </c>
      <c r="K3180" t="s">
        <v>494</v>
      </c>
      <c r="L3180" t="s">
        <v>239</v>
      </c>
      <c r="M3180" t="s">
        <v>120</v>
      </c>
      <c r="N3180" t="s">
        <v>282</v>
      </c>
    </row>
    <row r="3181" spans="1:14" s="3" customFormat="1" x14ac:dyDescent="0.3">
      <c r="A3181" s="3" t="s">
        <v>28</v>
      </c>
      <c r="B3181" s="3" t="s">
        <v>198</v>
      </c>
      <c r="C3181" s="3">
        <v>15</v>
      </c>
      <c r="D3181" s="3" t="s">
        <v>103</v>
      </c>
      <c r="E3181" s="3" t="s">
        <v>103</v>
      </c>
      <c r="F3181" s="3" t="s">
        <v>102</v>
      </c>
      <c r="G3181" s="3" t="s">
        <v>303</v>
      </c>
      <c r="H3181" s="3" t="s">
        <v>103</v>
      </c>
      <c r="I3181" s="3" t="s">
        <v>103</v>
      </c>
      <c r="J3181" s="3" t="s">
        <v>103</v>
      </c>
      <c r="K3181" s="3" t="s">
        <v>304</v>
      </c>
      <c r="L3181" s="3" t="s">
        <v>103</v>
      </c>
      <c r="M3181" s="3" t="s">
        <v>103</v>
      </c>
      <c r="N3181" s="3" t="s">
        <v>103</v>
      </c>
    </row>
    <row r="3182" spans="1:14" x14ac:dyDescent="0.3">
      <c r="A3182" t="s">
        <v>28</v>
      </c>
      <c r="B3182" t="s">
        <v>199</v>
      </c>
      <c r="C3182">
        <v>35</v>
      </c>
      <c r="D3182" t="s">
        <v>68</v>
      </c>
      <c r="E3182" t="s">
        <v>103</v>
      </c>
      <c r="F3182" t="s">
        <v>155</v>
      </c>
      <c r="G3182" t="s">
        <v>801</v>
      </c>
      <c r="H3182" t="s">
        <v>103</v>
      </c>
      <c r="I3182" t="s">
        <v>188</v>
      </c>
      <c r="J3182" t="s">
        <v>103</v>
      </c>
      <c r="K3182" t="s">
        <v>1198</v>
      </c>
      <c r="L3182" t="s">
        <v>103</v>
      </c>
      <c r="M3182" t="s">
        <v>103</v>
      </c>
      <c r="N3182" t="s">
        <v>103</v>
      </c>
    </row>
    <row r="3183" spans="1:14" s="3" customFormat="1" x14ac:dyDescent="0.3">
      <c r="A3183" s="3" t="s">
        <v>27</v>
      </c>
      <c r="B3183" s="3" t="s">
        <v>198</v>
      </c>
      <c r="C3183" s="3">
        <v>26</v>
      </c>
      <c r="D3183" s="3" t="s">
        <v>114</v>
      </c>
      <c r="E3183" s="3" t="s">
        <v>103</v>
      </c>
      <c r="F3183" s="3" t="s">
        <v>262</v>
      </c>
      <c r="G3183" s="3" t="s">
        <v>1154</v>
      </c>
      <c r="H3183" s="3" t="s">
        <v>103</v>
      </c>
      <c r="I3183" s="3" t="s">
        <v>103</v>
      </c>
      <c r="J3183" s="3" t="s">
        <v>103</v>
      </c>
      <c r="K3183" s="3" t="s">
        <v>544</v>
      </c>
      <c r="L3183" s="3" t="s">
        <v>103</v>
      </c>
      <c r="M3183" s="3" t="s">
        <v>103</v>
      </c>
      <c r="N3183" s="3" t="s">
        <v>103</v>
      </c>
    </row>
    <row r="3184" spans="1:14" s="3" customFormat="1" x14ac:dyDescent="0.3">
      <c r="A3184" s="3" t="s">
        <v>27</v>
      </c>
      <c r="B3184" s="3" t="s">
        <v>199</v>
      </c>
      <c r="C3184" s="3">
        <v>29</v>
      </c>
      <c r="D3184" s="3" t="s">
        <v>128</v>
      </c>
      <c r="E3184" s="3" t="s">
        <v>103</v>
      </c>
      <c r="F3184" s="3" t="s">
        <v>126</v>
      </c>
      <c r="G3184" s="3" t="s">
        <v>1456</v>
      </c>
      <c r="H3184" s="3" t="s">
        <v>103</v>
      </c>
      <c r="I3184" s="3" t="s">
        <v>118</v>
      </c>
      <c r="J3184" s="3" t="s">
        <v>103</v>
      </c>
      <c r="K3184" s="3" t="s">
        <v>829</v>
      </c>
      <c r="L3184" s="3" t="s">
        <v>103</v>
      </c>
      <c r="M3184" s="3" t="s">
        <v>103</v>
      </c>
      <c r="N3184" s="3" t="s">
        <v>103</v>
      </c>
    </row>
    <row r="3185" spans="1:14" x14ac:dyDescent="0.3">
      <c r="A3185" t="s">
        <v>41</v>
      </c>
      <c r="B3185" t="s">
        <v>198</v>
      </c>
      <c r="C3185">
        <v>113</v>
      </c>
      <c r="D3185" t="s">
        <v>190</v>
      </c>
      <c r="E3185" t="s">
        <v>270</v>
      </c>
      <c r="F3185" t="s">
        <v>160</v>
      </c>
      <c r="G3185" t="s">
        <v>1175</v>
      </c>
      <c r="H3185" t="s">
        <v>194</v>
      </c>
      <c r="I3185" t="s">
        <v>329</v>
      </c>
      <c r="J3185" t="s">
        <v>103</v>
      </c>
      <c r="K3185" t="s">
        <v>244</v>
      </c>
      <c r="L3185" t="s">
        <v>345</v>
      </c>
      <c r="M3185" t="s">
        <v>103</v>
      </c>
      <c r="N3185" t="s">
        <v>594</v>
      </c>
    </row>
    <row r="3186" spans="1:14" x14ac:dyDescent="0.3">
      <c r="A3186" t="s">
        <v>41</v>
      </c>
      <c r="B3186" t="s">
        <v>199</v>
      </c>
      <c r="C3186">
        <v>327</v>
      </c>
      <c r="D3186" t="s">
        <v>169</v>
      </c>
      <c r="E3186" t="s">
        <v>591</v>
      </c>
      <c r="F3186" t="s">
        <v>829</v>
      </c>
      <c r="G3186" t="s">
        <v>1169</v>
      </c>
      <c r="H3186" t="s">
        <v>103</v>
      </c>
      <c r="I3186" t="s">
        <v>97</v>
      </c>
      <c r="J3186" t="s">
        <v>103</v>
      </c>
      <c r="K3186" t="s">
        <v>99</v>
      </c>
      <c r="L3186" t="s">
        <v>345</v>
      </c>
      <c r="M3186" t="s">
        <v>122</v>
      </c>
      <c r="N3186" t="s">
        <v>245</v>
      </c>
    </row>
    <row r="3188" spans="1:14" x14ac:dyDescent="0.3">
      <c r="A3188" t="s">
        <v>1457</v>
      </c>
    </row>
    <row r="3189" spans="1:14" x14ac:dyDescent="0.3">
      <c r="A3189" t="s">
        <v>36</v>
      </c>
      <c r="B3189" t="s">
        <v>307</v>
      </c>
      <c r="C3189" t="s">
        <v>24</v>
      </c>
      <c r="D3189" t="s">
        <v>1445</v>
      </c>
      <c r="E3189" t="s">
        <v>1446</v>
      </c>
      <c r="F3189" t="s">
        <v>1447</v>
      </c>
      <c r="G3189" t="s">
        <v>1448</v>
      </c>
      <c r="H3189" t="s">
        <v>1449</v>
      </c>
      <c r="I3189" t="s">
        <v>1450</v>
      </c>
      <c r="J3189" t="s">
        <v>1451</v>
      </c>
      <c r="K3189" t="s">
        <v>1452</v>
      </c>
      <c r="L3189" t="s">
        <v>1453</v>
      </c>
      <c r="M3189" t="s">
        <v>181</v>
      </c>
      <c r="N3189" t="s">
        <v>1454</v>
      </c>
    </row>
    <row r="3190" spans="1:14" x14ac:dyDescent="0.3">
      <c r="A3190" t="s">
        <v>25</v>
      </c>
      <c r="B3190" t="s">
        <v>291</v>
      </c>
      <c r="C3190">
        <v>53</v>
      </c>
      <c r="D3190" t="s">
        <v>566</v>
      </c>
      <c r="E3190" t="s">
        <v>662</v>
      </c>
      <c r="F3190" t="s">
        <v>734</v>
      </c>
      <c r="G3190" t="s">
        <v>822</v>
      </c>
      <c r="H3190" t="s">
        <v>103</v>
      </c>
      <c r="I3190" t="s">
        <v>103</v>
      </c>
      <c r="J3190" t="s">
        <v>103</v>
      </c>
      <c r="K3190" t="s">
        <v>148</v>
      </c>
      <c r="L3190" t="s">
        <v>103</v>
      </c>
      <c r="M3190" t="s">
        <v>103</v>
      </c>
      <c r="N3190" t="s">
        <v>103</v>
      </c>
    </row>
    <row r="3191" spans="1:14" x14ac:dyDescent="0.3">
      <c r="A3191" t="s">
        <v>25</v>
      </c>
      <c r="B3191" t="s">
        <v>292</v>
      </c>
      <c r="C3191">
        <v>83</v>
      </c>
      <c r="D3191" t="s">
        <v>152</v>
      </c>
      <c r="E3191" t="s">
        <v>615</v>
      </c>
      <c r="F3191" t="s">
        <v>685</v>
      </c>
      <c r="G3191" t="s">
        <v>784</v>
      </c>
      <c r="H3191" t="s">
        <v>66</v>
      </c>
      <c r="I3191" t="s">
        <v>103</v>
      </c>
      <c r="J3191" t="s">
        <v>103</v>
      </c>
      <c r="K3191" t="s">
        <v>925</v>
      </c>
      <c r="L3191" t="s">
        <v>216</v>
      </c>
      <c r="M3191" t="s">
        <v>103</v>
      </c>
      <c r="N3191" t="s">
        <v>345</v>
      </c>
    </row>
    <row r="3192" spans="1:14" x14ac:dyDescent="0.3">
      <c r="A3192" t="s">
        <v>25</v>
      </c>
      <c r="B3192" t="s">
        <v>308</v>
      </c>
      <c r="C3192">
        <v>3</v>
      </c>
      <c r="D3192" t="s">
        <v>103</v>
      </c>
      <c r="E3192" t="s">
        <v>103</v>
      </c>
      <c r="F3192" t="s">
        <v>103</v>
      </c>
      <c r="G3192" t="s">
        <v>192</v>
      </c>
      <c r="H3192" t="s">
        <v>103</v>
      </c>
      <c r="I3192" t="s">
        <v>103</v>
      </c>
      <c r="J3192" t="s">
        <v>103</v>
      </c>
      <c r="K3192" t="s">
        <v>103</v>
      </c>
      <c r="L3192" t="s">
        <v>103</v>
      </c>
      <c r="M3192" t="s">
        <v>103</v>
      </c>
      <c r="N3192" t="s">
        <v>103</v>
      </c>
    </row>
    <row r="3193" spans="1:14" s="3" customFormat="1" x14ac:dyDescent="0.3">
      <c r="A3193" s="3" t="s">
        <v>26</v>
      </c>
      <c r="B3193" s="3" t="s">
        <v>291</v>
      </c>
      <c r="C3193" s="3">
        <v>17</v>
      </c>
      <c r="D3193" s="3" t="s">
        <v>281</v>
      </c>
      <c r="E3193" s="3" t="s">
        <v>103</v>
      </c>
      <c r="F3193" s="3" t="s">
        <v>352</v>
      </c>
      <c r="G3193" s="3" t="s">
        <v>593</v>
      </c>
      <c r="H3193" s="3" t="s">
        <v>103</v>
      </c>
      <c r="I3193" s="3" t="s">
        <v>607</v>
      </c>
      <c r="J3193" s="3" t="s">
        <v>103</v>
      </c>
      <c r="K3193" s="3" t="s">
        <v>594</v>
      </c>
      <c r="L3193" s="3" t="s">
        <v>103</v>
      </c>
      <c r="M3193" s="3" t="s">
        <v>103</v>
      </c>
      <c r="N3193" s="3" t="s">
        <v>531</v>
      </c>
    </row>
    <row r="3194" spans="1:14" s="3" customFormat="1" x14ac:dyDescent="0.3">
      <c r="A3194" s="3" t="s">
        <v>26</v>
      </c>
      <c r="B3194" s="3" t="s">
        <v>292</v>
      </c>
      <c r="C3194" s="3">
        <v>26</v>
      </c>
      <c r="D3194" s="3" t="s">
        <v>136</v>
      </c>
      <c r="E3194" s="3" t="s">
        <v>918</v>
      </c>
      <c r="F3194" s="3" t="s">
        <v>569</v>
      </c>
      <c r="G3194" s="3" t="s">
        <v>1039</v>
      </c>
      <c r="H3194" s="3" t="s">
        <v>103</v>
      </c>
      <c r="I3194" s="3" t="s">
        <v>103</v>
      </c>
      <c r="J3194" s="3" t="s">
        <v>103</v>
      </c>
      <c r="K3194" s="3" t="s">
        <v>103</v>
      </c>
      <c r="L3194" s="3" t="s">
        <v>532</v>
      </c>
      <c r="M3194" s="3" t="s">
        <v>103</v>
      </c>
      <c r="N3194" s="3" t="s">
        <v>693</v>
      </c>
    </row>
    <row r="3195" spans="1:14" x14ac:dyDescent="0.3">
      <c r="A3195" t="s">
        <v>26</v>
      </c>
      <c r="B3195" t="s">
        <v>308</v>
      </c>
      <c r="C3195">
        <v>1</v>
      </c>
      <c r="D3195" t="s">
        <v>103</v>
      </c>
      <c r="E3195" t="s">
        <v>103</v>
      </c>
      <c r="F3195" t="s">
        <v>103</v>
      </c>
      <c r="G3195" t="s">
        <v>192</v>
      </c>
      <c r="H3195" t="s">
        <v>103</v>
      </c>
      <c r="I3195" t="s">
        <v>103</v>
      </c>
      <c r="J3195" t="s">
        <v>103</v>
      </c>
      <c r="K3195" t="s">
        <v>103</v>
      </c>
      <c r="L3195" t="s">
        <v>103</v>
      </c>
      <c r="M3195" t="s">
        <v>103</v>
      </c>
      <c r="N3195" t="s">
        <v>103</v>
      </c>
    </row>
    <row r="3196" spans="1:14" x14ac:dyDescent="0.3">
      <c r="A3196" t="s">
        <v>29</v>
      </c>
      <c r="B3196" t="s">
        <v>291</v>
      </c>
      <c r="C3196">
        <v>57</v>
      </c>
      <c r="D3196" t="s">
        <v>493</v>
      </c>
      <c r="E3196" t="s">
        <v>257</v>
      </c>
      <c r="F3196" t="s">
        <v>517</v>
      </c>
      <c r="G3196" t="s">
        <v>903</v>
      </c>
      <c r="H3196" t="s">
        <v>103</v>
      </c>
      <c r="I3196" t="s">
        <v>103</v>
      </c>
      <c r="J3196" t="s">
        <v>103</v>
      </c>
      <c r="K3196" t="s">
        <v>558</v>
      </c>
      <c r="L3196" t="s">
        <v>270</v>
      </c>
      <c r="M3196" t="s">
        <v>194</v>
      </c>
      <c r="N3196" t="s">
        <v>105</v>
      </c>
    </row>
    <row r="3197" spans="1:14" x14ac:dyDescent="0.3">
      <c r="A3197" t="s">
        <v>29</v>
      </c>
      <c r="B3197" t="s">
        <v>292</v>
      </c>
      <c r="C3197">
        <v>95</v>
      </c>
      <c r="D3197" t="s">
        <v>150</v>
      </c>
      <c r="E3197" t="s">
        <v>125</v>
      </c>
      <c r="F3197" t="s">
        <v>271</v>
      </c>
      <c r="G3197" t="s">
        <v>899</v>
      </c>
      <c r="H3197" t="s">
        <v>139</v>
      </c>
      <c r="I3197" t="s">
        <v>194</v>
      </c>
      <c r="J3197" t="s">
        <v>103</v>
      </c>
      <c r="K3197" t="s">
        <v>629</v>
      </c>
      <c r="L3197" t="s">
        <v>103</v>
      </c>
      <c r="M3197" t="s">
        <v>103</v>
      </c>
      <c r="N3197" t="s">
        <v>114</v>
      </c>
    </row>
    <row r="3198" spans="1:14" s="3" customFormat="1" x14ac:dyDescent="0.3">
      <c r="A3198" s="3" t="s">
        <v>28</v>
      </c>
      <c r="B3198" s="3" t="s">
        <v>291</v>
      </c>
      <c r="C3198" s="3">
        <v>28</v>
      </c>
      <c r="D3198" s="3" t="s">
        <v>102</v>
      </c>
      <c r="E3198" s="3" t="s">
        <v>103</v>
      </c>
      <c r="F3198" s="3" t="s">
        <v>654</v>
      </c>
      <c r="G3198" s="3" t="s">
        <v>1029</v>
      </c>
      <c r="H3198" s="3" t="s">
        <v>103</v>
      </c>
      <c r="I3198" s="3" t="s">
        <v>329</v>
      </c>
      <c r="J3198" s="3" t="s">
        <v>103</v>
      </c>
      <c r="K3198" s="3" t="s">
        <v>121</v>
      </c>
      <c r="L3198" s="3" t="s">
        <v>103</v>
      </c>
      <c r="M3198" s="3" t="s">
        <v>103</v>
      </c>
      <c r="N3198" s="3" t="s">
        <v>103</v>
      </c>
    </row>
    <row r="3199" spans="1:14" s="3" customFormat="1" x14ac:dyDescent="0.3">
      <c r="A3199" s="3" t="s">
        <v>28</v>
      </c>
      <c r="B3199" s="3" t="s">
        <v>292</v>
      </c>
      <c r="C3199" s="3">
        <v>20</v>
      </c>
      <c r="D3199" s="3" t="s">
        <v>103</v>
      </c>
      <c r="E3199" s="3" t="s">
        <v>103</v>
      </c>
      <c r="F3199" s="3" t="s">
        <v>195</v>
      </c>
      <c r="G3199" s="3" t="s">
        <v>1242</v>
      </c>
      <c r="H3199" s="3" t="s">
        <v>103</v>
      </c>
      <c r="I3199" s="3" t="s">
        <v>438</v>
      </c>
      <c r="J3199" s="3" t="s">
        <v>103</v>
      </c>
      <c r="K3199" s="3" t="s">
        <v>500</v>
      </c>
      <c r="L3199" s="3" t="s">
        <v>103</v>
      </c>
      <c r="M3199" s="3" t="s">
        <v>103</v>
      </c>
      <c r="N3199" s="3" t="s">
        <v>103</v>
      </c>
    </row>
    <row r="3200" spans="1:14" x14ac:dyDescent="0.3">
      <c r="A3200" t="s">
        <v>28</v>
      </c>
      <c r="B3200" t="s">
        <v>308</v>
      </c>
      <c r="C3200">
        <v>2</v>
      </c>
      <c r="D3200" t="s">
        <v>103</v>
      </c>
      <c r="E3200" t="s">
        <v>103</v>
      </c>
      <c r="F3200" t="s">
        <v>103</v>
      </c>
      <c r="G3200" t="s">
        <v>192</v>
      </c>
      <c r="H3200" t="s">
        <v>103</v>
      </c>
      <c r="I3200" t="s">
        <v>103</v>
      </c>
      <c r="J3200" t="s">
        <v>103</v>
      </c>
      <c r="K3200" t="s">
        <v>103</v>
      </c>
      <c r="L3200" t="s">
        <v>103</v>
      </c>
      <c r="M3200" t="s">
        <v>103</v>
      </c>
      <c r="N3200" t="s">
        <v>103</v>
      </c>
    </row>
    <row r="3201" spans="1:14" s="3" customFormat="1" x14ac:dyDescent="0.3">
      <c r="A3201" s="3" t="s">
        <v>27</v>
      </c>
      <c r="B3201" s="3" t="s">
        <v>291</v>
      </c>
      <c r="C3201" s="3">
        <v>17</v>
      </c>
      <c r="D3201" s="3" t="s">
        <v>281</v>
      </c>
      <c r="E3201" s="3" t="s">
        <v>103</v>
      </c>
      <c r="F3201" s="3" t="s">
        <v>466</v>
      </c>
      <c r="G3201" s="3" t="s">
        <v>192</v>
      </c>
      <c r="H3201" s="3" t="s">
        <v>103</v>
      </c>
      <c r="I3201" s="3" t="s">
        <v>103</v>
      </c>
      <c r="J3201" s="3" t="s">
        <v>103</v>
      </c>
      <c r="K3201" s="3" t="s">
        <v>103</v>
      </c>
      <c r="L3201" s="3" t="s">
        <v>103</v>
      </c>
      <c r="M3201" s="3" t="s">
        <v>103</v>
      </c>
      <c r="N3201" s="3" t="s">
        <v>103</v>
      </c>
    </row>
    <row r="3202" spans="1:14" x14ac:dyDescent="0.3">
      <c r="A3202" t="s">
        <v>27</v>
      </c>
      <c r="B3202" t="s">
        <v>292</v>
      </c>
      <c r="C3202">
        <v>36</v>
      </c>
      <c r="D3202" t="s">
        <v>329</v>
      </c>
      <c r="E3202" t="s">
        <v>103</v>
      </c>
      <c r="F3202" t="s">
        <v>247</v>
      </c>
      <c r="G3202" t="s">
        <v>1013</v>
      </c>
      <c r="H3202" t="s">
        <v>103</v>
      </c>
      <c r="I3202" t="s">
        <v>329</v>
      </c>
      <c r="J3202" t="s">
        <v>103</v>
      </c>
      <c r="K3202" t="s">
        <v>50</v>
      </c>
      <c r="L3202" t="s">
        <v>103</v>
      </c>
      <c r="M3202" t="s">
        <v>103</v>
      </c>
      <c r="N3202" t="s">
        <v>103</v>
      </c>
    </row>
    <row r="3203" spans="1:14" x14ac:dyDescent="0.3">
      <c r="A3203" t="s">
        <v>27</v>
      </c>
      <c r="B3203" t="s">
        <v>308</v>
      </c>
      <c r="C3203">
        <v>2</v>
      </c>
      <c r="D3203" t="s">
        <v>103</v>
      </c>
      <c r="E3203" t="s">
        <v>103</v>
      </c>
      <c r="F3203" t="s">
        <v>103</v>
      </c>
      <c r="G3203" t="s">
        <v>1250</v>
      </c>
      <c r="H3203" t="s">
        <v>103</v>
      </c>
      <c r="I3203" t="s">
        <v>103</v>
      </c>
      <c r="J3203" t="s">
        <v>103</v>
      </c>
      <c r="K3203" t="s">
        <v>572</v>
      </c>
      <c r="L3203" t="s">
        <v>103</v>
      </c>
      <c r="M3203" t="s">
        <v>103</v>
      </c>
      <c r="N3203" t="s">
        <v>103</v>
      </c>
    </row>
    <row r="3204" spans="1:14" x14ac:dyDescent="0.3">
      <c r="A3204" t="s">
        <v>41</v>
      </c>
      <c r="B3204" t="s">
        <v>291</v>
      </c>
      <c r="C3204">
        <v>172</v>
      </c>
      <c r="D3204" t="s">
        <v>251</v>
      </c>
      <c r="E3204" t="s">
        <v>64</v>
      </c>
      <c r="F3204" t="s">
        <v>275</v>
      </c>
      <c r="G3204" t="s">
        <v>1316</v>
      </c>
      <c r="H3204" t="s">
        <v>103</v>
      </c>
      <c r="I3204" t="s">
        <v>139</v>
      </c>
      <c r="J3204" t="s">
        <v>103</v>
      </c>
      <c r="K3204" t="s">
        <v>254</v>
      </c>
      <c r="L3204" t="s">
        <v>245</v>
      </c>
      <c r="M3204" t="s">
        <v>95</v>
      </c>
      <c r="N3204" t="s">
        <v>216</v>
      </c>
    </row>
    <row r="3205" spans="1:14" x14ac:dyDescent="0.3">
      <c r="A3205" t="s">
        <v>41</v>
      </c>
      <c r="B3205" t="s">
        <v>292</v>
      </c>
      <c r="C3205">
        <v>260</v>
      </c>
      <c r="D3205" t="s">
        <v>544</v>
      </c>
      <c r="E3205" t="s">
        <v>201</v>
      </c>
      <c r="F3205" t="s">
        <v>46</v>
      </c>
      <c r="G3205" t="s">
        <v>1322</v>
      </c>
      <c r="H3205" t="s">
        <v>97</v>
      </c>
      <c r="I3205" t="s">
        <v>98</v>
      </c>
      <c r="J3205" t="s">
        <v>103</v>
      </c>
      <c r="K3205" t="s">
        <v>123</v>
      </c>
      <c r="L3205" t="s">
        <v>139</v>
      </c>
      <c r="M3205" t="s">
        <v>103</v>
      </c>
      <c r="N3205" t="s">
        <v>438</v>
      </c>
    </row>
    <row r="3206" spans="1:14" x14ac:dyDescent="0.3">
      <c r="A3206" t="s">
        <v>41</v>
      </c>
      <c r="B3206" t="s">
        <v>308</v>
      </c>
      <c r="C3206">
        <v>8</v>
      </c>
      <c r="D3206" t="s">
        <v>103</v>
      </c>
      <c r="E3206" t="s">
        <v>103</v>
      </c>
      <c r="F3206" t="s">
        <v>103</v>
      </c>
      <c r="G3206" t="s">
        <v>590</v>
      </c>
      <c r="H3206" t="s">
        <v>103</v>
      </c>
      <c r="I3206" t="s">
        <v>103</v>
      </c>
      <c r="J3206" t="s">
        <v>103</v>
      </c>
      <c r="K3206" t="s">
        <v>126</v>
      </c>
      <c r="L3206" t="s">
        <v>103</v>
      </c>
      <c r="M3206" t="s">
        <v>103</v>
      </c>
      <c r="N3206" t="s">
        <v>103</v>
      </c>
    </row>
    <row r="3208" spans="1:14" x14ac:dyDescent="0.3">
      <c r="A3208" t="s">
        <v>1458</v>
      </c>
    </row>
    <row r="3209" spans="1:14" x14ac:dyDescent="0.3">
      <c r="A3209" t="s">
        <v>36</v>
      </c>
      <c r="B3209" t="s">
        <v>763</v>
      </c>
      <c r="C3209" t="s">
        <v>24</v>
      </c>
      <c r="D3209" t="s">
        <v>1445</v>
      </c>
      <c r="E3209" t="s">
        <v>1446</v>
      </c>
      <c r="F3209" t="s">
        <v>1447</v>
      </c>
      <c r="G3209" t="s">
        <v>1448</v>
      </c>
      <c r="H3209" t="s">
        <v>1449</v>
      </c>
      <c r="I3209" t="s">
        <v>1450</v>
      </c>
      <c r="J3209" t="s">
        <v>1451</v>
      </c>
      <c r="K3209" t="s">
        <v>1452</v>
      </c>
      <c r="L3209" t="s">
        <v>1453</v>
      </c>
      <c r="M3209" t="s">
        <v>181</v>
      </c>
      <c r="N3209" t="s">
        <v>1454</v>
      </c>
    </row>
    <row r="3210" spans="1:14" s="3" customFormat="1" x14ac:dyDescent="0.3">
      <c r="A3210" s="3" t="s">
        <v>25</v>
      </c>
      <c r="B3210" s="3" t="s">
        <v>764</v>
      </c>
      <c r="C3210" s="3">
        <v>10</v>
      </c>
      <c r="D3210" s="3" t="s">
        <v>62</v>
      </c>
      <c r="E3210" s="3" t="s">
        <v>575</v>
      </c>
      <c r="F3210" s="3" t="s">
        <v>1070</v>
      </c>
      <c r="G3210" s="3" t="s">
        <v>1459</v>
      </c>
      <c r="H3210" s="3" t="s">
        <v>103</v>
      </c>
      <c r="I3210" s="3" t="s">
        <v>103</v>
      </c>
      <c r="J3210" s="3" t="s">
        <v>103</v>
      </c>
      <c r="K3210" s="3" t="s">
        <v>103</v>
      </c>
      <c r="L3210" s="3" t="s">
        <v>103</v>
      </c>
      <c r="M3210" s="3" t="s">
        <v>103</v>
      </c>
      <c r="N3210" s="3" t="s">
        <v>103</v>
      </c>
    </row>
    <row r="3211" spans="1:14" x14ac:dyDescent="0.3">
      <c r="A3211" t="s">
        <v>25</v>
      </c>
      <c r="B3211" t="s">
        <v>765</v>
      </c>
      <c r="C3211">
        <v>98</v>
      </c>
      <c r="D3211" t="s">
        <v>693</v>
      </c>
      <c r="E3211" t="s">
        <v>107</v>
      </c>
      <c r="F3211" t="s">
        <v>825</v>
      </c>
      <c r="G3211" t="s">
        <v>1037</v>
      </c>
      <c r="H3211" t="s">
        <v>103</v>
      </c>
      <c r="I3211" t="s">
        <v>103</v>
      </c>
      <c r="J3211" t="s">
        <v>103</v>
      </c>
      <c r="K3211" t="s">
        <v>687</v>
      </c>
      <c r="L3211" t="s">
        <v>194</v>
      </c>
      <c r="M3211" t="s">
        <v>103</v>
      </c>
      <c r="N3211" t="s">
        <v>103</v>
      </c>
    </row>
    <row r="3212" spans="1:14" x14ac:dyDescent="0.3">
      <c r="A3212" t="s">
        <v>25</v>
      </c>
      <c r="B3212" t="s">
        <v>767</v>
      </c>
      <c r="C3212">
        <v>31</v>
      </c>
      <c r="D3212" t="s">
        <v>825</v>
      </c>
      <c r="E3212" t="s">
        <v>251</v>
      </c>
      <c r="F3212" t="s">
        <v>551</v>
      </c>
      <c r="G3212" t="s">
        <v>298</v>
      </c>
      <c r="H3212" t="s">
        <v>122</v>
      </c>
      <c r="I3212" t="s">
        <v>103</v>
      </c>
      <c r="J3212" t="s">
        <v>103</v>
      </c>
      <c r="K3212" t="s">
        <v>108</v>
      </c>
      <c r="L3212" t="s">
        <v>103</v>
      </c>
      <c r="M3212" t="s">
        <v>103</v>
      </c>
      <c r="N3212" t="s">
        <v>195</v>
      </c>
    </row>
    <row r="3213" spans="1:14" s="3" customFormat="1" x14ac:dyDescent="0.3">
      <c r="A3213" s="3" t="s">
        <v>26</v>
      </c>
      <c r="B3213" s="3" t="s">
        <v>764</v>
      </c>
      <c r="C3213" s="3">
        <v>1</v>
      </c>
      <c r="D3213" s="3" t="s">
        <v>103</v>
      </c>
      <c r="E3213" s="3" t="s">
        <v>103</v>
      </c>
      <c r="F3213" s="3" t="s">
        <v>103</v>
      </c>
      <c r="G3213" s="3" t="s">
        <v>192</v>
      </c>
      <c r="H3213" s="3" t="s">
        <v>103</v>
      </c>
      <c r="I3213" s="3" t="s">
        <v>103</v>
      </c>
      <c r="J3213" s="3" t="s">
        <v>103</v>
      </c>
      <c r="K3213" s="3" t="s">
        <v>103</v>
      </c>
      <c r="L3213" s="3" t="s">
        <v>103</v>
      </c>
      <c r="M3213" s="3" t="s">
        <v>103</v>
      </c>
      <c r="N3213" s="3" t="s">
        <v>103</v>
      </c>
    </row>
    <row r="3214" spans="1:14" x14ac:dyDescent="0.3">
      <c r="A3214" t="s">
        <v>26</v>
      </c>
      <c r="B3214" t="s">
        <v>765</v>
      </c>
      <c r="C3214">
        <v>31</v>
      </c>
      <c r="D3214" t="s">
        <v>62</v>
      </c>
      <c r="E3214" t="s">
        <v>64</v>
      </c>
      <c r="F3214" t="s">
        <v>1143</v>
      </c>
      <c r="G3214" t="s">
        <v>1369</v>
      </c>
      <c r="H3214" t="s">
        <v>103</v>
      </c>
      <c r="I3214" t="s">
        <v>493</v>
      </c>
      <c r="J3214" t="s">
        <v>103</v>
      </c>
      <c r="K3214" t="s">
        <v>438</v>
      </c>
      <c r="L3214" t="s">
        <v>103</v>
      </c>
      <c r="M3214" t="s">
        <v>103</v>
      </c>
      <c r="N3214" t="s">
        <v>467</v>
      </c>
    </row>
    <row r="3215" spans="1:14" s="3" customFormat="1" x14ac:dyDescent="0.3">
      <c r="A3215" s="3" t="s">
        <v>26</v>
      </c>
      <c r="B3215" s="3" t="s">
        <v>767</v>
      </c>
      <c r="C3215" s="3">
        <v>12</v>
      </c>
      <c r="D3215" s="3" t="s">
        <v>201</v>
      </c>
      <c r="E3215" s="3" t="s">
        <v>479</v>
      </c>
      <c r="F3215" s="3" t="s">
        <v>404</v>
      </c>
      <c r="G3215" s="3" t="s">
        <v>458</v>
      </c>
      <c r="H3215" s="3" t="s">
        <v>103</v>
      </c>
      <c r="I3215" s="3" t="s">
        <v>103</v>
      </c>
      <c r="J3215" s="3" t="s">
        <v>103</v>
      </c>
      <c r="K3215" s="3" t="s">
        <v>103</v>
      </c>
      <c r="L3215" s="3" t="s">
        <v>543</v>
      </c>
      <c r="M3215" s="3" t="s">
        <v>103</v>
      </c>
      <c r="N3215" s="3" t="s">
        <v>707</v>
      </c>
    </row>
    <row r="3216" spans="1:14" s="3" customFormat="1" x14ac:dyDescent="0.3">
      <c r="A3216" s="3" t="s">
        <v>29</v>
      </c>
      <c r="B3216" s="3" t="s">
        <v>764</v>
      </c>
      <c r="C3216" s="3">
        <v>4</v>
      </c>
      <c r="D3216" s="3" t="s">
        <v>647</v>
      </c>
      <c r="E3216" s="3" t="s">
        <v>103</v>
      </c>
      <c r="F3216" s="3" t="s">
        <v>103</v>
      </c>
      <c r="G3216" s="3" t="s">
        <v>192</v>
      </c>
      <c r="H3216" s="3" t="s">
        <v>103</v>
      </c>
      <c r="I3216" s="3" t="s">
        <v>103</v>
      </c>
      <c r="J3216" s="3" t="s">
        <v>103</v>
      </c>
      <c r="K3216" s="3" t="s">
        <v>103</v>
      </c>
      <c r="L3216" s="3" t="s">
        <v>103</v>
      </c>
      <c r="M3216" s="3" t="s">
        <v>103</v>
      </c>
      <c r="N3216" s="3" t="s">
        <v>103</v>
      </c>
    </row>
    <row r="3217" spans="1:14" x14ac:dyDescent="0.3">
      <c r="A3217" t="s">
        <v>29</v>
      </c>
      <c r="B3217" t="s">
        <v>765</v>
      </c>
      <c r="C3217">
        <v>98</v>
      </c>
      <c r="D3217" t="s">
        <v>113</v>
      </c>
      <c r="E3217" t="s">
        <v>195</v>
      </c>
      <c r="F3217" t="s">
        <v>463</v>
      </c>
      <c r="G3217" t="s">
        <v>1004</v>
      </c>
      <c r="H3217" t="s">
        <v>139</v>
      </c>
      <c r="I3217" t="s">
        <v>103</v>
      </c>
      <c r="J3217" t="s">
        <v>103</v>
      </c>
      <c r="K3217" t="s">
        <v>890</v>
      </c>
      <c r="L3217" t="s">
        <v>245</v>
      </c>
      <c r="M3217" t="s">
        <v>103</v>
      </c>
      <c r="N3217" t="s">
        <v>125</v>
      </c>
    </row>
    <row r="3218" spans="1:14" x14ac:dyDescent="0.3">
      <c r="A3218" t="s">
        <v>29</v>
      </c>
      <c r="B3218" t="s">
        <v>767</v>
      </c>
      <c r="C3218">
        <v>50</v>
      </c>
      <c r="D3218" t="s">
        <v>727</v>
      </c>
      <c r="E3218" t="s">
        <v>125</v>
      </c>
      <c r="F3218" t="s">
        <v>171</v>
      </c>
      <c r="G3218" t="s">
        <v>775</v>
      </c>
      <c r="H3218" t="s">
        <v>103</v>
      </c>
      <c r="I3218" t="s">
        <v>118</v>
      </c>
      <c r="J3218" t="s">
        <v>103</v>
      </c>
      <c r="K3218" t="s">
        <v>467</v>
      </c>
      <c r="L3218" t="s">
        <v>103</v>
      </c>
      <c r="M3218" t="s">
        <v>239</v>
      </c>
      <c r="N3218" t="s">
        <v>128</v>
      </c>
    </row>
    <row r="3219" spans="1:14" s="3" customFormat="1" x14ac:dyDescent="0.3">
      <c r="A3219" s="3" t="s">
        <v>28</v>
      </c>
      <c r="B3219" s="3" t="s">
        <v>764</v>
      </c>
      <c r="C3219" s="3">
        <v>4</v>
      </c>
      <c r="D3219" s="3" t="s">
        <v>103</v>
      </c>
      <c r="E3219" s="3" t="s">
        <v>103</v>
      </c>
      <c r="F3219" s="3" t="s">
        <v>103</v>
      </c>
      <c r="G3219" s="3" t="s">
        <v>192</v>
      </c>
      <c r="H3219" s="3" t="s">
        <v>103</v>
      </c>
      <c r="I3219" s="3" t="s">
        <v>103</v>
      </c>
      <c r="J3219" s="3" t="s">
        <v>103</v>
      </c>
      <c r="K3219" s="3" t="s">
        <v>103</v>
      </c>
      <c r="L3219" s="3" t="s">
        <v>103</v>
      </c>
      <c r="M3219" s="3" t="s">
        <v>103</v>
      </c>
      <c r="N3219" s="3" t="s">
        <v>103</v>
      </c>
    </row>
    <row r="3220" spans="1:14" x14ac:dyDescent="0.3">
      <c r="A3220" t="s">
        <v>28</v>
      </c>
      <c r="B3220" t="s">
        <v>765</v>
      </c>
      <c r="C3220">
        <v>37</v>
      </c>
      <c r="D3220" t="s">
        <v>266</v>
      </c>
      <c r="E3220" t="s">
        <v>103</v>
      </c>
      <c r="F3220" t="s">
        <v>470</v>
      </c>
      <c r="G3220" t="s">
        <v>1081</v>
      </c>
      <c r="H3220" t="s">
        <v>103</v>
      </c>
      <c r="I3220" t="s">
        <v>467</v>
      </c>
      <c r="J3220" t="s">
        <v>103</v>
      </c>
      <c r="K3220" t="s">
        <v>34</v>
      </c>
      <c r="L3220" t="s">
        <v>103</v>
      </c>
      <c r="M3220" t="s">
        <v>103</v>
      </c>
      <c r="N3220" t="s">
        <v>103</v>
      </c>
    </row>
    <row r="3221" spans="1:14" s="3" customFormat="1" x14ac:dyDescent="0.3">
      <c r="A3221" s="3" t="s">
        <v>28</v>
      </c>
      <c r="B3221" s="3" t="s">
        <v>767</v>
      </c>
      <c r="C3221" s="3">
        <v>9</v>
      </c>
      <c r="D3221" s="3" t="s">
        <v>103</v>
      </c>
      <c r="E3221" s="3" t="s">
        <v>103</v>
      </c>
      <c r="F3221" s="3" t="s">
        <v>813</v>
      </c>
      <c r="G3221" s="3" t="s">
        <v>192</v>
      </c>
      <c r="H3221" s="3" t="s">
        <v>103</v>
      </c>
      <c r="I3221" s="3" t="s">
        <v>103</v>
      </c>
      <c r="J3221" s="3" t="s">
        <v>103</v>
      </c>
      <c r="K3221" s="3" t="s">
        <v>103</v>
      </c>
      <c r="L3221" s="3" t="s">
        <v>103</v>
      </c>
      <c r="M3221" s="3" t="s">
        <v>103</v>
      </c>
      <c r="N3221" s="3" t="s">
        <v>103</v>
      </c>
    </row>
    <row r="3222" spans="1:14" s="3" customFormat="1" x14ac:dyDescent="0.3">
      <c r="A3222" s="3" t="s">
        <v>27</v>
      </c>
      <c r="B3222" s="3" t="s">
        <v>764</v>
      </c>
      <c r="C3222" s="3">
        <v>5</v>
      </c>
      <c r="D3222" s="3" t="s">
        <v>103</v>
      </c>
      <c r="E3222" s="3" t="s">
        <v>103</v>
      </c>
      <c r="F3222" s="3" t="s">
        <v>103</v>
      </c>
      <c r="G3222" s="3" t="s">
        <v>172</v>
      </c>
      <c r="H3222" s="3" t="s">
        <v>103</v>
      </c>
      <c r="I3222" s="3" t="s">
        <v>171</v>
      </c>
      <c r="J3222" s="3" t="s">
        <v>103</v>
      </c>
      <c r="K3222" s="3" t="s">
        <v>103</v>
      </c>
      <c r="L3222" s="3" t="s">
        <v>103</v>
      </c>
      <c r="M3222" s="3" t="s">
        <v>103</v>
      </c>
      <c r="N3222" s="3" t="s">
        <v>103</v>
      </c>
    </row>
    <row r="3223" spans="1:14" x14ac:dyDescent="0.3">
      <c r="A3223" t="s">
        <v>27</v>
      </c>
      <c r="B3223" t="s">
        <v>765</v>
      </c>
      <c r="C3223">
        <v>39</v>
      </c>
      <c r="D3223" t="s">
        <v>615</v>
      </c>
      <c r="E3223" t="s">
        <v>103</v>
      </c>
      <c r="F3223" t="s">
        <v>148</v>
      </c>
      <c r="G3223" t="s">
        <v>759</v>
      </c>
      <c r="H3223" t="s">
        <v>103</v>
      </c>
      <c r="I3223" t="s">
        <v>103</v>
      </c>
      <c r="J3223" t="s">
        <v>103</v>
      </c>
      <c r="K3223" t="s">
        <v>70</v>
      </c>
      <c r="L3223" t="s">
        <v>103</v>
      </c>
      <c r="M3223" t="s">
        <v>103</v>
      </c>
      <c r="N3223" t="s">
        <v>103</v>
      </c>
    </row>
    <row r="3224" spans="1:14" s="3" customFormat="1" x14ac:dyDescent="0.3">
      <c r="A3224" s="3" t="s">
        <v>27</v>
      </c>
      <c r="B3224" s="3" t="s">
        <v>767</v>
      </c>
      <c r="C3224" s="3">
        <v>11</v>
      </c>
      <c r="D3224" s="3" t="s">
        <v>103</v>
      </c>
      <c r="E3224" s="3" t="s">
        <v>103</v>
      </c>
      <c r="F3224" s="3" t="s">
        <v>103</v>
      </c>
      <c r="G3224" s="3" t="s">
        <v>414</v>
      </c>
      <c r="H3224" s="3" t="s">
        <v>103</v>
      </c>
      <c r="I3224" s="3" t="s">
        <v>103</v>
      </c>
      <c r="J3224" s="3" t="s">
        <v>103</v>
      </c>
      <c r="K3224" s="3" t="s">
        <v>413</v>
      </c>
      <c r="L3224" s="3" t="s">
        <v>103</v>
      </c>
      <c r="M3224" s="3" t="s">
        <v>103</v>
      </c>
      <c r="N3224" s="3" t="s">
        <v>103</v>
      </c>
    </row>
    <row r="3225" spans="1:14" s="3" customFormat="1" x14ac:dyDescent="0.3">
      <c r="A3225" s="3" t="s">
        <v>41</v>
      </c>
      <c r="B3225" s="3" t="s">
        <v>764</v>
      </c>
      <c r="C3225" s="3">
        <v>24</v>
      </c>
      <c r="D3225" s="3" t="s">
        <v>111</v>
      </c>
      <c r="E3225" s="3" t="s">
        <v>188</v>
      </c>
      <c r="F3225" s="3" t="s">
        <v>474</v>
      </c>
      <c r="G3225" s="3" t="s">
        <v>159</v>
      </c>
      <c r="H3225" s="3" t="s">
        <v>103</v>
      </c>
      <c r="I3225" s="3" t="s">
        <v>341</v>
      </c>
      <c r="J3225" s="3" t="s">
        <v>103</v>
      </c>
      <c r="K3225" s="3" t="s">
        <v>103</v>
      </c>
      <c r="L3225" s="3" t="s">
        <v>103</v>
      </c>
      <c r="M3225" s="3" t="s">
        <v>103</v>
      </c>
      <c r="N3225" s="3" t="s">
        <v>103</v>
      </c>
    </row>
    <row r="3226" spans="1:14" x14ac:dyDescent="0.3">
      <c r="A3226" t="s">
        <v>41</v>
      </c>
      <c r="B3226" t="s">
        <v>765</v>
      </c>
      <c r="C3226">
        <v>303</v>
      </c>
      <c r="D3226" t="s">
        <v>466</v>
      </c>
      <c r="E3226" t="s">
        <v>195</v>
      </c>
      <c r="F3226" t="s">
        <v>570</v>
      </c>
      <c r="G3226" t="s">
        <v>1178</v>
      </c>
      <c r="H3226" t="s">
        <v>122</v>
      </c>
      <c r="I3226" t="s">
        <v>97</v>
      </c>
      <c r="J3226" t="s">
        <v>103</v>
      </c>
      <c r="K3226" t="s">
        <v>700</v>
      </c>
      <c r="L3226" t="s">
        <v>194</v>
      </c>
      <c r="M3226" t="s">
        <v>103</v>
      </c>
      <c r="N3226" t="s">
        <v>128</v>
      </c>
    </row>
    <row r="3227" spans="1:14" x14ac:dyDescent="0.3">
      <c r="A3227" t="s">
        <v>41</v>
      </c>
      <c r="B3227" t="s">
        <v>767</v>
      </c>
      <c r="C3227">
        <v>113</v>
      </c>
      <c r="D3227" t="s">
        <v>142</v>
      </c>
      <c r="E3227" t="s">
        <v>133</v>
      </c>
      <c r="F3227" t="s">
        <v>470</v>
      </c>
      <c r="G3227" t="s">
        <v>1325</v>
      </c>
      <c r="H3227" t="s">
        <v>91</v>
      </c>
      <c r="I3227" t="s">
        <v>216</v>
      </c>
      <c r="J3227" t="s">
        <v>103</v>
      </c>
      <c r="K3227" t="s">
        <v>662</v>
      </c>
      <c r="L3227" t="s">
        <v>98</v>
      </c>
      <c r="M3227" t="s">
        <v>282</v>
      </c>
      <c r="N3227" t="s">
        <v>591</v>
      </c>
    </row>
    <row r="3229" spans="1:14" x14ac:dyDescent="0.3">
      <c r="A3229" t="s">
        <v>1460</v>
      </c>
    </row>
    <row r="3230" spans="1:14" x14ac:dyDescent="0.3">
      <c r="A3230" t="s">
        <v>36</v>
      </c>
      <c r="B3230" t="s">
        <v>310</v>
      </c>
      <c r="C3230" t="s">
        <v>24</v>
      </c>
      <c r="D3230" t="s">
        <v>1445</v>
      </c>
      <c r="E3230" t="s">
        <v>1446</v>
      </c>
      <c r="F3230" t="s">
        <v>1447</v>
      </c>
      <c r="G3230" t="s">
        <v>1448</v>
      </c>
      <c r="H3230" t="s">
        <v>1449</v>
      </c>
      <c r="I3230" t="s">
        <v>1450</v>
      </c>
      <c r="J3230" t="s">
        <v>1451</v>
      </c>
      <c r="K3230" t="s">
        <v>1452</v>
      </c>
      <c r="L3230" t="s">
        <v>1453</v>
      </c>
      <c r="M3230" t="s">
        <v>181</v>
      </c>
      <c r="N3230" t="s">
        <v>1454</v>
      </c>
    </row>
    <row r="3231" spans="1:14" x14ac:dyDescent="0.3">
      <c r="A3231" t="s">
        <v>25</v>
      </c>
      <c r="B3231" t="s">
        <v>311</v>
      </c>
      <c r="C3231">
        <v>113</v>
      </c>
      <c r="D3231" t="s">
        <v>918</v>
      </c>
      <c r="E3231" t="s">
        <v>70</v>
      </c>
      <c r="F3231" t="s">
        <v>927</v>
      </c>
      <c r="G3231" t="s">
        <v>502</v>
      </c>
      <c r="H3231" t="s">
        <v>91</v>
      </c>
      <c r="I3231" t="s">
        <v>103</v>
      </c>
      <c r="J3231" t="s">
        <v>103</v>
      </c>
      <c r="K3231" t="s">
        <v>160</v>
      </c>
      <c r="L3231" t="s">
        <v>345</v>
      </c>
      <c r="M3231" t="s">
        <v>103</v>
      </c>
      <c r="N3231" t="s">
        <v>139</v>
      </c>
    </row>
    <row r="3232" spans="1:14" s="3" customFormat="1" x14ac:dyDescent="0.3">
      <c r="A3232" s="3" t="s">
        <v>25</v>
      </c>
      <c r="B3232" s="3" t="s">
        <v>312</v>
      </c>
      <c r="C3232" s="3">
        <v>25</v>
      </c>
      <c r="D3232" s="3" t="s">
        <v>829</v>
      </c>
      <c r="E3232" s="3" t="s">
        <v>68</v>
      </c>
      <c r="F3232" s="3" t="s">
        <v>1050</v>
      </c>
      <c r="G3232" s="3" t="s">
        <v>612</v>
      </c>
      <c r="H3232" s="3" t="s">
        <v>103</v>
      </c>
      <c r="I3232" s="3" t="s">
        <v>103</v>
      </c>
      <c r="J3232" s="3" t="s">
        <v>103</v>
      </c>
      <c r="K3232" s="3" t="s">
        <v>103</v>
      </c>
      <c r="L3232" s="3" t="s">
        <v>103</v>
      </c>
      <c r="M3232" s="3" t="s">
        <v>103</v>
      </c>
      <c r="N3232" s="3" t="s">
        <v>103</v>
      </c>
    </row>
    <row r="3233" spans="1:14" x14ac:dyDescent="0.3">
      <c r="A3233" t="s">
        <v>25</v>
      </c>
      <c r="B3233" t="s">
        <v>308</v>
      </c>
      <c r="C3233">
        <v>1</v>
      </c>
      <c r="D3233" t="s">
        <v>103</v>
      </c>
      <c r="E3233" t="s">
        <v>103</v>
      </c>
      <c r="F3233" t="s">
        <v>103</v>
      </c>
      <c r="G3233" t="s">
        <v>192</v>
      </c>
      <c r="H3233" t="s">
        <v>103</v>
      </c>
      <c r="I3233" t="s">
        <v>103</v>
      </c>
      <c r="J3233" t="s">
        <v>103</v>
      </c>
      <c r="K3233" t="s">
        <v>103</v>
      </c>
      <c r="L3233" t="s">
        <v>103</v>
      </c>
      <c r="M3233" t="s">
        <v>103</v>
      </c>
      <c r="N3233" t="s">
        <v>103</v>
      </c>
    </row>
    <row r="3234" spans="1:14" x14ac:dyDescent="0.3">
      <c r="A3234" t="s">
        <v>26</v>
      </c>
      <c r="B3234" t="s">
        <v>311</v>
      </c>
      <c r="C3234">
        <v>31</v>
      </c>
      <c r="D3234" t="s">
        <v>113</v>
      </c>
      <c r="E3234" t="s">
        <v>135</v>
      </c>
      <c r="F3234" t="s">
        <v>900</v>
      </c>
      <c r="G3234" t="s">
        <v>1317</v>
      </c>
      <c r="H3234" t="s">
        <v>103</v>
      </c>
      <c r="I3234" t="s">
        <v>125</v>
      </c>
      <c r="J3234" t="s">
        <v>103</v>
      </c>
      <c r="K3234" t="s">
        <v>103</v>
      </c>
      <c r="L3234" t="s">
        <v>103</v>
      </c>
      <c r="M3234" t="s">
        <v>103</v>
      </c>
      <c r="N3234" t="s">
        <v>124</v>
      </c>
    </row>
    <row r="3235" spans="1:14" s="3" customFormat="1" x14ac:dyDescent="0.3">
      <c r="A3235" s="3" t="s">
        <v>26</v>
      </c>
      <c r="B3235" s="3" t="s">
        <v>312</v>
      </c>
      <c r="C3235" s="3">
        <v>9</v>
      </c>
      <c r="D3235" s="3" t="s">
        <v>734</v>
      </c>
      <c r="E3235" s="3" t="s">
        <v>103</v>
      </c>
      <c r="F3235" s="3" t="s">
        <v>1049</v>
      </c>
      <c r="G3235" s="3" t="s">
        <v>1461</v>
      </c>
      <c r="H3235" s="3" t="s">
        <v>103</v>
      </c>
      <c r="I3235" s="3" t="s">
        <v>103</v>
      </c>
      <c r="J3235" s="3" t="s">
        <v>103</v>
      </c>
      <c r="K3235" s="3" t="s">
        <v>516</v>
      </c>
      <c r="L3235" s="3" t="s">
        <v>103</v>
      </c>
      <c r="M3235" s="3" t="s">
        <v>103</v>
      </c>
      <c r="N3235" s="3" t="s">
        <v>103</v>
      </c>
    </row>
    <row r="3236" spans="1:14" x14ac:dyDescent="0.3">
      <c r="A3236" t="s">
        <v>26</v>
      </c>
      <c r="B3236" t="s">
        <v>308</v>
      </c>
      <c r="C3236">
        <v>4</v>
      </c>
      <c r="D3236" t="s">
        <v>746</v>
      </c>
      <c r="E3236" t="s">
        <v>103</v>
      </c>
      <c r="F3236" t="s">
        <v>386</v>
      </c>
      <c r="G3236" t="s">
        <v>103</v>
      </c>
      <c r="H3236" t="s">
        <v>103</v>
      </c>
      <c r="I3236" t="s">
        <v>103</v>
      </c>
      <c r="J3236" t="s">
        <v>103</v>
      </c>
      <c r="K3236" t="s">
        <v>103</v>
      </c>
      <c r="L3236" t="s">
        <v>686</v>
      </c>
      <c r="M3236" t="s">
        <v>103</v>
      </c>
      <c r="N3236" t="s">
        <v>461</v>
      </c>
    </row>
    <row r="3237" spans="1:14" x14ac:dyDescent="0.3">
      <c r="A3237" t="s">
        <v>29</v>
      </c>
      <c r="B3237" t="s">
        <v>311</v>
      </c>
      <c r="C3237">
        <v>122</v>
      </c>
      <c r="D3237" t="s">
        <v>543</v>
      </c>
      <c r="E3237" t="s">
        <v>114</v>
      </c>
      <c r="F3237" t="s">
        <v>157</v>
      </c>
      <c r="G3237" t="s">
        <v>711</v>
      </c>
      <c r="H3237" t="s">
        <v>103</v>
      </c>
      <c r="I3237" t="s">
        <v>103</v>
      </c>
      <c r="J3237" t="s">
        <v>103</v>
      </c>
      <c r="K3237" t="s">
        <v>205</v>
      </c>
      <c r="L3237" t="s">
        <v>120</v>
      </c>
      <c r="M3237" t="s">
        <v>103</v>
      </c>
      <c r="N3237" t="s">
        <v>270</v>
      </c>
    </row>
    <row r="3238" spans="1:14" s="3" customFormat="1" x14ac:dyDescent="0.3">
      <c r="A3238" s="3" t="s">
        <v>29</v>
      </c>
      <c r="B3238" s="3" t="s">
        <v>312</v>
      </c>
      <c r="C3238" s="3">
        <v>24</v>
      </c>
      <c r="D3238" s="3" t="s">
        <v>33</v>
      </c>
      <c r="E3238" s="3" t="s">
        <v>103</v>
      </c>
      <c r="F3238" s="3" t="s">
        <v>750</v>
      </c>
      <c r="G3238" s="3" t="s">
        <v>1462</v>
      </c>
      <c r="H3238" s="3" t="s">
        <v>102</v>
      </c>
      <c r="I3238" s="3" t="s">
        <v>133</v>
      </c>
      <c r="J3238" s="3" t="s">
        <v>103</v>
      </c>
      <c r="K3238" s="3" t="s">
        <v>262</v>
      </c>
      <c r="L3238" s="3" t="s">
        <v>532</v>
      </c>
      <c r="M3238" s="3" t="s">
        <v>438</v>
      </c>
      <c r="N3238" s="3" t="s">
        <v>33</v>
      </c>
    </row>
    <row r="3239" spans="1:14" x14ac:dyDescent="0.3">
      <c r="A3239" t="s">
        <v>29</v>
      </c>
      <c r="B3239" t="s">
        <v>308</v>
      </c>
      <c r="C3239">
        <v>6</v>
      </c>
      <c r="D3239" t="s">
        <v>162</v>
      </c>
      <c r="E3239" t="s">
        <v>103</v>
      </c>
      <c r="F3239" t="s">
        <v>136</v>
      </c>
      <c r="G3239" t="s">
        <v>989</v>
      </c>
      <c r="H3239" t="s">
        <v>103</v>
      </c>
      <c r="I3239" t="s">
        <v>103</v>
      </c>
      <c r="J3239" t="s">
        <v>103</v>
      </c>
      <c r="K3239" t="s">
        <v>103</v>
      </c>
      <c r="L3239" t="s">
        <v>103</v>
      </c>
      <c r="M3239" t="s">
        <v>103</v>
      </c>
      <c r="N3239" t="s">
        <v>103</v>
      </c>
    </row>
    <row r="3240" spans="1:14" x14ac:dyDescent="0.3">
      <c r="A3240" t="s">
        <v>28</v>
      </c>
      <c r="B3240" t="s">
        <v>311</v>
      </c>
      <c r="C3240">
        <v>41</v>
      </c>
      <c r="D3240" t="s">
        <v>257</v>
      </c>
      <c r="E3240" t="s">
        <v>103</v>
      </c>
      <c r="F3240" t="s">
        <v>175</v>
      </c>
      <c r="G3240" t="s">
        <v>1240</v>
      </c>
      <c r="H3240" t="s">
        <v>103</v>
      </c>
      <c r="I3240" t="s">
        <v>239</v>
      </c>
      <c r="J3240" t="s">
        <v>103</v>
      </c>
      <c r="K3240" t="s">
        <v>458</v>
      </c>
      <c r="L3240" t="s">
        <v>103</v>
      </c>
      <c r="M3240" t="s">
        <v>103</v>
      </c>
      <c r="N3240" t="s">
        <v>103</v>
      </c>
    </row>
    <row r="3241" spans="1:14" s="3" customFormat="1" x14ac:dyDescent="0.3">
      <c r="A3241" s="3" t="s">
        <v>28</v>
      </c>
      <c r="B3241" s="3" t="s">
        <v>312</v>
      </c>
      <c r="C3241" s="3">
        <v>9</v>
      </c>
      <c r="D3241" s="3" t="s">
        <v>103</v>
      </c>
      <c r="E3241" s="3" t="s">
        <v>103</v>
      </c>
      <c r="F3241" s="3" t="s">
        <v>580</v>
      </c>
      <c r="G3241" s="3" t="s">
        <v>370</v>
      </c>
      <c r="H3241" s="3" t="s">
        <v>103</v>
      </c>
      <c r="I3241" s="3" t="s">
        <v>205</v>
      </c>
      <c r="J3241" s="3" t="s">
        <v>103</v>
      </c>
      <c r="K3241" s="3" t="s">
        <v>490</v>
      </c>
      <c r="L3241" s="3" t="s">
        <v>103</v>
      </c>
      <c r="M3241" s="3" t="s">
        <v>103</v>
      </c>
      <c r="N3241" s="3" t="s">
        <v>103</v>
      </c>
    </row>
    <row r="3242" spans="1:14" x14ac:dyDescent="0.3">
      <c r="A3242" t="s">
        <v>27</v>
      </c>
      <c r="B3242" t="s">
        <v>311</v>
      </c>
      <c r="C3242">
        <v>46</v>
      </c>
      <c r="D3242" t="s">
        <v>105</v>
      </c>
      <c r="E3242" t="s">
        <v>103</v>
      </c>
      <c r="F3242" t="s">
        <v>191</v>
      </c>
      <c r="G3242" t="s">
        <v>227</v>
      </c>
      <c r="H3242" t="s">
        <v>103</v>
      </c>
      <c r="I3242" t="s">
        <v>103</v>
      </c>
      <c r="J3242" t="s">
        <v>103</v>
      </c>
      <c r="K3242" t="s">
        <v>228</v>
      </c>
      <c r="L3242" t="s">
        <v>103</v>
      </c>
      <c r="M3242" t="s">
        <v>103</v>
      </c>
      <c r="N3242" t="s">
        <v>103</v>
      </c>
    </row>
    <row r="3243" spans="1:14" s="3" customFormat="1" x14ac:dyDescent="0.3">
      <c r="A3243" s="3" t="s">
        <v>27</v>
      </c>
      <c r="B3243" s="3" t="s">
        <v>312</v>
      </c>
      <c r="C3243" s="3">
        <v>9</v>
      </c>
      <c r="D3243" s="3" t="s">
        <v>247</v>
      </c>
      <c r="E3243" s="3" t="s">
        <v>103</v>
      </c>
      <c r="F3243" s="3" t="s">
        <v>103</v>
      </c>
      <c r="G3243" s="3" t="s">
        <v>828</v>
      </c>
      <c r="H3243" s="3" t="s">
        <v>103</v>
      </c>
      <c r="I3243" s="3" t="s">
        <v>649</v>
      </c>
      <c r="J3243" s="3" t="s">
        <v>103</v>
      </c>
      <c r="K3243" s="3" t="s">
        <v>103</v>
      </c>
      <c r="L3243" s="3" t="s">
        <v>103</v>
      </c>
      <c r="M3243" s="3" t="s">
        <v>103</v>
      </c>
      <c r="N3243" s="3" t="s">
        <v>103</v>
      </c>
    </row>
    <row r="3244" spans="1:14" x14ac:dyDescent="0.3">
      <c r="A3244" t="s">
        <v>41</v>
      </c>
      <c r="B3244" t="s">
        <v>311</v>
      </c>
      <c r="C3244">
        <v>353</v>
      </c>
      <c r="D3244" t="s">
        <v>191</v>
      </c>
      <c r="E3244" t="s">
        <v>201</v>
      </c>
      <c r="F3244" t="s">
        <v>475</v>
      </c>
      <c r="G3244" t="s">
        <v>755</v>
      </c>
      <c r="H3244" t="s">
        <v>103</v>
      </c>
      <c r="I3244" t="s">
        <v>122</v>
      </c>
      <c r="J3244" t="s">
        <v>103</v>
      </c>
      <c r="K3244" t="s">
        <v>123</v>
      </c>
      <c r="L3244" t="s">
        <v>120</v>
      </c>
      <c r="M3244" t="s">
        <v>103</v>
      </c>
      <c r="N3244" t="s">
        <v>257</v>
      </c>
    </row>
    <row r="3245" spans="1:14" x14ac:dyDescent="0.3">
      <c r="A3245" t="s">
        <v>41</v>
      </c>
      <c r="B3245" t="s">
        <v>312</v>
      </c>
      <c r="C3245">
        <v>76</v>
      </c>
      <c r="D3245" t="s">
        <v>693</v>
      </c>
      <c r="E3245" t="s">
        <v>139</v>
      </c>
      <c r="F3245" t="s">
        <v>805</v>
      </c>
      <c r="G3245" t="s">
        <v>796</v>
      </c>
      <c r="H3245" t="s">
        <v>341</v>
      </c>
      <c r="I3245" t="s">
        <v>493</v>
      </c>
      <c r="J3245" t="s">
        <v>103</v>
      </c>
      <c r="K3245" t="s">
        <v>127</v>
      </c>
      <c r="L3245" t="s">
        <v>118</v>
      </c>
      <c r="M3245" t="s">
        <v>105</v>
      </c>
      <c r="N3245" t="s">
        <v>217</v>
      </c>
    </row>
    <row r="3246" spans="1:14" x14ac:dyDescent="0.3">
      <c r="A3246" t="s">
        <v>41</v>
      </c>
      <c r="B3246" t="s">
        <v>308</v>
      </c>
      <c r="C3246">
        <v>11</v>
      </c>
      <c r="D3246" t="s">
        <v>253</v>
      </c>
      <c r="E3246" t="s">
        <v>103</v>
      </c>
      <c r="F3246" t="s">
        <v>557</v>
      </c>
      <c r="G3246" t="s">
        <v>673</v>
      </c>
      <c r="H3246" t="s">
        <v>103</v>
      </c>
      <c r="I3246" t="s">
        <v>103</v>
      </c>
      <c r="J3246" t="s">
        <v>103</v>
      </c>
      <c r="K3246" t="s">
        <v>103</v>
      </c>
      <c r="L3246" t="s">
        <v>224</v>
      </c>
      <c r="M3246" t="s">
        <v>103</v>
      </c>
      <c r="N3246" t="s">
        <v>90</v>
      </c>
    </row>
    <row r="3248" spans="1:14" x14ac:dyDescent="0.3">
      <c r="A3248" t="s">
        <v>1463</v>
      </c>
    </row>
    <row r="3249" spans="1:8" x14ac:dyDescent="0.3">
      <c r="A3249" t="s">
        <v>36</v>
      </c>
      <c r="B3249" t="s">
        <v>24</v>
      </c>
      <c r="C3249" t="s">
        <v>1464</v>
      </c>
      <c r="D3249" t="s">
        <v>1465</v>
      </c>
      <c r="E3249" t="s">
        <v>1466</v>
      </c>
      <c r="F3249" t="s">
        <v>1271</v>
      </c>
      <c r="G3249" t="s">
        <v>1467</v>
      </c>
    </row>
    <row r="3250" spans="1:8" x14ac:dyDescent="0.3">
      <c r="A3250" t="s">
        <v>25</v>
      </c>
      <c r="B3250">
        <v>414</v>
      </c>
      <c r="C3250" t="s">
        <v>876</v>
      </c>
      <c r="D3250" t="s">
        <v>116</v>
      </c>
      <c r="E3250" t="s">
        <v>95</v>
      </c>
      <c r="F3250" t="s">
        <v>103</v>
      </c>
      <c r="G3250" t="s">
        <v>103</v>
      </c>
    </row>
    <row r="3251" spans="1:8" x14ac:dyDescent="0.3">
      <c r="A3251" t="s">
        <v>26</v>
      </c>
      <c r="B3251">
        <v>477</v>
      </c>
      <c r="C3251" t="s">
        <v>876</v>
      </c>
      <c r="D3251" t="s">
        <v>120</v>
      </c>
      <c r="E3251" t="s">
        <v>122</v>
      </c>
      <c r="F3251" t="s">
        <v>103</v>
      </c>
      <c r="G3251" t="s">
        <v>103</v>
      </c>
    </row>
    <row r="3252" spans="1:8" x14ac:dyDescent="0.3">
      <c r="A3252" t="s">
        <v>29</v>
      </c>
      <c r="B3252">
        <v>530</v>
      </c>
      <c r="C3252" t="s">
        <v>200</v>
      </c>
      <c r="D3252" t="s">
        <v>493</v>
      </c>
      <c r="E3252" t="s">
        <v>97</v>
      </c>
      <c r="F3252" t="s">
        <v>103</v>
      </c>
      <c r="G3252" t="s">
        <v>66</v>
      </c>
    </row>
    <row r="3253" spans="1:8" x14ac:dyDescent="0.3">
      <c r="A3253" t="s">
        <v>28</v>
      </c>
      <c r="B3253">
        <v>317</v>
      </c>
      <c r="C3253" t="s">
        <v>200</v>
      </c>
      <c r="D3253" t="s">
        <v>102</v>
      </c>
      <c r="E3253" t="s">
        <v>122</v>
      </c>
      <c r="F3253" t="s">
        <v>103</v>
      </c>
      <c r="G3253" t="s">
        <v>97</v>
      </c>
    </row>
    <row r="3254" spans="1:8" x14ac:dyDescent="0.3">
      <c r="A3254" t="s">
        <v>27</v>
      </c>
      <c r="B3254">
        <v>300</v>
      </c>
      <c r="C3254" t="s">
        <v>879</v>
      </c>
      <c r="D3254" t="s">
        <v>118</v>
      </c>
      <c r="E3254" t="s">
        <v>103</v>
      </c>
      <c r="F3254" t="s">
        <v>122</v>
      </c>
      <c r="G3254" t="s">
        <v>103</v>
      </c>
    </row>
    <row r="3255" spans="1:8" x14ac:dyDescent="0.3">
      <c r="A3255" t="s">
        <v>41</v>
      </c>
      <c r="B3255">
        <v>2038</v>
      </c>
      <c r="C3255" t="s">
        <v>65</v>
      </c>
      <c r="D3255" t="s">
        <v>93</v>
      </c>
      <c r="E3255" t="s">
        <v>97</v>
      </c>
      <c r="F3255" t="s">
        <v>103</v>
      </c>
      <c r="G3255" t="s">
        <v>91</v>
      </c>
    </row>
    <row r="3257" spans="1:8" x14ac:dyDescent="0.3">
      <c r="A3257" t="s">
        <v>1468</v>
      </c>
    </row>
    <row r="3258" spans="1:8" x14ac:dyDescent="0.3">
      <c r="A3258" t="s">
        <v>36</v>
      </c>
      <c r="B3258" t="s">
        <v>197</v>
      </c>
      <c r="C3258" t="s">
        <v>24</v>
      </c>
      <c r="D3258" t="s">
        <v>1464</v>
      </c>
      <c r="E3258" t="s">
        <v>1466</v>
      </c>
      <c r="F3258" t="s">
        <v>1465</v>
      </c>
      <c r="G3258" t="s">
        <v>1271</v>
      </c>
      <c r="H3258" t="s">
        <v>1467</v>
      </c>
    </row>
    <row r="3259" spans="1:8" x14ac:dyDescent="0.3">
      <c r="A3259" t="s">
        <v>25</v>
      </c>
      <c r="B3259" t="s">
        <v>198</v>
      </c>
      <c r="C3259">
        <v>104</v>
      </c>
      <c r="D3259" t="s">
        <v>954</v>
      </c>
      <c r="E3259" t="s">
        <v>468</v>
      </c>
      <c r="F3259" t="s">
        <v>103</v>
      </c>
      <c r="G3259" t="s">
        <v>103</v>
      </c>
      <c r="H3259" t="s">
        <v>103</v>
      </c>
    </row>
    <row r="3260" spans="1:8" x14ac:dyDescent="0.3">
      <c r="A3260" t="s">
        <v>25</v>
      </c>
      <c r="B3260" t="s">
        <v>199</v>
      </c>
      <c r="C3260">
        <v>310</v>
      </c>
      <c r="D3260" t="s">
        <v>950</v>
      </c>
      <c r="E3260" t="s">
        <v>97</v>
      </c>
      <c r="F3260" t="s">
        <v>122</v>
      </c>
      <c r="G3260" t="s">
        <v>103</v>
      </c>
      <c r="H3260" t="s">
        <v>103</v>
      </c>
    </row>
    <row r="3261" spans="1:8" x14ac:dyDescent="0.3">
      <c r="A3261" t="s">
        <v>26</v>
      </c>
      <c r="B3261" t="s">
        <v>198</v>
      </c>
      <c r="C3261">
        <v>41</v>
      </c>
      <c r="D3261" t="s">
        <v>192</v>
      </c>
      <c r="E3261" t="s">
        <v>103</v>
      </c>
      <c r="F3261" t="s">
        <v>103</v>
      </c>
      <c r="G3261" t="s">
        <v>103</v>
      </c>
      <c r="H3261" t="s">
        <v>103</v>
      </c>
    </row>
    <row r="3262" spans="1:8" x14ac:dyDescent="0.3">
      <c r="A3262" t="s">
        <v>26</v>
      </c>
      <c r="B3262" t="s">
        <v>199</v>
      </c>
      <c r="C3262">
        <v>436</v>
      </c>
      <c r="D3262" t="s">
        <v>346</v>
      </c>
      <c r="E3262" t="s">
        <v>122</v>
      </c>
      <c r="F3262" t="s">
        <v>95</v>
      </c>
      <c r="G3262" t="s">
        <v>103</v>
      </c>
      <c r="H3262" t="s">
        <v>103</v>
      </c>
    </row>
    <row r="3263" spans="1:8" x14ac:dyDescent="0.3">
      <c r="A3263" t="s">
        <v>29</v>
      </c>
      <c r="B3263" t="s">
        <v>198</v>
      </c>
      <c r="C3263">
        <v>170</v>
      </c>
      <c r="D3263" t="s">
        <v>200</v>
      </c>
      <c r="E3263" t="s">
        <v>95</v>
      </c>
      <c r="F3263" t="s">
        <v>493</v>
      </c>
      <c r="G3263" t="s">
        <v>103</v>
      </c>
      <c r="H3263" t="s">
        <v>103</v>
      </c>
    </row>
    <row r="3264" spans="1:8" x14ac:dyDescent="0.3">
      <c r="A3264" t="s">
        <v>29</v>
      </c>
      <c r="B3264" t="s">
        <v>199</v>
      </c>
      <c r="C3264">
        <v>360</v>
      </c>
      <c r="D3264" t="s">
        <v>200</v>
      </c>
      <c r="E3264" t="s">
        <v>97</v>
      </c>
      <c r="F3264" t="s">
        <v>493</v>
      </c>
      <c r="G3264" t="s">
        <v>103</v>
      </c>
      <c r="H3264" t="s">
        <v>66</v>
      </c>
    </row>
    <row r="3265" spans="1:8" x14ac:dyDescent="0.3">
      <c r="A3265" t="s">
        <v>28</v>
      </c>
      <c r="B3265" t="s">
        <v>198</v>
      </c>
      <c r="C3265">
        <v>70</v>
      </c>
      <c r="D3265" t="s">
        <v>896</v>
      </c>
      <c r="E3265" t="s">
        <v>103</v>
      </c>
      <c r="F3265" t="s">
        <v>467</v>
      </c>
      <c r="G3265" t="s">
        <v>103</v>
      </c>
      <c r="H3265" t="s">
        <v>329</v>
      </c>
    </row>
    <row r="3266" spans="1:8" x14ac:dyDescent="0.3">
      <c r="A3266" t="s">
        <v>28</v>
      </c>
      <c r="B3266" t="s">
        <v>199</v>
      </c>
      <c r="C3266">
        <v>247</v>
      </c>
      <c r="D3266" t="s">
        <v>185</v>
      </c>
      <c r="E3266" t="s">
        <v>97</v>
      </c>
      <c r="F3266" t="s">
        <v>125</v>
      </c>
      <c r="G3266" t="s">
        <v>103</v>
      </c>
      <c r="H3266" t="s">
        <v>103</v>
      </c>
    </row>
    <row r="3267" spans="1:8" x14ac:dyDescent="0.3">
      <c r="A3267" t="s">
        <v>27</v>
      </c>
      <c r="B3267" t="s">
        <v>198</v>
      </c>
      <c r="C3267">
        <v>136</v>
      </c>
      <c r="D3267" t="s">
        <v>335</v>
      </c>
      <c r="E3267" t="s">
        <v>103</v>
      </c>
      <c r="F3267" t="s">
        <v>239</v>
      </c>
      <c r="G3267" t="s">
        <v>103</v>
      </c>
      <c r="H3267" t="s">
        <v>103</v>
      </c>
    </row>
    <row r="3268" spans="1:8" x14ac:dyDescent="0.3">
      <c r="A3268" t="s">
        <v>27</v>
      </c>
      <c r="B3268" t="s">
        <v>199</v>
      </c>
      <c r="C3268">
        <v>164</v>
      </c>
      <c r="D3268" t="s">
        <v>803</v>
      </c>
      <c r="E3268" t="s">
        <v>103</v>
      </c>
      <c r="F3268" t="s">
        <v>68</v>
      </c>
      <c r="G3268" t="s">
        <v>139</v>
      </c>
      <c r="H3268" t="s">
        <v>103</v>
      </c>
    </row>
    <row r="3269" spans="1:8" x14ac:dyDescent="0.3">
      <c r="A3269" t="s">
        <v>41</v>
      </c>
      <c r="B3269" t="s">
        <v>198</v>
      </c>
      <c r="C3269">
        <v>521</v>
      </c>
      <c r="D3269" t="s">
        <v>840</v>
      </c>
      <c r="E3269" t="s">
        <v>120</v>
      </c>
      <c r="F3269" t="s">
        <v>217</v>
      </c>
      <c r="G3269" t="s">
        <v>103</v>
      </c>
      <c r="H3269" t="s">
        <v>91</v>
      </c>
    </row>
    <row r="3270" spans="1:8" x14ac:dyDescent="0.3">
      <c r="A3270" t="s">
        <v>41</v>
      </c>
      <c r="B3270" t="s">
        <v>199</v>
      </c>
      <c r="C3270">
        <v>1517</v>
      </c>
      <c r="D3270" t="s">
        <v>879</v>
      </c>
      <c r="E3270" t="s">
        <v>97</v>
      </c>
      <c r="F3270" t="s">
        <v>329</v>
      </c>
      <c r="G3270" t="s">
        <v>103</v>
      </c>
      <c r="H3270" t="s">
        <v>91</v>
      </c>
    </row>
    <row r="3272" spans="1:8" x14ac:dyDescent="0.3">
      <c r="A3272" t="s">
        <v>1469</v>
      </c>
    </row>
    <row r="3273" spans="1:8" x14ac:dyDescent="0.3">
      <c r="A3273" t="s">
        <v>36</v>
      </c>
      <c r="B3273" t="s">
        <v>307</v>
      </c>
      <c r="C3273" t="s">
        <v>24</v>
      </c>
      <c r="D3273" t="s">
        <v>1464</v>
      </c>
      <c r="E3273" t="s">
        <v>1465</v>
      </c>
      <c r="F3273" t="s">
        <v>1466</v>
      </c>
      <c r="G3273" t="s">
        <v>1271</v>
      </c>
      <c r="H3273" t="s">
        <v>1467</v>
      </c>
    </row>
    <row r="3274" spans="1:8" x14ac:dyDescent="0.3">
      <c r="A3274" t="s">
        <v>25</v>
      </c>
      <c r="B3274" t="s">
        <v>291</v>
      </c>
      <c r="C3274">
        <v>156</v>
      </c>
      <c r="D3274" t="s">
        <v>328</v>
      </c>
      <c r="E3274" t="s">
        <v>116</v>
      </c>
      <c r="F3274" t="s">
        <v>105</v>
      </c>
      <c r="G3274" t="s">
        <v>103</v>
      </c>
      <c r="H3274" t="s">
        <v>103</v>
      </c>
    </row>
    <row r="3275" spans="1:8" x14ac:dyDescent="0.3">
      <c r="A3275" t="s">
        <v>25</v>
      </c>
      <c r="B3275" t="s">
        <v>292</v>
      </c>
      <c r="C3275">
        <v>254</v>
      </c>
      <c r="D3275" t="s">
        <v>323</v>
      </c>
      <c r="E3275" t="s">
        <v>116</v>
      </c>
      <c r="F3275" t="s">
        <v>103</v>
      </c>
      <c r="G3275" t="s">
        <v>103</v>
      </c>
      <c r="H3275" t="s">
        <v>103</v>
      </c>
    </row>
    <row r="3276" spans="1:8" x14ac:dyDescent="0.3">
      <c r="A3276" t="s">
        <v>25</v>
      </c>
      <c r="B3276" t="s">
        <v>308</v>
      </c>
      <c r="C3276">
        <v>4</v>
      </c>
      <c r="D3276" t="s">
        <v>192</v>
      </c>
      <c r="E3276" t="s">
        <v>103</v>
      </c>
      <c r="F3276" t="s">
        <v>103</v>
      </c>
      <c r="G3276" t="s">
        <v>103</v>
      </c>
      <c r="H3276" t="s">
        <v>103</v>
      </c>
    </row>
    <row r="3277" spans="1:8" x14ac:dyDescent="0.3">
      <c r="A3277" t="s">
        <v>26</v>
      </c>
      <c r="B3277" t="s">
        <v>291</v>
      </c>
      <c r="C3277">
        <v>122</v>
      </c>
      <c r="D3277" t="s">
        <v>988</v>
      </c>
      <c r="E3277" t="s">
        <v>217</v>
      </c>
      <c r="F3277" t="s">
        <v>139</v>
      </c>
      <c r="G3277" t="s">
        <v>103</v>
      </c>
      <c r="H3277" t="s">
        <v>103</v>
      </c>
    </row>
    <row r="3278" spans="1:8" x14ac:dyDescent="0.3">
      <c r="A3278" t="s">
        <v>26</v>
      </c>
      <c r="B3278" t="s">
        <v>292</v>
      </c>
      <c r="C3278">
        <v>352</v>
      </c>
      <c r="D3278" t="s">
        <v>323</v>
      </c>
      <c r="E3278" t="s">
        <v>103</v>
      </c>
      <c r="F3278" t="s">
        <v>116</v>
      </c>
      <c r="G3278" t="s">
        <v>103</v>
      </c>
      <c r="H3278" t="s">
        <v>103</v>
      </c>
    </row>
    <row r="3279" spans="1:8" x14ac:dyDescent="0.3">
      <c r="A3279" t="s">
        <v>26</v>
      </c>
      <c r="B3279" t="s">
        <v>308</v>
      </c>
      <c r="C3279">
        <v>3</v>
      </c>
      <c r="D3279" t="s">
        <v>192</v>
      </c>
      <c r="E3279" t="s">
        <v>103</v>
      </c>
      <c r="F3279" t="s">
        <v>103</v>
      </c>
      <c r="G3279" t="s">
        <v>103</v>
      </c>
      <c r="H3279" t="s">
        <v>103</v>
      </c>
    </row>
    <row r="3280" spans="1:8" x14ac:dyDescent="0.3">
      <c r="A3280" t="s">
        <v>29</v>
      </c>
      <c r="B3280" t="s">
        <v>291</v>
      </c>
      <c r="C3280">
        <v>205</v>
      </c>
      <c r="D3280" t="s">
        <v>213</v>
      </c>
      <c r="E3280" t="s">
        <v>467</v>
      </c>
      <c r="F3280" t="s">
        <v>282</v>
      </c>
      <c r="G3280" t="s">
        <v>103</v>
      </c>
      <c r="H3280" t="s">
        <v>122</v>
      </c>
    </row>
    <row r="3281" spans="1:8" x14ac:dyDescent="0.3">
      <c r="A3281" t="s">
        <v>29</v>
      </c>
      <c r="B3281" t="s">
        <v>292</v>
      </c>
      <c r="C3281">
        <v>325</v>
      </c>
      <c r="D3281" t="s">
        <v>1173</v>
      </c>
      <c r="E3281" t="s">
        <v>114</v>
      </c>
      <c r="F3281" t="s">
        <v>116</v>
      </c>
      <c r="G3281" t="s">
        <v>103</v>
      </c>
      <c r="H3281" t="s">
        <v>103</v>
      </c>
    </row>
    <row r="3282" spans="1:8" x14ac:dyDescent="0.3">
      <c r="A3282" t="s">
        <v>28</v>
      </c>
      <c r="B3282" t="s">
        <v>291</v>
      </c>
      <c r="C3282">
        <v>114</v>
      </c>
      <c r="D3282" t="s">
        <v>710</v>
      </c>
      <c r="E3282" t="s">
        <v>60</v>
      </c>
      <c r="F3282" t="s">
        <v>98</v>
      </c>
      <c r="G3282" t="s">
        <v>103</v>
      </c>
      <c r="H3282" t="s">
        <v>103</v>
      </c>
    </row>
    <row r="3283" spans="1:8" x14ac:dyDescent="0.3">
      <c r="A3283" t="s">
        <v>28</v>
      </c>
      <c r="B3283" t="s">
        <v>292</v>
      </c>
      <c r="C3283">
        <v>191</v>
      </c>
      <c r="D3283" t="s">
        <v>852</v>
      </c>
      <c r="E3283" t="s">
        <v>110</v>
      </c>
      <c r="F3283" t="s">
        <v>103</v>
      </c>
      <c r="G3283" t="s">
        <v>103</v>
      </c>
      <c r="H3283" t="s">
        <v>98</v>
      </c>
    </row>
    <row r="3284" spans="1:8" x14ac:dyDescent="0.3">
      <c r="A3284" t="s">
        <v>28</v>
      </c>
      <c r="B3284" t="s">
        <v>308</v>
      </c>
      <c r="C3284">
        <v>12</v>
      </c>
      <c r="D3284" t="s">
        <v>192</v>
      </c>
      <c r="E3284" t="s">
        <v>103</v>
      </c>
      <c r="F3284" t="s">
        <v>103</v>
      </c>
      <c r="G3284" t="s">
        <v>103</v>
      </c>
      <c r="H3284" t="s">
        <v>103</v>
      </c>
    </row>
    <row r="3285" spans="1:8" x14ac:dyDescent="0.3">
      <c r="A3285" t="s">
        <v>27</v>
      </c>
      <c r="B3285" t="s">
        <v>291</v>
      </c>
      <c r="C3285">
        <v>95</v>
      </c>
      <c r="D3285" t="s">
        <v>346</v>
      </c>
      <c r="E3285" t="s">
        <v>345</v>
      </c>
      <c r="F3285" t="s">
        <v>103</v>
      </c>
      <c r="G3285" t="s">
        <v>103</v>
      </c>
      <c r="H3285" t="s">
        <v>103</v>
      </c>
    </row>
    <row r="3286" spans="1:8" x14ac:dyDescent="0.3">
      <c r="A3286" t="s">
        <v>27</v>
      </c>
      <c r="B3286" t="s">
        <v>292</v>
      </c>
      <c r="C3286">
        <v>198</v>
      </c>
      <c r="D3286" t="s">
        <v>867</v>
      </c>
      <c r="E3286" t="s">
        <v>270</v>
      </c>
      <c r="F3286" t="s">
        <v>103</v>
      </c>
      <c r="G3286" t="s">
        <v>120</v>
      </c>
      <c r="H3286" t="s">
        <v>103</v>
      </c>
    </row>
    <row r="3287" spans="1:8" x14ac:dyDescent="0.3">
      <c r="A3287" t="s">
        <v>27</v>
      </c>
      <c r="B3287" t="s">
        <v>308</v>
      </c>
      <c r="C3287">
        <v>7</v>
      </c>
      <c r="D3287" t="s">
        <v>192</v>
      </c>
      <c r="E3287" t="s">
        <v>103</v>
      </c>
      <c r="F3287" t="s">
        <v>103</v>
      </c>
      <c r="G3287" t="s">
        <v>103</v>
      </c>
      <c r="H3287" t="s">
        <v>103</v>
      </c>
    </row>
    <row r="3288" spans="1:8" x14ac:dyDescent="0.3">
      <c r="A3288" t="s">
        <v>41</v>
      </c>
      <c r="B3288" t="s">
        <v>291</v>
      </c>
      <c r="C3288">
        <v>692</v>
      </c>
      <c r="D3288" t="s">
        <v>803</v>
      </c>
      <c r="E3288" t="s">
        <v>266</v>
      </c>
      <c r="F3288" t="s">
        <v>345</v>
      </c>
      <c r="G3288" t="s">
        <v>103</v>
      </c>
      <c r="H3288" t="s">
        <v>66</v>
      </c>
    </row>
    <row r="3289" spans="1:8" x14ac:dyDescent="0.3">
      <c r="A3289" t="s">
        <v>41</v>
      </c>
      <c r="B3289" t="s">
        <v>292</v>
      </c>
      <c r="C3289">
        <v>1320</v>
      </c>
      <c r="D3289" t="s">
        <v>852</v>
      </c>
      <c r="E3289" t="s">
        <v>208</v>
      </c>
      <c r="F3289" t="s">
        <v>66</v>
      </c>
      <c r="G3289" t="s">
        <v>103</v>
      </c>
      <c r="H3289" t="s">
        <v>103</v>
      </c>
    </row>
    <row r="3290" spans="1:8" x14ac:dyDescent="0.3">
      <c r="A3290" t="s">
        <v>41</v>
      </c>
      <c r="B3290" t="s">
        <v>308</v>
      </c>
      <c r="C3290">
        <v>26</v>
      </c>
      <c r="D3290" t="s">
        <v>192</v>
      </c>
      <c r="E3290" t="s">
        <v>103</v>
      </c>
      <c r="F3290" t="s">
        <v>103</v>
      </c>
      <c r="G3290" t="s">
        <v>103</v>
      </c>
      <c r="H3290" t="s">
        <v>103</v>
      </c>
    </row>
    <row r="3292" spans="1:8" x14ac:dyDescent="0.3">
      <c r="A3292" t="s">
        <v>1470</v>
      </c>
    </row>
    <row r="3293" spans="1:8" x14ac:dyDescent="0.3">
      <c r="A3293" t="s">
        <v>36</v>
      </c>
      <c r="B3293" t="s">
        <v>763</v>
      </c>
      <c r="C3293" t="s">
        <v>24</v>
      </c>
      <c r="D3293" t="s">
        <v>1464</v>
      </c>
      <c r="E3293" t="s">
        <v>1465</v>
      </c>
      <c r="F3293" t="s">
        <v>1466</v>
      </c>
      <c r="G3293" t="s">
        <v>1271</v>
      </c>
      <c r="H3293" t="s">
        <v>1467</v>
      </c>
    </row>
    <row r="3294" spans="1:8" x14ac:dyDescent="0.3">
      <c r="A3294" t="s">
        <v>25</v>
      </c>
      <c r="B3294" t="s">
        <v>764</v>
      </c>
      <c r="C3294">
        <v>31</v>
      </c>
      <c r="D3294" t="s">
        <v>192</v>
      </c>
      <c r="E3294" t="s">
        <v>103</v>
      </c>
      <c r="F3294" t="s">
        <v>103</v>
      </c>
      <c r="G3294" t="s">
        <v>103</v>
      </c>
      <c r="H3294" t="s">
        <v>103</v>
      </c>
    </row>
    <row r="3295" spans="1:8" x14ac:dyDescent="0.3">
      <c r="A3295" t="s">
        <v>25</v>
      </c>
      <c r="B3295" t="s">
        <v>765</v>
      </c>
      <c r="C3295">
        <v>280</v>
      </c>
      <c r="D3295" t="s">
        <v>321</v>
      </c>
      <c r="E3295" t="s">
        <v>66</v>
      </c>
      <c r="F3295" t="s">
        <v>122</v>
      </c>
      <c r="G3295" t="s">
        <v>103</v>
      </c>
      <c r="H3295" t="s">
        <v>103</v>
      </c>
    </row>
    <row r="3296" spans="1:8" x14ac:dyDescent="0.3">
      <c r="A3296" t="s">
        <v>25</v>
      </c>
      <c r="B3296" t="s">
        <v>767</v>
      </c>
      <c r="C3296">
        <v>103</v>
      </c>
      <c r="D3296" t="s">
        <v>880</v>
      </c>
      <c r="E3296" t="s">
        <v>139</v>
      </c>
      <c r="F3296" t="s">
        <v>245</v>
      </c>
      <c r="G3296" t="s">
        <v>103</v>
      </c>
      <c r="H3296" t="s">
        <v>103</v>
      </c>
    </row>
    <row r="3297" spans="1:8" x14ac:dyDescent="0.3">
      <c r="A3297" t="s">
        <v>26</v>
      </c>
      <c r="B3297" t="s">
        <v>764</v>
      </c>
      <c r="C3297">
        <v>58</v>
      </c>
      <c r="D3297" t="s">
        <v>1471</v>
      </c>
      <c r="E3297" t="s">
        <v>245</v>
      </c>
      <c r="F3297" t="s">
        <v>103</v>
      </c>
      <c r="G3297" t="s">
        <v>103</v>
      </c>
      <c r="H3297" t="s">
        <v>103</v>
      </c>
    </row>
    <row r="3298" spans="1:8" x14ac:dyDescent="0.3">
      <c r="A3298" t="s">
        <v>26</v>
      </c>
      <c r="B3298" t="s">
        <v>765</v>
      </c>
      <c r="C3298">
        <v>278</v>
      </c>
      <c r="D3298" t="s">
        <v>323</v>
      </c>
      <c r="E3298" t="s">
        <v>116</v>
      </c>
      <c r="F3298" t="s">
        <v>103</v>
      </c>
      <c r="G3298" t="s">
        <v>103</v>
      </c>
      <c r="H3298" t="s">
        <v>103</v>
      </c>
    </row>
    <row r="3299" spans="1:8" x14ac:dyDescent="0.3">
      <c r="A3299" t="s">
        <v>26</v>
      </c>
      <c r="B3299" t="s">
        <v>767</v>
      </c>
      <c r="C3299">
        <v>141</v>
      </c>
      <c r="D3299" t="s">
        <v>1176</v>
      </c>
      <c r="E3299" t="s">
        <v>98</v>
      </c>
      <c r="F3299" t="s">
        <v>194</v>
      </c>
      <c r="G3299" t="s">
        <v>103</v>
      </c>
      <c r="H3299" t="s">
        <v>103</v>
      </c>
    </row>
    <row r="3300" spans="1:8" s="3" customFormat="1" x14ac:dyDescent="0.3">
      <c r="A3300" s="3" t="s">
        <v>29</v>
      </c>
      <c r="B3300" s="3" t="s">
        <v>764</v>
      </c>
      <c r="C3300" s="3">
        <v>11</v>
      </c>
      <c r="D3300" s="3" t="s">
        <v>192</v>
      </c>
      <c r="E3300" s="3" t="s">
        <v>103</v>
      </c>
      <c r="F3300" s="3" t="s">
        <v>103</v>
      </c>
      <c r="G3300" s="3" t="s">
        <v>103</v>
      </c>
      <c r="H3300" s="3" t="s">
        <v>103</v>
      </c>
    </row>
    <row r="3301" spans="1:8" x14ac:dyDescent="0.3">
      <c r="A3301" t="s">
        <v>29</v>
      </c>
      <c r="B3301" t="s">
        <v>765</v>
      </c>
      <c r="C3301">
        <v>365</v>
      </c>
      <c r="D3301" t="s">
        <v>803</v>
      </c>
      <c r="E3301" t="s">
        <v>270</v>
      </c>
      <c r="F3301" t="s">
        <v>139</v>
      </c>
      <c r="G3301" t="s">
        <v>103</v>
      </c>
      <c r="H3301" t="s">
        <v>66</v>
      </c>
    </row>
    <row r="3302" spans="1:8" x14ac:dyDescent="0.3">
      <c r="A3302" t="s">
        <v>29</v>
      </c>
      <c r="B3302" t="s">
        <v>767</v>
      </c>
      <c r="C3302">
        <v>154</v>
      </c>
      <c r="D3302" t="s">
        <v>864</v>
      </c>
      <c r="E3302" t="s">
        <v>232</v>
      </c>
      <c r="F3302" t="s">
        <v>103</v>
      </c>
      <c r="G3302" t="s">
        <v>103</v>
      </c>
      <c r="H3302" t="s">
        <v>103</v>
      </c>
    </row>
    <row r="3303" spans="1:8" s="3" customFormat="1" x14ac:dyDescent="0.3">
      <c r="A3303" s="3" t="s">
        <v>28</v>
      </c>
      <c r="B3303" s="3" t="s">
        <v>764</v>
      </c>
      <c r="C3303" s="3">
        <v>20</v>
      </c>
      <c r="D3303" s="3" t="s">
        <v>740</v>
      </c>
      <c r="E3303" s="3" t="s">
        <v>115</v>
      </c>
      <c r="F3303" s="3" t="s">
        <v>103</v>
      </c>
      <c r="G3303" s="3" t="s">
        <v>103</v>
      </c>
      <c r="H3303" s="3" t="s">
        <v>103</v>
      </c>
    </row>
    <row r="3304" spans="1:8" x14ac:dyDescent="0.3">
      <c r="A3304" t="s">
        <v>28</v>
      </c>
      <c r="B3304" t="s">
        <v>765</v>
      </c>
      <c r="C3304">
        <v>260</v>
      </c>
      <c r="D3304" t="s">
        <v>185</v>
      </c>
      <c r="E3304" t="s">
        <v>68</v>
      </c>
      <c r="F3304" t="s">
        <v>122</v>
      </c>
      <c r="G3304" t="s">
        <v>103</v>
      </c>
      <c r="H3304" t="s">
        <v>120</v>
      </c>
    </row>
    <row r="3305" spans="1:8" x14ac:dyDescent="0.3">
      <c r="A3305" t="s">
        <v>28</v>
      </c>
      <c r="B3305" t="s">
        <v>767</v>
      </c>
      <c r="C3305">
        <v>37</v>
      </c>
      <c r="D3305" t="s">
        <v>192</v>
      </c>
      <c r="E3305" t="s">
        <v>103</v>
      </c>
      <c r="F3305" t="s">
        <v>103</v>
      </c>
      <c r="G3305" t="s">
        <v>103</v>
      </c>
      <c r="H3305" t="s">
        <v>103</v>
      </c>
    </row>
    <row r="3306" spans="1:8" s="3" customFormat="1" x14ac:dyDescent="0.3">
      <c r="A3306" s="3" t="s">
        <v>27</v>
      </c>
      <c r="B3306" s="3" t="s">
        <v>764</v>
      </c>
      <c r="C3306" s="3">
        <v>29</v>
      </c>
      <c r="D3306" s="3" t="s">
        <v>192</v>
      </c>
      <c r="E3306" s="3" t="s">
        <v>103</v>
      </c>
      <c r="F3306" s="3" t="s">
        <v>103</v>
      </c>
      <c r="G3306" s="3" t="s">
        <v>103</v>
      </c>
      <c r="H3306" s="3" t="s">
        <v>103</v>
      </c>
    </row>
    <row r="3307" spans="1:8" x14ac:dyDescent="0.3">
      <c r="A3307" t="s">
        <v>27</v>
      </c>
      <c r="B3307" t="s">
        <v>765</v>
      </c>
      <c r="C3307">
        <v>209</v>
      </c>
      <c r="D3307" t="s">
        <v>336</v>
      </c>
      <c r="E3307" t="s">
        <v>217</v>
      </c>
      <c r="F3307" t="s">
        <v>103</v>
      </c>
      <c r="G3307" t="s">
        <v>120</v>
      </c>
      <c r="H3307" t="s">
        <v>103</v>
      </c>
    </row>
    <row r="3308" spans="1:8" x14ac:dyDescent="0.3">
      <c r="A3308" t="s">
        <v>27</v>
      </c>
      <c r="B3308" t="s">
        <v>767</v>
      </c>
      <c r="C3308">
        <v>62</v>
      </c>
      <c r="D3308" t="s">
        <v>879</v>
      </c>
      <c r="E3308" t="s">
        <v>266</v>
      </c>
      <c r="F3308" t="s">
        <v>103</v>
      </c>
      <c r="G3308" t="s">
        <v>103</v>
      </c>
      <c r="H3308" t="s">
        <v>103</v>
      </c>
    </row>
    <row r="3309" spans="1:8" x14ac:dyDescent="0.3">
      <c r="A3309" t="s">
        <v>41</v>
      </c>
      <c r="B3309" t="s">
        <v>764</v>
      </c>
      <c r="C3309">
        <v>149</v>
      </c>
      <c r="D3309" t="s">
        <v>1471</v>
      </c>
      <c r="E3309" t="s">
        <v>245</v>
      </c>
      <c r="F3309" t="s">
        <v>103</v>
      </c>
      <c r="G3309" t="s">
        <v>103</v>
      </c>
      <c r="H3309" t="s">
        <v>103</v>
      </c>
    </row>
    <row r="3310" spans="1:8" x14ac:dyDescent="0.3">
      <c r="A3310" t="s">
        <v>41</v>
      </c>
      <c r="B3310" t="s">
        <v>765</v>
      </c>
      <c r="C3310">
        <v>1392</v>
      </c>
      <c r="D3310" t="s">
        <v>880</v>
      </c>
      <c r="E3310" t="s">
        <v>105</v>
      </c>
      <c r="F3310" t="s">
        <v>97</v>
      </c>
      <c r="G3310" t="s">
        <v>103</v>
      </c>
      <c r="H3310" t="s">
        <v>66</v>
      </c>
    </row>
    <row r="3311" spans="1:8" x14ac:dyDescent="0.3">
      <c r="A3311" t="s">
        <v>41</v>
      </c>
      <c r="B3311" t="s">
        <v>767</v>
      </c>
      <c r="C3311">
        <v>497</v>
      </c>
      <c r="D3311" t="s">
        <v>185</v>
      </c>
      <c r="E3311" t="s">
        <v>438</v>
      </c>
      <c r="F3311" t="s">
        <v>120</v>
      </c>
      <c r="G3311" t="s">
        <v>103</v>
      </c>
      <c r="H3311" t="s">
        <v>103</v>
      </c>
    </row>
    <row r="3313" spans="1:9" x14ac:dyDescent="0.3">
      <c r="A3313" t="s">
        <v>1472</v>
      </c>
    </row>
    <row r="3314" spans="1:9" x14ac:dyDescent="0.3">
      <c r="A3314" t="s">
        <v>36</v>
      </c>
      <c r="B3314" t="s">
        <v>24</v>
      </c>
      <c r="C3314" t="s">
        <v>1473</v>
      </c>
      <c r="D3314" t="s">
        <v>1474</v>
      </c>
      <c r="E3314" t="s">
        <v>1475</v>
      </c>
      <c r="F3314" t="s">
        <v>1476</v>
      </c>
      <c r="G3314" t="s">
        <v>1165</v>
      </c>
      <c r="H3314" t="s">
        <v>1477</v>
      </c>
    </row>
    <row r="3315" spans="1:9" x14ac:dyDescent="0.3">
      <c r="A3315" t="s">
        <v>25</v>
      </c>
      <c r="B3315">
        <v>414</v>
      </c>
      <c r="C3315" t="s">
        <v>950</v>
      </c>
      <c r="D3315" t="s">
        <v>950</v>
      </c>
      <c r="E3315" t="s">
        <v>323</v>
      </c>
      <c r="F3315" t="s">
        <v>323</v>
      </c>
      <c r="G3315" t="s">
        <v>103</v>
      </c>
      <c r="H3315" t="s">
        <v>103</v>
      </c>
    </row>
    <row r="3316" spans="1:9" x14ac:dyDescent="0.3">
      <c r="A3316" t="s">
        <v>26</v>
      </c>
      <c r="B3316">
        <v>477</v>
      </c>
      <c r="C3316" t="s">
        <v>322</v>
      </c>
      <c r="D3316" t="s">
        <v>1176</v>
      </c>
      <c r="E3316" t="s">
        <v>837</v>
      </c>
      <c r="F3316" t="s">
        <v>332</v>
      </c>
      <c r="G3316" t="s">
        <v>216</v>
      </c>
      <c r="H3316" t="s">
        <v>103</v>
      </c>
    </row>
    <row r="3317" spans="1:9" x14ac:dyDescent="0.3">
      <c r="A3317" t="s">
        <v>29</v>
      </c>
      <c r="B3317">
        <v>530</v>
      </c>
      <c r="C3317" t="s">
        <v>328</v>
      </c>
      <c r="D3317" t="s">
        <v>342</v>
      </c>
      <c r="E3317" t="s">
        <v>340</v>
      </c>
      <c r="F3317" t="s">
        <v>852</v>
      </c>
      <c r="G3317" t="s">
        <v>120</v>
      </c>
      <c r="H3317" t="s">
        <v>103</v>
      </c>
    </row>
    <row r="3318" spans="1:9" x14ac:dyDescent="0.3">
      <c r="A3318" t="s">
        <v>28</v>
      </c>
      <c r="B3318">
        <v>317</v>
      </c>
      <c r="C3318" t="s">
        <v>286</v>
      </c>
      <c r="D3318" t="s">
        <v>163</v>
      </c>
      <c r="E3318" t="s">
        <v>321</v>
      </c>
      <c r="F3318" t="s">
        <v>864</v>
      </c>
      <c r="G3318" t="s">
        <v>103</v>
      </c>
      <c r="H3318" t="s">
        <v>103</v>
      </c>
    </row>
    <row r="3319" spans="1:9" x14ac:dyDescent="0.3">
      <c r="A3319" t="s">
        <v>27</v>
      </c>
      <c r="B3319">
        <v>300</v>
      </c>
      <c r="C3319" t="s">
        <v>840</v>
      </c>
      <c r="D3319" t="s">
        <v>803</v>
      </c>
      <c r="E3319" t="s">
        <v>1478</v>
      </c>
      <c r="F3319" t="s">
        <v>1471</v>
      </c>
      <c r="G3319" t="s">
        <v>103</v>
      </c>
      <c r="H3319" t="s">
        <v>103</v>
      </c>
    </row>
    <row r="3320" spans="1:9" x14ac:dyDescent="0.3">
      <c r="A3320" t="s">
        <v>41</v>
      </c>
      <c r="B3320">
        <v>2038</v>
      </c>
      <c r="C3320" t="s">
        <v>342</v>
      </c>
      <c r="D3320" t="s">
        <v>880</v>
      </c>
      <c r="E3320" t="s">
        <v>340</v>
      </c>
      <c r="F3320" t="s">
        <v>1176</v>
      </c>
      <c r="G3320" t="s">
        <v>95</v>
      </c>
      <c r="H3320" t="s">
        <v>103</v>
      </c>
    </row>
    <row r="3322" spans="1:9" x14ac:dyDescent="0.3">
      <c r="A3322" t="s">
        <v>1479</v>
      </c>
    </row>
    <row r="3323" spans="1:9" x14ac:dyDescent="0.3">
      <c r="A3323" t="s">
        <v>36</v>
      </c>
      <c r="B3323" t="s">
        <v>310</v>
      </c>
      <c r="C3323" t="s">
        <v>24</v>
      </c>
      <c r="D3323" t="s">
        <v>1473</v>
      </c>
      <c r="E3323" t="s">
        <v>1474</v>
      </c>
      <c r="F3323" t="s">
        <v>1475</v>
      </c>
      <c r="G3323" t="s">
        <v>1476</v>
      </c>
      <c r="H3323" t="s">
        <v>1165</v>
      </c>
      <c r="I3323" t="s">
        <v>1477</v>
      </c>
    </row>
    <row r="3324" spans="1:9" x14ac:dyDescent="0.3">
      <c r="A3324" t="s">
        <v>25</v>
      </c>
      <c r="B3324" t="s">
        <v>311</v>
      </c>
      <c r="C3324">
        <v>324</v>
      </c>
      <c r="D3324" t="s">
        <v>950</v>
      </c>
      <c r="E3324" t="s">
        <v>327</v>
      </c>
      <c r="F3324" t="s">
        <v>327</v>
      </c>
      <c r="G3324" t="s">
        <v>192</v>
      </c>
      <c r="H3324" t="s">
        <v>103</v>
      </c>
      <c r="I3324" t="s">
        <v>103</v>
      </c>
    </row>
    <row r="3325" spans="1:9" x14ac:dyDescent="0.3">
      <c r="A3325" t="s">
        <v>25</v>
      </c>
      <c r="B3325" t="s">
        <v>312</v>
      </c>
      <c r="C3325">
        <v>80</v>
      </c>
      <c r="D3325" t="s">
        <v>346</v>
      </c>
      <c r="E3325" t="s">
        <v>988</v>
      </c>
      <c r="F3325" t="s">
        <v>192</v>
      </c>
      <c r="G3325" t="s">
        <v>1478</v>
      </c>
      <c r="H3325" t="s">
        <v>103</v>
      </c>
      <c r="I3325" t="s">
        <v>103</v>
      </c>
    </row>
    <row r="3326" spans="1:9" x14ac:dyDescent="0.3">
      <c r="A3326" t="s">
        <v>25</v>
      </c>
      <c r="B3326" t="s">
        <v>308</v>
      </c>
      <c r="C3326">
        <v>10</v>
      </c>
      <c r="D3326" t="s">
        <v>192</v>
      </c>
      <c r="E3326" t="s">
        <v>192</v>
      </c>
      <c r="F3326" t="s">
        <v>192</v>
      </c>
      <c r="G3326" t="s">
        <v>192</v>
      </c>
      <c r="H3326" t="s">
        <v>103</v>
      </c>
      <c r="I3326" t="s">
        <v>103</v>
      </c>
    </row>
    <row r="3327" spans="1:9" x14ac:dyDescent="0.3">
      <c r="A3327" t="s">
        <v>26</v>
      </c>
      <c r="B3327" t="s">
        <v>311</v>
      </c>
      <c r="C3327">
        <v>343</v>
      </c>
      <c r="D3327" t="s">
        <v>339</v>
      </c>
      <c r="E3327" t="s">
        <v>837</v>
      </c>
      <c r="F3327" t="s">
        <v>69</v>
      </c>
      <c r="G3327" t="s">
        <v>837</v>
      </c>
      <c r="H3327" t="s">
        <v>93</v>
      </c>
      <c r="I3327" t="s">
        <v>103</v>
      </c>
    </row>
    <row r="3328" spans="1:9" x14ac:dyDescent="0.3">
      <c r="A3328" t="s">
        <v>26</v>
      </c>
      <c r="B3328" t="s">
        <v>312</v>
      </c>
      <c r="C3328">
        <v>96</v>
      </c>
      <c r="D3328" t="s">
        <v>192</v>
      </c>
      <c r="E3328" t="s">
        <v>192</v>
      </c>
      <c r="F3328" t="s">
        <v>1173</v>
      </c>
      <c r="G3328" t="s">
        <v>1173</v>
      </c>
      <c r="H3328" t="s">
        <v>103</v>
      </c>
      <c r="I3328" t="s">
        <v>103</v>
      </c>
    </row>
    <row r="3329" spans="1:9" x14ac:dyDescent="0.3">
      <c r="A3329" t="s">
        <v>26</v>
      </c>
      <c r="B3329" t="s">
        <v>308</v>
      </c>
      <c r="C3329">
        <v>38</v>
      </c>
      <c r="D3329" t="s">
        <v>192</v>
      </c>
      <c r="E3329" t="s">
        <v>192</v>
      </c>
      <c r="F3329" t="s">
        <v>192</v>
      </c>
      <c r="G3329" t="s">
        <v>192</v>
      </c>
      <c r="H3329" t="s">
        <v>103</v>
      </c>
      <c r="I3329" t="s">
        <v>103</v>
      </c>
    </row>
    <row r="3330" spans="1:9" x14ac:dyDescent="0.3">
      <c r="A3330" t="s">
        <v>29</v>
      </c>
      <c r="B3330" t="s">
        <v>311</v>
      </c>
      <c r="C3330">
        <v>414</v>
      </c>
      <c r="D3330" t="s">
        <v>339</v>
      </c>
      <c r="E3330" t="s">
        <v>1176</v>
      </c>
      <c r="F3330" t="s">
        <v>1471</v>
      </c>
      <c r="G3330" t="s">
        <v>852</v>
      </c>
      <c r="H3330" t="s">
        <v>139</v>
      </c>
      <c r="I3330" t="s">
        <v>103</v>
      </c>
    </row>
    <row r="3331" spans="1:9" x14ac:dyDescent="0.3">
      <c r="A3331" t="s">
        <v>29</v>
      </c>
      <c r="B3331" t="s">
        <v>312</v>
      </c>
      <c r="C3331">
        <v>103</v>
      </c>
      <c r="D3331" t="s">
        <v>950</v>
      </c>
      <c r="E3331" t="s">
        <v>950</v>
      </c>
      <c r="F3331" t="s">
        <v>1471</v>
      </c>
      <c r="G3331" t="s">
        <v>339</v>
      </c>
      <c r="H3331" t="s">
        <v>103</v>
      </c>
      <c r="I3331" t="s">
        <v>103</v>
      </c>
    </row>
    <row r="3332" spans="1:9" x14ac:dyDescent="0.3">
      <c r="A3332" t="s">
        <v>29</v>
      </c>
      <c r="B3332" t="s">
        <v>308</v>
      </c>
      <c r="C3332">
        <v>13</v>
      </c>
      <c r="D3332" t="s">
        <v>192</v>
      </c>
      <c r="E3332" t="s">
        <v>192</v>
      </c>
      <c r="F3332" t="s">
        <v>192</v>
      </c>
      <c r="G3332" t="s">
        <v>192</v>
      </c>
      <c r="H3332" t="s">
        <v>103</v>
      </c>
      <c r="I3332" t="s">
        <v>103</v>
      </c>
    </row>
    <row r="3333" spans="1:9" x14ac:dyDescent="0.3">
      <c r="A3333" t="s">
        <v>28</v>
      </c>
      <c r="B3333" t="s">
        <v>311</v>
      </c>
      <c r="C3333">
        <v>223</v>
      </c>
      <c r="D3333" t="s">
        <v>597</v>
      </c>
      <c r="E3333" t="s">
        <v>599</v>
      </c>
      <c r="F3333" t="s">
        <v>334</v>
      </c>
      <c r="G3333" t="s">
        <v>855</v>
      </c>
      <c r="H3333" t="s">
        <v>103</v>
      </c>
      <c r="I3333" t="s">
        <v>103</v>
      </c>
    </row>
    <row r="3334" spans="1:9" x14ac:dyDescent="0.3">
      <c r="A3334" t="s">
        <v>28</v>
      </c>
      <c r="B3334" t="s">
        <v>312</v>
      </c>
      <c r="C3334">
        <v>93</v>
      </c>
      <c r="D3334" t="s">
        <v>192</v>
      </c>
      <c r="E3334" t="s">
        <v>878</v>
      </c>
      <c r="F3334" t="s">
        <v>192</v>
      </c>
      <c r="G3334" t="s">
        <v>861</v>
      </c>
      <c r="H3334" t="s">
        <v>103</v>
      </c>
      <c r="I3334" t="s">
        <v>103</v>
      </c>
    </row>
    <row r="3335" spans="1:9" x14ac:dyDescent="0.3">
      <c r="A3335" t="s">
        <v>28</v>
      </c>
      <c r="B3335" t="s">
        <v>308</v>
      </c>
      <c r="C3335">
        <v>1</v>
      </c>
      <c r="D3335" t="s">
        <v>192</v>
      </c>
      <c r="E3335" t="s">
        <v>192</v>
      </c>
      <c r="F3335" t="s">
        <v>192</v>
      </c>
      <c r="G3335" t="s">
        <v>192</v>
      </c>
      <c r="H3335" t="s">
        <v>103</v>
      </c>
      <c r="I3335" t="s">
        <v>103</v>
      </c>
    </row>
    <row r="3336" spans="1:9" x14ac:dyDescent="0.3">
      <c r="A3336" t="s">
        <v>27</v>
      </c>
      <c r="B3336" t="s">
        <v>311</v>
      </c>
      <c r="C3336">
        <v>237</v>
      </c>
      <c r="D3336" t="s">
        <v>286</v>
      </c>
      <c r="E3336" t="s">
        <v>861</v>
      </c>
      <c r="F3336" t="s">
        <v>1471</v>
      </c>
      <c r="G3336" t="s">
        <v>328</v>
      </c>
      <c r="H3336" t="s">
        <v>103</v>
      </c>
      <c r="I3336" t="s">
        <v>103</v>
      </c>
    </row>
    <row r="3337" spans="1:9" x14ac:dyDescent="0.3">
      <c r="A3337" t="s">
        <v>27</v>
      </c>
      <c r="B3337" t="s">
        <v>312</v>
      </c>
      <c r="C3337">
        <v>60</v>
      </c>
      <c r="D3337" t="s">
        <v>328</v>
      </c>
      <c r="E3337" t="s">
        <v>328</v>
      </c>
      <c r="F3337" t="s">
        <v>192</v>
      </c>
      <c r="G3337" t="s">
        <v>192</v>
      </c>
      <c r="H3337" t="s">
        <v>103</v>
      </c>
      <c r="I3337" t="s">
        <v>103</v>
      </c>
    </row>
    <row r="3338" spans="1:9" x14ac:dyDescent="0.3">
      <c r="A3338" t="s">
        <v>27</v>
      </c>
      <c r="B3338" t="s">
        <v>308</v>
      </c>
      <c r="C3338">
        <v>3</v>
      </c>
      <c r="D3338" t="s">
        <v>192</v>
      </c>
      <c r="E3338" t="s">
        <v>192</v>
      </c>
      <c r="F3338" t="s">
        <v>192</v>
      </c>
      <c r="G3338" t="s">
        <v>192</v>
      </c>
      <c r="H3338" t="s">
        <v>103</v>
      </c>
      <c r="I3338" t="s">
        <v>103</v>
      </c>
    </row>
    <row r="3339" spans="1:9" x14ac:dyDescent="0.3">
      <c r="A3339" t="s">
        <v>41</v>
      </c>
      <c r="B3339" t="s">
        <v>311</v>
      </c>
      <c r="C3339">
        <v>1541</v>
      </c>
      <c r="D3339" t="s">
        <v>852</v>
      </c>
      <c r="E3339" t="s">
        <v>768</v>
      </c>
      <c r="F3339" t="s">
        <v>1471</v>
      </c>
      <c r="G3339" t="s">
        <v>1176</v>
      </c>
      <c r="H3339" t="s">
        <v>98</v>
      </c>
      <c r="I3339" t="s">
        <v>103</v>
      </c>
    </row>
    <row r="3340" spans="1:9" x14ac:dyDescent="0.3">
      <c r="A3340" t="s">
        <v>41</v>
      </c>
      <c r="B3340" t="s">
        <v>312</v>
      </c>
      <c r="C3340">
        <v>432</v>
      </c>
      <c r="D3340" t="s">
        <v>334</v>
      </c>
      <c r="E3340" t="s">
        <v>339</v>
      </c>
      <c r="F3340" t="s">
        <v>322</v>
      </c>
      <c r="G3340" t="s">
        <v>879</v>
      </c>
      <c r="H3340" t="s">
        <v>103</v>
      </c>
      <c r="I3340" t="s">
        <v>103</v>
      </c>
    </row>
    <row r="3341" spans="1:9" x14ac:dyDescent="0.3">
      <c r="A3341" t="s">
        <v>41</v>
      </c>
      <c r="B3341" t="s">
        <v>308</v>
      </c>
      <c r="C3341">
        <v>65</v>
      </c>
      <c r="D3341" t="s">
        <v>192</v>
      </c>
      <c r="E3341" t="s">
        <v>192</v>
      </c>
      <c r="F3341" t="s">
        <v>192</v>
      </c>
      <c r="G3341" t="s">
        <v>192</v>
      </c>
      <c r="H3341" t="s">
        <v>103</v>
      </c>
      <c r="I3341" t="s">
        <v>103</v>
      </c>
    </row>
    <row r="3343" spans="1:9" x14ac:dyDescent="0.3">
      <c r="A3343" t="s">
        <v>1480</v>
      </c>
    </row>
    <row r="3344" spans="1:9" x14ac:dyDescent="0.3">
      <c r="A3344" t="s">
        <v>36</v>
      </c>
      <c r="B3344" t="s">
        <v>197</v>
      </c>
      <c r="C3344" t="s">
        <v>24</v>
      </c>
      <c r="D3344" t="s">
        <v>1473</v>
      </c>
      <c r="E3344" t="s">
        <v>1474</v>
      </c>
      <c r="F3344" t="s">
        <v>1475</v>
      </c>
      <c r="G3344" t="s">
        <v>1476</v>
      </c>
      <c r="H3344" t="s">
        <v>1165</v>
      </c>
      <c r="I3344" t="s">
        <v>1477</v>
      </c>
    </row>
    <row r="3345" spans="1:9" x14ac:dyDescent="0.3">
      <c r="A3345" t="s">
        <v>25</v>
      </c>
      <c r="B3345" t="s">
        <v>198</v>
      </c>
      <c r="C3345">
        <v>104</v>
      </c>
      <c r="D3345" t="s">
        <v>954</v>
      </c>
      <c r="E3345" t="s">
        <v>192</v>
      </c>
      <c r="F3345" t="s">
        <v>192</v>
      </c>
      <c r="G3345" t="s">
        <v>192</v>
      </c>
      <c r="H3345" t="s">
        <v>103</v>
      </c>
      <c r="I3345" t="s">
        <v>103</v>
      </c>
    </row>
    <row r="3346" spans="1:9" x14ac:dyDescent="0.3">
      <c r="A3346" t="s">
        <v>25</v>
      </c>
      <c r="B3346" t="s">
        <v>199</v>
      </c>
      <c r="C3346">
        <v>310</v>
      </c>
      <c r="D3346" t="s">
        <v>950</v>
      </c>
      <c r="E3346" t="s">
        <v>346</v>
      </c>
      <c r="F3346" t="s">
        <v>327</v>
      </c>
      <c r="G3346" t="s">
        <v>323</v>
      </c>
      <c r="H3346" t="s">
        <v>103</v>
      </c>
      <c r="I3346" t="s">
        <v>103</v>
      </c>
    </row>
    <row r="3347" spans="1:9" x14ac:dyDescent="0.3">
      <c r="A3347" t="s">
        <v>26</v>
      </c>
      <c r="B3347" t="s">
        <v>198</v>
      </c>
      <c r="C3347">
        <v>41</v>
      </c>
      <c r="D3347" t="s">
        <v>861</v>
      </c>
      <c r="E3347" t="s">
        <v>861</v>
      </c>
      <c r="F3347" t="s">
        <v>861</v>
      </c>
      <c r="G3347" t="s">
        <v>861</v>
      </c>
      <c r="H3347" t="s">
        <v>113</v>
      </c>
      <c r="I3347" t="s">
        <v>103</v>
      </c>
    </row>
    <row r="3348" spans="1:9" x14ac:dyDescent="0.3">
      <c r="A3348" t="s">
        <v>26</v>
      </c>
      <c r="B3348" t="s">
        <v>199</v>
      </c>
      <c r="C3348">
        <v>436</v>
      </c>
      <c r="D3348" t="s">
        <v>340</v>
      </c>
      <c r="E3348" t="s">
        <v>328</v>
      </c>
      <c r="F3348" t="s">
        <v>332</v>
      </c>
      <c r="G3348" t="s">
        <v>332</v>
      </c>
      <c r="H3348" t="s">
        <v>239</v>
      </c>
      <c r="I3348" t="s">
        <v>103</v>
      </c>
    </row>
    <row r="3349" spans="1:9" x14ac:dyDescent="0.3">
      <c r="A3349" t="s">
        <v>29</v>
      </c>
      <c r="B3349" t="s">
        <v>198</v>
      </c>
      <c r="C3349">
        <v>170</v>
      </c>
      <c r="D3349" t="s">
        <v>335</v>
      </c>
      <c r="E3349" t="s">
        <v>332</v>
      </c>
      <c r="F3349" t="s">
        <v>1481</v>
      </c>
      <c r="G3349" t="s">
        <v>286</v>
      </c>
      <c r="H3349" t="s">
        <v>95</v>
      </c>
      <c r="I3349" t="s">
        <v>103</v>
      </c>
    </row>
    <row r="3350" spans="1:9" x14ac:dyDescent="0.3">
      <c r="A3350" t="s">
        <v>29</v>
      </c>
      <c r="B3350" t="s">
        <v>199</v>
      </c>
      <c r="C3350">
        <v>360</v>
      </c>
      <c r="D3350" t="s">
        <v>852</v>
      </c>
      <c r="E3350" t="s">
        <v>335</v>
      </c>
      <c r="F3350" t="s">
        <v>335</v>
      </c>
      <c r="G3350" t="s">
        <v>340</v>
      </c>
      <c r="H3350" t="s">
        <v>120</v>
      </c>
      <c r="I3350" t="s">
        <v>103</v>
      </c>
    </row>
    <row r="3351" spans="1:9" x14ac:dyDescent="0.3">
      <c r="A3351" t="s">
        <v>28</v>
      </c>
      <c r="B3351" t="s">
        <v>198</v>
      </c>
      <c r="C3351">
        <v>70</v>
      </c>
      <c r="D3351" t="s">
        <v>988</v>
      </c>
      <c r="E3351" t="s">
        <v>1173</v>
      </c>
      <c r="F3351" t="s">
        <v>192</v>
      </c>
      <c r="G3351" t="s">
        <v>192</v>
      </c>
      <c r="H3351" t="s">
        <v>103</v>
      </c>
      <c r="I3351" t="s">
        <v>103</v>
      </c>
    </row>
    <row r="3352" spans="1:9" x14ac:dyDescent="0.3">
      <c r="A3352" t="s">
        <v>28</v>
      </c>
      <c r="B3352" t="s">
        <v>199</v>
      </c>
      <c r="C3352">
        <v>247</v>
      </c>
      <c r="D3352" t="s">
        <v>803</v>
      </c>
      <c r="E3352" t="s">
        <v>330</v>
      </c>
      <c r="F3352" t="s">
        <v>334</v>
      </c>
      <c r="G3352" t="s">
        <v>625</v>
      </c>
      <c r="H3352" t="s">
        <v>103</v>
      </c>
      <c r="I3352" t="s">
        <v>103</v>
      </c>
    </row>
    <row r="3353" spans="1:9" x14ac:dyDescent="0.3">
      <c r="A3353" t="s">
        <v>27</v>
      </c>
      <c r="B3353" t="s">
        <v>198</v>
      </c>
      <c r="C3353">
        <v>136</v>
      </c>
      <c r="D3353" t="s">
        <v>867</v>
      </c>
      <c r="E3353" t="s">
        <v>69</v>
      </c>
      <c r="F3353" t="s">
        <v>192</v>
      </c>
      <c r="G3353" t="s">
        <v>325</v>
      </c>
      <c r="H3353" t="s">
        <v>103</v>
      </c>
      <c r="I3353" t="s">
        <v>103</v>
      </c>
    </row>
    <row r="3354" spans="1:9" x14ac:dyDescent="0.3">
      <c r="A3354" t="s">
        <v>27</v>
      </c>
      <c r="B3354" t="s">
        <v>199</v>
      </c>
      <c r="C3354">
        <v>164</v>
      </c>
      <c r="D3354" t="s">
        <v>988</v>
      </c>
      <c r="E3354" t="s">
        <v>213</v>
      </c>
      <c r="F3354" t="s">
        <v>65</v>
      </c>
      <c r="G3354" t="s">
        <v>879</v>
      </c>
      <c r="H3354" t="s">
        <v>103</v>
      </c>
      <c r="I3354" t="s">
        <v>103</v>
      </c>
    </row>
    <row r="3355" spans="1:9" x14ac:dyDescent="0.3">
      <c r="A3355" t="s">
        <v>41</v>
      </c>
      <c r="B3355" t="s">
        <v>198</v>
      </c>
      <c r="C3355">
        <v>521</v>
      </c>
      <c r="D3355" t="s">
        <v>342</v>
      </c>
      <c r="E3355" t="s">
        <v>880</v>
      </c>
      <c r="F3355" t="s">
        <v>335</v>
      </c>
      <c r="G3355" t="s">
        <v>768</v>
      </c>
      <c r="H3355" t="s">
        <v>120</v>
      </c>
      <c r="I3355" t="s">
        <v>103</v>
      </c>
    </row>
    <row r="3356" spans="1:9" x14ac:dyDescent="0.3">
      <c r="A3356" t="s">
        <v>41</v>
      </c>
      <c r="B3356" t="s">
        <v>199</v>
      </c>
      <c r="C3356">
        <v>1517</v>
      </c>
      <c r="D3356" t="s">
        <v>342</v>
      </c>
      <c r="E3356" t="s">
        <v>339</v>
      </c>
      <c r="F3356" t="s">
        <v>1471</v>
      </c>
      <c r="G3356" t="s">
        <v>1481</v>
      </c>
      <c r="H3356" t="s">
        <v>95</v>
      </c>
      <c r="I3356" t="s">
        <v>103</v>
      </c>
    </row>
    <row r="3358" spans="1:9" x14ac:dyDescent="0.3">
      <c r="A3358" t="s">
        <v>1482</v>
      </c>
    </row>
    <row r="3359" spans="1:9" x14ac:dyDescent="0.3">
      <c r="A3359" t="s">
        <v>36</v>
      </c>
      <c r="B3359" t="s">
        <v>307</v>
      </c>
      <c r="C3359" t="s">
        <v>24</v>
      </c>
      <c r="D3359" t="s">
        <v>1473</v>
      </c>
      <c r="E3359" t="s">
        <v>1474</v>
      </c>
      <c r="F3359" t="s">
        <v>1475</v>
      </c>
      <c r="G3359" t="s">
        <v>1476</v>
      </c>
      <c r="H3359" t="s">
        <v>1165</v>
      </c>
      <c r="I3359" t="s">
        <v>1477</v>
      </c>
    </row>
    <row r="3360" spans="1:9" x14ac:dyDescent="0.3">
      <c r="A3360" t="s">
        <v>25</v>
      </c>
      <c r="B3360" t="s">
        <v>291</v>
      </c>
      <c r="C3360">
        <v>156</v>
      </c>
      <c r="D3360" t="s">
        <v>954</v>
      </c>
      <c r="E3360" t="s">
        <v>334</v>
      </c>
      <c r="F3360" t="s">
        <v>192</v>
      </c>
      <c r="G3360" t="s">
        <v>334</v>
      </c>
      <c r="H3360" t="s">
        <v>103</v>
      </c>
      <c r="I3360" t="s">
        <v>103</v>
      </c>
    </row>
    <row r="3361" spans="1:9" x14ac:dyDescent="0.3">
      <c r="A3361" t="s">
        <v>25</v>
      </c>
      <c r="B3361" t="s">
        <v>292</v>
      </c>
      <c r="C3361">
        <v>254</v>
      </c>
      <c r="D3361" t="s">
        <v>325</v>
      </c>
      <c r="E3361" t="s">
        <v>346</v>
      </c>
      <c r="F3361" t="s">
        <v>321</v>
      </c>
      <c r="G3361" t="s">
        <v>192</v>
      </c>
      <c r="H3361" t="s">
        <v>103</v>
      </c>
      <c r="I3361" t="s">
        <v>103</v>
      </c>
    </row>
    <row r="3362" spans="1:9" x14ac:dyDescent="0.3">
      <c r="A3362" t="s">
        <v>25</v>
      </c>
      <c r="B3362" t="s">
        <v>308</v>
      </c>
      <c r="C3362">
        <v>4</v>
      </c>
      <c r="D3362" t="s">
        <v>192</v>
      </c>
      <c r="E3362" t="s">
        <v>192</v>
      </c>
      <c r="F3362" t="s">
        <v>192</v>
      </c>
      <c r="G3362" t="s">
        <v>192</v>
      </c>
      <c r="H3362" t="s">
        <v>103</v>
      </c>
      <c r="I3362" t="s">
        <v>103</v>
      </c>
    </row>
    <row r="3363" spans="1:9" x14ac:dyDescent="0.3">
      <c r="A3363" t="s">
        <v>26</v>
      </c>
      <c r="B3363" t="s">
        <v>291</v>
      </c>
      <c r="C3363">
        <v>122</v>
      </c>
      <c r="D3363" t="s">
        <v>768</v>
      </c>
      <c r="E3363" t="s">
        <v>1481</v>
      </c>
      <c r="F3363" t="s">
        <v>200</v>
      </c>
      <c r="G3363" t="s">
        <v>1173</v>
      </c>
      <c r="H3363" t="s">
        <v>208</v>
      </c>
      <c r="I3363" t="s">
        <v>103</v>
      </c>
    </row>
    <row r="3364" spans="1:9" x14ac:dyDescent="0.3">
      <c r="A3364" t="s">
        <v>26</v>
      </c>
      <c r="B3364" t="s">
        <v>292</v>
      </c>
      <c r="C3364">
        <v>352</v>
      </c>
      <c r="D3364" t="s">
        <v>335</v>
      </c>
      <c r="E3364" t="s">
        <v>852</v>
      </c>
      <c r="F3364" t="s">
        <v>880</v>
      </c>
      <c r="G3364" t="s">
        <v>880</v>
      </c>
      <c r="H3364" t="s">
        <v>239</v>
      </c>
      <c r="I3364" t="s">
        <v>103</v>
      </c>
    </row>
    <row r="3365" spans="1:9" x14ac:dyDescent="0.3">
      <c r="A3365" t="s">
        <v>26</v>
      </c>
      <c r="B3365" t="s">
        <v>308</v>
      </c>
      <c r="C3365">
        <v>3</v>
      </c>
      <c r="D3365" t="s">
        <v>192</v>
      </c>
      <c r="E3365" t="s">
        <v>192</v>
      </c>
      <c r="F3365" t="s">
        <v>192</v>
      </c>
      <c r="G3365" t="s">
        <v>192</v>
      </c>
      <c r="H3365" t="s">
        <v>103</v>
      </c>
      <c r="I3365" t="s">
        <v>103</v>
      </c>
    </row>
    <row r="3366" spans="1:9" x14ac:dyDescent="0.3">
      <c r="A3366" t="s">
        <v>29</v>
      </c>
      <c r="B3366" t="s">
        <v>291</v>
      </c>
      <c r="C3366">
        <v>205</v>
      </c>
      <c r="D3366" t="s">
        <v>332</v>
      </c>
      <c r="E3366" t="s">
        <v>852</v>
      </c>
      <c r="F3366" t="s">
        <v>852</v>
      </c>
      <c r="G3366" t="s">
        <v>336</v>
      </c>
      <c r="H3366" t="s">
        <v>345</v>
      </c>
      <c r="I3366" t="s">
        <v>103</v>
      </c>
    </row>
    <row r="3367" spans="1:9" x14ac:dyDescent="0.3">
      <c r="A3367" t="s">
        <v>29</v>
      </c>
      <c r="B3367" t="s">
        <v>292</v>
      </c>
      <c r="C3367">
        <v>325</v>
      </c>
      <c r="D3367" t="s">
        <v>340</v>
      </c>
      <c r="E3367" t="s">
        <v>340</v>
      </c>
      <c r="F3367" t="s">
        <v>954</v>
      </c>
      <c r="G3367" t="s">
        <v>340</v>
      </c>
      <c r="H3367" t="s">
        <v>116</v>
      </c>
      <c r="I3367" t="s">
        <v>103</v>
      </c>
    </row>
    <row r="3368" spans="1:9" x14ac:dyDescent="0.3">
      <c r="A3368" t="s">
        <v>28</v>
      </c>
      <c r="B3368" t="s">
        <v>291</v>
      </c>
      <c r="C3368">
        <v>114</v>
      </c>
      <c r="D3368" t="s">
        <v>738</v>
      </c>
      <c r="E3368" t="s">
        <v>624</v>
      </c>
      <c r="F3368" t="s">
        <v>334</v>
      </c>
      <c r="G3368" t="s">
        <v>1173</v>
      </c>
      <c r="H3368" t="s">
        <v>103</v>
      </c>
      <c r="I3368" t="s">
        <v>103</v>
      </c>
    </row>
    <row r="3369" spans="1:9" x14ac:dyDescent="0.3">
      <c r="A3369" t="s">
        <v>28</v>
      </c>
      <c r="B3369" t="s">
        <v>292</v>
      </c>
      <c r="C3369">
        <v>191</v>
      </c>
      <c r="D3369" t="s">
        <v>950</v>
      </c>
      <c r="E3369" t="s">
        <v>1320</v>
      </c>
      <c r="F3369" t="s">
        <v>327</v>
      </c>
      <c r="G3369" t="s">
        <v>1355</v>
      </c>
      <c r="H3369" t="s">
        <v>103</v>
      </c>
      <c r="I3369" t="s">
        <v>103</v>
      </c>
    </row>
    <row r="3370" spans="1:9" x14ac:dyDescent="0.3">
      <c r="A3370" t="s">
        <v>28</v>
      </c>
      <c r="B3370" t="s">
        <v>308</v>
      </c>
      <c r="C3370">
        <v>12</v>
      </c>
      <c r="D3370" t="s">
        <v>192</v>
      </c>
      <c r="E3370" t="s">
        <v>192</v>
      </c>
      <c r="F3370" t="s">
        <v>192</v>
      </c>
      <c r="G3370" t="s">
        <v>207</v>
      </c>
      <c r="H3370" t="s">
        <v>103</v>
      </c>
      <c r="I3370" t="s">
        <v>103</v>
      </c>
    </row>
    <row r="3371" spans="1:9" x14ac:dyDescent="0.3">
      <c r="A3371" t="s">
        <v>27</v>
      </c>
      <c r="B3371" t="s">
        <v>291</v>
      </c>
      <c r="C3371">
        <v>95</v>
      </c>
      <c r="D3371" t="s">
        <v>880</v>
      </c>
      <c r="E3371" t="s">
        <v>590</v>
      </c>
      <c r="F3371" t="s">
        <v>1478</v>
      </c>
      <c r="G3371" t="s">
        <v>954</v>
      </c>
      <c r="H3371" t="s">
        <v>103</v>
      </c>
      <c r="I3371" t="s">
        <v>103</v>
      </c>
    </row>
    <row r="3372" spans="1:9" x14ac:dyDescent="0.3">
      <c r="A3372" t="s">
        <v>27</v>
      </c>
      <c r="B3372" t="s">
        <v>292</v>
      </c>
      <c r="C3372">
        <v>198</v>
      </c>
      <c r="D3372" t="s">
        <v>833</v>
      </c>
      <c r="E3372" t="s">
        <v>880</v>
      </c>
      <c r="F3372" t="s">
        <v>335</v>
      </c>
      <c r="G3372" t="s">
        <v>1481</v>
      </c>
      <c r="H3372" t="s">
        <v>103</v>
      </c>
      <c r="I3372" t="s">
        <v>103</v>
      </c>
    </row>
    <row r="3373" spans="1:9" x14ac:dyDescent="0.3">
      <c r="A3373" t="s">
        <v>27</v>
      </c>
      <c r="B3373" t="s">
        <v>308</v>
      </c>
      <c r="C3373">
        <v>7</v>
      </c>
      <c r="D3373" t="s">
        <v>192</v>
      </c>
      <c r="E3373" t="s">
        <v>192</v>
      </c>
      <c r="F3373" t="s">
        <v>192</v>
      </c>
      <c r="G3373" t="s">
        <v>192</v>
      </c>
      <c r="H3373" t="s">
        <v>103</v>
      </c>
      <c r="I3373" t="s">
        <v>103</v>
      </c>
    </row>
    <row r="3374" spans="1:9" x14ac:dyDescent="0.3">
      <c r="A3374" t="s">
        <v>41</v>
      </c>
      <c r="B3374" t="s">
        <v>291</v>
      </c>
      <c r="C3374">
        <v>692</v>
      </c>
      <c r="D3374" t="s">
        <v>65</v>
      </c>
      <c r="E3374" t="s">
        <v>339</v>
      </c>
      <c r="F3374" t="s">
        <v>328</v>
      </c>
      <c r="G3374" t="s">
        <v>65</v>
      </c>
      <c r="H3374" t="s">
        <v>98</v>
      </c>
      <c r="I3374" t="s">
        <v>103</v>
      </c>
    </row>
    <row r="3375" spans="1:9" x14ac:dyDescent="0.3">
      <c r="A3375" t="s">
        <v>41</v>
      </c>
      <c r="B3375" t="s">
        <v>292</v>
      </c>
      <c r="C3375">
        <v>1320</v>
      </c>
      <c r="D3375" t="s">
        <v>335</v>
      </c>
      <c r="E3375" t="s">
        <v>880</v>
      </c>
      <c r="F3375" t="s">
        <v>1478</v>
      </c>
      <c r="G3375" t="s">
        <v>322</v>
      </c>
      <c r="H3375" t="s">
        <v>120</v>
      </c>
      <c r="I3375" t="s">
        <v>103</v>
      </c>
    </row>
    <row r="3376" spans="1:9" x14ac:dyDescent="0.3">
      <c r="A3376" t="s">
        <v>41</v>
      </c>
      <c r="B3376" t="s">
        <v>308</v>
      </c>
      <c r="C3376">
        <v>26</v>
      </c>
      <c r="D3376" t="s">
        <v>192</v>
      </c>
      <c r="E3376" t="s">
        <v>192</v>
      </c>
      <c r="F3376" t="s">
        <v>192</v>
      </c>
      <c r="G3376" t="s">
        <v>328</v>
      </c>
      <c r="H3376" t="s">
        <v>103</v>
      </c>
      <c r="I3376" t="s">
        <v>103</v>
      </c>
    </row>
    <row r="3378" spans="1:9" x14ac:dyDescent="0.3">
      <c r="A3378" t="s">
        <v>1483</v>
      </c>
    </row>
    <row r="3379" spans="1:9" x14ac:dyDescent="0.3">
      <c r="A3379" t="s">
        <v>36</v>
      </c>
      <c r="B3379" t="s">
        <v>763</v>
      </c>
      <c r="C3379" t="s">
        <v>24</v>
      </c>
      <c r="D3379" t="s">
        <v>1473</v>
      </c>
      <c r="E3379" t="s">
        <v>1474</v>
      </c>
      <c r="F3379" t="s">
        <v>1475</v>
      </c>
      <c r="G3379" t="s">
        <v>1476</v>
      </c>
      <c r="H3379" t="s">
        <v>1165</v>
      </c>
      <c r="I3379" t="s">
        <v>1477</v>
      </c>
    </row>
    <row r="3380" spans="1:9" x14ac:dyDescent="0.3">
      <c r="A3380" t="s">
        <v>25</v>
      </c>
      <c r="B3380" t="s">
        <v>764</v>
      </c>
      <c r="C3380">
        <v>31</v>
      </c>
      <c r="D3380" t="s">
        <v>192</v>
      </c>
      <c r="E3380" t="s">
        <v>279</v>
      </c>
      <c r="F3380" t="s">
        <v>192</v>
      </c>
      <c r="G3380" t="s">
        <v>192</v>
      </c>
      <c r="H3380" t="s">
        <v>103</v>
      </c>
      <c r="I3380" t="s">
        <v>103</v>
      </c>
    </row>
    <row r="3381" spans="1:9" x14ac:dyDescent="0.3">
      <c r="A3381" t="s">
        <v>25</v>
      </c>
      <c r="B3381" t="s">
        <v>765</v>
      </c>
      <c r="C3381">
        <v>280</v>
      </c>
      <c r="D3381" t="s">
        <v>346</v>
      </c>
      <c r="E3381" t="s">
        <v>325</v>
      </c>
      <c r="F3381" t="s">
        <v>321</v>
      </c>
      <c r="G3381" t="s">
        <v>327</v>
      </c>
      <c r="H3381" t="s">
        <v>103</v>
      </c>
      <c r="I3381" t="s">
        <v>103</v>
      </c>
    </row>
    <row r="3382" spans="1:9" x14ac:dyDescent="0.3">
      <c r="A3382" t="s">
        <v>25</v>
      </c>
      <c r="B3382" t="s">
        <v>767</v>
      </c>
      <c r="C3382">
        <v>103</v>
      </c>
      <c r="D3382" t="s">
        <v>325</v>
      </c>
      <c r="E3382" t="s">
        <v>192</v>
      </c>
      <c r="F3382" t="s">
        <v>192</v>
      </c>
      <c r="G3382" t="s">
        <v>192</v>
      </c>
      <c r="H3382" t="s">
        <v>103</v>
      </c>
      <c r="I3382" t="s">
        <v>103</v>
      </c>
    </row>
    <row r="3383" spans="1:9" x14ac:dyDescent="0.3">
      <c r="A3383" t="s">
        <v>26</v>
      </c>
      <c r="B3383" t="s">
        <v>764</v>
      </c>
      <c r="C3383">
        <v>58</v>
      </c>
      <c r="D3383" t="s">
        <v>192</v>
      </c>
      <c r="E3383" t="s">
        <v>192</v>
      </c>
      <c r="F3383" t="s">
        <v>322</v>
      </c>
      <c r="G3383" t="s">
        <v>192</v>
      </c>
      <c r="H3383" t="s">
        <v>103</v>
      </c>
      <c r="I3383" t="s">
        <v>103</v>
      </c>
    </row>
    <row r="3384" spans="1:9" x14ac:dyDescent="0.3">
      <c r="A3384" t="s">
        <v>26</v>
      </c>
      <c r="B3384" t="s">
        <v>765</v>
      </c>
      <c r="C3384">
        <v>278</v>
      </c>
      <c r="D3384" t="s">
        <v>879</v>
      </c>
      <c r="E3384" t="s">
        <v>879</v>
      </c>
      <c r="F3384" t="s">
        <v>200</v>
      </c>
      <c r="G3384" t="s">
        <v>213</v>
      </c>
      <c r="H3384" t="s">
        <v>118</v>
      </c>
      <c r="I3384" t="s">
        <v>103</v>
      </c>
    </row>
    <row r="3385" spans="1:9" x14ac:dyDescent="0.3">
      <c r="A3385" t="s">
        <v>26</v>
      </c>
      <c r="B3385" t="s">
        <v>767</v>
      </c>
      <c r="C3385">
        <v>141</v>
      </c>
      <c r="D3385" t="s">
        <v>950</v>
      </c>
      <c r="E3385" t="s">
        <v>328</v>
      </c>
      <c r="F3385" t="s">
        <v>950</v>
      </c>
      <c r="G3385" t="s">
        <v>950</v>
      </c>
      <c r="H3385" t="s">
        <v>98</v>
      </c>
      <c r="I3385" t="s">
        <v>103</v>
      </c>
    </row>
    <row r="3386" spans="1:9" s="3" customFormat="1" x14ac:dyDescent="0.3">
      <c r="A3386" s="3" t="s">
        <v>29</v>
      </c>
      <c r="B3386" s="3" t="s">
        <v>764</v>
      </c>
      <c r="C3386" s="3">
        <v>11</v>
      </c>
      <c r="D3386" s="3" t="s">
        <v>192</v>
      </c>
      <c r="E3386" s="3" t="s">
        <v>192</v>
      </c>
      <c r="F3386" s="3" t="s">
        <v>192</v>
      </c>
      <c r="G3386" s="3" t="s">
        <v>192</v>
      </c>
      <c r="H3386" s="3" t="s">
        <v>103</v>
      </c>
      <c r="I3386" s="3" t="s">
        <v>103</v>
      </c>
    </row>
    <row r="3387" spans="1:9" x14ac:dyDescent="0.3">
      <c r="A3387" t="s">
        <v>29</v>
      </c>
      <c r="B3387" t="s">
        <v>765</v>
      </c>
      <c r="C3387">
        <v>365</v>
      </c>
      <c r="D3387" t="s">
        <v>880</v>
      </c>
      <c r="E3387" t="s">
        <v>1176</v>
      </c>
      <c r="F3387" t="s">
        <v>342</v>
      </c>
      <c r="G3387" t="s">
        <v>322</v>
      </c>
      <c r="H3387" t="s">
        <v>98</v>
      </c>
      <c r="I3387" t="s">
        <v>103</v>
      </c>
    </row>
    <row r="3388" spans="1:9" x14ac:dyDescent="0.3">
      <c r="A3388" t="s">
        <v>29</v>
      </c>
      <c r="B3388" t="s">
        <v>767</v>
      </c>
      <c r="C3388">
        <v>154</v>
      </c>
      <c r="D3388" t="s">
        <v>954</v>
      </c>
      <c r="E3388" t="s">
        <v>1478</v>
      </c>
      <c r="F3388" t="s">
        <v>346</v>
      </c>
      <c r="G3388" t="s">
        <v>840</v>
      </c>
      <c r="H3388" t="s">
        <v>103</v>
      </c>
      <c r="I3388" t="s">
        <v>103</v>
      </c>
    </row>
    <row r="3389" spans="1:9" s="3" customFormat="1" x14ac:dyDescent="0.3">
      <c r="A3389" s="3" t="s">
        <v>28</v>
      </c>
      <c r="B3389" s="3" t="s">
        <v>764</v>
      </c>
      <c r="C3389" s="3">
        <v>20</v>
      </c>
      <c r="D3389" s="3" t="s">
        <v>636</v>
      </c>
      <c r="E3389" s="3" t="s">
        <v>851</v>
      </c>
      <c r="F3389" s="3" t="s">
        <v>192</v>
      </c>
      <c r="G3389" s="3" t="s">
        <v>65</v>
      </c>
      <c r="H3389" s="3" t="s">
        <v>103</v>
      </c>
      <c r="I3389" s="3" t="s">
        <v>103</v>
      </c>
    </row>
    <row r="3390" spans="1:9" x14ac:dyDescent="0.3">
      <c r="A3390" t="s">
        <v>28</v>
      </c>
      <c r="B3390" t="s">
        <v>765</v>
      </c>
      <c r="C3390">
        <v>260</v>
      </c>
      <c r="D3390" t="s">
        <v>803</v>
      </c>
      <c r="E3390" t="s">
        <v>903</v>
      </c>
      <c r="F3390" t="s">
        <v>343</v>
      </c>
      <c r="G3390" t="s">
        <v>1484</v>
      </c>
      <c r="H3390" t="s">
        <v>103</v>
      </c>
      <c r="I3390" t="s">
        <v>103</v>
      </c>
    </row>
    <row r="3391" spans="1:9" x14ac:dyDescent="0.3">
      <c r="A3391" t="s">
        <v>28</v>
      </c>
      <c r="B3391" t="s">
        <v>767</v>
      </c>
      <c r="C3391">
        <v>37</v>
      </c>
      <c r="D3391" t="s">
        <v>192</v>
      </c>
      <c r="E3391" t="s">
        <v>328</v>
      </c>
      <c r="F3391" t="s">
        <v>192</v>
      </c>
      <c r="G3391" t="s">
        <v>192</v>
      </c>
      <c r="H3391" t="s">
        <v>103</v>
      </c>
      <c r="I3391" t="s">
        <v>103</v>
      </c>
    </row>
    <row r="3392" spans="1:9" s="3" customFormat="1" x14ac:dyDescent="0.3">
      <c r="A3392" s="3" t="s">
        <v>27</v>
      </c>
      <c r="B3392" s="3" t="s">
        <v>764</v>
      </c>
      <c r="C3392" s="3">
        <v>29</v>
      </c>
      <c r="D3392" s="3" t="s">
        <v>192</v>
      </c>
      <c r="E3392" s="3" t="s">
        <v>192</v>
      </c>
      <c r="F3392" s="3" t="s">
        <v>192</v>
      </c>
      <c r="G3392" s="3" t="s">
        <v>192</v>
      </c>
      <c r="H3392" s="3" t="s">
        <v>103</v>
      </c>
      <c r="I3392" s="3" t="s">
        <v>103</v>
      </c>
    </row>
    <row r="3393" spans="1:16" x14ac:dyDescent="0.3">
      <c r="A3393" t="s">
        <v>27</v>
      </c>
      <c r="B3393" t="s">
        <v>765</v>
      </c>
      <c r="C3393">
        <v>209</v>
      </c>
      <c r="D3393" t="s">
        <v>289</v>
      </c>
      <c r="E3393" t="s">
        <v>850</v>
      </c>
      <c r="F3393" t="s">
        <v>346</v>
      </c>
      <c r="G3393" t="s">
        <v>340</v>
      </c>
      <c r="H3393" t="s">
        <v>103</v>
      </c>
      <c r="I3393" t="s">
        <v>103</v>
      </c>
    </row>
    <row r="3394" spans="1:16" x14ac:dyDescent="0.3">
      <c r="A3394" t="s">
        <v>27</v>
      </c>
      <c r="B3394" t="s">
        <v>767</v>
      </c>
      <c r="C3394">
        <v>62</v>
      </c>
      <c r="D3394" t="s">
        <v>192</v>
      </c>
      <c r="E3394" t="s">
        <v>332</v>
      </c>
      <c r="F3394" t="s">
        <v>332</v>
      </c>
      <c r="G3394" t="s">
        <v>332</v>
      </c>
      <c r="H3394" t="s">
        <v>103</v>
      </c>
      <c r="I3394" t="s">
        <v>103</v>
      </c>
    </row>
    <row r="3395" spans="1:16" x14ac:dyDescent="0.3">
      <c r="A3395" t="s">
        <v>41</v>
      </c>
      <c r="B3395" t="s">
        <v>764</v>
      </c>
      <c r="C3395">
        <v>149</v>
      </c>
      <c r="D3395" t="s">
        <v>327</v>
      </c>
      <c r="E3395" t="s">
        <v>340</v>
      </c>
      <c r="F3395" t="s">
        <v>950</v>
      </c>
      <c r="G3395" t="s">
        <v>67</v>
      </c>
      <c r="H3395" t="s">
        <v>103</v>
      </c>
      <c r="I3395" t="s">
        <v>103</v>
      </c>
    </row>
    <row r="3396" spans="1:16" x14ac:dyDescent="0.3">
      <c r="A3396" t="s">
        <v>41</v>
      </c>
      <c r="B3396" t="s">
        <v>765</v>
      </c>
      <c r="C3396">
        <v>1392</v>
      </c>
      <c r="D3396" t="s">
        <v>880</v>
      </c>
      <c r="E3396" t="s">
        <v>837</v>
      </c>
      <c r="F3396" t="s">
        <v>1481</v>
      </c>
      <c r="G3396" t="s">
        <v>339</v>
      </c>
      <c r="H3396" t="s">
        <v>98</v>
      </c>
      <c r="I3396" t="s">
        <v>103</v>
      </c>
    </row>
    <row r="3397" spans="1:16" x14ac:dyDescent="0.3">
      <c r="A3397" t="s">
        <v>41</v>
      </c>
      <c r="B3397" t="s">
        <v>767</v>
      </c>
      <c r="C3397">
        <v>497</v>
      </c>
      <c r="D3397" t="s">
        <v>876</v>
      </c>
      <c r="E3397" t="s">
        <v>1478</v>
      </c>
      <c r="F3397" t="s">
        <v>950</v>
      </c>
      <c r="G3397" t="s">
        <v>1481</v>
      </c>
      <c r="H3397" t="s">
        <v>66</v>
      </c>
      <c r="I3397" t="s">
        <v>103</v>
      </c>
    </row>
    <row r="3399" spans="1:16" x14ac:dyDescent="0.3">
      <c r="A3399" t="s">
        <v>1485</v>
      </c>
    </row>
    <row r="3400" spans="1:16" x14ac:dyDescent="0.3">
      <c r="A3400" t="s">
        <v>36</v>
      </c>
      <c r="B3400" t="s">
        <v>24</v>
      </c>
      <c r="C3400" t="s">
        <v>1486</v>
      </c>
      <c r="D3400" t="s">
        <v>1487</v>
      </c>
      <c r="E3400" t="s">
        <v>1488</v>
      </c>
      <c r="F3400" t="s">
        <v>1489</v>
      </c>
      <c r="G3400" t="s">
        <v>1490</v>
      </c>
      <c r="H3400" t="s">
        <v>1491</v>
      </c>
      <c r="I3400" t="s">
        <v>1492</v>
      </c>
      <c r="J3400" t="s">
        <v>1493</v>
      </c>
      <c r="K3400" t="s">
        <v>1494</v>
      </c>
      <c r="L3400" t="s">
        <v>1495</v>
      </c>
      <c r="M3400" t="s">
        <v>1496</v>
      </c>
      <c r="N3400" t="s">
        <v>1497</v>
      </c>
      <c r="O3400" t="s">
        <v>1498</v>
      </c>
      <c r="P3400" t="s">
        <v>89</v>
      </c>
    </row>
    <row r="3401" spans="1:16" x14ac:dyDescent="0.3">
      <c r="A3401" t="s">
        <v>25</v>
      </c>
      <c r="B3401">
        <v>414</v>
      </c>
      <c r="C3401" t="s">
        <v>776</v>
      </c>
      <c r="D3401" t="s">
        <v>139</v>
      </c>
      <c r="E3401" t="s">
        <v>135</v>
      </c>
      <c r="F3401" t="s">
        <v>103</v>
      </c>
      <c r="G3401" t="s">
        <v>103</v>
      </c>
      <c r="H3401" t="s">
        <v>103</v>
      </c>
      <c r="I3401" t="s">
        <v>245</v>
      </c>
      <c r="J3401" t="s">
        <v>120</v>
      </c>
      <c r="K3401" t="s">
        <v>245</v>
      </c>
      <c r="L3401" t="s">
        <v>103</v>
      </c>
      <c r="M3401" t="s">
        <v>103</v>
      </c>
      <c r="N3401" t="s">
        <v>103</v>
      </c>
      <c r="O3401" t="s">
        <v>103</v>
      </c>
      <c r="P3401" t="s">
        <v>103</v>
      </c>
    </row>
    <row r="3402" spans="1:16" x14ac:dyDescent="0.3">
      <c r="A3402" t="s">
        <v>26</v>
      </c>
      <c r="B3402">
        <v>477</v>
      </c>
      <c r="C3402" t="s">
        <v>342</v>
      </c>
      <c r="D3402" t="s">
        <v>120</v>
      </c>
      <c r="E3402" t="s">
        <v>345</v>
      </c>
      <c r="F3402" t="s">
        <v>103</v>
      </c>
      <c r="G3402" t="s">
        <v>103</v>
      </c>
      <c r="H3402" t="s">
        <v>103</v>
      </c>
      <c r="I3402" t="s">
        <v>139</v>
      </c>
      <c r="J3402" t="s">
        <v>103</v>
      </c>
      <c r="K3402" t="s">
        <v>66</v>
      </c>
      <c r="L3402" t="s">
        <v>66</v>
      </c>
      <c r="M3402" t="s">
        <v>103</v>
      </c>
      <c r="N3402" t="s">
        <v>103</v>
      </c>
      <c r="O3402" t="s">
        <v>103</v>
      </c>
      <c r="P3402" t="s">
        <v>103</v>
      </c>
    </row>
    <row r="3403" spans="1:16" x14ac:dyDescent="0.3">
      <c r="A3403" t="s">
        <v>29</v>
      </c>
      <c r="B3403">
        <v>530</v>
      </c>
      <c r="C3403" t="s">
        <v>613</v>
      </c>
      <c r="D3403" t="s">
        <v>205</v>
      </c>
      <c r="E3403" t="s">
        <v>188</v>
      </c>
      <c r="F3403" t="s">
        <v>97</v>
      </c>
      <c r="G3403" t="s">
        <v>120</v>
      </c>
      <c r="H3403" t="s">
        <v>103</v>
      </c>
      <c r="I3403" t="s">
        <v>468</v>
      </c>
      <c r="J3403" t="s">
        <v>103</v>
      </c>
      <c r="K3403" t="s">
        <v>98</v>
      </c>
      <c r="L3403" t="s">
        <v>103</v>
      </c>
      <c r="M3403" t="s">
        <v>103</v>
      </c>
      <c r="N3403" t="s">
        <v>103</v>
      </c>
      <c r="O3403" t="s">
        <v>103</v>
      </c>
      <c r="P3403" t="s">
        <v>103</v>
      </c>
    </row>
    <row r="3404" spans="1:16" x14ac:dyDescent="0.3">
      <c r="A3404" t="s">
        <v>28</v>
      </c>
      <c r="B3404">
        <v>317</v>
      </c>
      <c r="C3404" t="s">
        <v>988</v>
      </c>
      <c r="D3404" t="s">
        <v>103</v>
      </c>
      <c r="E3404" t="s">
        <v>114</v>
      </c>
      <c r="F3404" t="s">
        <v>103</v>
      </c>
      <c r="G3404" t="s">
        <v>103</v>
      </c>
      <c r="H3404" t="s">
        <v>103</v>
      </c>
      <c r="I3404" t="s">
        <v>66</v>
      </c>
      <c r="J3404" t="s">
        <v>103</v>
      </c>
      <c r="K3404" t="s">
        <v>103</v>
      </c>
      <c r="L3404" t="s">
        <v>103</v>
      </c>
      <c r="M3404" t="s">
        <v>103</v>
      </c>
      <c r="N3404" t="s">
        <v>103</v>
      </c>
      <c r="O3404" t="s">
        <v>103</v>
      </c>
      <c r="P3404" t="s">
        <v>103</v>
      </c>
    </row>
    <row r="3405" spans="1:16" x14ac:dyDescent="0.3">
      <c r="A3405" t="s">
        <v>27</v>
      </c>
      <c r="B3405">
        <v>300</v>
      </c>
      <c r="C3405" t="s">
        <v>712</v>
      </c>
      <c r="D3405" t="s">
        <v>245</v>
      </c>
      <c r="E3405" t="s">
        <v>269</v>
      </c>
      <c r="F3405" t="s">
        <v>103</v>
      </c>
      <c r="G3405" t="s">
        <v>103</v>
      </c>
      <c r="H3405" t="s">
        <v>103</v>
      </c>
      <c r="I3405" t="s">
        <v>116</v>
      </c>
      <c r="J3405" t="s">
        <v>103</v>
      </c>
      <c r="K3405" t="s">
        <v>116</v>
      </c>
      <c r="L3405" t="s">
        <v>103</v>
      </c>
      <c r="M3405" t="s">
        <v>103</v>
      </c>
      <c r="N3405" t="s">
        <v>103</v>
      </c>
      <c r="O3405" t="s">
        <v>103</v>
      </c>
      <c r="P3405" t="s">
        <v>103</v>
      </c>
    </row>
    <row r="3406" spans="1:16" x14ac:dyDescent="0.3">
      <c r="A3406" t="s">
        <v>41</v>
      </c>
      <c r="B3406">
        <v>2038</v>
      </c>
      <c r="C3406" t="s">
        <v>280</v>
      </c>
      <c r="D3406" t="s">
        <v>107</v>
      </c>
      <c r="E3406" t="s">
        <v>615</v>
      </c>
      <c r="F3406" t="s">
        <v>66</v>
      </c>
      <c r="G3406" t="s">
        <v>116</v>
      </c>
      <c r="H3406" t="s">
        <v>103</v>
      </c>
      <c r="I3406" t="s">
        <v>345</v>
      </c>
      <c r="J3406" t="s">
        <v>91</v>
      </c>
      <c r="K3406" t="s">
        <v>139</v>
      </c>
      <c r="L3406" t="s">
        <v>103</v>
      </c>
      <c r="M3406" t="s">
        <v>103</v>
      </c>
      <c r="N3406" t="s">
        <v>103</v>
      </c>
      <c r="O3406" t="s">
        <v>103</v>
      </c>
      <c r="P3406" t="s">
        <v>103</v>
      </c>
    </row>
    <row r="3408" spans="1:16" x14ac:dyDescent="0.3">
      <c r="A3408" t="s">
        <v>1499</v>
      </c>
    </row>
    <row r="3409" spans="1:17" x14ac:dyDescent="0.3">
      <c r="A3409" t="s">
        <v>36</v>
      </c>
      <c r="B3409" t="s">
        <v>197</v>
      </c>
      <c r="C3409" t="s">
        <v>24</v>
      </c>
      <c r="D3409" t="s">
        <v>1486</v>
      </c>
      <c r="E3409" t="s">
        <v>1487</v>
      </c>
      <c r="F3409" t="s">
        <v>1488</v>
      </c>
      <c r="G3409" t="s">
        <v>1489</v>
      </c>
      <c r="H3409" t="s">
        <v>1490</v>
      </c>
      <c r="I3409" t="s">
        <v>1491</v>
      </c>
      <c r="J3409" t="s">
        <v>1492</v>
      </c>
      <c r="K3409" t="s">
        <v>1493</v>
      </c>
      <c r="L3409" t="s">
        <v>1494</v>
      </c>
      <c r="M3409" t="s">
        <v>1495</v>
      </c>
      <c r="N3409" t="s">
        <v>1496</v>
      </c>
      <c r="O3409" t="s">
        <v>1497</v>
      </c>
      <c r="P3409" t="s">
        <v>1498</v>
      </c>
      <c r="Q3409" t="s">
        <v>89</v>
      </c>
    </row>
    <row r="3410" spans="1:17" x14ac:dyDescent="0.3">
      <c r="A3410" t="s">
        <v>25</v>
      </c>
      <c r="B3410" t="s">
        <v>198</v>
      </c>
      <c r="C3410">
        <v>104</v>
      </c>
      <c r="D3410" t="s">
        <v>982</v>
      </c>
      <c r="E3410" t="s">
        <v>64</v>
      </c>
      <c r="F3410" t="s">
        <v>679</v>
      </c>
      <c r="G3410" t="s">
        <v>103</v>
      </c>
      <c r="H3410" t="s">
        <v>103</v>
      </c>
      <c r="I3410" t="s">
        <v>103</v>
      </c>
      <c r="J3410" t="s">
        <v>438</v>
      </c>
      <c r="K3410" t="s">
        <v>195</v>
      </c>
      <c r="L3410" t="s">
        <v>511</v>
      </c>
      <c r="M3410" t="s">
        <v>103</v>
      </c>
      <c r="N3410" t="s">
        <v>103</v>
      </c>
      <c r="O3410" t="s">
        <v>103</v>
      </c>
      <c r="P3410" t="s">
        <v>103</v>
      </c>
      <c r="Q3410" t="s">
        <v>103</v>
      </c>
    </row>
    <row r="3411" spans="1:17" x14ac:dyDescent="0.3">
      <c r="A3411" t="s">
        <v>25</v>
      </c>
      <c r="B3411" t="s">
        <v>199</v>
      </c>
      <c r="C3411">
        <v>310</v>
      </c>
      <c r="D3411" t="s">
        <v>287</v>
      </c>
      <c r="E3411" t="s">
        <v>116</v>
      </c>
      <c r="F3411" t="s">
        <v>438</v>
      </c>
      <c r="G3411" t="s">
        <v>103</v>
      </c>
      <c r="H3411" t="s">
        <v>103</v>
      </c>
      <c r="I3411" t="s">
        <v>103</v>
      </c>
      <c r="J3411" t="s">
        <v>468</v>
      </c>
      <c r="K3411" t="s">
        <v>103</v>
      </c>
      <c r="L3411" t="s">
        <v>116</v>
      </c>
      <c r="M3411" t="s">
        <v>103</v>
      </c>
      <c r="N3411" t="s">
        <v>103</v>
      </c>
      <c r="O3411" t="s">
        <v>103</v>
      </c>
      <c r="P3411" t="s">
        <v>103</v>
      </c>
      <c r="Q3411" t="s">
        <v>103</v>
      </c>
    </row>
    <row r="3412" spans="1:17" x14ac:dyDescent="0.3">
      <c r="A3412" t="s">
        <v>26</v>
      </c>
      <c r="B3412" t="s">
        <v>198</v>
      </c>
      <c r="C3412">
        <v>41</v>
      </c>
      <c r="D3412" t="s">
        <v>1305</v>
      </c>
      <c r="E3412" t="s">
        <v>103</v>
      </c>
      <c r="F3412" t="s">
        <v>743</v>
      </c>
      <c r="G3412" t="s">
        <v>103</v>
      </c>
      <c r="H3412" t="s">
        <v>103</v>
      </c>
      <c r="I3412" t="s">
        <v>103</v>
      </c>
      <c r="J3412" t="s">
        <v>544</v>
      </c>
      <c r="K3412" t="s">
        <v>103</v>
      </c>
      <c r="L3412" t="s">
        <v>103</v>
      </c>
      <c r="M3412" t="s">
        <v>103</v>
      </c>
      <c r="N3412" t="s">
        <v>103</v>
      </c>
      <c r="O3412" t="s">
        <v>103</v>
      </c>
      <c r="P3412" t="s">
        <v>103</v>
      </c>
      <c r="Q3412" t="s">
        <v>103</v>
      </c>
    </row>
    <row r="3413" spans="1:17" x14ac:dyDescent="0.3">
      <c r="A3413" t="s">
        <v>26</v>
      </c>
      <c r="B3413" t="s">
        <v>199</v>
      </c>
      <c r="C3413">
        <v>436</v>
      </c>
      <c r="D3413" t="s">
        <v>334</v>
      </c>
      <c r="E3413" t="s">
        <v>95</v>
      </c>
      <c r="F3413" t="s">
        <v>97</v>
      </c>
      <c r="G3413" t="s">
        <v>103</v>
      </c>
      <c r="H3413" t="s">
        <v>103</v>
      </c>
      <c r="I3413" t="s">
        <v>103</v>
      </c>
      <c r="J3413" t="s">
        <v>66</v>
      </c>
      <c r="K3413" t="s">
        <v>103</v>
      </c>
      <c r="L3413" t="s">
        <v>116</v>
      </c>
      <c r="M3413" t="s">
        <v>66</v>
      </c>
      <c r="N3413" t="s">
        <v>103</v>
      </c>
      <c r="O3413" t="s">
        <v>103</v>
      </c>
      <c r="P3413" t="s">
        <v>103</v>
      </c>
      <c r="Q3413" t="s">
        <v>103</v>
      </c>
    </row>
    <row r="3414" spans="1:17" x14ac:dyDescent="0.3">
      <c r="A3414" t="s">
        <v>29</v>
      </c>
      <c r="B3414" t="s">
        <v>198</v>
      </c>
      <c r="C3414">
        <v>170</v>
      </c>
      <c r="D3414" t="s">
        <v>892</v>
      </c>
      <c r="E3414" t="s">
        <v>539</v>
      </c>
      <c r="F3414" t="s">
        <v>111</v>
      </c>
      <c r="G3414" t="s">
        <v>239</v>
      </c>
      <c r="H3414" t="s">
        <v>103</v>
      </c>
      <c r="I3414" t="s">
        <v>103</v>
      </c>
      <c r="J3414" t="s">
        <v>257</v>
      </c>
      <c r="K3414" t="s">
        <v>103</v>
      </c>
      <c r="L3414" t="s">
        <v>118</v>
      </c>
      <c r="M3414" t="s">
        <v>103</v>
      </c>
      <c r="N3414" t="s">
        <v>103</v>
      </c>
      <c r="O3414" t="s">
        <v>103</v>
      </c>
      <c r="P3414" t="s">
        <v>103</v>
      </c>
      <c r="Q3414" t="s">
        <v>103</v>
      </c>
    </row>
    <row r="3415" spans="1:17" x14ac:dyDescent="0.3">
      <c r="A3415" t="s">
        <v>29</v>
      </c>
      <c r="B3415" t="s">
        <v>199</v>
      </c>
      <c r="C3415">
        <v>360</v>
      </c>
      <c r="D3415" t="s">
        <v>326</v>
      </c>
      <c r="E3415" t="s">
        <v>122</v>
      </c>
      <c r="F3415" t="s">
        <v>116</v>
      </c>
      <c r="G3415" t="s">
        <v>103</v>
      </c>
      <c r="H3415" t="s">
        <v>98</v>
      </c>
      <c r="I3415" t="s">
        <v>103</v>
      </c>
      <c r="J3415" t="s">
        <v>95</v>
      </c>
      <c r="K3415" t="s">
        <v>103</v>
      </c>
      <c r="L3415" t="s">
        <v>66</v>
      </c>
      <c r="M3415" t="s">
        <v>103</v>
      </c>
      <c r="N3415" t="s">
        <v>103</v>
      </c>
      <c r="O3415" t="s">
        <v>103</v>
      </c>
      <c r="P3415" t="s">
        <v>103</v>
      </c>
      <c r="Q3415" t="s">
        <v>103</v>
      </c>
    </row>
    <row r="3416" spans="1:17" x14ac:dyDescent="0.3">
      <c r="A3416" t="s">
        <v>28</v>
      </c>
      <c r="B3416" t="s">
        <v>198</v>
      </c>
      <c r="C3416">
        <v>70</v>
      </c>
      <c r="D3416" t="s">
        <v>1357</v>
      </c>
      <c r="E3416" t="s">
        <v>103</v>
      </c>
      <c r="F3416" t="s">
        <v>809</v>
      </c>
      <c r="G3416" t="s">
        <v>103</v>
      </c>
      <c r="H3416" t="s">
        <v>103</v>
      </c>
      <c r="I3416" t="s">
        <v>103</v>
      </c>
      <c r="J3416" t="s">
        <v>139</v>
      </c>
      <c r="K3416" t="s">
        <v>103</v>
      </c>
      <c r="L3416" t="s">
        <v>103</v>
      </c>
      <c r="M3416" t="s">
        <v>103</v>
      </c>
      <c r="N3416" t="s">
        <v>103</v>
      </c>
      <c r="O3416" t="s">
        <v>103</v>
      </c>
      <c r="P3416" t="s">
        <v>103</v>
      </c>
      <c r="Q3416" t="s">
        <v>103</v>
      </c>
    </row>
    <row r="3417" spans="1:17" x14ac:dyDescent="0.3">
      <c r="A3417" t="s">
        <v>28</v>
      </c>
      <c r="B3417" t="s">
        <v>199</v>
      </c>
      <c r="C3417">
        <v>247</v>
      </c>
      <c r="D3417" t="s">
        <v>192</v>
      </c>
      <c r="E3417" t="s">
        <v>103</v>
      </c>
      <c r="F3417" t="s">
        <v>139</v>
      </c>
      <c r="G3417" t="s">
        <v>103</v>
      </c>
      <c r="H3417" t="s">
        <v>103</v>
      </c>
      <c r="I3417" t="s">
        <v>103</v>
      </c>
      <c r="J3417" t="s">
        <v>103</v>
      </c>
      <c r="K3417" t="s">
        <v>103</v>
      </c>
      <c r="L3417" t="s">
        <v>103</v>
      </c>
      <c r="M3417" t="s">
        <v>103</v>
      </c>
      <c r="N3417" t="s">
        <v>103</v>
      </c>
      <c r="O3417" t="s">
        <v>103</v>
      </c>
      <c r="P3417" t="s">
        <v>103</v>
      </c>
      <c r="Q3417" t="s">
        <v>103</v>
      </c>
    </row>
    <row r="3418" spans="1:17" x14ac:dyDescent="0.3">
      <c r="A3418" t="s">
        <v>27</v>
      </c>
      <c r="B3418" t="s">
        <v>198</v>
      </c>
      <c r="C3418">
        <v>136</v>
      </c>
      <c r="D3418" t="s">
        <v>1361</v>
      </c>
      <c r="E3418" t="s">
        <v>122</v>
      </c>
      <c r="F3418" t="s">
        <v>707</v>
      </c>
      <c r="G3418" t="s">
        <v>103</v>
      </c>
      <c r="H3418" t="s">
        <v>103</v>
      </c>
      <c r="I3418" t="s">
        <v>103</v>
      </c>
      <c r="J3418" t="s">
        <v>95</v>
      </c>
      <c r="K3418" t="s">
        <v>103</v>
      </c>
      <c r="L3418" t="s">
        <v>95</v>
      </c>
      <c r="M3418" t="s">
        <v>103</v>
      </c>
      <c r="N3418" t="s">
        <v>103</v>
      </c>
      <c r="O3418" t="s">
        <v>103</v>
      </c>
      <c r="P3418" t="s">
        <v>103</v>
      </c>
      <c r="Q3418" t="s">
        <v>103</v>
      </c>
    </row>
    <row r="3419" spans="1:17" x14ac:dyDescent="0.3">
      <c r="A3419" t="s">
        <v>27</v>
      </c>
      <c r="B3419" t="s">
        <v>199</v>
      </c>
      <c r="C3419">
        <v>164</v>
      </c>
      <c r="D3419" t="s">
        <v>837</v>
      </c>
      <c r="E3419" t="s">
        <v>195</v>
      </c>
      <c r="F3419" t="s">
        <v>103</v>
      </c>
      <c r="G3419" t="s">
        <v>103</v>
      </c>
      <c r="H3419" t="s">
        <v>103</v>
      </c>
      <c r="I3419" t="s">
        <v>103</v>
      </c>
      <c r="J3419" t="s">
        <v>103</v>
      </c>
      <c r="K3419" t="s">
        <v>103</v>
      </c>
      <c r="L3419" t="s">
        <v>103</v>
      </c>
      <c r="M3419" t="s">
        <v>103</v>
      </c>
      <c r="N3419" t="s">
        <v>103</v>
      </c>
      <c r="O3419" t="s">
        <v>103</v>
      </c>
      <c r="P3419" t="s">
        <v>103</v>
      </c>
      <c r="Q3419" t="s">
        <v>103</v>
      </c>
    </row>
    <row r="3420" spans="1:17" x14ac:dyDescent="0.3">
      <c r="A3420" t="s">
        <v>41</v>
      </c>
      <c r="B3420" t="s">
        <v>198</v>
      </c>
      <c r="C3420">
        <v>521</v>
      </c>
      <c r="D3420" t="s">
        <v>1420</v>
      </c>
      <c r="E3420" t="s">
        <v>687</v>
      </c>
      <c r="F3420" t="s">
        <v>734</v>
      </c>
      <c r="G3420" t="s">
        <v>98</v>
      </c>
      <c r="H3420" t="s">
        <v>103</v>
      </c>
      <c r="I3420" t="s">
        <v>103</v>
      </c>
      <c r="J3420" t="s">
        <v>270</v>
      </c>
      <c r="K3420" t="s">
        <v>97</v>
      </c>
      <c r="L3420" t="s">
        <v>64</v>
      </c>
      <c r="M3420" t="s">
        <v>103</v>
      </c>
      <c r="N3420" t="s">
        <v>103</v>
      </c>
      <c r="O3420" t="s">
        <v>103</v>
      </c>
      <c r="P3420" t="s">
        <v>103</v>
      </c>
      <c r="Q3420" t="s">
        <v>103</v>
      </c>
    </row>
    <row r="3421" spans="1:17" x14ac:dyDescent="0.3">
      <c r="A3421" t="s">
        <v>41</v>
      </c>
      <c r="B3421" t="s">
        <v>199</v>
      </c>
      <c r="C3421">
        <v>1517</v>
      </c>
      <c r="D3421" t="s">
        <v>1471</v>
      </c>
      <c r="E3421" t="s">
        <v>97</v>
      </c>
      <c r="F3421" t="s">
        <v>282</v>
      </c>
      <c r="G3421" t="s">
        <v>103</v>
      </c>
      <c r="H3421" t="s">
        <v>122</v>
      </c>
      <c r="I3421" t="s">
        <v>103</v>
      </c>
      <c r="J3421" t="s">
        <v>120</v>
      </c>
      <c r="K3421" t="s">
        <v>103</v>
      </c>
      <c r="L3421" t="s">
        <v>66</v>
      </c>
      <c r="M3421" t="s">
        <v>91</v>
      </c>
      <c r="N3421" t="s">
        <v>103</v>
      </c>
      <c r="O3421" t="s">
        <v>103</v>
      </c>
      <c r="P3421" t="s">
        <v>103</v>
      </c>
      <c r="Q3421" t="s">
        <v>103</v>
      </c>
    </row>
    <row r="3423" spans="1:17" x14ac:dyDescent="0.3">
      <c r="A3423" t="s">
        <v>1500</v>
      </c>
    </row>
    <row r="3424" spans="1:17" x14ac:dyDescent="0.3">
      <c r="A3424" t="s">
        <v>36</v>
      </c>
      <c r="B3424" t="s">
        <v>307</v>
      </c>
      <c r="C3424" t="s">
        <v>24</v>
      </c>
      <c r="D3424" t="s">
        <v>1486</v>
      </c>
      <c r="E3424" t="s">
        <v>1487</v>
      </c>
      <c r="F3424" t="s">
        <v>1488</v>
      </c>
      <c r="G3424" t="s">
        <v>1489</v>
      </c>
      <c r="H3424" t="s">
        <v>1490</v>
      </c>
      <c r="I3424" t="s">
        <v>1491</v>
      </c>
      <c r="J3424" t="s">
        <v>1492</v>
      </c>
      <c r="K3424" t="s">
        <v>1493</v>
      </c>
      <c r="L3424" t="s">
        <v>1494</v>
      </c>
      <c r="M3424" t="s">
        <v>1495</v>
      </c>
      <c r="N3424" t="s">
        <v>1496</v>
      </c>
      <c r="O3424" t="s">
        <v>1497</v>
      </c>
      <c r="P3424" t="s">
        <v>1498</v>
      </c>
      <c r="Q3424" t="s">
        <v>89</v>
      </c>
    </row>
    <row r="3425" spans="1:17" x14ac:dyDescent="0.3">
      <c r="A3425" t="s">
        <v>25</v>
      </c>
      <c r="B3425" t="s">
        <v>291</v>
      </c>
      <c r="C3425">
        <v>156</v>
      </c>
      <c r="D3425" t="s">
        <v>606</v>
      </c>
      <c r="E3425" t="s">
        <v>103</v>
      </c>
      <c r="F3425" t="s">
        <v>459</v>
      </c>
      <c r="G3425" t="s">
        <v>103</v>
      </c>
      <c r="H3425" t="s">
        <v>103</v>
      </c>
      <c r="I3425" t="s">
        <v>103</v>
      </c>
      <c r="J3425" t="s">
        <v>105</v>
      </c>
      <c r="K3425" t="s">
        <v>95</v>
      </c>
      <c r="L3425" t="s">
        <v>98</v>
      </c>
      <c r="M3425" t="s">
        <v>103</v>
      </c>
      <c r="N3425" t="s">
        <v>103</v>
      </c>
      <c r="O3425" t="s">
        <v>103</v>
      </c>
      <c r="P3425" t="s">
        <v>103</v>
      </c>
      <c r="Q3425" t="s">
        <v>103</v>
      </c>
    </row>
    <row r="3426" spans="1:17" x14ac:dyDescent="0.3">
      <c r="A3426" t="s">
        <v>25</v>
      </c>
      <c r="B3426" t="s">
        <v>292</v>
      </c>
      <c r="C3426">
        <v>254</v>
      </c>
      <c r="D3426" t="s">
        <v>783</v>
      </c>
      <c r="E3426" t="s">
        <v>194</v>
      </c>
      <c r="F3426" t="s">
        <v>459</v>
      </c>
      <c r="G3426" t="s">
        <v>103</v>
      </c>
      <c r="H3426" t="s">
        <v>103</v>
      </c>
      <c r="I3426" t="s">
        <v>103</v>
      </c>
      <c r="J3426" t="s">
        <v>216</v>
      </c>
      <c r="K3426" t="s">
        <v>97</v>
      </c>
      <c r="L3426" t="s">
        <v>128</v>
      </c>
      <c r="M3426" t="s">
        <v>103</v>
      </c>
      <c r="N3426" t="s">
        <v>103</v>
      </c>
      <c r="O3426" t="s">
        <v>103</v>
      </c>
      <c r="P3426" t="s">
        <v>103</v>
      </c>
      <c r="Q3426" t="s">
        <v>103</v>
      </c>
    </row>
    <row r="3427" spans="1:17" x14ac:dyDescent="0.3">
      <c r="A3427" t="s">
        <v>25</v>
      </c>
      <c r="B3427" t="s">
        <v>308</v>
      </c>
      <c r="C3427">
        <v>4</v>
      </c>
      <c r="D3427" t="s">
        <v>240</v>
      </c>
      <c r="E3427" t="s">
        <v>103</v>
      </c>
      <c r="F3427" t="s">
        <v>103</v>
      </c>
      <c r="G3427" t="s">
        <v>103</v>
      </c>
      <c r="H3427" t="s">
        <v>103</v>
      </c>
      <c r="I3427" t="s">
        <v>103</v>
      </c>
      <c r="J3427" t="s">
        <v>103</v>
      </c>
      <c r="K3427" t="s">
        <v>693</v>
      </c>
      <c r="L3427" t="s">
        <v>103</v>
      </c>
      <c r="M3427" t="s">
        <v>103</v>
      </c>
      <c r="N3427" t="s">
        <v>103</v>
      </c>
      <c r="O3427" t="s">
        <v>103</v>
      </c>
      <c r="P3427" t="s">
        <v>103</v>
      </c>
      <c r="Q3427" t="s">
        <v>103</v>
      </c>
    </row>
    <row r="3428" spans="1:17" x14ac:dyDescent="0.3">
      <c r="A3428" t="s">
        <v>26</v>
      </c>
      <c r="B3428" t="s">
        <v>291</v>
      </c>
      <c r="C3428">
        <v>122</v>
      </c>
      <c r="D3428" t="s">
        <v>1481</v>
      </c>
      <c r="E3428" t="s">
        <v>98</v>
      </c>
      <c r="F3428" t="s">
        <v>345</v>
      </c>
      <c r="G3428" t="s">
        <v>103</v>
      </c>
      <c r="H3428" t="s">
        <v>103</v>
      </c>
      <c r="I3428" t="s">
        <v>103</v>
      </c>
      <c r="J3428" t="s">
        <v>98</v>
      </c>
      <c r="K3428" t="s">
        <v>103</v>
      </c>
      <c r="L3428" t="s">
        <v>103</v>
      </c>
      <c r="M3428" t="s">
        <v>95</v>
      </c>
      <c r="N3428" t="s">
        <v>103</v>
      </c>
      <c r="O3428" t="s">
        <v>103</v>
      </c>
      <c r="P3428" t="s">
        <v>103</v>
      </c>
      <c r="Q3428" t="s">
        <v>103</v>
      </c>
    </row>
    <row r="3429" spans="1:17" x14ac:dyDescent="0.3">
      <c r="A3429" t="s">
        <v>26</v>
      </c>
      <c r="B3429" t="s">
        <v>292</v>
      </c>
      <c r="C3429">
        <v>352</v>
      </c>
      <c r="D3429" t="s">
        <v>322</v>
      </c>
      <c r="E3429" t="s">
        <v>120</v>
      </c>
      <c r="F3429" t="s">
        <v>345</v>
      </c>
      <c r="G3429" t="s">
        <v>103</v>
      </c>
      <c r="H3429" t="s">
        <v>103</v>
      </c>
      <c r="I3429" t="s">
        <v>103</v>
      </c>
      <c r="J3429" t="s">
        <v>139</v>
      </c>
      <c r="K3429" t="s">
        <v>103</v>
      </c>
      <c r="L3429" t="s">
        <v>116</v>
      </c>
      <c r="M3429" t="s">
        <v>103</v>
      </c>
      <c r="N3429" t="s">
        <v>103</v>
      </c>
      <c r="O3429" t="s">
        <v>103</v>
      </c>
      <c r="P3429" t="s">
        <v>103</v>
      </c>
      <c r="Q3429" t="s">
        <v>103</v>
      </c>
    </row>
    <row r="3430" spans="1:17" x14ac:dyDescent="0.3">
      <c r="A3430" t="s">
        <v>26</v>
      </c>
      <c r="B3430" t="s">
        <v>308</v>
      </c>
      <c r="C3430">
        <v>3</v>
      </c>
      <c r="D3430" t="s">
        <v>192</v>
      </c>
      <c r="E3430" t="s">
        <v>103</v>
      </c>
      <c r="F3430" t="s">
        <v>103</v>
      </c>
      <c r="G3430" t="s">
        <v>103</v>
      </c>
      <c r="H3430" t="s">
        <v>103</v>
      </c>
      <c r="I3430" t="s">
        <v>103</v>
      </c>
      <c r="J3430" t="s">
        <v>103</v>
      </c>
      <c r="K3430" t="s">
        <v>103</v>
      </c>
      <c r="L3430" t="s">
        <v>103</v>
      </c>
      <c r="M3430" t="s">
        <v>103</v>
      </c>
      <c r="N3430" t="s">
        <v>103</v>
      </c>
      <c r="O3430" t="s">
        <v>103</v>
      </c>
      <c r="P3430" t="s">
        <v>103</v>
      </c>
      <c r="Q3430" t="s">
        <v>103</v>
      </c>
    </row>
    <row r="3431" spans="1:17" x14ac:dyDescent="0.3">
      <c r="A3431" t="s">
        <v>29</v>
      </c>
      <c r="B3431" t="s">
        <v>291</v>
      </c>
      <c r="C3431">
        <v>205</v>
      </c>
      <c r="D3431" t="s">
        <v>1501</v>
      </c>
      <c r="E3431" t="s">
        <v>467</v>
      </c>
      <c r="F3431" t="s">
        <v>107</v>
      </c>
      <c r="G3431" t="s">
        <v>120</v>
      </c>
      <c r="H3431" t="s">
        <v>345</v>
      </c>
      <c r="I3431" t="s">
        <v>103</v>
      </c>
      <c r="J3431" t="s">
        <v>105</v>
      </c>
      <c r="K3431" t="s">
        <v>103</v>
      </c>
      <c r="L3431" t="s">
        <v>95</v>
      </c>
      <c r="M3431" t="s">
        <v>103</v>
      </c>
      <c r="N3431" t="s">
        <v>103</v>
      </c>
      <c r="O3431" t="s">
        <v>103</v>
      </c>
      <c r="P3431" t="s">
        <v>103</v>
      </c>
      <c r="Q3431" t="s">
        <v>103</v>
      </c>
    </row>
    <row r="3432" spans="1:17" x14ac:dyDescent="0.3">
      <c r="A3432" t="s">
        <v>29</v>
      </c>
      <c r="B3432" t="s">
        <v>292</v>
      </c>
      <c r="C3432">
        <v>325</v>
      </c>
      <c r="D3432" t="s">
        <v>53</v>
      </c>
      <c r="E3432" t="s">
        <v>119</v>
      </c>
      <c r="F3432" t="s">
        <v>102</v>
      </c>
      <c r="G3432" t="s">
        <v>122</v>
      </c>
      <c r="H3432" t="s">
        <v>116</v>
      </c>
      <c r="I3432" t="s">
        <v>103</v>
      </c>
      <c r="J3432" t="s">
        <v>98</v>
      </c>
      <c r="K3432" t="s">
        <v>103</v>
      </c>
      <c r="L3432" t="s">
        <v>282</v>
      </c>
      <c r="M3432" t="s">
        <v>103</v>
      </c>
      <c r="N3432" t="s">
        <v>103</v>
      </c>
      <c r="O3432" t="s">
        <v>103</v>
      </c>
      <c r="P3432" t="s">
        <v>103</v>
      </c>
      <c r="Q3432" t="s">
        <v>103</v>
      </c>
    </row>
    <row r="3433" spans="1:17" x14ac:dyDescent="0.3">
      <c r="A3433" t="s">
        <v>28</v>
      </c>
      <c r="B3433" t="s">
        <v>291</v>
      </c>
      <c r="C3433">
        <v>114</v>
      </c>
      <c r="D3433" t="s">
        <v>286</v>
      </c>
      <c r="E3433" t="s">
        <v>103</v>
      </c>
      <c r="F3433" t="s">
        <v>493</v>
      </c>
      <c r="G3433" t="s">
        <v>103</v>
      </c>
      <c r="H3433" t="s">
        <v>103</v>
      </c>
      <c r="I3433" t="s">
        <v>103</v>
      </c>
      <c r="J3433" t="s">
        <v>103</v>
      </c>
      <c r="K3433" t="s">
        <v>103</v>
      </c>
      <c r="L3433" t="s">
        <v>103</v>
      </c>
      <c r="M3433" t="s">
        <v>103</v>
      </c>
      <c r="N3433" t="s">
        <v>103</v>
      </c>
      <c r="O3433" t="s">
        <v>103</v>
      </c>
      <c r="P3433" t="s">
        <v>103</v>
      </c>
      <c r="Q3433" t="s">
        <v>103</v>
      </c>
    </row>
    <row r="3434" spans="1:17" x14ac:dyDescent="0.3">
      <c r="A3434" t="s">
        <v>28</v>
      </c>
      <c r="B3434" t="s">
        <v>292</v>
      </c>
      <c r="C3434">
        <v>191</v>
      </c>
      <c r="D3434" t="s">
        <v>339</v>
      </c>
      <c r="E3434" t="s">
        <v>103</v>
      </c>
      <c r="F3434" t="s">
        <v>438</v>
      </c>
      <c r="G3434" t="s">
        <v>103</v>
      </c>
      <c r="H3434" t="s">
        <v>103</v>
      </c>
      <c r="I3434" t="s">
        <v>103</v>
      </c>
      <c r="J3434" t="s">
        <v>103</v>
      </c>
      <c r="K3434" t="s">
        <v>103</v>
      </c>
      <c r="L3434" t="s">
        <v>103</v>
      </c>
      <c r="M3434" t="s">
        <v>103</v>
      </c>
      <c r="N3434" t="s">
        <v>103</v>
      </c>
      <c r="O3434" t="s">
        <v>103</v>
      </c>
      <c r="P3434" t="s">
        <v>103</v>
      </c>
      <c r="Q3434" t="s">
        <v>103</v>
      </c>
    </row>
    <row r="3435" spans="1:17" x14ac:dyDescent="0.3">
      <c r="A3435" t="s">
        <v>28</v>
      </c>
      <c r="B3435" t="s">
        <v>308</v>
      </c>
      <c r="C3435">
        <v>12</v>
      </c>
      <c r="D3435" t="s">
        <v>1357</v>
      </c>
      <c r="E3435" t="s">
        <v>103</v>
      </c>
      <c r="F3435" t="s">
        <v>809</v>
      </c>
      <c r="G3435" t="s">
        <v>103</v>
      </c>
      <c r="H3435" t="s">
        <v>103</v>
      </c>
      <c r="I3435" t="s">
        <v>103</v>
      </c>
      <c r="J3435" t="s">
        <v>70</v>
      </c>
      <c r="K3435" t="s">
        <v>103</v>
      </c>
      <c r="L3435" t="s">
        <v>103</v>
      </c>
      <c r="M3435" t="s">
        <v>103</v>
      </c>
      <c r="N3435" t="s">
        <v>103</v>
      </c>
      <c r="O3435" t="s">
        <v>103</v>
      </c>
      <c r="P3435" t="s">
        <v>103</v>
      </c>
      <c r="Q3435" t="s">
        <v>103</v>
      </c>
    </row>
    <row r="3436" spans="1:17" x14ac:dyDescent="0.3">
      <c r="A3436" t="s">
        <v>27</v>
      </c>
      <c r="B3436" t="s">
        <v>291</v>
      </c>
      <c r="C3436">
        <v>95</v>
      </c>
      <c r="D3436" t="s">
        <v>783</v>
      </c>
      <c r="E3436" t="s">
        <v>591</v>
      </c>
      <c r="F3436" t="s">
        <v>254</v>
      </c>
      <c r="G3436" t="s">
        <v>103</v>
      </c>
      <c r="H3436" t="s">
        <v>103</v>
      </c>
      <c r="I3436" t="s">
        <v>103</v>
      </c>
      <c r="J3436" t="s">
        <v>103</v>
      </c>
      <c r="K3436" t="s">
        <v>91</v>
      </c>
      <c r="L3436" t="s">
        <v>103</v>
      </c>
      <c r="M3436" t="s">
        <v>103</v>
      </c>
      <c r="N3436" t="s">
        <v>103</v>
      </c>
      <c r="O3436" t="s">
        <v>103</v>
      </c>
      <c r="P3436" t="s">
        <v>103</v>
      </c>
      <c r="Q3436" t="s">
        <v>103</v>
      </c>
    </row>
    <row r="3437" spans="1:17" x14ac:dyDescent="0.3">
      <c r="A3437" t="s">
        <v>27</v>
      </c>
      <c r="B3437" t="s">
        <v>292</v>
      </c>
      <c r="C3437">
        <v>198</v>
      </c>
      <c r="D3437" t="s">
        <v>712</v>
      </c>
      <c r="E3437" t="s">
        <v>139</v>
      </c>
      <c r="F3437" t="s">
        <v>517</v>
      </c>
      <c r="G3437" t="s">
        <v>103</v>
      </c>
      <c r="H3437" t="s">
        <v>103</v>
      </c>
      <c r="I3437" t="s">
        <v>103</v>
      </c>
      <c r="J3437" t="s">
        <v>97</v>
      </c>
      <c r="K3437" t="s">
        <v>103</v>
      </c>
      <c r="L3437" t="s">
        <v>97</v>
      </c>
      <c r="M3437" t="s">
        <v>103</v>
      </c>
      <c r="N3437" t="s">
        <v>103</v>
      </c>
      <c r="O3437" t="s">
        <v>103</v>
      </c>
      <c r="P3437" t="s">
        <v>103</v>
      </c>
      <c r="Q3437" t="s">
        <v>103</v>
      </c>
    </row>
    <row r="3438" spans="1:17" x14ac:dyDescent="0.3">
      <c r="A3438" t="s">
        <v>27</v>
      </c>
      <c r="B3438" t="s">
        <v>308</v>
      </c>
      <c r="C3438">
        <v>7</v>
      </c>
      <c r="D3438" t="s">
        <v>605</v>
      </c>
      <c r="E3438" t="s">
        <v>103</v>
      </c>
      <c r="F3438" t="s">
        <v>488</v>
      </c>
      <c r="G3438" t="s">
        <v>103</v>
      </c>
      <c r="H3438" t="s">
        <v>103</v>
      </c>
      <c r="I3438" t="s">
        <v>103</v>
      </c>
      <c r="J3438" t="s">
        <v>103</v>
      </c>
      <c r="K3438" t="s">
        <v>103</v>
      </c>
      <c r="L3438" t="s">
        <v>103</v>
      </c>
      <c r="M3438" t="s">
        <v>103</v>
      </c>
      <c r="N3438" t="s">
        <v>103</v>
      </c>
      <c r="O3438" t="s">
        <v>103</v>
      </c>
      <c r="P3438" t="s">
        <v>103</v>
      </c>
      <c r="Q3438" t="s">
        <v>103</v>
      </c>
    </row>
    <row r="3439" spans="1:17" x14ac:dyDescent="0.3">
      <c r="A3439" t="s">
        <v>41</v>
      </c>
      <c r="B3439" t="s">
        <v>291</v>
      </c>
      <c r="C3439">
        <v>692</v>
      </c>
      <c r="D3439" t="s">
        <v>1484</v>
      </c>
      <c r="E3439" t="s">
        <v>208</v>
      </c>
      <c r="F3439" t="s">
        <v>284</v>
      </c>
      <c r="G3439" t="s">
        <v>116</v>
      </c>
      <c r="H3439" t="s">
        <v>120</v>
      </c>
      <c r="I3439" t="s">
        <v>103</v>
      </c>
      <c r="J3439" t="s">
        <v>239</v>
      </c>
      <c r="K3439" t="s">
        <v>91</v>
      </c>
      <c r="L3439" t="s">
        <v>120</v>
      </c>
      <c r="M3439" t="s">
        <v>91</v>
      </c>
      <c r="N3439" t="s">
        <v>103</v>
      </c>
      <c r="O3439" t="s">
        <v>103</v>
      </c>
      <c r="P3439" t="s">
        <v>103</v>
      </c>
      <c r="Q3439" t="s">
        <v>103</v>
      </c>
    </row>
    <row r="3440" spans="1:17" x14ac:dyDescent="0.3">
      <c r="A3440" t="s">
        <v>41</v>
      </c>
      <c r="B3440" t="s">
        <v>292</v>
      </c>
      <c r="C3440">
        <v>1320</v>
      </c>
      <c r="D3440" t="s">
        <v>147</v>
      </c>
      <c r="E3440" t="s">
        <v>70</v>
      </c>
      <c r="F3440" t="s">
        <v>201</v>
      </c>
      <c r="G3440" t="s">
        <v>66</v>
      </c>
      <c r="H3440" t="s">
        <v>91</v>
      </c>
      <c r="I3440" t="s">
        <v>103</v>
      </c>
      <c r="J3440" t="s">
        <v>98</v>
      </c>
      <c r="K3440" t="s">
        <v>91</v>
      </c>
      <c r="L3440" t="s">
        <v>282</v>
      </c>
      <c r="M3440" t="s">
        <v>103</v>
      </c>
      <c r="N3440" t="s">
        <v>103</v>
      </c>
      <c r="O3440" t="s">
        <v>103</v>
      </c>
      <c r="P3440" t="s">
        <v>103</v>
      </c>
      <c r="Q3440" t="s">
        <v>103</v>
      </c>
    </row>
    <row r="3441" spans="1:17" x14ac:dyDescent="0.3">
      <c r="A3441" t="s">
        <v>41</v>
      </c>
      <c r="B3441" t="s">
        <v>308</v>
      </c>
      <c r="C3441">
        <v>26</v>
      </c>
      <c r="D3441" t="s">
        <v>184</v>
      </c>
      <c r="E3441" t="s">
        <v>103</v>
      </c>
      <c r="F3441" t="s">
        <v>94</v>
      </c>
      <c r="G3441" t="s">
        <v>103</v>
      </c>
      <c r="H3441" t="s">
        <v>103</v>
      </c>
      <c r="I3441" t="s">
        <v>103</v>
      </c>
      <c r="J3441" t="s">
        <v>239</v>
      </c>
      <c r="K3441" t="s">
        <v>217</v>
      </c>
      <c r="L3441" t="s">
        <v>103</v>
      </c>
      <c r="M3441" t="s">
        <v>103</v>
      </c>
      <c r="N3441" t="s">
        <v>103</v>
      </c>
      <c r="O3441" t="s">
        <v>103</v>
      </c>
      <c r="P3441" t="s">
        <v>103</v>
      </c>
      <c r="Q3441" t="s">
        <v>103</v>
      </c>
    </row>
    <row r="3443" spans="1:17" x14ac:dyDescent="0.3">
      <c r="A3443" t="s">
        <v>1502</v>
      </c>
    </row>
    <row r="3444" spans="1:17" x14ac:dyDescent="0.3">
      <c r="A3444" t="s">
        <v>36</v>
      </c>
      <c r="B3444" t="s">
        <v>763</v>
      </c>
      <c r="C3444" t="s">
        <v>24</v>
      </c>
      <c r="D3444" t="s">
        <v>1486</v>
      </c>
      <c r="E3444" t="s">
        <v>1487</v>
      </c>
      <c r="F3444" t="s">
        <v>1488</v>
      </c>
      <c r="G3444" t="s">
        <v>1489</v>
      </c>
      <c r="H3444" t="s">
        <v>1490</v>
      </c>
      <c r="I3444" t="s">
        <v>1491</v>
      </c>
      <c r="J3444" t="s">
        <v>1492</v>
      </c>
      <c r="K3444" t="s">
        <v>1493</v>
      </c>
      <c r="L3444" t="s">
        <v>1494</v>
      </c>
      <c r="M3444" t="s">
        <v>1495</v>
      </c>
      <c r="N3444" t="s">
        <v>1496</v>
      </c>
      <c r="O3444" t="s">
        <v>1497</v>
      </c>
      <c r="P3444" t="s">
        <v>1498</v>
      </c>
      <c r="Q3444" t="s">
        <v>89</v>
      </c>
    </row>
    <row r="3445" spans="1:17" x14ac:dyDescent="0.3">
      <c r="A3445" t="s">
        <v>25</v>
      </c>
      <c r="B3445" t="s">
        <v>764</v>
      </c>
      <c r="C3445">
        <v>31</v>
      </c>
      <c r="D3445" t="s">
        <v>185</v>
      </c>
      <c r="E3445" t="s">
        <v>103</v>
      </c>
      <c r="F3445" t="s">
        <v>186</v>
      </c>
      <c r="G3445" t="s">
        <v>103</v>
      </c>
      <c r="H3445" t="s">
        <v>103</v>
      </c>
      <c r="I3445" t="s">
        <v>103</v>
      </c>
      <c r="J3445" t="s">
        <v>103</v>
      </c>
      <c r="K3445" t="s">
        <v>103</v>
      </c>
      <c r="L3445" t="s">
        <v>103</v>
      </c>
      <c r="M3445" t="s">
        <v>103</v>
      </c>
      <c r="N3445" t="s">
        <v>103</v>
      </c>
      <c r="O3445" t="s">
        <v>103</v>
      </c>
      <c r="P3445" t="s">
        <v>103</v>
      </c>
      <c r="Q3445" t="s">
        <v>103</v>
      </c>
    </row>
    <row r="3446" spans="1:17" x14ac:dyDescent="0.3">
      <c r="A3446" t="s">
        <v>25</v>
      </c>
      <c r="B3446" t="s">
        <v>765</v>
      </c>
      <c r="C3446">
        <v>280</v>
      </c>
      <c r="D3446" t="s">
        <v>606</v>
      </c>
      <c r="E3446" t="s">
        <v>468</v>
      </c>
      <c r="F3446" t="s">
        <v>90</v>
      </c>
      <c r="G3446" t="s">
        <v>103</v>
      </c>
      <c r="H3446" t="s">
        <v>103</v>
      </c>
      <c r="I3446" t="s">
        <v>103</v>
      </c>
      <c r="J3446" t="s">
        <v>128</v>
      </c>
      <c r="K3446" t="s">
        <v>98</v>
      </c>
      <c r="L3446" t="s">
        <v>345</v>
      </c>
      <c r="M3446" t="s">
        <v>103</v>
      </c>
      <c r="N3446" t="s">
        <v>103</v>
      </c>
      <c r="O3446" t="s">
        <v>103</v>
      </c>
      <c r="P3446" t="s">
        <v>103</v>
      </c>
      <c r="Q3446" t="s">
        <v>103</v>
      </c>
    </row>
    <row r="3447" spans="1:17" x14ac:dyDescent="0.3">
      <c r="A3447" t="s">
        <v>25</v>
      </c>
      <c r="B3447" t="s">
        <v>767</v>
      </c>
      <c r="C3447">
        <v>103</v>
      </c>
      <c r="D3447" t="s">
        <v>161</v>
      </c>
      <c r="E3447" t="s">
        <v>103</v>
      </c>
      <c r="F3447" t="s">
        <v>515</v>
      </c>
      <c r="G3447" t="s">
        <v>103</v>
      </c>
      <c r="H3447" t="s">
        <v>103</v>
      </c>
      <c r="I3447" t="s">
        <v>103</v>
      </c>
      <c r="J3447" t="s">
        <v>120</v>
      </c>
      <c r="K3447" t="s">
        <v>103</v>
      </c>
      <c r="L3447" t="s">
        <v>114</v>
      </c>
      <c r="M3447" t="s">
        <v>103</v>
      </c>
      <c r="N3447" t="s">
        <v>103</v>
      </c>
      <c r="O3447" t="s">
        <v>103</v>
      </c>
      <c r="P3447" t="s">
        <v>103</v>
      </c>
      <c r="Q3447" t="s">
        <v>103</v>
      </c>
    </row>
    <row r="3448" spans="1:17" x14ac:dyDescent="0.3">
      <c r="A3448" t="s">
        <v>26</v>
      </c>
      <c r="B3448" t="s">
        <v>764</v>
      </c>
      <c r="C3448">
        <v>58</v>
      </c>
      <c r="D3448" t="s">
        <v>192</v>
      </c>
      <c r="E3448" t="s">
        <v>103</v>
      </c>
      <c r="F3448" t="s">
        <v>103</v>
      </c>
      <c r="G3448" t="s">
        <v>103</v>
      </c>
      <c r="H3448" t="s">
        <v>103</v>
      </c>
      <c r="I3448" t="s">
        <v>103</v>
      </c>
      <c r="J3448" t="s">
        <v>103</v>
      </c>
      <c r="K3448" t="s">
        <v>103</v>
      </c>
      <c r="L3448" t="s">
        <v>103</v>
      </c>
      <c r="M3448" t="s">
        <v>103</v>
      </c>
      <c r="N3448" t="s">
        <v>103</v>
      </c>
      <c r="O3448" t="s">
        <v>103</v>
      </c>
      <c r="P3448" t="s">
        <v>103</v>
      </c>
      <c r="Q3448" t="s">
        <v>103</v>
      </c>
    </row>
    <row r="3449" spans="1:17" x14ac:dyDescent="0.3">
      <c r="A3449" t="s">
        <v>26</v>
      </c>
      <c r="B3449" t="s">
        <v>765</v>
      </c>
      <c r="C3449">
        <v>278</v>
      </c>
      <c r="D3449" t="s">
        <v>852</v>
      </c>
      <c r="E3449" t="s">
        <v>116</v>
      </c>
      <c r="F3449" t="s">
        <v>194</v>
      </c>
      <c r="G3449" t="s">
        <v>103</v>
      </c>
      <c r="H3449" t="s">
        <v>103</v>
      </c>
      <c r="I3449" t="s">
        <v>103</v>
      </c>
      <c r="J3449" t="s">
        <v>110</v>
      </c>
      <c r="K3449" t="s">
        <v>103</v>
      </c>
      <c r="L3449" t="s">
        <v>103</v>
      </c>
      <c r="M3449" t="s">
        <v>116</v>
      </c>
      <c r="N3449" t="s">
        <v>103</v>
      </c>
      <c r="O3449" t="s">
        <v>103</v>
      </c>
      <c r="P3449" t="s">
        <v>103</v>
      </c>
      <c r="Q3449" t="s">
        <v>103</v>
      </c>
    </row>
    <row r="3450" spans="1:17" x14ac:dyDescent="0.3">
      <c r="A3450" t="s">
        <v>26</v>
      </c>
      <c r="B3450" t="s">
        <v>767</v>
      </c>
      <c r="C3450">
        <v>141</v>
      </c>
      <c r="D3450" t="s">
        <v>322</v>
      </c>
      <c r="E3450" t="s">
        <v>216</v>
      </c>
      <c r="F3450" t="s">
        <v>194</v>
      </c>
      <c r="G3450" t="s">
        <v>103</v>
      </c>
      <c r="H3450" t="s">
        <v>103</v>
      </c>
      <c r="I3450" t="s">
        <v>103</v>
      </c>
      <c r="J3450" t="s">
        <v>91</v>
      </c>
      <c r="K3450" t="s">
        <v>103</v>
      </c>
      <c r="L3450" t="s">
        <v>98</v>
      </c>
      <c r="M3450" t="s">
        <v>103</v>
      </c>
      <c r="N3450" t="s">
        <v>103</v>
      </c>
      <c r="O3450" t="s">
        <v>103</v>
      </c>
      <c r="P3450" t="s">
        <v>103</v>
      </c>
      <c r="Q3450" t="s">
        <v>103</v>
      </c>
    </row>
    <row r="3451" spans="1:17" s="3" customFormat="1" x14ac:dyDescent="0.3">
      <c r="A3451" s="3" t="s">
        <v>29</v>
      </c>
      <c r="B3451" s="3" t="s">
        <v>764</v>
      </c>
      <c r="C3451" s="3">
        <v>11</v>
      </c>
      <c r="D3451" s="3" t="s">
        <v>192</v>
      </c>
      <c r="E3451" s="3" t="s">
        <v>103</v>
      </c>
      <c r="F3451" s="3" t="s">
        <v>103</v>
      </c>
      <c r="G3451" s="3" t="s">
        <v>115</v>
      </c>
      <c r="H3451" s="3" t="s">
        <v>103</v>
      </c>
      <c r="I3451" s="3" t="s">
        <v>103</v>
      </c>
      <c r="J3451" s="3" t="s">
        <v>103</v>
      </c>
      <c r="K3451" s="3" t="s">
        <v>103</v>
      </c>
      <c r="L3451" s="3" t="s">
        <v>103</v>
      </c>
      <c r="M3451" s="3" t="s">
        <v>103</v>
      </c>
      <c r="N3451" s="3" t="s">
        <v>103</v>
      </c>
      <c r="O3451" s="3" t="s">
        <v>103</v>
      </c>
      <c r="P3451" s="3" t="s">
        <v>103</v>
      </c>
      <c r="Q3451" s="3" t="s">
        <v>103</v>
      </c>
    </row>
    <row r="3452" spans="1:17" x14ac:dyDescent="0.3">
      <c r="A3452" t="s">
        <v>29</v>
      </c>
      <c r="B3452" t="s">
        <v>765</v>
      </c>
      <c r="C3452">
        <v>365</v>
      </c>
      <c r="D3452" t="s">
        <v>165</v>
      </c>
      <c r="E3452" t="s">
        <v>205</v>
      </c>
      <c r="F3452" t="s">
        <v>615</v>
      </c>
      <c r="G3452" t="s">
        <v>103</v>
      </c>
      <c r="H3452" t="s">
        <v>98</v>
      </c>
      <c r="I3452" t="s">
        <v>103</v>
      </c>
      <c r="J3452" t="s">
        <v>194</v>
      </c>
      <c r="K3452" t="s">
        <v>103</v>
      </c>
      <c r="L3452" t="s">
        <v>345</v>
      </c>
      <c r="M3452" t="s">
        <v>103</v>
      </c>
      <c r="N3452" t="s">
        <v>103</v>
      </c>
      <c r="O3452" t="s">
        <v>103</v>
      </c>
      <c r="P3452" t="s">
        <v>103</v>
      </c>
      <c r="Q3452" t="s">
        <v>103</v>
      </c>
    </row>
    <row r="3453" spans="1:17" x14ac:dyDescent="0.3">
      <c r="A3453" t="s">
        <v>29</v>
      </c>
      <c r="B3453" t="s">
        <v>767</v>
      </c>
      <c r="C3453">
        <v>154</v>
      </c>
      <c r="D3453" t="s">
        <v>159</v>
      </c>
      <c r="E3453" t="s">
        <v>549</v>
      </c>
      <c r="F3453" t="s">
        <v>329</v>
      </c>
      <c r="G3453" t="s">
        <v>139</v>
      </c>
      <c r="H3453" t="s">
        <v>103</v>
      </c>
      <c r="I3453" t="s">
        <v>103</v>
      </c>
      <c r="J3453" t="s">
        <v>345</v>
      </c>
      <c r="K3453" t="s">
        <v>103</v>
      </c>
      <c r="L3453" t="s">
        <v>97</v>
      </c>
      <c r="M3453" t="s">
        <v>103</v>
      </c>
      <c r="N3453" t="s">
        <v>103</v>
      </c>
      <c r="O3453" t="s">
        <v>103</v>
      </c>
      <c r="P3453" t="s">
        <v>103</v>
      </c>
      <c r="Q3453" t="s">
        <v>103</v>
      </c>
    </row>
    <row r="3454" spans="1:17" s="3" customFormat="1" x14ac:dyDescent="0.3">
      <c r="A3454" s="3" t="s">
        <v>28</v>
      </c>
      <c r="B3454" s="3" t="s">
        <v>764</v>
      </c>
      <c r="C3454" s="3">
        <v>20</v>
      </c>
      <c r="D3454" s="3" t="s">
        <v>192</v>
      </c>
      <c r="E3454" s="3" t="s">
        <v>103</v>
      </c>
      <c r="F3454" s="3" t="s">
        <v>103</v>
      </c>
      <c r="G3454" s="3" t="s">
        <v>103</v>
      </c>
      <c r="H3454" s="3" t="s">
        <v>103</v>
      </c>
      <c r="I3454" s="3" t="s">
        <v>103</v>
      </c>
      <c r="J3454" s="3" t="s">
        <v>103</v>
      </c>
      <c r="K3454" s="3" t="s">
        <v>103</v>
      </c>
      <c r="L3454" s="3" t="s">
        <v>103</v>
      </c>
      <c r="M3454" s="3" t="s">
        <v>103</v>
      </c>
      <c r="N3454" s="3" t="s">
        <v>103</v>
      </c>
      <c r="O3454" s="3" t="s">
        <v>103</v>
      </c>
      <c r="P3454" s="3" t="s">
        <v>103</v>
      </c>
      <c r="Q3454" s="3" t="s">
        <v>103</v>
      </c>
    </row>
    <row r="3455" spans="1:17" x14ac:dyDescent="0.3">
      <c r="A3455" t="s">
        <v>28</v>
      </c>
      <c r="B3455" t="s">
        <v>765</v>
      </c>
      <c r="C3455">
        <v>260</v>
      </c>
      <c r="D3455" t="s">
        <v>287</v>
      </c>
      <c r="E3455" t="s">
        <v>103</v>
      </c>
      <c r="F3455" t="s">
        <v>591</v>
      </c>
      <c r="G3455" t="s">
        <v>103</v>
      </c>
      <c r="H3455" t="s">
        <v>103</v>
      </c>
      <c r="I3455" t="s">
        <v>103</v>
      </c>
      <c r="J3455" t="s">
        <v>66</v>
      </c>
      <c r="K3455" t="s">
        <v>103</v>
      </c>
      <c r="L3455" t="s">
        <v>103</v>
      </c>
      <c r="M3455" t="s">
        <v>103</v>
      </c>
      <c r="N3455" t="s">
        <v>103</v>
      </c>
      <c r="O3455" t="s">
        <v>103</v>
      </c>
      <c r="P3455" t="s">
        <v>103</v>
      </c>
      <c r="Q3455" t="s">
        <v>103</v>
      </c>
    </row>
    <row r="3456" spans="1:17" x14ac:dyDescent="0.3">
      <c r="A3456" t="s">
        <v>28</v>
      </c>
      <c r="B3456" t="s">
        <v>767</v>
      </c>
      <c r="C3456">
        <v>37</v>
      </c>
      <c r="D3456" t="s">
        <v>192</v>
      </c>
      <c r="E3456" t="s">
        <v>103</v>
      </c>
      <c r="F3456" t="s">
        <v>662</v>
      </c>
      <c r="G3456" t="s">
        <v>103</v>
      </c>
      <c r="H3456" t="s">
        <v>103</v>
      </c>
      <c r="I3456" t="s">
        <v>103</v>
      </c>
      <c r="J3456" t="s">
        <v>103</v>
      </c>
      <c r="K3456" t="s">
        <v>103</v>
      </c>
      <c r="L3456" t="s">
        <v>103</v>
      </c>
      <c r="M3456" t="s">
        <v>103</v>
      </c>
      <c r="N3456" t="s">
        <v>103</v>
      </c>
      <c r="O3456" t="s">
        <v>103</v>
      </c>
      <c r="P3456" t="s">
        <v>103</v>
      </c>
      <c r="Q3456" t="s">
        <v>103</v>
      </c>
    </row>
    <row r="3457" spans="1:17" s="3" customFormat="1" x14ac:dyDescent="0.3">
      <c r="A3457" s="3" t="s">
        <v>27</v>
      </c>
      <c r="B3457" s="3" t="s">
        <v>764</v>
      </c>
      <c r="C3457" s="3">
        <v>29</v>
      </c>
      <c r="D3457" s="3" t="s">
        <v>974</v>
      </c>
      <c r="E3457" s="3" t="s">
        <v>103</v>
      </c>
      <c r="F3457" s="3" t="s">
        <v>516</v>
      </c>
      <c r="G3457" s="3" t="s">
        <v>103</v>
      </c>
      <c r="H3457" s="3" t="s">
        <v>103</v>
      </c>
      <c r="I3457" s="3" t="s">
        <v>103</v>
      </c>
      <c r="J3457" s="3" t="s">
        <v>103</v>
      </c>
      <c r="K3457" s="3" t="s">
        <v>103</v>
      </c>
      <c r="L3457" s="3" t="s">
        <v>68</v>
      </c>
      <c r="M3457" s="3" t="s">
        <v>103</v>
      </c>
      <c r="N3457" s="3" t="s">
        <v>103</v>
      </c>
      <c r="O3457" s="3" t="s">
        <v>103</v>
      </c>
      <c r="P3457" s="3" t="s">
        <v>103</v>
      </c>
      <c r="Q3457" s="3" t="s">
        <v>103</v>
      </c>
    </row>
    <row r="3458" spans="1:17" x14ac:dyDescent="0.3">
      <c r="A3458" t="s">
        <v>27</v>
      </c>
      <c r="B3458" t="s">
        <v>765</v>
      </c>
      <c r="C3458">
        <v>209</v>
      </c>
      <c r="D3458" t="s">
        <v>193</v>
      </c>
      <c r="E3458" t="s">
        <v>341</v>
      </c>
      <c r="F3458" t="s">
        <v>108</v>
      </c>
      <c r="G3458" t="s">
        <v>103</v>
      </c>
      <c r="H3458" t="s">
        <v>103</v>
      </c>
      <c r="I3458" t="s">
        <v>103</v>
      </c>
      <c r="J3458" t="s">
        <v>103</v>
      </c>
      <c r="K3458" t="s">
        <v>103</v>
      </c>
      <c r="L3458" t="s">
        <v>103</v>
      </c>
      <c r="M3458" t="s">
        <v>103</v>
      </c>
      <c r="N3458" t="s">
        <v>103</v>
      </c>
      <c r="O3458" t="s">
        <v>103</v>
      </c>
      <c r="P3458" t="s">
        <v>103</v>
      </c>
      <c r="Q3458" t="s">
        <v>103</v>
      </c>
    </row>
    <row r="3459" spans="1:17" x14ac:dyDescent="0.3">
      <c r="A3459" t="s">
        <v>27</v>
      </c>
      <c r="B3459" t="s">
        <v>767</v>
      </c>
      <c r="C3459">
        <v>62</v>
      </c>
      <c r="D3459" t="s">
        <v>739</v>
      </c>
      <c r="E3459" t="s">
        <v>341</v>
      </c>
      <c r="F3459" t="s">
        <v>1319</v>
      </c>
      <c r="G3459" t="s">
        <v>103</v>
      </c>
      <c r="H3459" t="s">
        <v>103</v>
      </c>
      <c r="I3459" t="s">
        <v>103</v>
      </c>
      <c r="J3459" t="s">
        <v>110</v>
      </c>
      <c r="K3459" t="s">
        <v>103</v>
      </c>
      <c r="L3459" t="s">
        <v>103</v>
      </c>
      <c r="M3459" t="s">
        <v>103</v>
      </c>
      <c r="N3459" t="s">
        <v>103</v>
      </c>
      <c r="O3459" t="s">
        <v>103</v>
      </c>
      <c r="P3459" t="s">
        <v>103</v>
      </c>
      <c r="Q3459" t="s">
        <v>103</v>
      </c>
    </row>
    <row r="3460" spans="1:17" x14ac:dyDescent="0.3">
      <c r="A3460" t="s">
        <v>41</v>
      </c>
      <c r="B3460" t="s">
        <v>764</v>
      </c>
      <c r="C3460">
        <v>149</v>
      </c>
      <c r="D3460" t="s">
        <v>322</v>
      </c>
      <c r="E3460" t="s">
        <v>103</v>
      </c>
      <c r="F3460" t="s">
        <v>208</v>
      </c>
      <c r="G3460" t="s">
        <v>245</v>
      </c>
      <c r="H3460" t="s">
        <v>103</v>
      </c>
      <c r="I3460" t="s">
        <v>103</v>
      </c>
      <c r="J3460" t="s">
        <v>103</v>
      </c>
      <c r="K3460" t="s">
        <v>103</v>
      </c>
      <c r="L3460" t="s">
        <v>66</v>
      </c>
      <c r="M3460" t="s">
        <v>103</v>
      </c>
      <c r="N3460" t="s">
        <v>103</v>
      </c>
      <c r="O3460" t="s">
        <v>103</v>
      </c>
      <c r="P3460" t="s">
        <v>103</v>
      </c>
      <c r="Q3460" t="s">
        <v>103</v>
      </c>
    </row>
    <row r="3461" spans="1:17" x14ac:dyDescent="0.3">
      <c r="A3461" t="s">
        <v>41</v>
      </c>
      <c r="B3461" t="s">
        <v>765</v>
      </c>
      <c r="C3461">
        <v>1392</v>
      </c>
      <c r="D3461" t="s">
        <v>632</v>
      </c>
      <c r="E3461" t="s">
        <v>113</v>
      </c>
      <c r="F3461" t="s">
        <v>214</v>
      </c>
      <c r="G3461" t="s">
        <v>103</v>
      </c>
      <c r="H3461" t="s">
        <v>122</v>
      </c>
      <c r="I3461" t="s">
        <v>103</v>
      </c>
      <c r="J3461" t="s">
        <v>110</v>
      </c>
      <c r="K3461" t="s">
        <v>66</v>
      </c>
      <c r="L3461" t="s">
        <v>95</v>
      </c>
      <c r="M3461" t="s">
        <v>91</v>
      </c>
      <c r="N3461" t="s">
        <v>103</v>
      </c>
      <c r="O3461" t="s">
        <v>103</v>
      </c>
      <c r="P3461" t="s">
        <v>103</v>
      </c>
      <c r="Q3461" t="s">
        <v>103</v>
      </c>
    </row>
    <row r="3462" spans="1:17" x14ac:dyDescent="0.3">
      <c r="A3462" t="s">
        <v>41</v>
      </c>
      <c r="B3462" t="s">
        <v>767</v>
      </c>
      <c r="C3462">
        <v>497</v>
      </c>
      <c r="D3462" t="s">
        <v>240</v>
      </c>
      <c r="E3462" t="s">
        <v>32</v>
      </c>
      <c r="F3462" t="s">
        <v>284</v>
      </c>
      <c r="G3462" t="s">
        <v>122</v>
      </c>
      <c r="H3462" t="s">
        <v>103</v>
      </c>
      <c r="I3462" t="s">
        <v>103</v>
      </c>
      <c r="J3462" t="s">
        <v>139</v>
      </c>
      <c r="K3462" t="s">
        <v>103</v>
      </c>
      <c r="L3462" t="s">
        <v>468</v>
      </c>
      <c r="M3462" t="s">
        <v>103</v>
      </c>
      <c r="N3462" t="s">
        <v>103</v>
      </c>
      <c r="O3462" t="s">
        <v>103</v>
      </c>
      <c r="P3462" t="s">
        <v>103</v>
      </c>
      <c r="Q3462" t="s">
        <v>103</v>
      </c>
    </row>
    <row r="3464" spans="1:17" x14ac:dyDescent="0.3">
      <c r="A3464" t="s">
        <v>1503</v>
      </c>
    </row>
    <row r="3465" spans="1:17" x14ac:dyDescent="0.3">
      <c r="A3465" t="s">
        <v>36</v>
      </c>
      <c r="B3465" t="s">
        <v>310</v>
      </c>
      <c r="C3465" t="s">
        <v>24</v>
      </c>
      <c r="D3465" t="s">
        <v>1486</v>
      </c>
      <c r="E3465" t="s">
        <v>1487</v>
      </c>
      <c r="F3465" t="s">
        <v>1488</v>
      </c>
      <c r="G3465" t="s">
        <v>1489</v>
      </c>
      <c r="H3465" t="s">
        <v>1490</v>
      </c>
      <c r="I3465" t="s">
        <v>1491</v>
      </c>
      <c r="J3465" t="s">
        <v>1492</v>
      </c>
      <c r="K3465" t="s">
        <v>1493</v>
      </c>
      <c r="L3465" t="s">
        <v>1494</v>
      </c>
      <c r="M3465" t="s">
        <v>1495</v>
      </c>
      <c r="N3465" t="s">
        <v>1496</v>
      </c>
      <c r="O3465" t="s">
        <v>1497</v>
      </c>
      <c r="P3465" t="s">
        <v>1498</v>
      </c>
      <c r="Q3465" t="s">
        <v>89</v>
      </c>
    </row>
    <row r="3466" spans="1:17" x14ac:dyDescent="0.3">
      <c r="A3466" t="s">
        <v>25</v>
      </c>
      <c r="B3466" t="s">
        <v>311</v>
      </c>
      <c r="C3466">
        <v>324</v>
      </c>
      <c r="D3466" t="s">
        <v>193</v>
      </c>
      <c r="E3466" t="s">
        <v>98</v>
      </c>
      <c r="F3466" t="s">
        <v>254</v>
      </c>
      <c r="G3466" t="s">
        <v>103</v>
      </c>
      <c r="H3466" t="s">
        <v>103</v>
      </c>
      <c r="I3466" t="s">
        <v>103</v>
      </c>
      <c r="J3466" t="s">
        <v>329</v>
      </c>
      <c r="K3466" t="s">
        <v>139</v>
      </c>
      <c r="L3466" t="s">
        <v>120</v>
      </c>
      <c r="M3466" t="s">
        <v>103</v>
      </c>
      <c r="N3466" t="s">
        <v>103</v>
      </c>
      <c r="O3466" t="s">
        <v>103</v>
      </c>
      <c r="P3466" t="s">
        <v>103</v>
      </c>
      <c r="Q3466" t="s">
        <v>103</v>
      </c>
    </row>
    <row r="3467" spans="1:17" x14ac:dyDescent="0.3">
      <c r="A3467" t="s">
        <v>25</v>
      </c>
      <c r="B3467" t="s">
        <v>312</v>
      </c>
      <c r="C3467">
        <v>80</v>
      </c>
      <c r="D3467" t="s">
        <v>163</v>
      </c>
      <c r="E3467" t="s">
        <v>97</v>
      </c>
      <c r="F3467" t="s">
        <v>544</v>
      </c>
      <c r="G3467" t="s">
        <v>103</v>
      </c>
      <c r="H3467" t="s">
        <v>103</v>
      </c>
      <c r="I3467" t="s">
        <v>103</v>
      </c>
      <c r="J3467" t="s">
        <v>103</v>
      </c>
      <c r="K3467" t="s">
        <v>103</v>
      </c>
      <c r="L3467" t="s">
        <v>270</v>
      </c>
      <c r="M3467" t="s">
        <v>103</v>
      </c>
      <c r="N3467" t="s">
        <v>103</v>
      </c>
      <c r="O3467" t="s">
        <v>103</v>
      </c>
      <c r="P3467" t="s">
        <v>103</v>
      </c>
      <c r="Q3467" t="s">
        <v>103</v>
      </c>
    </row>
    <row r="3468" spans="1:17" x14ac:dyDescent="0.3">
      <c r="A3468" t="s">
        <v>25</v>
      </c>
      <c r="B3468" t="s">
        <v>308</v>
      </c>
      <c r="C3468">
        <v>10</v>
      </c>
      <c r="D3468" t="s">
        <v>618</v>
      </c>
      <c r="E3468" t="s">
        <v>103</v>
      </c>
      <c r="F3468" t="s">
        <v>409</v>
      </c>
      <c r="G3468" t="s">
        <v>103</v>
      </c>
      <c r="H3468" t="s">
        <v>103</v>
      </c>
      <c r="I3468" t="s">
        <v>103</v>
      </c>
      <c r="J3468" t="s">
        <v>103</v>
      </c>
      <c r="K3468" t="s">
        <v>103</v>
      </c>
      <c r="L3468" t="s">
        <v>409</v>
      </c>
      <c r="M3468" t="s">
        <v>103</v>
      </c>
      <c r="N3468" t="s">
        <v>103</v>
      </c>
      <c r="O3468" t="s">
        <v>103</v>
      </c>
      <c r="P3468" t="s">
        <v>103</v>
      </c>
      <c r="Q3468" t="s">
        <v>103</v>
      </c>
    </row>
    <row r="3469" spans="1:17" x14ac:dyDescent="0.3">
      <c r="A3469" t="s">
        <v>26</v>
      </c>
      <c r="B3469" t="s">
        <v>311</v>
      </c>
      <c r="C3469">
        <v>343</v>
      </c>
      <c r="D3469" t="s">
        <v>1481</v>
      </c>
      <c r="E3469" t="s">
        <v>98</v>
      </c>
      <c r="F3469" t="s">
        <v>98</v>
      </c>
      <c r="G3469" t="s">
        <v>103</v>
      </c>
      <c r="H3469" t="s">
        <v>103</v>
      </c>
      <c r="I3469" t="s">
        <v>103</v>
      </c>
      <c r="J3469" t="s">
        <v>468</v>
      </c>
      <c r="K3469" t="s">
        <v>103</v>
      </c>
      <c r="L3469" t="s">
        <v>103</v>
      </c>
      <c r="M3469" t="s">
        <v>66</v>
      </c>
      <c r="N3469" t="s">
        <v>103</v>
      </c>
      <c r="O3469" t="s">
        <v>103</v>
      </c>
      <c r="P3469" t="s">
        <v>103</v>
      </c>
      <c r="Q3469" t="s">
        <v>103</v>
      </c>
    </row>
    <row r="3470" spans="1:17" x14ac:dyDescent="0.3">
      <c r="A3470" t="s">
        <v>26</v>
      </c>
      <c r="B3470" t="s">
        <v>312</v>
      </c>
      <c r="C3470">
        <v>96</v>
      </c>
      <c r="D3470" t="s">
        <v>1176</v>
      </c>
      <c r="E3470" t="s">
        <v>103</v>
      </c>
      <c r="F3470" t="s">
        <v>93</v>
      </c>
      <c r="G3470" t="s">
        <v>103</v>
      </c>
      <c r="H3470" t="s">
        <v>103</v>
      </c>
      <c r="I3470" t="s">
        <v>103</v>
      </c>
      <c r="J3470" t="s">
        <v>103</v>
      </c>
      <c r="K3470" t="s">
        <v>103</v>
      </c>
      <c r="L3470" t="s">
        <v>103</v>
      </c>
      <c r="M3470" t="s">
        <v>103</v>
      </c>
      <c r="N3470" t="s">
        <v>103</v>
      </c>
      <c r="O3470" t="s">
        <v>103</v>
      </c>
      <c r="P3470" t="s">
        <v>103</v>
      </c>
      <c r="Q3470" t="s">
        <v>103</v>
      </c>
    </row>
    <row r="3471" spans="1:17" x14ac:dyDescent="0.3">
      <c r="A3471" t="s">
        <v>26</v>
      </c>
      <c r="B3471" t="s">
        <v>308</v>
      </c>
      <c r="C3471">
        <v>38</v>
      </c>
      <c r="D3471" t="s">
        <v>192</v>
      </c>
      <c r="E3471" t="s">
        <v>103</v>
      </c>
      <c r="F3471" t="s">
        <v>103</v>
      </c>
      <c r="G3471" t="s">
        <v>103</v>
      </c>
      <c r="H3471" t="s">
        <v>103</v>
      </c>
      <c r="I3471" t="s">
        <v>103</v>
      </c>
      <c r="J3471" t="s">
        <v>103</v>
      </c>
      <c r="K3471" t="s">
        <v>103</v>
      </c>
      <c r="L3471" t="s">
        <v>270</v>
      </c>
      <c r="M3471" t="s">
        <v>103</v>
      </c>
      <c r="N3471" t="s">
        <v>103</v>
      </c>
      <c r="O3471" t="s">
        <v>103</v>
      </c>
      <c r="P3471" t="s">
        <v>103</v>
      </c>
      <c r="Q3471" t="s">
        <v>103</v>
      </c>
    </row>
    <row r="3472" spans="1:17" x14ac:dyDescent="0.3">
      <c r="A3472" t="s">
        <v>29</v>
      </c>
      <c r="B3472" t="s">
        <v>311</v>
      </c>
      <c r="C3472">
        <v>414</v>
      </c>
      <c r="D3472" t="s">
        <v>712</v>
      </c>
      <c r="E3472" t="s">
        <v>90</v>
      </c>
      <c r="F3472" t="s">
        <v>467</v>
      </c>
      <c r="G3472" t="s">
        <v>116</v>
      </c>
      <c r="H3472" t="s">
        <v>97</v>
      </c>
      <c r="I3472" t="s">
        <v>103</v>
      </c>
      <c r="J3472" t="s">
        <v>282</v>
      </c>
      <c r="K3472" t="s">
        <v>103</v>
      </c>
      <c r="L3472" t="s">
        <v>98</v>
      </c>
      <c r="M3472" t="s">
        <v>103</v>
      </c>
      <c r="N3472" t="s">
        <v>103</v>
      </c>
      <c r="O3472" t="s">
        <v>103</v>
      </c>
      <c r="P3472" t="s">
        <v>103</v>
      </c>
      <c r="Q3472" t="s">
        <v>103</v>
      </c>
    </row>
    <row r="3473" spans="1:17" x14ac:dyDescent="0.3">
      <c r="A3473" t="s">
        <v>29</v>
      </c>
      <c r="B3473" t="s">
        <v>312</v>
      </c>
      <c r="C3473">
        <v>103</v>
      </c>
      <c r="D3473" t="s">
        <v>1019</v>
      </c>
      <c r="E3473" t="s">
        <v>575</v>
      </c>
      <c r="F3473" t="s">
        <v>281</v>
      </c>
      <c r="G3473" t="s">
        <v>468</v>
      </c>
      <c r="H3473" t="s">
        <v>345</v>
      </c>
      <c r="I3473" t="s">
        <v>103</v>
      </c>
      <c r="J3473" t="s">
        <v>118</v>
      </c>
      <c r="K3473" t="s">
        <v>103</v>
      </c>
      <c r="L3473" t="s">
        <v>345</v>
      </c>
      <c r="M3473" t="s">
        <v>103</v>
      </c>
      <c r="N3473" t="s">
        <v>103</v>
      </c>
      <c r="O3473" t="s">
        <v>103</v>
      </c>
      <c r="P3473" t="s">
        <v>103</v>
      </c>
      <c r="Q3473" t="s">
        <v>103</v>
      </c>
    </row>
    <row r="3474" spans="1:17" x14ac:dyDescent="0.3">
      <c r="A3474" t="s">
        <v>29</v>
      </c>
      <c r="B3474" t="s">
        <v>308</v>
      </c>
      <c r="C3474">
        <v>13</v>
      </c>
      <c r="D3474" t="s">
        <v>1357</v>
      </c>
      <c r="E3474" t="s">
        <v>251</v>
      </c>
      <c r="F3474" t="s">
        <v>511</v>
      </c>
      <c r="G3474" t="s">
        <v>103</v>
      </c>
      <c r="H3474" t="s">
        <v>103</v>
      </c>
      <c r="I3474" t="s">
        <v>103</v>
      </c>
      <c r="J3474" t="s">
        <v>103</v>
      </c>
      <c r="K3474" t="s">
        <v>103</v>
      </c>
      <c r="L3474" t="s">
        <v>103</v>
      </c>
      <c r="M3474" t="s">
        <v>103</v>
      </c>
      <c r="N3474" t="s">
        <v>103</v>
      </c>
      <c r="O3474" t="s">
        <v>103</v>
      </c>
      <c r="P3474" t="s">
        <v>103</v>
      </c>
      <c r="Q3474" t="s">
        <v>103</v>
      </c>
    </row>
    <row r="3475" spans="1:17" x14ac:dyDescent="0.3">
      <c r="A3475" t="s">
        <v>28</v>
      </c>
      <c r="B3475" t="s">
        <v>311</v>
      </c>
      <c r="C3475">
        <v>223</v>
      </c>
      <c r="D3475" t="s">
        <v>803</v>
      </c>
      <c r="E3475" t="s">
        <v>103</v>
      </c>
      <c r="F3475" t="s">
        <v>113</v>
      </c>
      <c r="G3475" t="s">
        <v>103</v>
      </c>
      <c r="H3475" t="s">
        <v>103</v>
      </c>
      <c r="I3475" t="s">
        <v>103</v>
      </c>
      <c r="J3475" t="s">
        <v>103</v>
      </c>
      <c r="K3475" t="s">
        <v>103</v>
      </c>
      <c r="L3475" t="s">
        <v>103</v>
      </c>
      <c r="M3475" t="s">
        <v>103</v>
      </c>
      <c r="N3475" t="s">
        <v>103</v>
      </c>
      <c r="O3475" t="s">
        <v>103</v>
      </c>
      <c r="P3475" t="s">
        <v>103</v>
      </c>
      <c r="Q3475" t="s">
        <v>103</v>
      </c>
    </row>
    <row r="3476" spans="1:17" x14ac:dyDescent="0.3">
      <c r="A3476" t="s">
        <v>28</v>
      </c>
      <c r="B3476" t="s">
        <v>312</v>
      </c>
      <c r="C3476">
        <v>93</v>
      </c>
      <c r="D3476" t="s">
        <v>340</v>
      </c>
      <c r="E3476" t="s">
        <v>103</v>
      </c>
      <c r="F3476" t="s">
        <v>217</v>
      </c>
      <c r="G3476" t="s">
        <v>103</v>
      </c>
      <c r="H3476" t="s">
        <v>103</v>
      </c>
      <c r="I3476" t="s">
        <v>103</v>
      </c>
      <c r="J3476" t="s">
        <v>95</v>
      </c>
      <c r="K3476" t="s">
        <v>103</v>
      </c>
      <c r="L3476" t="s">
        <v>103</v>
      </c>
      <c r="M3476" t="s">
        <v>103</v>
      </c>
      <c r="N3476" t="s">
        <v>103</v>
      </c>
      <c r="O3476" t="s">
        <v>103</v>
      </c>
      <c r="P3476" t="s">
        <v>103</v>
      </c>
      <c r="Q3476" t="s">
        <v>103</v>
      </c>
    </row>
    <row r="3477" spans="1:17" x14ac:dyDescent="0.3">
      <c r="A3477" t="s">
        <v>28</v>
      </c>
      <c r="B3477" t="s">
        <v>308</v>
      </c>
      <c r="C3477">
        <v>1</v>
      </c>
      <c r="D3477" t="s">
        <v>192</v>
      </c>
      <c r="E3477" t="s">
        <v>103</v>
      </c>
      <c r="F3477" t="s">
        <v>103</v>
      </c>
      <c r="G3477" t="s">
        <v>103</v>
      </c>
      <c r="H3477" t="s">
        <v>103</v>
      </c>
      <c r="I3477" t="s">
        <v>103</v>
      </c>
      <c r="J3477" t="s">
        <v>103</v>
      </c>
      <c r="K3477" t="s">
        <v>103</v>
      </c>
      <c r="L3477" t="s">
        <v>103</v>
      </c>
      <c r="M3477" t="s">
        <v>103</v>
      </c>
      <c r="N3477" t="s">
        <v>103</v>
      </c>
      <c r="O3477" t="s">
        <v>103</v>
      </c>
      <c r="P3477" t="s">
        <v>103</v>
      </c>
      <c r="Q3477" t="s">
        <v>103</v>
      </c>
    </row>
    <row r="3478" spans="1:17" x14ac:dyDescent="0.3">
      <c r="A3478" t="s">
        <v>27</v>
      </c>
      <c r="B3478" t="s">
        <v>311</v>
      </c>
      <c r="C3478">
        <v>237</v>
      </c>
      <c r="D3478" t="s">
        <v>215</v>
      </c>
      <c r="E3478" t="s">
        <v>329</v>
      </c>
      <c r="F3478" t="s">
        <v>482</v>
      </c>
      <c r="G3478" t="s">
        <v>103</v>
      </c>
      <c r="H3478" t="s">
        <v>103</v>
      </c>
      <c r="I3478" t="s">
        <v>103</v>
      </c>
      <c r="J3478" t="s">
        <v>122</v>
      </c>
      <c r="K3478" t="s">
        <v>103</v>
      </c>
      <c r="L3478" t="s">
        <v>103</v>
      </c>
      <c r="M3478" t="s">
        <v>103</v>
      </c>
      <c r="N3478" t="s">
        <v>103</v>
      </c>
      <c r="O3478" t="s">
        <v>103</v>
      </c>
      <c r="P3478" t="s">
        <v>103</v>
      </c>
      <c r="Q3478" t="s">
        <v>103</v>
      </c>
    </row>
    <row r="3479" spans="1:17" x14ac:dyDescent="0.3">
      <c r="A3479" t="s">
        <v>27</v>
      </c>
      <c r="B3479" t="s">
        <v>312</v>
      </c>
      <c r="C3479">
        <v>60</v>
      </c>
      <c r="D3479" t="s">
        <v>1357</v>
      </c>
      <c r="E3479" t="s">
        <v>103</v>
      </c>
      <c r="F3479" t="s">
        <v>275</v>
      </c>
      <c r="G3479" t="s">
        <v>103</v>
      </c>
      <c r="H3479" t="s">
        <v>103</v>
      </c>
      <c r="I3479" t="s">
        <v>103</v>
      </c>
      <c r="J3479" t="s">
        <v>103</v>
      </c>
      <c r="K3479" t="s">
        <v>103</v>
      </c>
      <c r="L3479" t="s">
        <v>208</v>
      </c>
      <c r="M3479" t="s">
        <v>103</v>
      </c>
      <c r="N3479" t="s">
        <v>103</v>
      </c>
      <c r="O3479" t="s">
        <v>103</v>
      </c>
      <c r="P3479" t="s">
        <v>103</v>
      </c>
      <c r="Q3479" t="s">
        <v>103</v>
      </c>
    </row>
    <row r="3480" spans="1:17" x14ac:dyDescent="0.3">
      <c r="A3480" t="s">
        <v>27</v>
      </c>
      <c r="B3480" t="s">
        <v>308</v>
      </c>
      <c r="C3480">
        <v>3</v>
      </c>
      <c r="D3480" t="s">
        <v>943</v>
      </c>
      <c r="E3480" t="s">
        <v>103</v>
      </c>
      <c r="F3480" t="s">
        <v>527</v>
      </c>
      <c r="G3480" t="s">
        <v>103</v>
      </c>
      <c r="H3480" t="s">
        <v>103</v>
      </c>
      <c r="I3480" t="s">
        <v>103</v>
      </c>
      <c r="J3480" t="s">
        <v>103</v>
      </c>
      <c r="K3480" t="s">
        <v>103</v>
      </c>
      <c r="L3480" t="s">
        <v>103</v>
      </c>
      <c r="M3480" t="s">
        <v>103</v>
      </c>
      <c r="N3480" t="s">
        <v>103</v>
      </c>
      <c r="O3480" t="s">
        <v>103</v>
      </c>
      <c r="P3480" t="s">
        <v>103</v>
      </c>
      <c r="Q3480" t="s">
        <v>103</v>
      </c>
    </row>
    <row r="3481" spans="1:17" x14ac:dyDescent="0.3">
      <c r="A3481" t="s">
        <v>41</v>
      </c>
      <c r="B3481" t="s">
        <v>311</v>
      </c>
      <c r="C3481">
        <v>1541</v>
      </c>
      <c r="D3481" t="s">
        <v>598</v>
      </c>
      <c r="E3481" t="s">
        <v>201</v>
      </c>
      <c r="F3481" t="s">
        <v>107</v>
      </c>
      <c r="G3481" t="s">
        <v>91</v>
      </c>
      <c r="H3481" t="s">
        <v>66</v>
      </c>
      <c r="I3481" t="s">
        <v>103</v>
      </c>
      <c r="J3481" t="s">
        <v>468</v>
      </c>
      <c r="K3481" t="s">
        <v>66</v>
      </c>
      <c r="L3481" t="s">
        <v>97</v>
      </c>
      <c r="M3481" t="s">
        <v>91</v>
      </c>
      <c r="N3481" t="s">
        <v>103</v>
      </c>
      <c r="O3481" t="s">
        <v>103</v>
      </c>
      <c r="P3481" t="s">
        <v>103</v>
      </c>
      <c r="Q3481" t="s">
        <v>103</v>
      </c>
    </row>
    <row r="3482" spans="1:17" x14ac:dyDescent="0.3">
      <c r="A3482" t="s">
        <v>41</v>
      </c>
      <c r="B3482" t="s">
        <v>312</v>
      </c>
      <c r="C3482">
        <v>432</v>
      </c>
      <c r="D3482" t="s">
        <v>193</v>
      </c>
      <c r="E3482" t="s">
        <v>493</v>
      </c>
      <c r="F3482" t="s">
        <v>452</v>
      </c>
      <c r="G3482" t="s">
        <v>120</v>
      </c>
      <c r="H3482" t="s">
        <v>97</v>
      </c>
      <c r="I3482" t="s">
        <v>103</v>
      </c>
      <c r="J3482" t="s">
        <v>468</v>
      </c>
      <c r="K3482" t="s">
        <v>103</v>
      </c>
      <c r="L3482" t="s">
        <v>345</v>
      </c>
      <c r="M3482" t="s">
        <v>103</v>
      </c>
      <c r="N3482" t="s">
        <v>103</v>
      </c>
      <c r="O3482" t="s">
        <v>103</v>
      </c>
      <c r="P3482" t="s">
        <v>103</v>
      </c>
      <c r="Q3482" t="s">
        <v>103</v>
      </c>
    </row>
    <row r="3483" spans="1:17" x14ac:dyDescent="0.3">
      <c r="A3483" t="s">
        <v>41</v>
      </c>
      <c r="B3483" t="s">
        <v>308</v>
      </c>
      <c r="C3483">
        <v>65</v>
      </c>
      <c r="D3483" t="s">
        <v>283</v>
      </c>
      <c r="E3483" t="s">
        <v>245</v>
      </c>
      <c r="F3483" t="s">
        <v>531</v>
      </c>
      <c r="G3483" t="s">
        <v>103</v>
      </c>
      <c r="H3483" t="s">
        <v>103</v>
      </c>
      <c r="I3483" t="s">
        <v>103</v>
      </c>
      <c r="J3483" t="s">
        <v>103</v>
      </c>
      <c r="K3483" t="s">
        <v>103</v>
      </c>
      <c r="L3483" t="s">
        <v>112</v>
      </c>
      <c r="M3483" t="s">
        <v>103</v>
      </c>
      <c r="N3483" t="s">
        <v>103</v>
      </c>
      <c r="O3483" t="s">
        <v>103</v>
      </c>
      <c r="P3483" t="s">
        <v>103</v>
      </c>
      <c r="Q3483" t="s">
        <v>103</v>
      </c>
    </row>
    <row r="3485" spans="1:17" x14ac:dyDescent="0.3">
      <c r="A3485" t="s">
        <v>1504</v>
      </c>
    </row>
    <row r="3486" spans="1:17" x14ac:dyDescent="0.3">
      <c r="A3486" t="s">
        <v>36</v>
      </c>
      <c r="B3486" t="s">
        <v>24</v>
      </c>
      <c r="C3486" t="s">
        <v>58</v>
      </c>
      <c r="D3486" t="s">
        <v>59</v>
      </c>
      <c r="E3486" t="s">
        <v>348</v>
      </c>
    </row>
    <row r="3487" spans="1:17" x14ac:dyDescent="0.3">
      <c r="A3487" t="s">
        <v>25</v>
      </c>
      <c r="B3487">
        <v>414</v>
      </c>
      <c r="C3487" t="s">
        <v>247</v>
      </c>
      <c r="D3487" t="s">
        <v>1310</v>
      </c>
      <c r="E3487" t="s">
        <v>103</v>
      </c>
    </row>
    <row r="3488" spans="1:17" x14ac:dyDescent="0.3">
      <c r="A3488" t="s">
        <v>26</v>
      </c>
      <c r="B3488">
        <v>477</v>
      </c>
      <c r="C3488" t="s">
        <v>111</v>
      </c>
      <c r="D3488" t="s">
        <v>149</v>
      </c>
      <c r="E3488" t="s">
        <v>239</v>
      </c>
    </row>
    <row r="3489" spans="1:6" x14ac:dyDescent="0.3">
      <c r="A3489" t="s">
        <v>29</v>
      </c>
      <c r="B3489">
        <v>530</v>
      </c>
      <c r="C3489" t="s">
        <v>550</v>
      </c>
      <c r="D3489" t="s">
        <v>330</v>
      </c>
      <c r="E3489" t="s">
        <v>98</v>
      </c>
    </row>
    <row r="3490" spans="1:6" x14ac:dyDescent="0.3">
      <c r="A3490" t="s">
        <v>28</v>
      </c>
      <c r="B3490">
        <v>317</v>
      </c>
      <c r="C3490" t="s">
        <v>1198</v>
      </c>
      <c r="D3490" t="s">
        <v>1001</v>
      </c>
      <c r="E3490" t="s">
        <v>103</v>
      </c>
    </row>
    <row r="3491" spans="1:6" x14ac:dyDescent="0.3">
      <c r="A3491" t="s">
        <v>27</v>
      </c>
      <c r="B3491">
        <v>300</v>
      </c>
      <c r="C3491" t="s">
        <v>575</v>
      </c>
      <c r="D3491" t="s">
        <v>625</v>
      </c>
      <c r="E3491" t="s">
        <v>103</v>
      </c>
    </row>
    <row r="3492" spans="1:6" x14ac:dyDescent="0.3">
      <c r="A3492" t="s">
        <v>41</v>
      </c>
      <c r="B3492">
        <v>2038</v>
      </c>
      <c r="C3492" t="s">
        <v>171</v>
      </c>
      <c r="D3492" t="s">
        <v>766</v>
      </c>
      <c r="E3492" t="s">
        <v>139</v>
      </c>
    </row>
    <row r="3494" spans="1:6" x14ac:dyDescent="0.3">
      <c r="A3494" t="s">
        <v>1505</v>
      </c>
    </row>
    <row r="3495" spans="1:6" x14ac:dyDescent="0.3">
      <c r="A3495" t="s">
        <v>36</v>
      </c>
      <c r="B3495" t="s">
        <v>197</v>
      </c>
      <c r="C3495" t="s">
        <v>24</v>
      </c>
      <c r="D3495" t="s">
        <v>58</v>
      </c>
      <c r="E3495" t="s">
        <v>59</v>
      </c>
      <c r="F3495" t="s">
        <v>348</v>
      </c>
    </row>
    <row r="3496" spans="1:6" x14ac:dyDescent="0.3">
      <c r="A3496" t="s">
        <v>25</v>
      </c>
      <c r="B3496" t="s">
        <v>198</v>
      </c>
      <c r="C3496">
        <v>104</v>
      </c>
      <c r="D3496" t="s">
        <v>575</v>
      </c>
      <c r="E3496" t="s">
        <v>625</v>
      </c>
      <c r="F3496" t="s">
        <v>103</v>
      </c>
    </row>
    <row r="3497" spans="1:6" x14ac:dyDescent="0.3">
      <c r="A3497" t="s">
        <v>25</v>
      </c>
      <c r="B3497" t="s">
        <v>199</v>
      </c>
      <c r="C3497">
        <v>310</v>
      </c>
      <c r="D3497" t="s">
        <v>191</v>
      </c>
      <c r="E3497" t="s">
        <v>863</v>
      </c>
      <c r="F3497" t="s">
        <v>103</v>
      </c>
    </row>
    <row r="3498" spans="1:6" x14ac:dyDescent="0.3">
      <c r="A3498" t="s">
        <v>26</v>
      </c>
      <c r="B3498" t="s">
        <v>198</v>
      </c>
      <c r="C3498">
        <v>41</v>
      </c>
      <c r="D3498" t="s">
        <v>113</v>
      </c>
      <c r="E3498" t="s">
        <v>861</v>
      </c>
      <c r="F3498" t="s">
        <v>103</v>
      </c>
    </row>
    <row r="3499" spans="1:6" x14ac:dyDescent="0.3">
      <c r="A3499" t="s">
        <v>26</v>
      </c>
      <c r="B3499" t="s">
        <v>199</v>
      </c>
      <c r="C3499">
        <v>436</v>
      </c>
      <c r="D3499" t="s">
        <v>244</v>
      </c>
      <c r="E3499" t="s">
        <v>151</v>
      </c>
      <c r="F3499" t="s">
        <v>216</v>
      </c>
    </row>
    <row r="3500" spans="1:6" x14ac:dyDescent="0.3">
      <c r="A3500" t="s">
        <v>29</v>
      </c>
      <c r="B3500" t="s">
        <v>198</v>
      </c>
      <c r="C3500">
        <v>170</v>
      </c>
      <c r="D3500" t="s">
        <v>756</v>
      </c>
      <c r="E3500" t="s">
        <v>608</v>
      </c>
      <c r="F3500" t="s">
        <v>329</v>
      </c>
    </row>
    <row r="3501" spans="1:6" x14ac:dyDescent="0.3">
      <c r="A3501" t="s">
        <v>29</v>
      </c>
      <c r="B3501" t="s">
        <v>199</v>
      </c>
      <c r="C3501">
        <v>360</v>
      </c>
      <c r="D3501" t="s">
        <v>524</v>
      </c>
      <c r="E3501" t="s">
        <v>870</v>
      </c>
      <c r="F3501" t="s">
        <v>122</v>
      </c>
    </row>
    <row r="3502" spans="1:6" x14ac:dyDescent="0.3">
      <c r="A3502" t="s">
        <v>28</v>
      </c>
      <c r="B3502" t="s">
        <v>198</v>
      </c>
      <c r="C3502">
        <v>70</v>
      </c>
      <c r="D3502" t="s">
        <v>1023</v>
      </c>
      <c r="E3502" t="s">
        <v>1052</v>
      </c>
      <c r="F3502" t="s">
        <v>103</v>
      </c>
    </row>
    <row r="3503" spans="1:6" x14ac:dyDescent="0.3">
      <c r="A3503" t="s">
        <v>28</v>
      </c>
      <c r="B3503" t="s">
        <v>199</v>
      </c>
      <c r="C3503">
        <v>247</v>
      </c>
      <c r="D3503" t="s">
        <v>552</v>
      </c>
      <c r="E3503" t="s">
        <v>1153</v>
      </c>
      <c r="F3503" t="s">
        <v>103</v>
      </c>
    </row>
    <row r="3504" spans="1:6" x14ac:dyDescent="0.3">
      <c r="A3504" t="s">
        <v>27</v>
      </c>
      <c r="B3504" t="s">
        <v>198</v>
      </c>
      <c r="C3504">
        <v>136</v>
      </c>
      <c r="D3504" t="s">
        <v>214</v>
      </c>
      <c r="E3504" t="s">
        <v>213</v>
      </c>
      <c r="F3504" t="s">
        <v>103</v>
      </c>
    </row>
    <row r="3505" spans="1:6" x14ac:dyDescent="0.3">
      <c r="A3505" t="s">
        <v>27</v>
      </c>
      <c r="B3505" t="s">
        <v>199</v>
      </c>
      <c r="C3505">
        <v>164</v>
      </c>
      <c r="D3505" t="s">
        <v>169</v>
      </c>
      <c r="E3505" t="s">
        <v>170</v>
      </c>
      <c r="F3505" t="s">
        <v>103</v>
      </c>
    </row>
    <row r="3506" spans="1:6" x14ac:dyDescent="0.3">
      <c r="A3506" t="s">
        <v>41</v>
      </c>
      <c r="B3506" t="s">
        <v>198</v>
      </c>
      <c r="C3506">
        <v>521</v>
      </c>
      <c r="D3506" t="s">
        <v>1319</v>
      </c>
      <c r="E3506" t="s">
        <v>720</v>
      </c>
      <c r="F3506" t="s">
        <v>194</v>
      </c>
    </row>
    <row r="3507" spans="1:6" x14ac:dyDescent="0.3">
      <c r="A3507" t="s">
        <v>41</v>
      </c>
      <c r="B3507" t="s">
        <v>199</v>
      </c>
      <c r="C3507">
        <v>1517</v>
      </c>
      <c r="D3507" t="s">
        <v>148</v>
      </c>
      <c r="E3507" t="s">
        <v>172</v>
      </c>
      <c r="F3507" t="s">
        <v>120</v>
      </c>
    </row>
    <row r="3509" spans="1:6" x14ac:dyDescent="0.3">
      <c r="A3509" t="s">
        <v>1506</v>
      </c>
    </row>
    <row r="3510" spans="1:6" x14ac:dyDescent="0.3">
      <c r="A3510" t="s">
        <v>36</v>
      </c>
      <c r="B3510" t="s">
        <v>307</v>
      </c>
      <c r="C3510" t="s">
        <v>24</v>
      </c>
      <c r="D3510" t="s">
        <v>58</v>
      </c>
      <c r="E3510" t="s">
        <v>59</v>
      </c>
      <c r="F3510" t="s">
        <v>348</v>
      </c>
    </row>
    <row r="3511" spans="1:6" x14ac:dyDescent="0.3">
      <c r="A3511" t="s">
        <v>25</v>
      </c>
      <c r="B3511" t="s">
        <v>291</v>
      </c>
      <c r="C3511">
        <v>156</v>
      </c>
      <c r="D3511" t="s">
        <v>543</v>
      </c>
      <c r="E3511" t="s">
        <v>759</v>
      </c>
      <c r="F3511" t="s">
        <v>103</v>
      </c>
    </row>
    <row r="3512" spans="1:6" x14ac:dyDescent="0.3">
      <c r="A3512" t="s">
        <v>25</v>
      </c>
      <c r="B3512" t="s">
        <v>292</v>
      </c>
      <c r="C3512">
        <v>254</v>
      </c>
      <c r="D3512" t="s">
        <v>262</v>
      </c>
      <c r="E3512" t="s">
        <v>827</v>
      </c>
      <c r="F3512" t="s">
        <v>103</v>
      </c>
    </row>
    <row r="3513" spans="1:6" x14ac:dyDescent="0.3">
      <c r="A3513" t="s">
        <v>25</v>
      </c>
      <c r="B3513" t="s">
        <v>308</v>
      </c>
      <c r="C3513">
        <v>4</v>
      </c>
      <c r="D3513" t="s">
        <v>103</v>
      </c>
      <c r="E3513" t="s">
        <v>192</v>
      </c>
      <c r="F3513" t="s">
        <v>103</v>
      </c>
    </row>
    <row r="3514" spans="1:6" x14ac:dyDescent="0.3">
      <c r="A3514" t="s">
        <v>26</v>
      </c>
      <c r="B3514" t="s">
        <v>291</v>
      </c>
      <c r="C3514">
        <v>122</v>
      </c>
      <c r="D3514" t="s">
        <v>108</v>
      </c>
      <c r="E3514" t="s">
        <v>598</v>
      </c>
      <c r="F3514" t="s">
        <v>98</v>
      </c>
    </row>
    <row r="3515" spans="1:6" x14ac:dyDescent="0.3">
      <c r="A3515" t="s">
        <v>26</v>
      </c>
      <c r="B3515" t="s">
        <v>292</v>
      </c>
      <c r="C3515">
        <v>352</v>
      </c>
      <c r="D3515" t="s">
        <v>130</v>
      </c>
      <c r="E3515" t="s">
        <v>766</v>
      </c>
      <c r="F3515" t="s">
        <v>245</v>
      </c>
    </row>
    <row r="3516" spans="1:6" x14ac:dyDescent="0.3">
      <c r="A3516" t="s">
        <v>26</v>
      </c>
      <c r="B3516" t="s">
        <v>308</v>
      </c>
      <c r="C3516">
        <v>3</v>
      </c>
      <c r="D3516" t="s">
        <v>103</v>
      </c>
      <c r="E3516" t="s">
        <v>192</v>
      </c>
      <c r="F3516" t="s">
        <v>103</v>
      </c>
    </row>
    <row r="3517" spans="1:6" x14ac:dyDescent="0.3">
      <c r="A3517" t="s">
        <v>29</v>
      </c>
      <c r="B3517" t="s">
        <v>291</v>
      </c>
      <c r="C3517">
        <v>205</v>
      </c>
      <c r="D3517" t="s">
        <v>106</v>
      </c>
      <c r="E3517" t="s">
        <v>622</v>
      </c>
      <c r="F3517" t="s">
        <v>95</v>
      </c>
    </row>
    <row r="3518" spans="1:6" x14ac:dyDescent="0.3">
      <c r="A3518" t="s">
        <v>29</v>
      </c>
      <c r="B3518" t="s">
        <v>292</v>
      </c>
      <c r="C3518">
        <v>325</v>
      </c>
      <c r="D3518" t="s">
        <v>253</v>
      </c>
      <c r="E3518" t="s">
        <v>143</v>
      </c>
      <c r="F3518" t="s">
        <v>345</v>
      </c>
    </row>
    <row r="3519" spans="1:6" x14ac:dyDescent="0.3">
      <c r="A3519" t="s">
        <v>28</v>
      </c>
      <c r="B3519" t="s">
        <v>291</v>
      </c>
      <c r="C3519">
        <v>114</v>
      </c>
      <c r="D3519" t="s">
        <v>553</v>
      </c>
      <c r="E3519" t="s">
        <v>1322</v>
      </c>
      <c r="F3519" t="s">
        <v>103</v>
      </c>
    </row>
    <row r="3520" spans="1:6" x14ac:dyDescent="0.3">
      <c r="A3520" t="s">
        <v>28</v>
      </c>
      <c r="B3520" t="s">
        <v>292</v>
      </c>
      <c r="C3520">
        <v>191</v>
      </c>
      <c r="D3520" t="s">
        <v>142</v>
      </c>
      <c r="E3520" t="s">
        <v>143</v>
      </c>
      <c r="F3520" t="s">
        <v>103</v>
      </c>
    </row>
    <row r="3521" spans="1:6" x14ac:dyDescent="0.3">
      <c r="A3521" t="s">
        <v>28</v>
      </c>
      <c r="B3521" t="s">
        <v>308</v>
      </c>
      <c r="C3521">
        <v>12</v>
      </c>
      <c r="D3521" t="s">
        <v>103</v>
      </c>
      <c r="E3521" t="s">
        <v>192</v>
      </c>
      <c r="F3521" t="s">
        <v>103</v>
      </c>
    </row>
    <row r="3522" spans="1:6" x14ac:dyDescent="0.3">
      <c r="A3522" t="s">
        <v>27</v>
      </c>
      <c r="B3522" t="s">
        <v>291</v>
      </c>
      <c r="C3522">
        <v>95</v>
      </c>
      <c r="D3522" t="s">
        <v>112</v>
      </c>
      <c r="E3522" t="s">
        <v>859</v>
      </c>
      <c r="F3522" t="s">
        <v>103</v>
      </c>
    </row>
    <row r="3523" spans="1:6" x14ac:dyDescent="0.3">
      <c r="A3523" t="s">
        <v>27</v>
      </c>
      <c r="B3523" t="s">
        <v>292</v>
      </c>
      <c r="C3523">
        <v>198</v>
      </c>
      <c r="D3523" t="s">
        <v>601</v>
      </c>
      <c r="E3523" t="s">
        <v>280</v>
      </c>
      <c r="F3523" t="s">
        <v>103</v>
      </c>
    </row>
    <row r="3524" spans="1:6" x14ac:dyDescent="0.3">
      <c r="A3524" t="s">
        <v>27</v>
      </c>
      <c r="B3524" t="s">
        <v>308</v>
      </c>
      <c r="C3524">
        <v>7</v>
      </c>
      <c r="D3524" t="s">
        <v>103</v>
      </c>
      <c r="E3524" t="s">
        <v>192</v>
      </c>
      <c r="F3524" t="s">
        <v>103</v>
      </c>
    </row>
    <row r="3525" spans="1:6" x14ac:dyDescent="0.3">
      <c r="A3525" t="s">
        <v>41</v>
      </c>
      <c r="B3525" t="s">
        <v>291</v>
      </c>
      <c r="C3525">
        <v>692</v>
      </c>
      <c r="D3525" t="s">
        <v>175</v>
      </c>
      <c r="E3525" t="s">
        <v>605</v>
      </c>
      <c r="F3525" t="s">
        <v>97</v>
      </c>
    </row>
    <row r="3526" spans="1:6" x14ac:dyDescent="0.3">
      <c r="A3526" t="s">
        <v>41</v>
      </c>
      <c r="B3526" t="s">
        <v>292</v>
      </c>
      <c r="C3526">
        <v>1320</v>
      </c>
      <c r="D3526" t="s">
        <v>566</v>
      </c>
      <c r="E3526" t="s">
        <v>870</v>
      </c>
      <c r="F3526" t="s">
        <v>282</v>
      </c>
    </row>
    <row r="3527" spans="1:6" x14ac:dyDescent="0.3">
      <c r="A3527" t="s">
        <v>41</v>
      </c>
      <c r="B3527" t="s">
        <v>308</v>
      </c>
      <c r="C3527">
        <v>26</v>
      </c>
      <c r="D3527" t="s">
        <v>103</v>
      </c>
      <c r="E3527" t="s">
        <v>192</v>
      </c>
      <c r="F3527" t="s">
        <v>103</v>
      </c>
    </row>
    <row r="3529" spans="1:6" x14ac:dyDescent="0.3">
      <c r="A3529" t="s">
        <v>1507</v>
      </c>
    </row>
    <row r="3530" spans="1:6" x14ac:dyDescent="0.3">
      <c r="A3530" t="s">
        <v>36</v>
      </c>
      <c r="B3530" t="s">
        <v>763</v>
      </c>
      <c r="C3530" t="s">
        <v>24</v>
      </c>
      <c r="D3530" t="s">
        <v>58</v>
      </c>
      <c r="E3530" t="s">
        <v>59</v>
      </c>
      <c r="F3530" t="s">
        <v>348</v>
      </c>
    </row>
    <row r="3531" spans="1:6" x14ac:dyDescent="0.3">
      <c r="A3531" t="s">
        <v>25</v>
      </c>
      <c r="B3531" t="s">
        <v>764</v>
      </c>
      <c r="C3531">
        <v>31</v>
      </c>
      <c r="D3531" t="s">
        <v>551</v>
      </c>
      <c r="E3531" t="s">
        <v>1022</v>
      </c>
      <c r="F3531" t="s">
        <v>103</v>
      </c>
    </row>
    <row r="3532" spans="1:6" x14ac:dyDescent="0.3">
      <c r="A3532" t="s">
        <v>25</v>
      </c>
      <c r="B3532" t="s">
        <v>765</v>
      </c>
      <c r="C3532">
        <v>280</v>
      </c>
      <c r="D3532" t="s">
        <v>127</v>
      </c>
      <c r="E3532" t="s">
        <v>203</v>
      </c>
      <c r="F3532" t="s">
        <v>103</v>
      </c>
    </row>
    <row r="3533" spans="1:6" x14ac:dyDescent="0.3">
      <c r="A3533" t="s">
        <v>25</v>
      </c>
      <c r="B3533" t="s">
        <v>767</v>
      </c>
      <c r="C3533">
        <v>103</v>
      </c>
      <c r="D3533" t="s">
        <v>111</v>
      </c>
      <c r="E3533" t="s">
        <v>742</v>
      </c>
      <c r="F3533" t="s">
        <v>103</v>
      </c>
    </row>
    <row r="3534" spans="1:6" x14ac:dyDescent="0.3">
      <c r="A3534" t="s">
        <v>26</v>
      </c>
      <c r="B3534" t="s">
        <v>764</v>
      </c>
      <c r="C3534">
        <v>58</v>
      </c>
      <c r="D3534" t="s">
        <v>544</v>
      </c>
      <c r="E3534" t="s">
        <v>1022</v>
      </c>
      <c r="F3534" t="s">
        <v>281</v>
      </c>
    </row>
    <row r="3535" spans="1:6" x14ac:dyDescent="0.3">
      <c r="A3535" t="s">
        <v>26</v>
      </c>
      <c r="B3535" t="s">
        <v>765</v>
      </c>
      <c r="C3535">
        <v>278</v>
      </c>
      <c r="D3535" t="s">
        <v>99</v>
      </c>
      <c r="E3535" t="s">
        <v>771</v>
      </c>
      <c r="F3535" t="s">
        <v>194</v>
      </c>
    </row>
    <row r="3536" spans="1:6" x14ac:dyDescent="0.3">
      <c r="A3536" t="s">
        <v>26</v>
      </c>
      <c r="B3536" t="s">
        <v>767</v>
      </c>
      <c r="C3536">
        <v>141</v>
      </c>
      <c r="D3536" t="s">
        <v>519</v>
      </c>
      <c r="E3536" t="s">
        <v>897</v>
      </c>
      <c r="F3536" t="s">
        <v>103</v>
      </c>
    </row>
    <row r="3537" spans="1:6" s="3" customFormat="1" x14ac:dyDescent="0.3">
      <c r="A3537" s="3" t="s">
        <v>29</v>
      </c>
      <c r="B3537" s="3" t="s">
        <v>764</v>
      </c>
      <c r="C3537" s="3">
        <v>11</v>
      </c>
      <c r="D3537" s="3" t="s">
        <v>282</v>
      </c>
      <c r="E3537" s="3" t="s">
        <v>876</v>
      </c>
      <c r="F3537" s="3" t="s">
        <v>103</v>
      </c>
    </row>
    <row r="3538" spans="1:6" x14ac:dyDescent="0.3">
      <c r="A3538" t="s">
        <v>29</v>
      </c>
      <c r="B3538" t="s">
        <v>765</v>
      </c>
      <c r="C3538">
        <v>365</v>
      </c>
      <c r="D3538" t="s">
        <v>750</v>
      </c>
      <c r="E3538" t="s">
        <v>725</v>
      </c>
      <c r="F3538" t="s">
        <v>110</v>
      </c>
    </row>
    <row r="3539" spans="1:6" x14ac:dyDescent="0.3">
      <c r="A3539" t="s">
        <v>29</v>
      </c>
      <c r="B3539" t="s">
        <v>767</v>
      </c>
      <c r="C3539">
        <v>154</v>
      </c>
      <c r="D3539" t="s">
        <v>554</v>
      </c>
      <c r="E3539" t="s">
        <v>1004</v>
      </c>
      <c r="F3539" t="s">
        <v>103</v>
      </c>
    </row>
    <row r="3540" spans="1:6" s="3" customFormat="1" x14ac:dyDescent="0.3">
      <c r="A3540" s="3" t="s">
        <v>28</v>
      </c>
      <c r="B3540" s="3" t="s">
        <v>764</v>
      </c>
      <c r="C3540" s="3">
        <v>20</v>
      </c>
      <c r="D3540" s="3" t="s">
        <v>552</v>
      </c>
      <c r="E3540" s="3" t="s">
        <v>1153</v>
      </c>
      <c r="F3540" s="3" t="s">
        <v>103</v>
      </c>
    </row>
    <row r="3541" spans="1:6" x14ac:dyDescent="0.3">
      <c r="A3541" t="s">
        <v>28</v>
      </c>
      <c r="B3541" t="s">
        <v>765</v>
      </c>
      <c r="C3541">
        <v>260</v>
      </c>
      <c r="D3541" t="s">
        <v>331</v>
      </c>
      <c r="E3541" t="s">
        <v>330</v>
      </c>
      <c r="F3541" t="s">
        <v>103</v>
      </c>
    </row>
    <row r="3542" spans="1:6" x14ac:dyDescent="0.3">
      <c r="A3542" t="s">
        <v>28</v>
      </c>
      <c r="B3542" t="s">
        <v>767</v>
      </c>
      <c r="C3542">
        <v>37</v>
      </c>
      <c r="D3542" t="s">
        <v>363</v>
      </c>
      <c r="E3542" t="s">
        <v>362</v>
      </c>
      <c r="F3542" t="s">
        <v>103</v>
      </c>
    </row>
    <row r="3543" spans="1:6" s="3" customFormat="1" x14ac:dyDescent="0.3">
      <c r="A3543" s="3" t="s">
        <v>27</v>
      </c>
      <c r="B3543" s="3" t="s">
        <v>764</v>
      </c>
      <c r="C3543" s="3">
        <v>29</v>
      </c>
      <c r="D3543" s="3" t="s">
        <v>469</v>
      </c>
      <c r="E3543" s="3" t="s">
        <v>725</v>
      </c>
      <c r="F3543" s="3" t="s">
        <v>103</v>
      </c>
    </row>
    <row r="3544" spans="1:6" x14ac:dyDescent="0.3">
      <c r="A3544" t="s">
        <v>27</v>
      </c>
      <c r="B3544" t="s">
        <v>765</v>
      </c>
      <c r="C3544">
        <v>209</v>
      </c>
      <c r="D3544" t="s">
        <v>186</v>
      </c>
      <c r="E3544" t="s">
        <v>185</v>
      </c>
      <c r="F3544" t="s">
        <v>103</v>
      </c>
    </row>
    <row r="3545" spans="1:6" x14ac:dyDescent="0.3">
      <c r="A3545" t="s">
        <v>27</v>
      </c>
      <c r="B3545" t="s">
        <v>767</v>
      </c>
      <c r="C3545">
        <v>62</v>
      </c>
      <c r="D3545" t="s">
        <v>162</v>
      </c>
      <c r="E3545" t="s">
        <v>163</v>
      </c>
      <c r="F3545" t="s">
        <v>103</v>
      </c>
    </row>
    <row r="3546" spans="1:6" x14ac:dyDescent="0.3">
      <c r="A3546" t="s">
        <v>41</v>
      </c>
      <c r="B3546" t="s">
        <v>764</v>
      </c>
      <c r="C3546">
        <v>149</v>
      </c>
      <c r="D3546" t="s">
        <v>152</v>
      </c>
      <c r="E3546" t="s">
        <v>53</v>
      </c>
      <c r="F3546" t="s">
        <v>217</v>
      </c>
    </row>
    <row r="3547" spans="1:6" x14ac:dyDescent="0.3">
      <c r="A3547" t="s">
        <v>41</v>
      </c>
      <c r="B3547" t="s">
        <v>765</v>
      </c>
      <c r="C3547">
        <v>1392</v>
      </c>
      <c r="D3547" t="s">
        <v>481</v>
      </c>
      <c r="E3547" t="s">
        <v>153</v>
      </c>
      <c r="F3547" t="s">
        <v>98</v>
      </c>
    </row>
    <row r="3548" spans="1:6" x14ac:dyDescent="0.3">
      <c r="A3548" t="s">
        <v>41</v>
      </c>
      <c r="B3548" t="s">
        <v>767</v>
      </c>
      <c r="C3548">
        <v>497</v>
      </c>
      <c r="D3548" t="s">
        <v>514</v>
      </c>
      <c r="E3548" t="s">
        <v>1138</v>
      </c>
      <c r="F3548" t="s">
        <v>103</v>
      </c>
    </row>
    <row r="3550" spans="1:6" x14ac:dyDescent="0.3">
      <c r="A3550" t="s">
        <v>1508</v>
      </c>
    </row>
    <row r="3551" spans="1:6" x14ac:dyDescent="0.3">
      <c r="A3551" t="s">
        <v>36</v>
      </c>
      <c r="B3551" t="s">
        <v>310</v>
      </c>
      <c r="C3551" t="s">
        <v>24</v>
      </c>
      <c r="D3551" t="s">
        <v>58</v>
      </c>
      <c r="E3551" t="s">
        <v>59</v>
      </c>
      <c r="F3551" t="s">
        <v>348</v>
      </c>
    </row>
    <row r="3552" spans="1:6" x14ac:dyDescent="0.3">
      <c r="A3552" t="s">
        <v>25</v>
      </c>
      <c r="B3552" t="s">
        <v>311</v>
      </c>
      <c r="C3552">
        <v>324</v>
      </c>
      <c r="D3552" t="s">
        <v>482</v>
      </c>
      <c r="E3552" t="s">
        <v>1134</v>
      </c>
      <c r="F3552" t="s">
        <v>103</v>
      </c>
    </row>
    <row r="3553" spans="1:6" x14ac:dyDescent="0.3">
      <c r="A3553" t="s">
        <v>25</v>
      </c>
      <c r="B3553" t="s">
        <v>312</v>
      </c>
      <c r="C3553">
        <v>80</v>
      </c>
      <c r="D3553" t="s">
        <v>205</v>
      </c>
      <c r="E3553" t="s">
        <v>1509</v>
      </c>
      <c r="F3553" t="s">
        <v>103</v>
      </c>
    </row>
    <row r="3554" spans="1:6" x14ac:dyDescent="0.3">
      <c r="A3554" t="s">
        <v>25</v>
      </c>
      <c r="B3554" t="s">
        <v>308</v>
      </c>
      <c r="C3554">
        <v>10</v>
      </c>
      <c r="D3554" t="s">
        <v>50</v>
      </c>
      <c r="E3554" t="s">
        <v>49</v>
      </c>
      <c r="F3554" t="s">
        <v>103</v>
      </c>
    </row>
    <row r="3555" spans="1:6" x14ac:dyDescent="0.3">
      <c r="A3555" t="s">
        <v>26</v>
      </c>
      <c r="B3555" t="s">
        <v>311</v>
      </c>
      <c r="C3555">
        <v>343</v>
      </c>
      <c r="D3555" t="s">
        <v>890</v>
      </c>
      <c r="E3555" t="s">
        <v>712</v>
      </c>
      <c r="F3555" t="s">
        <v>239</v>
      </c>
    </row>
    <row r="3556" spans="1:6" x14ac:dyDescent="0.3">
      <c r="A3556" t="s">
        <v>26</v>
      </c>
      <c r="B3556" t="s">
        <v>312</v>
      </c>
      <c r="C3556">
        <v>96</v>
      </c>
      <c r="D3556" t="s">
        <v>517</v>
      </c>
      <c r="E3556" t="s">
        <v>168</v>
      </c>
      <c r="F3556" t="s">
        <v>93</v>
      </c>
    </row>
    <row r="3557" spans="1:6" x14ac:dyDescent="0.3">
      <c r="A3557" t="s">
        <v>26</v>
      </c>
      <c r="B3557" t="s">
        <v>308</v>
      </c>
      <c r="C3557">
        <v>38</v>
      </c>
      <c r="D3557" t="s">
        <v>506</v>
      </c>
      <c r="E3557" t="s">
        <v>886</v>
      </c>
      <c r="F3557" t="s">
        <v>103</v>
      </c>
    </row>
    <row r="3558" spans="1:6" x14ac:dyDescent="0.3">
      <c r="A3558" t="s">
        <v>29</v>
      </c>
      <c r="B3558" t="s">
        <v>311</v>
      </c>
      <c r="C3558">
        <v>414</v>
      </c>
      <c r="D3558" t="s">
        <v>268</v>
      </c>
      <c r="E3558" t="s">
        <v>1459</v>
      </c>
      <c r="F3558" t="s">
        <v>139</v>
      </c>
    </row>
    <row r="3559" spans="1:6" x14ac:dyDescent="0.3">
      <c r="A3559" t="s">
        <v>29</v>
      </c>
      <c r="B3559" t="s">
        <v>312</v>
      </c>
      <c r="C3559">
        <v>103</v>
      </c>
      <c r="D3559" t="s">
        <v>167</v>
      </c>
      <c r="E3559" t="s">
        <v>612</v>
      </c>
      <c r="F3559" t="s">
        <v>110</v>
      </c>
    </row>
    <row r="3560" spans="1:6" x14ac:dyDescent="0.3">
      <c r="A3560" t="s">
        <v>29</v>
      </c>
      <c r="B3560" t="s">
        <v>308</v>
      </c>
      <c r="C3560">
        <v>13</v>
      </c>
      <c r="D3560" t="s">
        <v>519</v>
      </c>
      <c r="E3560" t="s">
        <v>897</v>
      </c>
      <c r="F3560" t="s">
        <v>103</v>
      </c>
    </row>
    <row r="3561" spans="1:6" x14ac:dyDescent="0.3">
      <c r="A3561" t="s">
        <v>28</v>
      </c>
      <c r="B3561" t="s">
        <v>311</v>
      </c>
      <c r="C3561">
        <v>223</v>
      </c>
      <c r="D3561" t="s">
        <v>727</v>
      </c>
      <c r="E3561" t="s">
        <v>728</v>
      </c>
      <c r="F3561" t="s">
        <v>103</v>
      </c>
    </row>
    <row r="3562" spans="1:6" x14ac:dyDescent="0.3">
      <c r="A3562" t="s">
        <v>28</v>
      </c>
      <c r="B3562" t="s">
        <v>312</v>
      </c>
      <c r="C3562">
        <v>93</v>
      </c>
      <c r="D3562" t="s">
        <v>746</v>
      </c>
      <c r="E3562" t="s">
        <v>747</v>
      </c>
      <c r="F3562" t="s">
        <v>103</v>
      </c>
    </row>
    <row r="3563" spans="1:6" x14ac:dyDescent="0.3">
      <c r="A3563" t="s">
        <v>28</v>
      </c>
      <c r="B3563" t="s">
        <v>308</v>
      </c>
      <c r="C3563">
        <v>1</v>
      </c>
      <c r="D3563" t="s">
        <v>192</v>
      </c>
      <c r="E3563" t="s">
        <v>103</v>
      </c>
      <c r="F3563" t="s">
        <v>103</v>
      </c>
    </row>
    <row r="3564" spans="1:6" x14ac:dyDescent="0.3">
      <c r="A3564" t="s">
        <v>27</v>
      </c>
      <c r="B3564" t="s">
        <v>311</v>
      </c>
      <c r="C3564">
        <v>237</v>
      </c>
      <c r="D3564" t="s">
        <v>100</v>
      </c>
      <c r="E3564" t="s">
        <v>624</v>
      </c>
      <c r="F3564" t="s">
        <v>103</v>
      </c>
    </row>
    <row r="3565" spans="1:6" x14ac:dyDescent="0.3">
      <c r="A3565" t="s">
        <v>27</v>
      </c>
      <c r="B3565" t="s">
        <v>312</v>
      </c>
      <c r="C3565">
        <v>60</v>
      </c>
      <c r="D3565" t="s">
        <v>60</v>
      </c>
      <c r="E3565" t="s">
        <v>61</v>
      </c>
      <c r="F3565" t="s">
        <v>103</v>
      </c>
    </row>
    <row r="3566" spans="1:6" x14ac:dyDescent="0.3">
      <c r="A3566" t="s">
        <v>27</v>
      </c>
      <c r="B3566" t="s">
        <v>308</v>
      </c>
      <c r="C3566">
        <v>3</v>
      </c>
      <c r="D3566" t="s">
        <v>943</v>
      </c>
      <c r="E3566" t="s">
        <v>527</v>
      </c>
      <c r="F3566" t="s">
        <v>103</v>
      </c>
    </row>
    <row r="3567" spans="1:6" x14ac:dyDescent="0.3">
      <c r="A3567" t="s">
        <v>41</v>
      </c>
      <c r="B3567" t="s">
        <v>311</v>
      </c>
      <c r="C3567">
        <v>1541</v>
      </c>
      <c r="D3567" t="s">
        <v>171</v>
      </c>
      <c r="E3567" t="s">
        <v>766</v>
      </c>
      <c r="F3567" t="s">
        <v>95</v>
      </c>
    </row>
    <row r="3568" spans="1:6" x14ac:dyDescent="0.3">
      <c r="A3568" t="s">
        <v>41</v>
      </c>
      <c r="B3568" t="s">
        <v>312</v>
      </c>
      <c r="C3568">
        <v>432</v>
      </c>
      <c r="D3568" t="s">
        <v>144</v>
      </c>
      <c r="E3568" t="s">
        <v>1357</v>
      </c>
      <c r="F3568" t="s">
        <v>468</v>
      </c>
    </row>
    <row r="3569" spans="1:7" x14ac:dyDescent="0.3">
      <c r="A3569" t="s">
        <v>41</v>
      </c>
      <c r="B3569" t="s">
        <v>308</v>
      </c>
      <c r="C3569">
        <v>65</v>
      </c>
      <c r="D3569" t="s">
        <v>548</v>
      </c>
      <c r="E3569" t="s">
        <v>806</v>
      </c>
      <c r="F3569" t="s">
        <v>103</v>
      </c>
    </row>
    <row r="3571" spans="1:7" x14ac:dyDescent="0.3">
      <c r="A3571" t="s">
        <v>1510</v>
      </c>
    </row>
    <row r="3572" spans="1:7" x14ac:dyDescent="0.3">
      <c r="A3572" t="s">
        <v>36</v>
      </c>
      <c r="B3572" t="s">
        <v>24</v>
      </c>
      <c r="C3572" t="s">
        <v>37</v>
      </c>
      <c r="D3572" t="s">
        <v>38</v>
      </c>
      <c r="E3572" t="s">
        <v>39</v>
      </c>
      <c r="F3572" t="s">
        <v>40</v>
      </c>
    </row>
    <row r="3573" spans="1:7" x14ac:dyDescent="0.3">
      <c r="A3573" t="s">
        <v>25</v>
      </c>
      <c r="B3573">
        <v>342</v>
      </c>
      <c r="C3573">
        <v>6.45</v>
      </c>
      <c r="D3573">
        <v>5</v>
      </c>
      <c r="E3573">
        <v>2</v>
      </c>
      <c r="F3573">
        <v>25</v>
      </c>
    </row>
    <row r="3574" spans="1:7" x14ac:dyDescent="0.3">
      <c r="A3574" t="s">
        <v>26</v>
      </c>
      <c r="B3574">
        <v>264</v>
      </c>
      <c r="C3574">
        <v>6.62</v>
      </c>
      <c r="D3574">
        <v>5</v>
      </c>
      <c r="E3574">
        <v>2</v>
      </c>
      <c r="F3574">
        <v>26</v>
      </c>
    </row>
    <row r="3575" spans="1:7" x14ac:dyDescent="0.3">
      <c r="A3575" t="s">
        <v>29</v>
      </c>
      <c r="B3575">
        <v>370</v>
      </c>
      <c r="C3575">
        <v>8.08</v>
      </c>
      <c r="D3575">
        <v>6</v>
      </c>
      <c r="E3575">
        <v>2</v>
      </c>
      <c r="F3575">
        <v>28</v>
      </c>
    </row>
    <row r="3576" spans="1:7" x14ac:dyDescent="0.3">
      <c r="A3576" t="s">
        <v>28</v>
      </c>
      <c r="B3576">
        <v>154</v>
      </c>
      <c r="C3576">
        <v>6.77</v>
      </c>
      <c r="D3576">
        <v>5</v>
      </c>
      <c r="E3576">
        <v>2</v>
      </c>
      <c r="F3576">
        <v>20</v>
      </c>
    </row>
    <row r="3577" spans="1:7" x14ac:dyDescent="0.3">
      <c r="A3577" t="s">
        <v>27</v>
      </c>
      <c r="B3577">
        <v>243</v>
      </c>
      <c r="C3577">
        <v>14.05</v>
      </c>
      <c r="D3577">
        <v>15</v>
      </c>
      <c r="E3577">
        <v>2</v>
      </c>
      <c r="F3577">
        <v>28</v>
      </c>
    </row>
    <row r="3578" spans="1:7" x14ac:dyDescent="0.3">
      <c r="A3578" t="s">
        <v>41</v>
      </c>
      <c r="B3578">
        <v>1373</v>
      </c>
      <c r="C3578">
        <v>7.71</v>
      </c>
      <c r="D3578">
        <v>6</v>
      </c>
      <c r="E3578">
        <v>2</v>
      </c>
      <c r="F3578">
        <v>28</v>
      </c>
    </row>
    <row r="3580" spans="1:7" x14ac:dyDescent="0.3">
      <c r="A3580" t="s">
        <v>1511</v>
      </c>
    </row>
    <row r="3581" spans="1:7" x14ac:dyDescent="0.3">
      <c r="A3581" t="s">
        <v>36</v>
      </c>
      <c r="B3581" t="s">
        <v>197</v>
      </c>
      <c r="C3581" t="s">
        <v>24</v>
      </c>
      <c r="D3581" t="s">
        <v>37</v>
      </c>
      <c r="E3581" t="s">
        <v>38</v>
      </c>
      <c r="F3581" t="s">
        <v>39</v>
      </c>
      <c r="G3581" t="s">
        <v>40</v>
      </c>
    </row>
    <row r="3582" spans="1:7" x14ac:dyDescent="0.3">
      <c r="A3582" t="s">
        <v>25</v>
      </c>
      <c r="B3582" t="s">
        <v>198</v>
      </c>
      <c r="C3582">
        <v>84</v>
      </c>
      <c r="D3582">
        <v>5.85</v>
      </c>
      <c r="E3582">
        <v>4</v>
      </c>
      <c r="F3582">
        <v>2</v>
      </c>
      <c r="G3582">
        <v>23</v>
      </c>
    </row>
    <row r="3583" spans="1:7" x14ac:dyDescent="0.3">
      <c r="A3583" t="s">
        <v>25</v>
      </c>
      <c r="B3583" t="s">
        <v>199</v>
      </c>
      <c r="C3583">
        <v>258</v>
      </c>
      <c r="D3583">
        <v>6.6</v>
      </c>
      <c r="E3583">
        <v>6</v>
      </c>
      <c r="F3583">
        <v>2</v>
      </c>
      <c r="G3583">
        <v>25</v>
      </c>
    </row>
    <row r="3584" spans="1:7" x14ac:dyDescent="0.3">
      <c r="A3584" t="s">
        <v>26</v>
      </c>
      <c r="B3584" t="s">
        <v>198</v>
      </c>
      <c r="C3584">
        <v>32</v>
      </c>
      <c r="D3584">
        <v>8.73</v>
      </c>
      <c r="E3584">
        <v>8</v>
      </c>
      <c r="F3584">
        <v>2</v>
      </c>
      <c r="G3584">
        <v>25</v>
      </c>
    </row>
    <row r="3585" spans="1:7" x14ac:dyDescent="0.3">
      <c r="A3585" t="s">
        <v>26</v>
      </c>
      <c r="B3585" t="s">
        <v>199</v>
      </c>
      <c r="C3585">
        <v>232</v>
      </c>
      <c r="D3585">
        <v>6.46</v>
      </c>
      <c r="E3585">
        <v>5</v>
      </c>
      <c r="F3585">
        <v>2</v>
      </c>
      <c r="G3585">
        <v>26</v>
      </c>
    </row>
    <row r="3586" spans="1:7" x14ac:dyDescent="0.3">
      <c r="A3586" t="s">
        <v>29</v>
      </c>
      <c r="B3586" t="s">
        <v>198</v>
      </c>
      <c r="C3586">
        <v>117</v>
      </c>
      <c r="D3586">
        <v>6.59</v>
      </c>
      <c r="E3586">
        <v>5</v>
      </c>
      <c r="F3586">
        <v>2</v>
      </c>
      <c r="G3586">
        <v>20</v>
      </c>
    </row>
    <row r="3587" spans="1:7" x14ac:dyDescent="0.3">
      <c r="A3587" t="s">
        <v>29</v>
      </c>
      <c r="B3587" t="s">
        <v>199</v>
      </c>
      <c r="C3587">
        <v>253</v>
      </c>
      <c r="D3587">
        <v>8.74</v>
      </c>
      <c r="E3587">
        <v>7</v>
      </c>
      <c r="F3587">
        <v>2</v>
      </c>
      <c r="G3587">
        <v>28</v>
      </c>
    </row>
    <row r="3588" spans="1:7" s="3" customFormat="1" x14ac:dyDescent="0.3">
      <c r="A3588" s="3" t="s">
        <v>28</v>
      </c>
      <c r="B3588" s="3" t="s">
        <v>198</v>
      </c>
      <c r="C3588" s="3">
        <v>29</v>
      </c>
      <c r="D3588" s="3">
        <v>4.2</v>
      </c>
      <c r="E3588" s="3">
        <v>4</v>
      </c>
      <c r="F3588" s="3">
        <v>2</v>
      </c>
      <c r="G3588" s="3">
        <v>9</v>
      </c>
    </row>
    <row r="3589" spans="1:7" x14ac:dyDescent="0.3">
      <c r="A3589" t="s">
        <v>28</v>
      </c>
      <c r="B3589" t="s">
        <v>199</v>
      </c>
      <c r="C3589">
        <v>125</v>
      </c>
      <c r="D3589">
        <v>7.33</v>
      </c>
      <c r="E3589">
        <v>5</v>
      </c>
      <c r="F3589">
        <v>2</v>
      </c>
      <c r="G3589">
        <v>20</v>
      </c>
    </row>
    <row r="3590" spans="1:7" x14ac:dyDescent="0.3">
      <c r="A3590" t="s">
        <v>27</v>
      </c>
      <c r="B3590" t="s">
        <v>198</v>
      </c>
      <c r="C3590">
        <v>106</v>
      </c>
      <c r="D3590">
        <v>14.54</v>
      </c>
      <c r="E3590">
        <v>18</v>
      </c>
      <c r="F3590">
        <v>2</v>
      </c>
      <c r="G3590">
        <v>25</v>
      </c>
    </row>
    <row r="3591" spans="1:7" x14ac:dyDescent="0.3">
      <c r="A3591" t="s">
        <v>27</v>
      </c>
      <c r="B3591" t="s">
        <v>199</v>
      </c>
      <c r="C3591">
        <v>137</v>
      </c>
      <c r="D3591">
        <v>13.62</v>
      </c>
      <c r="E3591">
        <v>11</v>
      </c>
      <c r="F3591">
        <v>2</v>
      </c>
      <c r="G3591">
        <v>28</v>
      </c>
    </row>
    <row r="3592" spans="1:7" x14ac:dyDescent="0.3">
      <c r="A3592" t="s">
        <v>41</v>
      </c>
      <c r="B3592" t="s">
        <v>198</v>
      </c>
      <c r="C3592">
        <v>368</v>
      </c>
      <c r="D3592">
        <v>7.38</v>
      </c>
      <c r="E3592">
        <v>5</v>
      </c>
      <c r="F3592">
        <v>2</v>
      </c>
      <c r="G3592">
        <v>25</v>
      </c>
    </row>
    <row r="3593" spans="1:7" x14ac:dyDescent="0.3">
      <c r="A3593" t="s">
        <v>41</v>
      </c>
      <c r="B3593" t="s">
        <v>199</v>
      </c>
      <c r="C3593">
        <v>1005</v>
      </c>
      <c r="D3593">
        <v>7.82</v>
      </c>
      <c r="E3593">
        <v>6</v>
      </c>
      <c r="F3593">
        <v>2</v>
      </c>
      <c r="G3593">
        <v>28</v>
      </c>
    </row>
    <row r="3595" spans="1:7" x14ac:dyDescent="0.3">
      <c r="A3595" t="s">
        <v>1512</v>
      </c>
    </row>
    <row r="3596" spans="1:7" x14ac:dyDescent="0.3">
      <c r="A3596" t="s">
        <v>36</v>
      </c>
      <c r="B3596" t="s">
        <v>1513</v>
      </c>
      <c r="C3596" t="s">
        <v>24</v>
      </c>
      <c r="D3596" t="s">
        <v>37</v>
      </c>
      <c r="E3596" t="s">
        <v>38</v>
      </c>
      <c r="F3596" t="s">
        <v>39</v>
      </c>
      <c r="G3596" t="s">
        <v>40</v>
      </c>
    </row>
    <row r="3597" spans="1:7" x14ac:dyDescent="0.3">
      <c r="A3597" t="s">
        <v>25</v>
      </c>
      <c r="B3597" t="s">
        <v>1150</v>
      </c>
      <c r="C3597">
        <v>55</v>
      </c>
      <c r="D3597">
        <v>7</v>
      </c>
      <c r="E3597">
        <v>7</v>
      </c>
      <c r="F3597">
        <v>2</v>
      </c>
      <c r="G3597">
        <v>25</v>
      </c>
    </row>
    <row r="3598" spans="1:7" x14ac:dyDescent="0.3">
      <c r="A3598" t="s">
        <v>25</v>
      </c>
      <c r="B3598" t="s">
        <v>1514</v>
      </c>
      <c r="C3598">
        <v>129</v>
      </c>
      <c r="D3598">
        <v>6.13</v>
      </c>
      <c r="E3598">
        <v>5</v>
      </c>
      <c r="F3598">
        <v>2</v>
      </c>
      <c r="G3598">
        <v>20</v>
      </c>
    </row>
    <row r="3599" spans="1:7" x14ac:dyDescent="0.3">
      <c r="A3599" t="s">
        <v>25</v>
      </c>
      <c r="B3599" t="s">
        <v>1515</v>
      </c>
      <c r="C3599">
        <v>158</v>
      </c>
      <c r="D3599">
        <v>6.52</v>
      </c>
      <c r="E3599">
        <v>6</v>
      </c>
      <c r="F3599">
        <v>2</v>
      </c>
      <c r="G3599">
        <v>23</v>
      </c>
    </row>
    <row r="3600" spans="1:7" x14ac:dyDescent="0.3">
      <c r="A3600" t="s">
        <v>26</v>
      </c>
      <c r="B3600" t="s">
        <v>1150</v>
      </c>
      <c r="C3600">
        <v>35</v>
      </c>
      <c r="D3600">
        <v>6.15</v>
      </c>
      <c r="E3600">
        <v>5</v>
      </c>
      <c r="F3600">
        <v>2</v>
      </c>
      <c r="G3600">
        <v>21</v>
      </c>
    </row>
    <row r="3601" spans="1:7" x14ac:dyDescent="0.3">
      <c r="A3601" t="s">
        <v>26</v>
      </c>
      <c r="B3601" t="s">
        <v>1514</v>
      </c>
      <c r="C3601">
        <v>115</v>
      </c>
      <c r="D3601">
        <v>6.9</v>
      </c>
      <c r="E3601">
        <v>6</v>
      </c>
      <c r="F3601">
        <v>2</v>
      </c>
      <c r="G3601">
        <v>25</v>
      </c>
    </row>
    <row r="3602" spans="1:7" x14ac:dyDescent="0.3">
      <c r="A3602" t="s">
        <v>26</v>
      </c>
      <c r="B3602" t="s">
        <v>1515</v>
      </c>
      <c r="C3602">
        <v>113</v>
      </c>
      <c r="D3602">
        <v>6.48</v>
      </c>
      <c r="E3602">
        <v>4</v>
      </c>
      <c r="F3602">
        <v>2</v>
      </c>
      <c r="G3602">
        <v>26</v>
      </c>
    </row>
    <row r="3603" spans="1:7" x14ac:dyDescent="0.3">
      <c r="A3603" t="s">
        <v>26</v>
      </c>
      <c r="B3603" t="s">
        <v>308</v>
      </c>
      <c r="C3603">
        <v>1</v>
      </c>
      <c r="D3603">
        <v>2</v>
      </c>
      <c r="E3603">
        <v>2</v>
      </c>
      <c r="F3603">
        <v>2</v>
      </c>
      <c r="G3603">
        <v>2</v>
      </c>
    </row>
    <row r="3604" spans="1:7" x14ac:dyDescent="0.3">
      <c r="A3604" t="s">
        <v>29</v>
      </c>
      <c r="B3604" t="s">
        <v>1150</v>
      </c>
      <c r="C3604">
        <v>89</v>
      </c>
      <c r="D3604">
        <v>9.3800000000000008</v>
      </c>
      <c r="E3604">
        <v>8</v>
      </c>
      <c r="F3604">
        <v>2</v>
      </c>
      <c r="G3604">
        <v>26</v>
      </c>
    </row>
    <row r="3605" spans="1:7" x14ac:dyDescent="0.3">
      <c r="A3605" t="s">
        <v>29</v>
      </c>
      <c r="B3605" t="s">
        <v>1514</v>
      </c>
      <c r="C3605">
        <v>110</v>
      </c>
      <c r="D3605">
        <v>7.49</v>
      </c>
      <c r="E3605">
        <v>5</v>
      </c>
      <c r="F3605">
        <v>2</v>
      </c>
      <c r="G3605">
        <v>25</v>
      </c>
    </row>
    <row r="3606" spans="1:7" x14ac:dyDescent="0.3">
      <c r="A3606" t="s">
        <v>29</v>
      </c>
      <c r="B3606" t="s">
        <v>1515</v>
      </c>
      <c r="C3606">
        <v>169</v>
      </c>
      <c r="D3606">
        <v>7.83</v>
      </c>
      <c r="E3606">
        <v>6</v>
      </c>
      <c r="F3606">
        <v>2</v>
      </c>
      <c r="G3606">
        <v>28</v>
      </c>
    </row>
    <row r="3607" spans="1:7" x14ac:dyDescent="0.3">
      <c r="A3607" t="s">
        <v>29</v>
      </c>
      <c r="B3607" t="s">
        <v>308</v>
      </c>
      <c r="C3607">
        <v>2</v>
      </c>
      <c r="D3607">
        <v>5.21</v>
      </c>
      <c r="E3607">
        <v>8</v>
      </c>
      <c r="F3607">
        <v>2</v>
      </c>
      <c r="G3607">
        <v>8</v>
      </c>
    </row>
    <row r="3608" spans="1:7" s="3" customFormat="1" x14ac:dyDescent="0.3">
      <c r="A3608" s="3" t="s">
        <v>28</v>
      </c>
      <c r="B3608" s="3" t="s">
        <v>1150</v>
      </c>
      <c r="C3608" s="3">
        <v>8</v>
      </c>
      <c r="D3608" s="3">
        <v>2.92</v>
      </c>
      <c r="E3608" s="3">
        <v>3</v>
      </c>
      <c r="F3608" s="3">
        <v>2</v>
      </c>
      <c r="G3608" s="3">
        <v>4</v>
      </c>
    </row>
    <row r="3609" spans="1:7" s="3" customFormat="1" x14ac:dyDescent="0.3">
      <c r="A3609" s="3" t="s">
        <v>28</v>
      </c>
      <c r="B3609" s="3" t="s">
        <v>1514</v>
      </c>
      <c r="C3609" s="3">
        <v>19</v>
      </c>
      <c r="D3609" s="3">
        <v>5.62</v>
      </c>
      <c r="E3609" s="3">
        <v>4</v>
      </c>
      <c r="F3609" s="3">
        <v>2</v>
      </c>
      <c r="G3609" s="3">
        <v>15</v>
      </c>
    </row>
    <row r="3610" spans="1:7" x14ac:dyDescent="0.3">
      <c r="A3610" t="s">
        <v>28</v>
      </c>
      <c r="B3610" t="s">
        <v>1515</v>
      </c>
      <c r="C3610">
        <v>127</v>
      </c>
      <c r="D3610">
        <v>7.19</v>
      </c>
      <c r="E3610">
        <v>5</v>
      </c>
      <c r="F3610">
        <v>2</v>
      </c>
      <c r="G3610">
        <v>20</v>
      </c>
    </row>
    <row r="3611" spans="1:7" x14ac:dyDescent="0.3">
      <c r="A3611" t="s">
        <v>27</v>
      </c>
      <c r="B3611" t="s">
        <v>1150</v>
      </c>
      <c r="C3611">
        <v>73</v>
      </c>
      <c r="D3611">
        <v>12.32</v>
      </c>
      <c r="E3611">
        <v>11</v>
      </c>
      <c r="F3611">
        <v>2</v>
      </c>
      <c r="G3611">
        <v>24</v>
      </c>
    </row>
    <row r="3612" spans="1:7" x14ac:dyDescent="0.3">
      <c r="A3612" t="s">
        <v>27</v>
      </c>
      <c r="B3612" t="s">
        <v>1514</v>
      </c>
      <c r="C3612">
        <v>80</v>
      </c>
      <c r="D3612">
        <v>16.46</v>
      </c>
      <c r="E3612">
        <v>20</v>
      </c>
      <c r="F3612">
        <v>2</v>
      </c>
      <c r="G3612">
        <v>28</v>
      </c>
    </row>
    <row r="3613" spans="1:7" x14ac:dyDescent="0.3">
      <c r="A3613" t="s">
        <v>27</v>
      </c>
      <c r="B3613" t="s">
        <v>1515</v>
      </c>
      <c r="C3613">
        <v>89</v>
      </c>
      <c r="D3613">
        <v>13.08</v>
      </c>
      <c r="E3613">
        <v>10</v>
      </c>
      <c r="F3613">
        <v>2</v>
      </c>
      <c r="G3613">
        <v>28</v>
      </c>
    </row>
    <row r="3614" spans="1:7" x14ac:dyDescent="0.3">
      <c r="A3614" t="s">
        <v>27</v>
      </c>
      <c r="B3614" t="s">
        <v>308</v>
      </c>
      <c r="C3614">
        <v>1</v>
      </c>
      <c r="D3614">
        <v>24</v>
      </c>
      <c r="E3614">
        <v>24</v>
      </c>
      <c r="F3614">
        <v>24</v>
      </c>
      <c r="G3614">
        <v>24</v>
      </c>
    </row>
    <row r="3615" spans="1:7" x14ac:dyDescent="0.3">
      <c r="A3615" t="s">
        <v>41</v>
      </c>
      <c r="B3615" t="s">
        <v>1150</v>
      </c>
      <c r="C3615">
        <v>260</v>
      </c>
      <c r="D3615">
        <v>8.7799999999999994</v>
      </c>
      <c r="E3615">
        <v>7</v>
      </c>
      <c r="F3615">
        <v>2</v>
      </c>
      <c r="G3615">
        <v>26</v>
      </c>
    </row>
    <row r="3616" spans="1:7" x14ac:dyDescent="0.3">
      <c r="A3616" t="s">
        <v>41</v>
      </c>
      <c r="B3616" t="s">
        <v>1514</v>
      </c>
      <c r="C3616">
        <v>453</v>
      </c>
      <c r="D3616">
        <v>7.44</v>
      </c>
      <c r="E3616">
        <v>5</v>
      </c>
      <c r="F3616">
        <v>2</v>
      </c>
      <c r="G3616">
        <v>28</v>
      </c>
    </row>
    <row r="3617" spans="1:7" x14ac:dyDescent="0.3">
      <c r="A3617" t="s">
        <v>41</v>
      </c>
      <c r="B3617" t="s">
        <v>1515</v>
      </c>
      <c r="C3617">
        <v>656</v>
      </c>
      <c r="D3617">
        <v>7.5</v>
      </c>
      <c r="E3617">
        <v>6</v>
      </c>
      <c r="F3617">
        <v>2</v>
      </c>
      <c r="G3617">
        <v>28</v>
      </c>
    </row>
    <row r="3618" spans="1:7" x14ac:dyDescent="0.3">
      <c r="A3618" t="s">
        <v>41</v>
      </c>
      <c r="B3618" t="s">
        <v>308</v>
      </c>
      <c r="C3618">
        <v>4</v>
      </c>
      <c r="D3618">
        <v>6.36</v>
      </c>
      <c r="E3618">
        <v>2</v>
      </c>
      <c r="F3618">
        <v>2</v>
      </c>
      <c r="G3618">
        <v>24</v>
      </c>
    </row>
    <row r="3620" spans="1:7" x14ac:dyDescent="0.3">
      <c r="A3620" t="s">
        <v>1516</v>
      </c>
    </row>
    <row r="3621" spans="1:7" x14ac:dyDescent="0.3">
      <c r="A3621" t="s">
        <v>36</v>
      </c>
      <c r="B3621" t="s">
        <v>1517</v>
      </c>
      <c r="C3621" t="s">
        <v>24</v>
      </c>
      <c r="D3621" t="s">
        <v>37</v>
      </c>
      <c r="E3621" t="s">
        <v>38</v>
      </c>
      <c r="F3621" t="s">
        <v>39</v>
      </c>
      <c r="G3621" t="s">
        <v>40</v>
      </c>
    </row>
    <row r="3622" spans="1:7" x14ac:dyDescent="0.3">
      <c r="A3622" t="s">
        <v>25</v>
      </c>
      <c r="B3622" t="s">
        <v>1518</v>
      </c>
      <c r="C3622">
        <v>180</v>
      </c>
      <c r="D3622">
        <v>6.33</v>
      </c>
      <c r="E3622">
        <v>5</v>
      </c>
      <c r="F3622">
        <v>2</v>
      </c>
      <c r="G3622">
        <v>23</v>
      </c>
    </row>
    <row r="3623" spans="1:7" x14ac:dyDescent="0.3">
      <c r="A3623" t="s">
        <v>25</v>
      </c>
      <c r="B3623" t="s">
        <v>1519</v>
      </c>
      <c r="C3623">
        <v>162</v>
      </c>
      <c r="D3623">
        <v>6.57</v>
      </c>
      <c r="E3623">
        <v>5</v>
      </c>
      <c r="F3623">
        <v>2</v>
      </c>
      <c r="G3623">
        <v>25</v>
      </c>
    </row>
    <row r="3624" spans="1:7" x14ac:dyDescent="0.3">
      <c r="A3624" t="s">
        <v>26</v>
      </c>
      <c r="B3624" t="s">
        <v>1518</v>
      </c>
      <c r="C3624">
        <v>136</v>
      </c>
      <c r="D3624">
        <v>6.46</v>
      </c>
      <c r="E3624">
        <v>4</v>
      </c>
      <c r="F3624">
        <v>2</v>
      </c>
      <c r="G3624">
        <v>26</v>
      </c>
    </row>
    <row r="3625" spans="1:7" x14ac:dyDescent="0.3">
      <c r="A3625" t="s">
        <v>26</v>
      </c>
      <c r="B3625" t="s">
        <v>1519</v>
      </c>
      <c r="C3625">
        <v>125</v>
      </c>
      <c r="D3625">
        <v>6.81</v>
      </c>
      <c r="E3625">
        <v>5</v>
      </c>
      <c r="F3625">
        <v>2</v>
      </c>
      <c r="G3625">
        <v>25</v>
      </c>
    </row>
    <row r="3626" spans="1:7" x14ac:dyDescent="0.3">
      <c r="A3626" t="s">
        <v>26</v>
      </c>
      <c r="B3626" t="s">
        <v>308</v>
      </c>
      <c r="C3626">
        <v>3</v>
      </c>
      <c r="D3626">
        <v>5.19</v>
      </c>
      <c r="E3626">
        <v>6</v>
      </c>
      <c r="F3626">
        <v>3</v>
      </c>
      <c r="G3626">
        <v>7</v>
      </c>
    </row>
    <row r="3627" spans="1:7" x14ac:dyDescent="0.3">
      <c r="A3627" t="s">
        <v>29</v>
      </c>
      <c r="B3627" t="s">
        <v>1518</v>
      </c>
      <c r="C3627">
        <v>239</v>
      </c>
      <c r="D3627">
        <v>8.5500000000000007</v>
      </c>
      <c r="E3627">
        <v>6</v>
      </c>
      <c r="F3627">
        <v>2</v>
      </c>
      <c r="G3627">
        <v>28</v>
      </c>
    </row>
    <row r="3628" spans="1:7" x14ac:dyDescent="0.3">
      <c r="A3628" t="s">
        <v>29</v>
      </c>
      <c r="B3628" t="s">
        <v>1519</v>
      </c>
      <c r="C3628">
        <v>126</v>
      </c>
      <c r="D3628">
        <v>7.08</v>
      </c>
      <c r="E3628">
        <v>5</v>
      </c>
      <c r="F3628">
        <v>2</v>
      </c>
      <c r="G3628">
        <v>28</v>
      </c>
    </row>
    <row r="3629" spans="1:7" x14ac:dyDescent="0.3">
      <c r="A3629" t="s">
        <v>29</v>
      </c>
      <c r="B3629" t="s">
        <v>308</v>
      </c>
      <c r="C3629">
        <v>5</v>
      </c>
      <c r="D3629">
        <v>9.19</v>
      </c>
      <c r="E3629">
        <v>10</v>
      </c>
      <c r="F3629">
        <v>3</v>
      </c>
      <c r="G3629">
        <v>15</v>
      </c>
    </row>
    <row r="3630" spans="1:7" x14ac:dyDescent="0.3">
      <c r="A3630" t="s">
        <v>28</v>
      </c>
      <c r="B3630" t="s">
        <v>1518</v>
      </c>
      <c r="C3630">
        <v>81</v>
      </c>
      <c r="D3630">
        <v>6.09</v>
      </c>
      <c r="E3630">
        <v>4</v>
      </c>
      <c r="F3630">
        <v>2</v>
      </c>
      <c r="G3630">
        <v>20</v>
      </c>
    </row>
    <row r="3631" spans="1:7" x14ac:dyDescent="0.3">
      <c r="A3631" t="s">
        <v>28</v>
      </c>
      <c r="B3631" t="s">
        <v>1519</v>
      </c>
      <c r="C3631">
        <v>73</v>
      </c>
      <c r="D3631">
        <v>7.75</v>
      </c>
      <c r="E3631">
        <v>6</v>
      </c>
      <c r="F3631">
        <v>2</v>
      </c>
      <c r="G3631">
        <v>20</v>
      </c>
    </row>
    <row r="3632" spans="1:7" x14ac:dyDescent="0.3">
      <c r="A3632" t="s">
        <v>27</v>
      </c>
      <c r="B3632" t="s">
        <v>1518</v>
      </c>
      <c r="C3632">
        <v>140</v>
      </c>
      <c r="D3632">
        <v>13.84</v>
      </c>
      <c r="E3632">
        <v>15</v>
      </c>
      <c r="F3632">
        <v>2</v>
      </c>
      <c r="G3632">
        <v>28</v>
      </c>
    </row>
    <row r="3633" spans="1:7" x14ac:dyDescent="0.3">
      <c r="A3633" t="s">
        <v>27</v>
      </c>
      <c r="B3633" t="s">
        <v>1519</v>
      </c>
      <c r="C3633">
        <v>97</v>
      </c>
      <c r="D3633">
        <v>14.43</v>
      </c>
      <c r="E3633">
        <v>20</v>
      </c>
      <c r="F3633">
        <v>2</v>
      </c>
      <c r="G3633">
        <v>28</v>
      </c>
    </row>
    <row r="3634" spans="1:7" x14ac:dyDescent="0.3">
      <c r="A3634" t="s">
        <v>27</v>
      </c>
      <c r="B3634" t="s">
        <v>308</v>
      </c>
      <c r="C3634">
        <v>6</v>
      </c>
      <c r="D3634">
        <v>13.27</v>
      </c>
      <c r="E3634">
        <v>15</v>
      </c>
      <c r="F3634">
        <v>2</v>
      </c>
      <c r="G3634">
        <v>21</v>
      </c>
    </row>
    <row r="3635" spans="1:7" x14ac:dyDescent="0.3">
      <c r="A3635" t="s">
        <v>41</v>
      </c>
      <c r="B3635" t="s">
        <v>1518</v>
      </c>
      <c r="C3635">
        <v>776</v>
      </c>
      <c r="D3635">
        <v>7.98</v>
      </c>
      <c r="E3635">
        <v>6</v>
      </c>
      <c r="F3635">
        <v>2</v>
      </c>
      <c r="G3635">
        <v>28</v>
      </c>
    </row>
    <row r="3636" spans="1:7" x14ac:dyDescent="0.3">
      <c r="A3636" t="s">
        <v>41</v>
      </c>
      <c r="B3636" t="s">
        <v>1519</v>
      </c>
      <c r="C3636">
        <v>583</v>
      </c>
      <c r="D3636">
        <v>7.3</v>
      </c>
      <c r="E3636">
        <v>5</v>
      </c>
      <c r="F3636">
        <v>2</v>
      </c>
      <c r="G3636">
        <v>28</v>
      </c>
    </row>
    <row r="3637" spans="1:7" x14ac:dyDescent="0.3">
      <c r="A3637" t="s">
        <v>41</v>
      </c>
      <c r="B3637" t="s">
        <v>308</v>
      </c>
      <c r="C3637">
        <v>14</v>
      </c>
      <c r="D3637">
        <v>8.5299999999999994</v>
      </c>
      <c r="E3637">
        <v>7</v>
      </c>
      <c r="F3637">
        <v>2</v>
      </c>
      <c r="G3637">
        <v>21</v>
      </c>
    </row>
    <row r="3639" spans="1:7" x14ac:dyDescent="0.3">
      <c r="A3639" t="s">
        <v>1520</v>
      </c>
    </row>
    <row r="3640" spans="1:7" x14ac:dyDescent="0.3">
      <c r="A3640" t="s">
        <v>36</v>
      </c>
      <c r="B3640" t="s">
        <v>763</v>
      </c>
      <c r="C3640" t="s">
        <v>24</v>
      </c>
      <c r="D3640" t="s">
        <v>37</v>
      </c>
      <c r="E3640" t="s">
        <v>38</v>
      </c>
      <c r="F3640" t="s">
        <v>39</v>
      </c>
      <c r="G3640" t="s">
        <v>40</v>
      </c>
    </row>
    <row r="3641" spans="1:7" s="3" customFormat="1" x14ac:dyDescent="0.3">
      <c r="A3641" s="3" t="s">
        <v>25</v>
      </c>
      <c r="B3641" s="3" t="s">
        <v>764</v>
      </c>
      <c r="C3641" s="3">
        <v>22</v>
      </c>
      <c r="D3641" s="3">
        <v>6.36</v>
      </c>
      <c r="E3641" s="3">
        <v>6</v>
      </c>
      <c r="F3641" s="3">
        <v>2</v>
      </c>
      <c r="G3641" s="3">
        <v>16</v>
      </c>
    </row>
    <row r="3642" spans="1:7" x14ac:dyDescent="0.3">
      <c r="A3642" t="s">
        <v>25</v>
      </c>
      <c r="B3642" t="s">
        <v>765</v>
      </c>
      <c r="C3642">
        <v>238</v>
      </c>
      <c r="D3642">
        <v>6.4</v>
      </c>
      <c r="E3642">
        <v>5</v>
      </c>
      <c r="F3642">
        <v>2</v>
      </c>
      <c r="G3642">
        <v>25</v>
      </c>
    </row>
    <row r="3643" spans="1:7" x14ac:dyDescent="0.3">
      <c r="A3643" t="s">
        <v>25</v>
      </c>
      <c r="B3643" t="s">
        <v>767</v>
      </c>
      <c r="C3643">
        <v>82</v>
      </c>
      <c r="D3643">
        <v>6.59</v>
      </c>
      <c r="E3643">
        <v>6</v>
      </c>
      <c r="F3643">
        <v>2</v>
      </c>
      <c r="G3643">
        <v>20</v>
      </c>
    </row>
    <row r="3644" spans="1:7" s="3" customFormat="1" x14ac:dyDescent="0.3">
      <c r="A3644" s="3" t="s">
        <v>26</v>
      </c>
      <c r="B3644" s="3" t="s">
        <v>764</v>
      </c>
      <c r="C3644" s="3">
        <v>21</v>
      </c>
      <c r="D3644" s="3">
        <v>5.52</v>
      </c>
      <c r="E3644" s="3">
        <v>5</v>
      </c>
      <c r="F3644" s="3">
        <v>2</v>
      </c>
      <c r="G3644" s="3">
        <v>20</v>
      </c>
    </row>
    <row r="3645" spans="1:7" x14ac:dyDescent="0.3">
      <c r="A3645" t="s">
        <v>26</v>
      </c>
      <c r="B3645" t="s">
        <v>765</v>
      </c>
      <c r="C3645">
        <v>162</v>
      </c>
      <c r="D3645">
        <v>6.94</v>
      </c>
      <c r="E3645">
        <v>5</v>
      </c>
      <c r="F3645">
        <v>2</v>
      </c>
      <c r="G3645">
        <v>26</v>
      </c>
    </row>
    <row r="3646" spans="1:7" x14ac:dyDescent="0.3">
      <c r="A3646" t="s">
        <v>26</v>
      </c>
      <c r="B3646" t="s">
        <v>767</v>
      </c>
      <c r="C3646">
        <v>81</v>
      </c>
      <c r="D3646">
        <v>6.38</v>
      </c>
      <c r="E3646">
        <v>5</v>
      </c>
      <c r="F3646">
        <v>2</v>
      </c>
      <c r="G3646">
        <v>21</v>
      </c>
    </row>
    <row r="3647" spans="1:7" s="3" customFormat="1" x14ac:dyDescent="0.3">
      <c r="A3647" s="3" t="s">
        <v>29</v>
      </c>
      <c r="B3647" s="3" t="s">
        <v>764</v>
      </c>
      <c r="C3647" s="3">
        <v>7</v>
      </c>
      <c r="D3647" s="3">
        <v>8.5</v>
      </c>
      <c r="E3647" s="3">
        <v>6</v>
      </c>
      <c r="F3647" s="3">
        <v>3</v>
      </c>
      <c r="G3647" s="3">
        <v>15</v>
      </c>
    </row>
    <row r="3648" spans="1:7" x14ac:dyDescent="0.3">
      <c r="A3648" t="s">
        <v>29</v>
      </c>
      <c r="B3648" t="s">
        <v>765</v>
      </c>
      <c r="C3648">
        <v>254</v>
      </c>
      <c r="D3648">
        <v>8.44</v>
      </c>
      <c r="E3648">
        <v>6</v>
      </c>
      <c r="F3648">
        <v>2</v>
      </c>
      <c r="G3648">
        <v>28</v>
      </c>
    </row>
    <row r="3649" spans="1:7" x14ac:dyDescent="0.3">
      <c r="A3649" t="s">
        <v>29</v>
      </c>
      <c r="B3649" t="s">
        <v>767</v>
      </c>
      <c r="C3649">
        <v>109</v>
      </c>
      <c r="D3649">
        <v>7.23</v>
      </c>
      <c r="E3649">
        <v>6</v>
      </c>
      <c r="F3649">
        <v>2</v>
      </c>
      <c r="G3649">
        <v>26</v>
      </c>
    </row>
    <row r="3650" spans="1:7" s="3" customFormat="1" x14ac:dyDescent="0.3">
      <c r="A3650" s="3" t="s">
        <v>28</v>
      </c>
      <c r="B3650" s="3" t="s">
        <v>764</v>
      </c>
      <c r="C3650" s="3">
        <v>5</v>
      </c>
      <c r="D3650" s="3">
        <v>4.5</v>
      </c>
      <c r="E3650" s="3">
        <v>4</v>
      </c>
      <c r="F3650" s="3">
        <v>2</v>
      </c>
      <c r="G3650" s="3">
        <v>20</v>
      </c>
    </row>
    <row r="3651" spans="1:7" x14ac:dyDescent="0.3">
      <c r="A3651" t="s">
        <v>28</v>
      </c>
      <c r="B3651" t="s">
        <v>765</v>
      </c>
      <c r="C3651">
        <v>138</v>
      </c>
      <c r="D3651">
        <v>7.09</v>
      </c>
      <c r="E3651">
        <v>5</v>
      </c>
      <c r="F3651">
        <v>2</v>
      </c>
      <c r="G3651">
        <v>20</v>
      </c>
    </row>
    <row r="3652" spans="1:7" s="3" customFormat="1" x14ac:dyDescent="0.3">
      <c r="A3652" s="3" t="s">
        <v>28</v>
      </c>
      <c r="B3652" s="3" t="s">
        <v>767</v>
      </c>
      <c r="C3652" s="3">
        <v>11</v>
      </c>
      <c r="D3652" s="3">
        <v>5.35</v>
      </c>
      <c r="E3652" s="3">
        <v>4</v>
      </c>
      <c r="F3652" s="3">
        <v>2</v>
      </c>
      <c r="G3652" s="3">
        <v>10</v>
      </c>
    </row>
    <row r="3653" spans="1:7" s="3" customFormat="1" x14ac:dyDescent="0.3">
      <c r="A3653" s="3" t="s">
        <v>27</v>
      </c>
      <c r="B3653" s="3" t="s">
        <v>764</v>
      </c>
      <c r="C3653" s="3">
        <v>23</v>
      </c>
      <c r="D3653" s="3">
        <v>9.3800000000000008</v>
      </c>
      <c r="E3653" s="3">
        <v>4</v>
      </c>
      <c r="F3653" s="3">
        <v>2</v>
      </c>
      <c r="G3653" s="3">
        <v>24</v>
      </c>
    </row>
    <row r="3654" spans="1:7" x14ac:dyDescent="0.3">
      <c r="A3654" t="s">
        <v>27</v>
      </c>
      <c r="B3654" t="s">
        <v>765</v>
      </c>
      <c r="C3654">
        <v>177</v>
      </c>
      <c r="D3654">
        <v>14.67</v>
      </c>
      <c r="E3654">
        <v>19</v>
      </c>
      <c r="F3654">
        <v>2</v>
      </c>
      <c r="G3654">
        <v>28</v>
      </c>
    </row>
    <row r="3655" spans="1:7" x14ac:dyDescent="0.3">
      <c r="A3655" t="s">
        <v>27</v>
      </c>
      <c r="B3655" t="s">
        <v>767</v>
      </c>
      <c r="C3655">
        <v>43</v>
      </c>
      <c r="D3655">
        <v>14.38</v>
      </c>
      <c r="E3655">
        <v>15</v>
      </c>
      <c r="F3655">
        <v>2</v>
      </c>
      <c r="G3655">
        <v>28</v>
      </c>
    </row>
    <row r="3656" spans="1:7" x14ac:dyDescent="0.3">
      <c r="A3656" t="s">
        <v>41</v>
      </c>
      <c r="B3656" t="s">
        <v>764</v>
      </c>
      <c r="C3656">
        <v>78</v>
      </c>
      <c r="D3656">
        <v>6.58</v>
      </c>
      <c r="E3656">
        <v>5</v>
      </c>
      <c r="F3656">
        <v>2</v>
      </c>
      <c r="G3656">
        <v>24</v>
      </c>
    </row>
    <row r="3657" spans="1:7" x14ac:dyDescent="0.3">
      <c r="A3657" t="s">
        <v>41</v>
      </c>
      <c r="B3657" t="s">
        <v>765</v>
      </c>
      <c r="C3657">
        <v>969</v>
      </c>
      <c r="D3657">
        <v>7.99</v>
      </c>
      <c r="E3657">
        <v>6</v>
      </c>
      <c r="F3657">
        <v>2</v>
      </c>
      <c r="G3657">
        <v>28</v>
      </c>
    </row>
    <row r="3658" spans="1:7" x14ac:dyDescent="0.3">
      <c r="A3658" t="s">
        <v>41</v>
      </c>
      <c r="B3658" t="s">
        <v>767</v>
      </c>
      <c r="C3658">
        <v>326</v>
      </c>
      <c r="D3658">
        <v>7.22</v>
      </c>
      <c r="E3658">
        <v>6</v>
      </c>
      <c r="F3658">
        <v>2</v>
      </c>
      <c r="G3658">
        <v>28</v>
      </c>
    </row>
    <row r="3660" spans="1:7" x14ac:dyDescent="0.3">
      <c r="A3660" t="s">
        <v>1521</v>
      </c>
    </row>
    <row r="3661" spans="1:7" x14ac:dyDescent="0.3">
      <c r="A3661" t="s">
        <v>36</v>
      </c>
      <c r="B3661" t="s">
        <v>307</v>
      </c>
      <c r="C3661" t="s">
        <v>24</v>
      </c>
      <c r="D3661" t="s">
        <v>37</v>
      </c>
      <c r="E3661" t="s">
        <v>38</v>
      </c>
      <c r="F3661" t="s">
        <v>39</v>
      </c>
      <c r="G3661" t="s">
        <v>40</v>
      </c>
    </row>
    <row r="3662" spans="1:7" x14ac:dyDescent="0.3">
      <c r="A3662" t="s">
        <v>25</v>
      </c>
      <c r="B3662" t="s">
        <v>291</v>
      </c>
      <c r="C3662">
        <v>130</v>
      </c>
      <c r="D3662">
        <v>6.68</v>
      </c>
      <c r="E3662">
        <v>6</v>
      </c>
      <c r="F3662">
        <v>2</v>
      </c>
      <c r="G3662">
        <v>25</v>
      </c>
    </row>
    <row r="3663" spans="1:7" x14ac:dyDescent="0.3">
      <c r="A3663" t="s">
        <v>25</v>
      </c>
      <c r="B3663" t="s">
        <v>292</v>
      </c>
      <c r="C3663">
        <v>208</v>
      </c>
      <c r="D3663">
        <v>6.26</v>
      </c>
      <c r="E3663">
        <v>5</v>
      </c>
      <c r="F3663">
        <v>2</v>
      </c>
      <c r="G3663">
        <v>23</v>
      </c>
    </row>
    <row r="3664" spans="1:7" x14ac:dyDescent="0.3">
      <c r="A3664" t="s">
        <v>25</v>
      </c>
      <c r="B3664" t="s">
        <v>308</v>
      </c>
      <c r="C3664">
        <v>4</v>
      </c>
      <c r="D3664">
        <v>8.26</v>
      </c>
      <c r="E3664">
        <v>10</v>
      </c>
      <c r="F3664">
        <v>2</v>
      </c>
      <c r="G3664">
        <v>15</v>
      </c>
    </row>
    <row r="3665" spans="1:7" x14ac:dyDescent="0.3">
      <c r="A3665" t="s">
        <v>26</v>
      </c>
      <c r="B3665" t="s">
        <v>291</v>
      </c>
      <c r="C3665">
        <v>84</v>
      </c>
      <c r="D3665">
        <v>7.87</v>
      </c>
      <c r="E3665">
        <v>6</v>
      </c>
      <c r="F3665">
        <v>2</v>
      </c>
      <c r="G3665">
        <v>26</v>
      </c>
    </row>
    <row r="3666" spans="1:7" x14ac:dyDescent="0.3">
      <c r="A3666" t="s">
        <v>26</v>
      </c>
      <c r="B3666" t="s">
        <v>292</v>
      </c>
      <c r="C3666">
        <v>179</v>
      </c>
      <c r="D3666">
        <v>6.06</v>
      </c>
      <c r="E3666">
        <v>5</v>
      </c>
      <c r="F3666">
        <v>2</v>
      </c>
      <c r="G3666">
        <v>21</v>
      </c>
    </row>
    <row r="3667" spans="1:7" x14ac:dyDescent="0.3">
      <c r="A3667" t="s">
        <v>26</v>
      </c>
      <c r="B3667" t="s">
        <v>308</v>
      </c>
      <c r="C3667">
        <v>1</v>
      </c>
      <c r="D3667">
        <v>2</v>
      </c>
      <c r="E3667">
        <v>2</v>
      </c>
      <c r="F3667">
        <v>2</v>
      </c>
      <c r="G3667">
        <v>2</v>
      </c>
    </row>
    <row r="3668" spans="1:7" x14ac:dyDescent="0.3">
      <c r="A3668" t="s">
        <v>29</v>
      </c>
      <c r="B3668" t="s">
        <v>291</v>
      </c>
      <c r="C3668">
        <v>147</v>
      </c>
      <c r="D3668">
        <v>8.4700000000000006</v>
      </c>
      <c r="E3668">
        <v>6</v>
      </c>
      <c r="F3668">
        <v>2</v>
      </c>
      <c r="G3668">
        <v>28</v>
      </c>
    </row>
    <row r="3669" spans="1:7" x14ac:dyDescent="0.3">
      <c r="A3669" t="s">
        <v>29</v>
      </c>
      <c r="B3669" t="s">
        <v>292</v>
      </c>
      <c r="C3669">
        <v>223</v>
      </c>
      <c r="D3669">
        <v>7.83</v>
      </c>
      <c r="E3669">
        <v>6</v>
      </c>
      <c r="F3669">
        <v>2</v>
      </c>
      <c r="G3669">
        <v>28</v>
      </c>
    </row>
    <row r="3670" spans="1:7" x14ac:dyDescent="0.3">
      <c r="A3670" t="s">
        <v>28</v>
      </c>
      <c r="B3670" t="s">
        <v>291</v>
      </c>
      <c r="C3670">
        <v>60</v>
      </c>
      <c r="D3670">
        <v>6.07</v>
      </c>
      <c r="E3670">
        <v>5</v>
      </c>
      <c r="F3670">
        <v>2</v>
      </c>
      <c r="G3670">
        <v>20</v>
      </c>
    </row>
    <row r="3671" spans="1:7" x14ac:dyDescent="0.3">
      <c r="A3671" t="s">
        <v>28</v>
      </c>
      <c r="B3671" t="s">
        <v>292</v>
      </c>
      <c r="C3671">
        <v>90</v>
      </c>
      <c r="D3671">
        <v>7.48</v>
      </c>
      <c r="E3671">
        <v>5</v>
      </c>
      <c r="F3671">
        <v>2</v>
      </c>
      <c r="G3671">
        <v>20</v>
      </c>
    </row>
    <row r="3672" spans="1:7" x14ac:dyDescent="0.3">
      <c r="A3672" t="s">
        <v>28</v>
      </c>
      <c r="B3672" t="s">
        <v>308</v>
      </c>
      <c r="C3672">
        <v>4</v>
      </c>
      <c r="D3672">
        <v>3.5</v>
      </c>
      <c r="E3672">
        <v>4</v>
      </c>
      <c r="F3672">
        <v>2</v>
      </c>
      <c r="G3672">
        <v>5</v>
      </c>
    </row>
    <row r="3673" spans="1:7" x14ac:dyDescent="0.3">
      <c r="A3673" t="s">
        <v>27</v>
      </c>
      <c r="B3673" t="s">
        <v>291</v>
      </c>
      <c r="C3673">
        <v>74</v>
      </c>
      <c r="D3673">
        <v>15.3</v>
      </c>
      <c r="E3673">
        <v>19</v>
      </c>
      <c r="F3673">
        <v>2</v>
      </c>
      <c r="G3673">
        <v>28</v>
      </c>
    </row>
    <row r="3674" spans="1:7" x14ac:dyDescent="0.3">
      <c r="A3674" t="s">
        <v>27</v>
      </c>
      <c r="B3674" t="s">
        <v>292</v>
      </c>
      <c r="C3674">
        <v>163</v>
      </c>
      <c r="D3674">
        <v>13.43</v>
      </c>
      <c r="E3674">
        <v>15</v>
      </c>
      <c r="F3674">
        <v>2</v>
      </c>
      <c r="G3674">
        <v>28</v>
      </c>
    </row>
    <row r="3675" spans="1:7" x14ac:dyDescent="0.3">
      <c r="A3675" t="s">
        <v>27</v>
      </c>
      <c r="B3675" t="s">
        <v>308</v>
      </c>
      <c r="C3675">
        <v>6</v>
      </c>
      <c r="D3675">
        <v>17.79</v>
      </c>
      <c r="E3675">
        <v>19</v>
      </c>
      <c r="F3675">
        <v>11</v>
      </c>
      <c r="G3675">
        <v>21</v>
      </c>
    </row>
    <row r="3676" spans="1:7" x14ac:dyDescent="0.3">
      <c r="A3676" t="s">
        <v>41</v>
      </c>
      <c r="B3676" t="s">
        <v>291</v>
      </c>
      <c r="C3676">
        <v>495</v>
      </c>
      <c r="D3676">
        <v>8.1199999999999992</v>
      </c>
      <c r="E3676">
        <v>6</v>
      </c>
      <c r="F3676">
        <v>2</v>
      </c>
      <c r="G3676">
        <v>28</v>
      </c>
    </row>
    <row r="3677" spans="1:7" x14ac:dyDescent="0.3">
      <c r="A3677" t="s">
        <v>41</v>
      </c>
      <c r="B3677" t="s">
        <v>292</v>
      </c>
      <c r="C3677">
        <v>863</v>
      </c>
      <c r="D3677">
        <v>7.46</v>
      </c>
      <c r="E3677">
        <v>6</v>
      </c>
      <c r="F3677">
        <v>2</v>
      </c>
      <c r="G3677">
        <v>28</v>
      </c>
    </row>
    <row r="3678" spans="1:7" x14ac:dyDescent="0.3">
      <c r="A3678" t="s">
        <v>41</v>
      </c>
      <c r="B3678" t="s">
        <v>308</v>
      </c>
      <c r="C3678">
        <v>15</v>
      </c>
      <c r="D3678">
        <v>9.1</v>
      </c>
      <c r="E3678">
        <v>10</v>
      </c>
      <c r="F3678">
        <v>2</v>
      </c>
      <c r="G3678">
        <v>21</v>
      </c>
    </row>
    <row r="3680" spans="1:7" x14ac:dyDescent="0.3">
      <c r="A3680" t="s">
        <v>1522</v>
      </c>
    </row>
    <row r="3681" spans="1:8" x14ac:dyDescent="0.3">
      <c r="A3681" t="s">
        <v>36</v>
      </c>
      <c r="B3681" t="s">
        <v>24</v>
      </c>
      <c r="C3681" t="s">
        <v>1523</v>
      </c>
      <c r="D3681" t="s">
        <v>1524</v>
      </c>
      <c r="E3681" t="s">
        <v>1525</v>
      </c>
      <c r="F3681" t="s">
        <v>1526</v>
      </c>
      <c r="G3681" t="s">
        <v>1527</v>
      </c>
    </row>
    <row r="3682" spans="1:8" x14ac:dyDescent="0.3">
      <c r="A3682" t="s">
        <v>25</v>
      </c>
      <c r="B3682">
        <v>414</v>
      </c>
      <c r="C3682" t="s">
        <v>116</v>
      </c>
      <c r="D3682" t="s">
        <v>139</v>
      </c>
      <c r="E3682" t="s">
        <v>954</v>
      </c>
      <c r="F3682" t="s">
        <v>91</v>
      </c>
      <c r="G3682" t="s">
        <v>103</v>
      </c>
    </row>
    <row r="3683" spans="1:8" x14ac:dyDescent="0.3">
      <c r="A3683" t="s">
        <v>26</v>
      </c>
      <c r="B3683">
        <v>477</v>
      </c>
      <c r="C3683" t="s">
        <v>103</v>
      </c>
      <c r="D3683" t="s">
        <v>807</v>
      </c>
      <c r="E3683" t="s">
        <v>202</v>
      </c>
      <c r="F3683" t="s">
        <v>120</v>
      </c>
      <c r="G3683" t="s">
        <v>103</v>
      </c>
    </row>
    <row r="3684" spans="1:8" x14ac:dyDescent="0.3">
      <c r="A3684" t="s">
        <v>29</v>
      </c>
      <c r="B3684">
        <v>530</v>
      </c>
      <c r="C3684" t="s">
        <v>120</v>
      </c>
      <c r="D3684" t="s">
        <v>188</v>
      </c>
      <c r="E3684" t="s">
        <v>213</v>
      </c>
      <c r="F3684" t="s">
        <v>103</v>
      </c>
      <c r="G3684" t="s">
        <v>66</v>
      </c>
    </row>
    <row r="3685" spans="1:8" x14ac:dyDescent="0.3">
      <c r="A3685" t="s">
        <v>28</v>
      </c>
      <c r="B3685">
        <v>317</v>
      </c>
      <c r="C3685" t="s">
        <v>103</v>
      </c>
      <c r="D3685" t="s">
        <v>103</v>
      </c>
      <c r="E3685" t="s">
        <v>323</v>
      </c>
      <c r="F3685" t="s">
        <v>116</v>
      </c>
      <c r="G3685" t="s">
        <v>103</v>
      </c>
    </row>
    <row r="3686" spans="1:8" x14ac:dyDescent="0.3">
      <c r="A3686" t="s">
        <v>27</v>
      </c>
      <c r="B3686">
        <v>300</v>
      </c>
      <c r="C3686" t="s">
        <v>103</v>
      </c>
      <c r="D3686" t="s">
        <v>244</v>
      </c>
      <c r="E3686" t="s">
        <v>712</v>
      </c>
      <c r="F3686" t="s">
        <v>103</v>
      </c>
      <c r="G3686" t="s">
        <v>103</v>
      </c>
    </row>
    <row r="3687" spans="1:8" x14ac:dyDescent="0.3">
      <c r="A3687" t="s">
        <v>41</v>
      </c>
      <c r="B3687">
        <v>2038</v>
      </c>
      <c r="C3687" t="s">
        <v>116</v>
      </c>
      <c r="D3687" t="s">
        <v>94</v>
      </c>
      <c r="E3687" t="s">
        <v>61</v>
      </c>
      <c r="F3687" t="s">
        <v>66</v>
      </c>
      <c r="G3687" t="s">
        <v>91</v>
      </c>
    </row>
    <row r="3689" spans="1:8" x14ac:dyDescent="0.3">
      <c r="A3689" t="s">
        <v>1528</v>
      </c>
    </row>
    <row r="3690" spans="1:8" x14ac:dyDescent="0.3">
      <c r="A3690" t="s">
        <v>36</v>
      </c>
      <c r="B3690" t="s">
        <v>763</v>
      </c>
      <c r="C3690" t="s">
        <v>24</v>
      </c>
      <c r="D3690" t="s">
        <v>1525</v>
      </c>
      <c r="E3690" t="s">
        <v>1524</v>
      </c>
      <c r="F3690" t="s">
        <v>1526</v>
      </c>
      <c r="G3690" t="s">
        <v>1523</v>
      </c>
      <c r="H3690" t="s">
        <v>1527</v>
      </c>
    </row>
    <row r="3691" spans="1:8" x14ac:dyDescent="0.3">
      <c r="A3691" t="s">
        <v>25</v>
      </c>
      <c r="B3691" t="s">
        <v>764</v>
      </c>
      <c r="C3691">
        <v>31</v>
      </c>
      <c r="D3691" t="s">
        <v>192</v>
      </c>
      <c r="E3691" t="s">
        <v>103</v>
      </c>
      <c r="F3691" t="s">
        <v>103</v>
      </c>
      <c r="G3691" t="s">
        <v>103</v>
      </c>
      <c r="H3691" t="s">
        <v>103</v>
      </c>
    </row>
    <row r="3692" spans="1:8" x14ac:dyDescent="0.3">
      <c r="A3692" t="s">
        <v>25</v>
      </c>
      <c r="B3692" t="s">
        <v>765</v>
      </c>
      <c r="C3692">
        <v>280</v>
      </c>
      <c r="D3692" t="s">
        <v>876</v>
      </c>
      <c r="E3692" t="s">
        <v>139</v>
      </c>
      <c r="F3692" t="s">
        <v>91</v>
      </c>
      <c r="G3692" t="s">
        <v>103</v>
      </c>
      <c r="H3692" t="s">
        <v>103</v>
      </c>
    </row>
    <row r="3693" spans="1:8" x14ac:dyDescent="0.3">
      <c r="A3693" t="s">
        <v>25</v>
      </c>
      <c r="B3693" t="s">
        <v>767</v>
      </c>
      <c r="C3693">
        <v>103</v>
      </c>
      <c r="D3693" t="s">
        <v>328</v>
      </c>
      <c r="E3693" t="s">
        <v>282</v>
      </c>
      <c r="F3693" t="s">
        <v>103</v>
      </c>
      <c r="G3693" t="s">
        <v>345</v>
      </c>
      <c r="H3693" t="s">
        <v>103</v>
      </c>
    </row>
    <row r="3694" spans="1:8" x14ac:dyDescent="0.3">
      <c r="A3694" t="s">
        <v>26</v>
      </c>
      <c r="B3694" t="s">
        <v>764</v>
      </c>
      <c r="C3694">
        <v>58</v>
      </c>
      <c r="D3694" t="s">
        <v>884</v>
      </c>
      <c r="E3694" t="s">
        <v>1219</v>
      </c>
      <c r="F3694" t="s">
        <v>103</v>
      </c>
      <c r="G3694" t="s">
        <v>103</v>
      </c>
      <c r="H3694" t="s">
        <v>103</v>
      </c>
    </row>
    <row r="3695" spans="1:8" x14ac:dyDescent="0.3">
      <c r="A3695" t="s">
        <v>26</v>
      </c>
      <c r="B3695" t="s">
        <v>765</v>
      </c>
      <c r="C3695">
        <v>278</v>
      </c>
      <c r="D3695" t="s">
        <v>721</v>
      </c>
      <c r="E3695" t="s">
        <v>92</v>
      </c>
      <c r="F3695" t="s">
        <v>345</v>
      </c>
      <c r="G3695" t="s">
        <v>103</v>
      </c>
      <c r="H3695" t="s">
        <v>103</v>
      </c>
    </row>
    <row r="3696" spans="1:8" x14ac:dyDescent="0.3">
      <c r="A3696" t="s">
        <v>26</v>
      </c>
      <c r="B3696" t="s">
        <v>767</v>
      </c>
      <c r="C3696">
        <v>141</v>
      </c>
      <c r="D3696" t="s">
        <v>55</v>
      </c>
      <c r="E3696" t="s">
        <v>56</v>
      </c>
      <c r="F3696" t="s">
        <v>103</v>
      </c>
      <c r="G3696" t="s">
        <v>103</v>
      </c>
      <c r="H3696" t="s">
        <v>103</v>
      </c>
    </row>
    <row r="3697" spans="1:8" s="3" customFormat="1" x14ac:dyDescent="0.3">
      <c r="A3697" s="3" t="s">
        <v>29</v>
      </c>
      <c r="B3697" s="3" t="s">
        <v>764</v>
      </c>
      <c r="C3697" s="3">
        <v>11</v>
      </c>
      <c r="D3697" s="3" t="s">
        <v>192</v>
      </c>
      <c r="E3697" s="3" t="s">
        <v>103</v>
      </c>
      <c r="F3697" s="3" t="s">
        <v>103</v>
      </c>
      <c r="G3697" s="3" t="s">
        <v>103</v>
      </c>
      <c r="H3697" s="3" t="s">
        <v>103</v>
      </c>
    </row>
    <row r="3698" spans="1:8" x14ac:dyDescent="0.3">
      <c r="A3698" t="s">
        <v>29</v>
      </c>
      <c r="B3698" t="s">
        <v>765</v>
      </c>
      <c r="C3698">
        <v>365</v>
      </c>
      <c r="D3698" t="s">
        <v>213</v>
      </c>
      <c r="E3698" t="s">
        <v>102</v>
      </c>
      <c r="F3698" t="s">
        <v>103</v>
      </c>
      <c r="G3698" t="s">
        <v>98</v>
      </c>
      <c r="H3698" t="s">
        <v>116</v>
      </c>
    </row>
    <row r="3699" spans="1:8" x14ac:dyDescent="0.3">
      <c r="A3699" t="s">
        <v>29</v>
      </c>
      <c r="B3699" t="s">
        <v>767</v>
      </c>
      <c r="C3699">
        <v>154</v>
      </c>
      <c r="D3699" t="s">
        <v>850</v>
      </c>
      <c r="E3699" t="s">
        <v>33</v>
      </c>
      <c r="F3699" t="s">
        <v>103</v>
      </c>
      <c r="G3699" t="s">
        <v>103</v>
      </c>
      <c r="H3699" t="s">
        <v>103</v>
      </c>
    </row>
    <row r="3700" spans="1:8" s="3" customFormat="1" x14ac:dyDescent="0.3">
      <c r="A3700" s="3" t="s">
        <v>28</v>
      </c>
      <c r="B3700" s="3" t="s">
        <v>764</v>
      </c>
      <c r="C3700" s="3">
        <v>20</v>
      </c>
      <c r="D3700" s="3" t="s">
        <v>192</v>
      </c>
      <c r="E3700" s="3" t="s">
        <v>103</v>
      </c>
      <c r="F3700" s="3" t="s">
        <v>103</v>
      </c>
      <c r="G3700" s="3" t="s">
        <v>103</v>
      </c>
      <c r="H3700" s="3" t="s">
        <v>103</v>
      </c>
    </row>
    <row r="3701" spans="1:8" x14ac:dyDescent="0.3">
      <c r="A3701" t="s">
        <v>28</v>
      </c>
      <c r="B3701" t="s">
        <v>765</v>
      </c>
      <c r="C3701">
        <v>260</v>
      </c>
      <c r="D3701" t="s">
        <v>327</v>
      </c>
      <c r="E3701" t="s">
        <v>103</v>
      </c>
      <c r="F3701" t="s">
        <v>122</v>
      </c>
      <c r="G3701" t="s">
        <v>103</v>
      </c>
      <c r="H3701" t="s">
        <v>103</v>
      </c>
    </row>
    <row r="3702" spans="1:8" x14ac:dyDescent="0.3">
      <c r="A3702" t="s">
        <v>28</v>
      </c>
      <c r="B3702" t="s">
        <v>767</v>
      </c>
      <c r="C3702">
        <v>37</v>
      </c>
      <c r="D3702" t="s">
        <v>192</v>
      </c>
      <c r="E3702" t="s">
        <v>103</v>
      </c>
      <c r="F3702" t="s">
        <v>103</v>
      </c>
      <c r="G3702" t="s">
        <v>103</v>
      </c>
      <c r="H3702" t="s">
        <v>103</v>
      </c>
    </row>
    <row r="3703" spans="1:8" s="3" customFormat="1" x14ac:dyDescent="0.3">
      <c r="A3703" s="3" t="s">
        <v>27</v>
      </c>
      <c r="B3703" s="3" t="s">
        <v>764</v>
      </c>
      <c r="C3703" s="3">
        <v>29</v>
      </c>
      <c r="D3703" s="3" t="s">
        <v>336</v>
      </c>
      <c r="E3703" s="3" t="s">
        <v>272</v>
      </c>
      <c r="F3703" s="3" t="s">
        <v>103</v>
      </c>
      <c r="G3703" s="3" t="s">
        <v>103</v>
      </c>
      <c r="H3703" s="3" t="s">
        <v>103</v>
      </c>
    </row>
    <row r="3704" spans="1:8" x14ac:dyDescent="0.3">
      <c r="A3704" t="s">
        <v>27</v>
      </c>
      <c r="B3704" t="s">
        <v>765</v>
      </c>
      <c r="C3704">
        <v>209</v>
      </c>
      <c r="D3704" t="s">
        <v>241</v>
      </c>
      <c r="E3704" t="s">
        <v>463</v>
      </c>
      <c r="F3704" t="s">
        <v>103</v>
      </c>
      <c r="G3704" t="s">
        <v>103</v>
      </c>
      <c r="H3704" t="s">
        <v>103</v>
      </c>
    </row>
    <row r="3705" spans="1:8" x14ac:dyDescent="0.3">
      <c r="A3705" t="s">
        <v>27</v>
      </c>
      <c r="B3705" t="s">
        <v>767</v>
      </c>
      <c r="C3705">
        <v>62</v>
      </c>
      <c r="D3705" t="s">
        <v>720</v>
      </c>
      <c r="E3705" t="s">
        <v>268</v>
      </c>
      <c r="F3705" t="s">
        <v>103</v>
      </c>
      <c r="G3705" t="s">
        <v>103</v>
      </c>
      <c r="H3705" t="s">
        <v>103</v>
      </c>
    </row>
    <row r="3706" spans="1:8" x14ac:dyDescent="0.3">
      <c r="A3706" t="s">
        <v>41</v>
      </c>
      <c r="B3706" t="s">
        <v>764</v>
      </c>
      <c r="C3706">
        <v>149</v>
      </c>
      <c r="D3706" t="s">
        <v>776</v>
      </c>
      <c r="E3706" t="s">
        <v>517</v>
      </c>
      <c r="F3706" t="s">
        <v>103</v>
      </c>
      <c r="G3706" t="s">
        <v>103</v>
      </c>
      <c r="H3706" t="s">
        <v>103</v>
      </c>
    </row>
    <row r="3707" spans="1:8" x14ac:dyDescent="0.3">
      <c r="A3707" t="s">
        <v>41</v>
      </c>
      <c r="B3707" t="s">
        <v>765</v>
      </c>
      <c r="C3707">
        <v>1392</v>
      </c>
      <c r="D3707" t="s">
        <v>636</v>
      </c>
      <c r="E3707" t="s">
        <v>70</v>
      </c>
      <c r="F3707" t="s">
        <v>116</v>
      </c>
      <c r="G3707" t="s">
        <v>122</v>
      </c>
      <c r="H3707" t="s">
        <v>91</v>
      </c>
    </row>
    <row r="3708" spans="1:8" x14ac:dyDescent="0.3">
      <c r="A3708" t="s">
        <v>41</v>
      </c>
      <c r="B3708" t="s">
        <v>767</v>
      </c>
      <c r="C3708">
        <v>497</v>
      </c>
      <c r="D3708" t="s">
        <v>738</v>
      </c>
      <c r="E3708" t="s">
        <v>205</v>
      </c>
      <c r="F3708" t="s">
        <v>103</v>
      </c>
      <c r="G3708" t="s">
        <v>66</v>
      </c>
      <c r="H3708" t="s">
        <v>103</v>
      </c>
    </row>
    <row r="3710" spans="1:8" x14ac:dyDescent="0.3">
      <c r="A3710" t="s">
        <v>1529</v>
      </c>
    </row>
    <row r="3711" spans="1:8" x14ac:dyDescent="0.3">
      <c r="A3711" t="s">
        <v>36</v>
      </c>
      <c r="B3711" t="s">
        <v>310</v>
      </c>
      <c r="C3711" t="s">
        <v>24</v>
      </c>
      <c r="D3711" t="s">
        <v>1523</v>
      </c>
      <c r="E3711" t="s">
        <v>1524</v>
      </c>
      <c r="F3711" t="s">
        <v>1525</v>
      </c>
      <c r="G3711" t="s">
        <v>1526</v>
      </c>
      <c r="H3711" t="s">
        <v>1527</v>
      </c>
    </row>
    <row r="3712" spans="1:8" x14ac:dyDescent="0.3">
      <c r="A3712" t="s">
        <v>25</v>
      </c>
      <c r="B3712" t="s">
        <v>311</v>
      </c>
      <c r="C3712">
        <v>324</v>
      </c>
      <c r="D3712" t="s">
        <v>122</v>
      </c>
      <c r="E3712" t="s">
        <v>282</v>
      </c>
      <c r="F3712" t="s">
        <v>335</v>
      </c>
      <c r="G3712" t="s">
        <v>91</v>
      </c>
      <c r="H3712" t="s">
        <v>103</v>
      </c>
    </row>
    <row r="3713" spans="1:8" x14ac:dyDescent="0.3">
      <c r="A3713" t="s">
        <v>25</v>
      </c>
      <c r="B3713" t="s">
        <v>312</v>
      </c>
      <c r="C3713">
        <v>80</v>
      </c>
      <c r="D3713" t="s">
        <v>103</v>
      </c>
      <c r="E3713" t="s">
        <v>103</v>
      </c>
      <c r="F3713" t="s">
        <v>192</v>
      </c>
      <c r="G3713" t="s">
        <v>103</v>
      </c>
      <c r="H3713" t="s">
        <v>103</v>
      </c>
    </row>
    <row r="3714" spans="1:8" x14ac:dyDescent="0.3">
      <c r="A3714" t="s">
        <v>25</v>
      </c>
      <c r="B3714" t="s">
        <v>308</v>
      </c>
      <c r="C3714">
        <v>10</v>
      </c>
      <c r="D3714" t="s">
        <v>103</v>
      </c>
      <c r="E3714" t="s">
        <v>103</v>
      </c>
      <c r="F3714" t="s">
        <v>192</v>
      </c>
      <c r="G3714" t="s">
        <v>103</v>
      </c>
      <c r="H3714" t="s">
        <v>103</v>
      </c>
    </row>
    <row r="3715" spans="1:8" x14ac:dyDescent="0.3">
      <c r="A3715" t="s">
        <v>26</v>
      </c>
      <c r="B3715" t="s">
        <v>311</v>
      </c>
      <c r="C3715">
        <v>343</v>
      </c>
      <c r="D3715" t="s">
        <v>103</v>
      </c>
      <c r="E3715" t="s">
        <v>528</v>
      </c>
      <c r="F3715" t="s">
        <v>1308</v>
      </c>
      <c r="G3715" t="s">
        <v>139</v>
      </c>
      <c r="H3715" t="s">
        <v>103</v>
      </c>
    </row>
    <row r="3716" spans="1:8" x14ac:dyDescent="0.3">
      <c r="A3716" t="s">
        <v>26</v>
      </c>
      <c r="B3716" t="s">
        <v>312</v>
      </c>
      <c r="C3716">
        <v>96</v>
      </c>
      <c r="D3716" t="s">
        <v>103</v>
      </c>
      <c r="E3716" t="s">
        <v>132</v>
      </c>
      <c r="F3716" t="s">
        <v>592</v>
      </c>
      <c r="G3716" t="s">
        <v>103</v>
      </c>
      <c r="H3716" t="s">
        <v>103</v>
      </c>
    </row>
    <row r="3717" spans="1:8" x14ac:dyDescent="0.3">
      <c r="A3717" t="s">
        <v>26</v>
      </c>
      <c r="B3717" t="s">
        <v>308</v>
      </c>
      <c r="C3717">
        <v>38</v>
      </c>
      <c r="D3717" t="s">
        <v>103</v>
      </c>
      <c r="E3717" t="s">
        <v>702</v>
      </c>
      <c r="F3717" t="s">
        <v>985</v>
      </c>
      <c r="G3717" t="s">
        <v>103</v>
      </c>
      <c r="H3717" t="s">
        <v>103</v>
      </c>
    </row>
    <row r="3718" spans="1:8" x14ac:dyDescent="0.3">
      <c r="A3718" t="s">
        <v>29</v>
      </c>
      <c r="B3718" t="s">
        <v>311</v>
      </c>
      <c r="C3718">
        <v>414</v>
      </c>
      <c r="D3718" t="s">
        <v>139</v>
      </c>
      <c r="E3718" t="s">
        <v>114</v>
      </c>
      <c r="F3718" t="s">
        <v>850</v>
      </c>
      <c r="G3718" t="s">
        <v>103</v>
      </c>
      <c r="H3718" t="s">
        <v>116</v>
      </c>
    </row>
    <row r="3719" spans="1:8" x14ac:dyDescent="0.3">
      <c r="A3719" t="s">
        <v>29</v>
      </c>
      <c r="B3719" t="s">
        <v>312</v>
      </c>
      <c r="C3719">
        <v>103</v>
      </c>
      <c r="D3719" t="s">
        <v>103</v>
      </c>
      <c r="E3719" t="s">
        <v>107</v>
      </c>
      <c r="F3719" t="s">
        <v>1173</v>
      </c>
      <c r="G3719" t="s">
        <v>103</v>
      </c>
      <c r="H3719" t="s">
        <v>103</v>
      </c>
    </row>
    <row r="3720" spans="1:8" x14ac:dyDescent="0.3">
      <c r="A3720" t="s">
        <v>29</v>
      </c>
      <c r="B3720" t="s">
        <v>308</v>
      </c>
      <c r="C3720">
        <v>13</v>
      </c>
      <c r="D3720" t="s">
        <v>103</v>
      </c>
      <c r="E3720" t="s">
        <v>103</v>
      </c>
      <c r="F3720" t="s">
        <v>192</v>
      </c>
      <c r="G3720" t="s">
        <v>103</v>
      </c>
      <c r="H3720" t="s">
        <v>103</v>
      </c>
    </row>
    <row r="3721" spans="1:8" x14ac:dyDescent="0.3">
      <c r="A3721" t="s">
        <v>28</v>
      </c>
      <c r="B3721" t="s">
        <v>311</v>
      </c>
      <c r="C3721">
        <v>223</v>
      </c>
      <c r="D3721" t="s">
        <v>103</v>
      </c>
      <c r="E3721" t="s">
        <v>103</v>
      </c>
      <c r="F3721" t="s">
        <v>192</v>
      </c>
      <c r="G3721" t="s">
        <v>103</v>
      </c>
      <c r="H3721" t="s">
        <v>103</v>
      </c>
    </row>
    <row r="3722" spans="1:8" x14ac:dyDescent="0.3">
      <c r="A3722" t="s">
        <v>28</v>
      </c>
      <c r="B3722" t="s">
        <v>312</v>
      </c>
      <c r="C3722">
        <v>93</v>
      </c>
      <c r="D3722" t="s">
        <v>103</v>
      </c>
      <c r="E3722" t="s">
        <v>103</v>
      </c>
      <c r="F3722" t="s">
        <v>326</v>
      </c>
      <c r="G3722" t="s">
        <v>194</v>
      </c>
      <c r="H3722" t="s">
        <v>103</v>
      </c>
    </row>
    <row r="3723" spans="1:8" x14ac:dyDescent="0.3">
      <c r="A3723" t="s">
        <v>28</v>
      </c>
      <c r="B3723" t="s">
        <v>308</v>
      </c>
      <c r="C3723">
        <v>1</v>
      </c>
      <c r="D3723" t="s">
        <v>103</v>
      </c>
      <c r="E3723" t="s">
        <v>103</v>
      </c>
      <c r="F3723" t="s">
        <v>192</v>
      </c>
      <c r="G3723" t="s">
        <v>103</v>
      </c>
      <c r="H3723" t="s">
        <v>103</v>
      </c>
    </row>
    <row r="3724" spans="1:8" x14ac:dyDescent="0.3">
      <c r="A3724" t="s">
        <v>27</v>
      </c>
      <c r="B3724" t="s">
        <v>311</v>
      </c>
      <c r="C3724">
        <v>237</v>
      </c>
      <c r="D3724" t="s">
        <v>103</v>
      </c>
      <c r="E3724" t="s">
        <v>918</v>
      </c>
      <c r="F3724" t="s">
        <v>613</v>
      </c>
      <c r="G3724" t="s">
        <v>103</v>
      </c>
      <c r="H3724" t="s">
        <v>103</v>
      </c>
    </row>
    <row r="3725" spans="1:8" x14ac:dyDescent="0.3">
      <c r="A3725" t="s">
        <v>27</v>
      </c>
      <c r="B3725" t="s">
        <v>312</v>
      </c>
      <c r="C3725">
        <v>60</v>
      </c>
      <c r="D3725" t="s">
        <v>103</v>
      </c>
      <c r="E3725" t="s">
        <v>169</v>
      </c>
      <c r="F3725" t="s">
        <v>170</v>
      </c>
      <c r="G3725" t="s">
        <v>103</v>
      </c>
      <c r="H3725" t="s">
        <v>103</v>
      </c>
    </row>
    <row r="3726" spans="1:8" x14ac:dyDescent="0.3">
      <c r="A3726" t="s">
        <v>27</v>
      </c>
      <c r="B3726" t="s">
        <v>308</v>
      </c>
      <c r="C3726">
        <v>3</v>
      </c>
      <c r="D3726" t="s">
        <v>103</v>
      </c>
      <c r="E3726" t="s">
        <v>103</v>
      </c>
      <c r="F3726" t="s">
        <v>192</v>
      </c>
      <c r="G3726" t="s">
        <v>103</v>
      </c>
      <c r="H3726" t="s">
        <v>103</v>
      </c>
    </row>
    <row r="3727" spans="1:8" x14ac:dyDescent="0.3">
      <c r="A3727" t="s">
        <v>41</v>
      </c>
      <c r="B3727" t="s">
        <v>311</v>
      </c>
      <c r="C3727">
        <v>1541</v>
      </c>
      <c r="D3727" t="s">
        <v>122</v>
      </c>
      <c r="E3727" t="s">
        <v>531</v>
      </c>
      <c r="F3727" t="s">
        <v>1355</v>
      </c>
      <c r="G3727" t="s">
        <v>66</v>
      </c>
      <c r="H3727" t="s">
        <v>91</v>
      </c>
    </row>
    <row r="3728" spans="1:8" x14ac:dyDescent="0.3">
      <c r="A3728" t="s">
        <v>41</v>
      </c>
      <c r="B3728" t="s">
        <v>312</v>
      </c>
      <c r="C3728">
        <v>432</v>
      </c>
      <c r="D3728" t="s">
        <v>103</v>
      </c>
      <c r="E3728" t="s">
        <v>607</v>
      </c>
      <c r="F3728" t="s">
        <v>1484</v>
      </c>
      <c r="G3728" t="s">
        <v>91</v>
      </c>
      <c r="H3728" t="s">
        <v>103</v>
      </c>
    </row>
    <row r="3729" spans="1:8" x14ac:dyDescent="0.3">
      <c r="A3729" t="s">
        <v>41</v>
      </c>
      <c r="B3729" t="s">
        <v>308</v>
      </c>
      <c r="C3729">
        <v>65</v>
      </c>
      <c r="D3729" t="s">
        <v>103</v>
      </c>
      <c r="E3729" t="s">
        <v>813</v>
      </c>
      <c r="F3729" t="s">
        <v>1019</v>
      </c>
      <c r="G3729" t="s">
        <v>103</v>
      </c>
      <c r="H3729" t="s">
        <v>103</v>
      </c>
    </row>
    <row r="3731" spans="1:8" x14ac:dyDescent="0.3">
      <c r="A3731" t="s">
        <v>1530</v>
      </c>
    </row>
    <row r="3732" spans="1:8" x14ac:dyDescent="0.3">
      <c r="A3732" t="s">
        <v>36</v>
      </c>
      <c r="B3732" t="s">
        <v>307</v>
      </c>
      <c r="C3732" t="s">
        <v>24</v>
      </c>
      <c r="D3732" t="s">
        <v>1525</v>
      </c>
      <c r="E3732" t="s">
        <v>1526</v>
      </c>
      <c r="F3732" t="s">
        <v>1524</v>
      </c>
      <c r="G3732" t="s">
        <v>1523</v>
      </c>
      <c r="H3732" t="s">
        <v>1527</v>
      </c>
    </row>
    <row r="3733" spans="1:8" x14ac:dyDescent="0.3">
      <c r="A3733" t="s">
        <v>25</v>
      </c>
      <c r="B3733" t="s">
        <v>291</v>
      </c>
      <c r="C3733">
        <v>156</v>
      </c>
      <c r="D3733" t="s">
        <v>67</v>
      </c>
      <c r="E3733" t="s">
        <v>66</v>
      </c>
      <c r="F3733" t="s">
        <v>103</v>
      </c>
      <c r="G3733" t="s">
        <v>103</v>
      </c>
      <c r="H3733" t="s">
        <v>103</v>
      </c>
    </row>
    <row r="3734" spans="1:8" x14ac:dyDescent="0.3">
      <c r="A3734" t="s">
        <v>25</v>
      </c>
      <c r="B3734" t="s">
        <v>292</v>
      </c>
      <c r="C3734">
        <v>254</v>
      </c>
      <c r="D3734" t="s">
        <v>326</v>
      </c>
      <c r="E3734" t="s">
        <v>103</v>
      </c>
      <c r="F3734" t="s">
        <v>194</v>
      </c>
      <c r="G3734" t="s">
        <v>103</v>
      </c>
      <c r="H3734" t="s">
        <v>103</v>
      </c>
    </row>
    <row r="3735" spans="1:8" x14ac:dyDescent="0.3">
      <c r="A3735" t="s">
        <v>25</v>
      </c>
      <c r="B3735" t="s">
        <v>308</v>
      </c>
      <c r="C3735">
        <v>4</v>
      </c>
      <c r="D3735" t="s">
        <v>796</v>
      </c>
      <c r="E3735" t="s">
        <v>103</v>
      </c>
      <c r="F3735" t="s">
        <v>103</v>
      </c>
      <c r="G3735" t="s">
        <v>455</v>
      </c>
      <c r="H3735" t="s">
        <v>103</v>
      </c>
    </row>
    <row r="3736" spans="1:8" x14ac:dyDescent="0.3">
      <c r="A3736" t="s">
        <v>26</v>
      </c>
      <c r="B3736" t="s">
        <v>291</v>
      </c>
      <c r="C3736">
        <v>122</v>
      </c>
      <c r="D3736" t="s">
        <v>751</v>
      </c>
      <c r="E3736" t="s">
        <v>239</v>
      </c>
      <c r="F3736" t="s">
        <v>115</v>
      </c>
      <c r="G3736" t="s">
        <v>103</v>
      </c>
      <c r="H3736" t="s">
        <v>103</v>
      </c>
    </row>
    <row r="3737" spans="1:8" x14ac:dyDescent="0.3">
      <c r="A3737" t="s">
        <v>26</v>
      </c>
      <c r="B3737" t="s">
        <v>292</v>
      </c>
      <c r="C3737">
        <v>352</v>
      </c>
      <c r="D3737" t="s">
        <v>274</v>
      </c>
      <c r="E3737" t="s">
        <v>116</v>
      </c>
      <c r="F3737" t="s">
        <v>46</v>
      </c>
      <c r="G3737" t="s">
        <v>103</v>
      </c>
      <c r="H3737" t="s">
        <v>103</v>
      </c>
    </row>
    <row r="3738" spans="1:8" x14ac:dyDescent="0.3">
      <c r="A3738" t="s">
        <v>26</v>
      </c>
      <c r="B3738" t="s">
        <v>308</v>
      </c>
      <c r="C3738">
        <v>3</v>
      </c>
      <c r="D3738" t="s">
        <v>784</v>
      </c>
      <c r="E3738" t="s">
        <v>103</v>
      </c>
      <c r="F3738" t="s">
        <v>699</v>
      </c>
      <c r="G3738" t="s">
        <v>103</v>
      </c>
      <c r="H3738" t="s">
        <v>103</v>
      </c>
    </row>
    <row r="3739" spans="1:8" x14ac:dyDescent="0.3">
      <c r="A3739" t="s">
        <v>29</v>
      </c>
      <c r="B3739" t="s">
        <v>291</v>
      </c>
      <c r="C3739">
        <v>205</v>
      </c>
      <c r="D3739" t="s">
        <v>289</v>
      </c>
      <c r="E3739" t="s">
        <v>103</v>
      </c>
      <c r="F3739" t="s">
        <v>125</v>
      </c>
      <c r="G3739" t="s">
        <v>345</v>
      </c>
      <c r="H3739" t="s">
        <v>97</v>
      </c>
    </row>
    <row r="3740" spans="1:8" x14ac:dyDescent="0.3">
      <c r="A3740" t="s">
        <v>29</v>
      </c>
      <c r="B3740" t="s">
        <v>292</v>
      </c>
      <c r="C3740">
        <v>325</v>
      </c>
      <c r="D3740" t="s">
        <v>861</v>
      </c>
      <c r="E3740" t="s">
        <v>103</v>
      </c>
      <c r="F3740" t="s">
        <v>591</v>
      </c>
      <c r="G3740" t="s">
        <v>116</v>
      </c>
      <c r="H3740" t="s">
        <v>103</v>
      </c>
    </row>
    <row r="3741" spans="1:8" x14ac:dyDescent="0.3">
      <c r="A3741" t="s">
        <v>28</v>
      </c>
      <c r="B3741" t="s">
        <v>291</v>
      </c>
      <c r="C3741">
        <v>114</v>
      </c>
      <c r="D3741" t="s">
        <v>950</v>
      </c>
      <c r="E3741" t="s">
        <v>98</v>
      </c>
      <c r="F3741" t="s">
        <v>103</v>
      </c>
      <c r="G3741" t="s">
        <v>103</v>
      </c>
      <c r="H3741" t="s">
        <v>103</v>
      </c>
    </row>
    <row r="3742" spans="1:8" x14ac:dyDescent="0.3">
      <c r="A3742" t="s">
        <v>28</v>
      </c>
      <c r="B3742" t="s">
        <v>292</v>
      </c>
      <c r="C3742">
        <v>191</v>
      </c>
      <c r="D3742" t="s">
        <v>192</v>
      </c>
      <c r="E3742" t="s">
        <v>103</v>
      </c>
      <c r="F3742" t="s">
        <v>103</v>
      </c>
      <c r="G3742" t="s">
        <v>103</v>
      </c>
      <c r="H3742" t="s">
        <v>103</v>
      </c>
    </row>
    <row r="3743" spans="1:8" x14ac:dyDescent="0.3">
      <c r="A3743" t="s">
        <v>28</v>
      </c>
      <c r="B3743" t="s">
        <v>308</v>
      </c>
      <c r="C3743">
        <v>12</v>
      </c>
      <c r="D3743" t="s">
        <v>192</v>
      </c>
      <c r="E3743" t="s">
        <v>103</v>
      </c>
      <c r="F3743" t="s">
        <v>103</v>
      </c>
      <c r="G3743" t="s">
        <v>103</v>
      </c>
      <c r="H3743" t="s">
        <v>103</v>
      </c>
    </row>
    <row r="3744" spans="1:8" x14ac:dyDescent="0.3">
      <c r="A3744" t="s">
        <v>27</v>
      </c>
      <c r="B3744" t="s">
        <v>291</v>
      </c>
      <c r="C3744">
        <v>95</v>
      </c>
      <c r="D3744" t="s">
        <v>172</v>
      </c>
      <c r="E3744" t="s">
        <v>103</v>
      </c>
      <c r="F3744" t="s">
        <v>171</v>
      </c>
      <c r="G3744" t="s">
        <v>103</v>
      </c>
      <c r="H3744" t="s">
        <v>103</v>
      </c>
    </row>
    <row r="3745" spans="1:14" x14ac:dyDescent="0.3">
      <c r="A3745" t="s">
        <v>27</v>
      </c>
      <c r="B3745" t="s">
        <v>292</v>
      </c>
      <c r="C3745">
        <v>198</v>
      </c>
      <c r="D3745" t="s">
        <v>158</v>
      </c>
      <c r="E3745" t="s">
        <v>103</v>
      </c>
      <c r="F3745" t="s">
        <v>157</v>
      </c>
      <c r="G3745" t="s">
        <v>103</v>
      </c>
      <c r="H3745" t="s">
        <v>103</v>
      </c>
    </row>
    <row r="3746" spans="1:14" x14ac:dyDescent="0.3">
      <c r="A3746" t="s">
        <v>27</v>
      </c>
      <c r="B3746" t="s">
        <v>308</v>
      </c>
      <c r="C3746">
        <v>7</v>
      </c>
      <c r="D3746" t="s">
        <v>192</v>
      </c>
      <c r="E3746" t="s">
        <v>103</v>
      </c>
      <c r="F3746" t="s">
        <v>103</v>
      </c>
      <c r="G3746" t="s">
        <v>103</v>
      </c>
      <c r="H3746" t="s">
        <v>103</v>
      </c>
    </row>
    <row r="3747" spans="1:14" x14ac:dyDescent="0.3">
      <c r="A3747" t="s">
        <v>41</v>
      </c>
      <c r="B3747" t="s">
        <v>291</v>
      </c>
      <c r="C3747">
        <v>692</v>
      </c>
      <c r="D3747" t="s">
        <v>864</v>
      </c>
      <c r="E3747" t="s">
        <v>122</v>
      </c>
      <c r="F3747" t="s">
        <v>615</v>
      </c>
      <c r="G3747" t="s">
        <v>120</v>
      </c>
      <c r="H3747" t="s">
        <v>116</v>
      </c>
    </row>
    <row r="3748" spans="1:14" x14ac:dyDescent="0.3">
      <c r="A3748" t="s">
        <v>41</v>
      </c>
      <c r="B3748" t="s">
        <v>292</v>
      </c>
      <c r="C3748">
        <v>1320</v>
      </c>
      <c r="D3748" t="s">
        <v>625</v>
      </c>
      <c r="E3748" t="s">
        <v>91</v>
      </c>
      <c r="F3748" t="s">
        <v>494</v>
      </c>
      <c r="G3748" t="s">
        <v>91</v>
      </c>
      <c r="H3748" t="s">
        <v>103</v>
      </c>
    </row>
    <row r="3749" spans="1:14" x14ac:dyDescent="0.3">
      <c r="A3749" t="s">
        <v>41</v>
      </c>
      <c r="B3749" t="s">
        <v>308</v>
      </c>
      <c r="C3749">
        <v>26</v>
      </c>
      <c r="D3749" t="s">
        <v>45</v>
      </c>
      <c r="E3749" t="s">
        <v>103</v>
      </c>
      <c r="F3749" t="s">
        <v>737</v>
      </c>
      <c r="G3749" t="s">
        <v>137</v>
      </c>
      <c r="H3749" t="s">
        <v>103</v>
      </c>
    </row>
    <row r="3751" spans="1:14" x14ac:dyDescent="0.3">
      <c r="A3751" t="s">
        <v>1531</v>
      </c>
    </row>
    <row r="3752" spans="1:14" x14ac:dyDescent="0.3">
      <c r="A3752" t="s">
        <v>36</v>
      </c>
      <c r="B3752" t="s">
        <v>24</v>
      </c>
      <c r="C3752" t="s">
        <v>1532</v>
      </c>
      <c r="D3752" t="s">
        <v>1533</v>
      </c>
      <c r="E3752" t="s">
        <v>1534</v>
      </c>
      <c r="F3752" t="s">
        <v>1535</v>
      </c>
      <c r="G3752" t="s">
        <v>1536</v>
      </c>
      <c r="H3752" t="s">
        <v>1537</v>
      </c>
      <c r="I3752" t="s">
        <v>1538</v>
      </c>
      <c r="J3752" t="s">
        <v>1539</v>
      </c>
      <c r="K3752" t="s">
        <v>1540</v>
      </c>
      <c r="L3752" t="s">
        <v>1541</v>
      </c>
      <c r="M3752" t="s">
        <v>1542</v>
      </c>
      <c r="N3752" t="s">
        <v>1543</v>
      </c>
    </row>
    <row r="3753" spans="1:14" x14ac:dyDescent="0.3">
      <c r="A3753" t="s">
        <v>25</v>
      </c>
      <c r="B3753">
        <v>414</v>
      </c>
      <c r="C3753" t="s">
        <v>517</v>
      </c>
      <c r="D3753" t="s">
        <v>119</v>
      </c>
      <c r="E3753" t="s">
        <v>118</v>
      </c>
      <c r="F3753" t="s">
        <v>890</v>
      </c>
      <c r="G3753" t="s">
        <v>206</v>
      </c>
      <c r="H3753" t="s">
        <v>329</v>
      </c>
      <c r="I3753" t="s">
        <v>935</v>
      </c>
      <c r="J3753" t="s">
        <v>569</v>
      </c>
      <c r="K3753" t="s">
        <v>594</v>
      </c>
      <c r="L3753" t="s">
        <v>242</v>
      </c>
      <c r="M3753" t="s">
        <v>805</v>
      </c>
      <c r="N3753" t="s">
        <v>400</v>
      </c>
    </row>
    <row r="3754" spans="1:14" x14ac:dyDescent="0.3">
      <c r="A3754" t="s">
        <v>26</v>
      </c>
      <c r="B3754">
        <v>477</v>
      </c>
      <c r="C3754" t="s">
        <v>570</v>
      </c>
      <c r="D3754" t="s">
        <v>104</v>
      </c>
      <c r="E3754" t="s">
        <v>195</v>
      </c>
      <c r="F3754" t="s">
        <v>813</v>
      </c>
      <c r="G3754" t="s">
        <v>99</v>
      </c>
      <c r="H3754" t="s">
        <v>208</v>
      </c>
      <c r="I3754" t="s">
        <v>729</v>
      </c>
      <c r="J3754" t="s">
        <v>461</v>
      </c>
      <c r="K3754" t="s">
        <v>532</v>
      </c>
      <c r="L3754" t="s">
        <v>68</v>
      </c>
      <c r="M3754" t="s">
        <v>104</v>
      </c>
      <c r="N3754" t="s">
        <v>362</v>
      </c>
    </row>
    <row r="3755" spans="1:14" x14ac:dyDescent="0.3">
      <c r="A3755" t="s">
        <v>29</v>
      </c>
      <c r="B3755">
        <v>530</v>
      </c>
      <c r="C3755" t="s">
        <v>927</v>
      </c>
      <c r="D3755" t="s">
        <v>525</v>
      </c>
      <c r="E3755" t="s">
        <v>188</v>
      </c>
      <c r="F3755" t="s">
        <v>516</v>
      </c>
      <c r="G3755" t="s">
        <v>144</v>
      </c>
      <c r="H3755" t="s">
        <v>201</v>
      </c>
      <c r="I3755" t="s">
        <v>465</v>
      </c>
      <c r="J3755" t="s">
        <v>604</v>
      </c>
      <c r="K3755" t="s">
        <v>254</v>
      </c>
      <c r="L3755" t="s">
        <v>90</v>
      </c>
      <c r="M3755" t="s">
        <v>99</v>
      </c>
      <c r="N3755" t="s">
        <v>804</v>
      </c>
    </row>
    <row r="3756" spans="1:14" x14ac:dyDescent="0.3">
      <c r="A3756" t="s">
        <v>28</v>
      </c>
      <c r="B3756">
        <v>317</v>
      </c>
      <c r="C3756" t="s">
        <v>1090</v>
      </c>
      <c r="D3756" t="s">
        <v>495</v>
      </c>
      <c r="E3756" t="s">
        <v>468</v>
      </c>
      <c r="F3756" t="s">
        <v>734</v>
      </c>
      <c r="G3756" t="s">
        <v>700</v>
      </c>
      <c r="H3756" t="s">
        <v>270</v>
      </c>
      <c r="I3756" t="s">
        <v>655</v>
      </c>
      <c r="J3756" t="s">
        <v>303</v>
      </c>
      <c r="K3756" t="s">
        <v>186</v>
      </c>
      <c r="L3756" t="s">
        <v>607</v>
      </c>
      <c r="M3756" t="s">
        <v>242</v>
      </c>
      <c r="N3756" t="s">
        <v>414</v>
      </c>
    </row>
    <row r="3757" spans="1:14" x14ac:dyDescent="0.3">
      <c r="A3757" t="s">
        <v>27</v>
      </c>
      <c r="B3757">
        <v>300</v>
      </c>
      <c r="C3757" t="s">
        <v>839</v>
      </c>
      <c r="D3757" t="s">
        <v>353</v>
      </c>
      <c r="E3757" t="s">
        <v>114</v>
      </c>
      <c r="F3757" t="s">
        <v>404</v>
      </c>
      <c r="G3757" t="s">
        <v>1090</v>
      </c>
      <c r="H3757" t="s">
        <v>135</v>
      </c>
      <c r="I3757" t="s">
        <v>1278</v>
      </c>
      <c r="J3757" t="s">
        <v>1260</v>
      </c>
      <c r="K3757" t="s">
        <v>536</v>
      </c>
      <c r="L3757" t="s">
        <v>186</v>
      </c>
      <c r="M3757" t="s">
        <v>929</v>
      </c>
      <c r="N3757" t="s">
        <v>230</v>
      </c>
    </row>
    <row r="3758" spans="1:14" x14ac:dyDescent="0.3">
      <c r="A3758" t="s">
        <v>41</v>
      </c>
      <c r="B3758">
        <v>2038</v>
      </c>
      <c r="C3758" t="s">
        <v>672</v>
      </c>
      <c r="D3758" t="s">
        <v>579</v>
      </c>
      <c r="E3758" t="s">
        <v>272</v>
      </c>
      <c r="F3758" t="s">
        <v>173</v>
      </c>
      <c r="G3758" t="s">
        <v>104</v>
      </c>
      <c r="H3758" t="s">
        <v>102</v>
      </c>
      <c r="I3758" t="s">
        <v>643</v>
      </c>
      <c r="J3758" t="s">
        <v>906</v>
      </c>
      <c r="K3758" t="s">
        <v>460</v>
      </c>
      <c r="L3758" t="s">
        <v>190</v>
      </c>
      <c r="M3758" t="s">
        <v>131</v>
      </c>
      <c r="N3758" t="s">
        <v>387</v>
      </c>
    </row>
    <row r="3760" spans="1:14" x14ac:dyDescent="0.3">
      <c r="A3760" t="s">
        <v>1544</v>
      </c>
    </row>
    <row r="3761" spans="1:15" x14ac:dyDescent="0.3">
      <c r="A3761" t="s">
        <v>36</v>
      </c>
      <c r="B3761" t="s">
        <v>310</v>
      </c>
      <c r="C3761" t="s">
        <v>24</v>
      </c>
      <c r="D3761" t="s">
        <v>1532</v>
      </c>
      <c r="E3761" t="s">
        <v>1533</v>
      </c>
      <c r="F3761" t="s">
        <v>1534</v>
      </c>
      <c r="G3761" t="s">
        <v>1535</v>
      </c>
      <c r="H3761" t="s">
        <v>1536</v>
      </c>
      <c r="I3761" t="s">
        <v>1537</v>
      </c>
      <c r="J3761" t="s">
        <v>1538</v>
      </c>
      <c r="K3761" t="s">
        <v>1539</v>
      </c>
      <c r="L3761" t="s">
        <v>1540</v>
      </c>
      <c r="M3761" t="s">
        <v>1541</v>
      </c>
      <c r="N3761" t="s">
        <v>1542</v>
      </c>
      <c r="O3761" t="s">
        <v>1543</v>
      </c>
    </row>
    <row r="3762" spans="1:15" x14ac:dyDescent="0.3">
      <c r="A3762" t="s">
        <v>25</v>
      </c>
      <c r="B3762" t="s">
        <v>311</v>
      </c>
      <c r="C3762">
        <v>324</v>
      </c>
      <c r="D3762" t="s">
        <v>463</v>
      </c>
      <c r="E3762" t="s">
        <v>544</v>
      </c>
      <c r="F3762" t="s">
        <v>195</v>
      </c>
      <c r="G3762" t="s">
        <v>536</v>
      </c>
      <c r="H3762" t="s">
        <v>94</v>
      </c>
      <c r="I3762" t="s">
        <v>128</v>
      </c>
      <c r="J3762" t="s">
        <v>1088</v>
      </c>
      <c r="K3762" t="s">
        <v>648</v>
      </c>
      <c r="L3762" t="s">
        <v>662</v>
      </c>
      <c r="M3762" t="s">
        <v>460</v>
      </c>
      <c r="N3762" t="s">
        <v>409</v>
      </c>
      <c r="O3762" t="s">
        <v>1242</v>
      </c>
    </row>
    <row r="3763" spans="1:15" x14ac:dyDescent="0.3">
      <c r="A3763" t="s">
        <v>25</v>
      </c>
      <c r="B3763" t="s">
        <v>312</v>
      </c>
      <c r="C3763">
        <v>80</v>
      </c>
      <c r="D3763" t="s">
        <v>135</v>
      </c>
      <c r="E3763" t="s">
        <v>494</v>
      </c>
      <c r="F3763" t="s">
        <v>103</v>
      </c>
      <c r="G3763" t="s">
        <v>33</v>
      </c>
      <c r="H3763" t="s">
        <v>32</v>
      </c>
      <c r="I3763" t="s">
        <v>341</v>
      </c>
      <c r="J3763" t="s">
        <v>900</v>
      </c>
      <c r="K3763" t="s">
        <v>807</v>
      </c>
      <c r="L3763" t="s">
        <v>466</v>
      </c>
      <c r="M3763" t="s">
        <v>127</v>
      </c>
      <c r="N3763" t="s">
        <v>519</v>
      </c>
      <c r="O3763" t="s">
        <v>1443</v>
      </c>
    </row>
    <row r="3764" spans="1:15" x14ac:dyDescent="0.3">
      <c r="A3764" t="s">
        <v>25</v>
      </c>
      <c r="B3764" t="s">
        <v>308</v>
      </c>
      <c r="C3764">
        <v>10</v>
      </c>
      <c r="D3764" t="s">
        <v>135</v>
      </c>
      <c r="E3764" t="s">
        <v>135</v>
      </c>
      <c r="F3764" t="s">
        <v>438</v>
      </c>
      <c r="G3764" t="s">
        <v>135</v>
      </c>
      <c r="H3764" t="s">
        <v>103</v>
      </c>
      <c r="I3764" t="s">
        <v>103</v>
      </c>
      <c r="J3764" t="s">
        <v>103</v>
      </c>
      <c r="K3764" t="s">
        <v>135</v>
      </c>
      <c r="L3764" t="s">
        <v>409</v>
      </c>
      <c r="M3764" t="s">
        <v>489</v>
      </c>
      <c r="N3764" t="s">
        <v>409</v>
      </c>
      <c r="O3764" t="s">
        <v>593</v>
      </c>
    </row>
    <row r="3765" spans="1:15" x14ac:dyDescent="0.3">
      <c r="A3765" t="s">
        <v>26</v>
      </c>
      <c r="B3765" t="s">
        <v>311</v>
      </c>
      <c r="C3765">
        <v>343</v>
      </c>
      <c r="D3765" t="s">
        <v>471</v>
      </c>
      <c r="E3765" t="s">
        <v>167</v>
      </c>
      <c r="F3765" t="s">
        <v>266</v>
      </c>
      <c r="G3765" t="s">
        <v>488</v>
      </c>
      <c r="H3765" t="s">
        <v>543</v>
      </c>
      <c r="I3765" t="s">
        <v>128</v>
      </c>
      <c r="J3765" t="s">
        <v>420</v>
      </c>
      <c r="K3765" t="s">
        <v>523</v>
      </c>
      <c r="L3765" t="s">
        <v>493</v>
      </c>
      <c r="M3765" t="s">
        <v>125</v>
      </c>
      <c r="N3765" t="s">
        <v>536</v>
      </c>
      <c r="O3765" t="s">
        <v>1545</v>
      </c>
    </row>
    <row r="3766" spans="1:15" x14ac:dyDescent="0.3">
      <c r="A3766" t="s">
        <v>26</v>
      </c>
      <c r="B3766" t="s">
        <v>312</v>
      </c>
      <c r="C3766">
        <v>96</v>
      </c>
      <c r="D3766" t="s">
        <v>494</v>
      </c>
      <c r="E3766" t="s">
        <v>201</v>
      </c>
      <c r="F3766" t="s">
        <v>125</v>
      </c>
      <c r="G3766" t="s">
        <v>115</v>
      </c>
      <c r="H3766" t="s">
        <v>137</v>
      </c>
      <c r="I3766" t="s">
        <v>216</v>
      </c>
      <c r="J3766" t="s">
        <v>577</v>
      </c>
      <c r="K3766" t="s">
        <v>727</v>
      </c>
      <c r="L3766" t="s">
        <v>93</v>
      </c>
      <c r="M3766" t="s">
        <v>217</v>
      </c>
      <c r="N3766" t="s">
        <v>191</v>
      </c>
      <c r="O3766" t="s">
        <v>1401</v>
      </c>
    </row>
    <row r="3767" spans="1:15" x14ac:dyDescent="0.3">
      <c r="A3767" t="s">
        <v>26</v>
      </c>
      <c r="B3767" t="s">
        <v>308</v>
      </c>
      <c r="C3767">
        <v>38</v>
      </c>
      <c r="D3767" t="s">
        <v>925</v>
      </c>
      <c r="E3767" t="s">
        <v>135</v>
      </c>
      <c r="F3767" t="s">
        <v>214</v>
      </c>
      <c r="G3767" t="s">
        <v>190</v>
      </c>
      <c r="H3767" t="s">
        <v>107</v>
      </c>
      <c r="I3767" t="s">
        <v>103</v>
      </c>
      <c r="J3767" t="s">
        <v>1065</v>
      </c>
      <c r="K3767" t="s">
        <v>526</v>
      </c>
      <c r="L3767" t="s">
        <v>1319</v>
      </c>
      <c r="M3767" t="s">
        <v>103</v>
      </c>
      <c r="N3767" t="s">
        <v>136</v>
      </c>
      <c r="O3767" t="s">
        <v>573</v>
      </c>
    </row>
    <row r="3768" spans="1:15" x14ac:dyDescent="0.3">
      <c r="A3768" t="s">
        <v>29</v>
      </c>
      <c r="B3768" t="s">
        <v>311</v>
      </c>
      <c r="C3768">
        <v>414</v>
      </c>
      <c r="D3768" t="s">
        <v>646</v>
      </c>
      <c r="E3768" t="s">
        <v>684</v>
      </c>
      <c r="F3768" t="s">
        <v>467</v>
      </c>
      <c r="G3768" t="s">
        <v>516</v>
      </c>
      <c r="H3768" t="s">
        <v>544</v>
      </c>
      <c r="I3768" t="s">
        <v>201</v>
      </c>
      <c r="J3768" t="s">
        <v>367</v>
      </c>
      <c r="K3768" t="s">
        <v>303</v>
      </c>
      <c r="L3768" t="s">
        <v>543</v>
      </c>
      <c r="M3768" t="s">
        <v>135</v>
      </c>
      <c r="N3768" t="s">
        <v>247</v>
      </c>
      <c r="O3768" t="s">
        <v>225</v>
      </c>
    </row>
    <row r="3769" spans="1:15" x14ac:dyDescent="0.3">
      <c r="A3769" t="s">
        <v>29</v>
      </c>
      <c r="B3769" t="s">
        <v>312</v>
      </c>
      <c r="C3769">
        <v>103</v>
      </c>
      <c r="D3769" t="s">
        <v>682</v>
      </c>
      <c r="E3769" t="s">
        <v>124</v>
      </c>
      <c r="F3769" t="s">
        <v>112</v>
      </c>
      <c r="G3769" t="s">
        <v>150</v>
      </c>
      <c r="H3769" t="s">
        <v>918</v>
      </c>
      <c r="I3769" t="s">
        <v>33</v>
      </c>
      <c r="J3769" t="s">
        <v>435</v>
      </c>
      <c r="K3769" t="s">
        <v>457</v>
      </c>
      <c r="L3769" t="s">
        <v>272</v>
      </c>
      <c r="M3769" t="s">
        <v>110</v>
      </c>
      <c r="N3769" t="s">
        <v>649</v>
      </c>
      <c r="O3769" t="s">
        <v>406</v>
      </c>
    </row>
    <row r="3770" spans="1:15" x14ac:dyDescent="0.3">
      <c r="A3770" t="s">
        <v>29</v>
      </c>
      <c r="B3770" t="s">
        <v>308</v>
      </c>
      <c r="C3770">
        <v>13</v>
      </c>
      <c r="D3770" t="s">
        <v>658</v>
      </c>
      <c r="E3770" t="s">
        <v>1200</v>
      </c>
      <c r="F3770" t="s">
        <v>511</v>
      </c>
      <c r="G3770" t="s">
        <v>695</v>
      </c>
      <c r="H3770" t="s">
        <v>695</v>
      </c>
      <c r="I3770" t="s">
        <v>103</v>
      </c>
      <c r="J3770" t="s">
        <v>386</v>
      </c>
      <c r="K3770" t="s">
        <v>1028</v>
      </c>
      <c r="L3770" t="s">
        <v>103</v>
      </c>
      <c r="M3770" t="s">
        <v>99</v>
      </c>
      <c r="N3770" t="s">
        <v>734</v>
      </c>
      <c r="O3770" t="s">
        <v>509</v>
      </c>
    </row>
    <row r="3771" spans="1:15" x14ac:dyDescent="0.3">
      <c r="A3771" t="s">
        <v>28</v>
      </c>
      <c r="B3771" t="s">
        <v>311</v>
      </c>
      <c r="C3771">
        <v>223</v>
      </c>
      <c r="D3771" t="s">
        <v>1093</v>
      </c>
      <c r="E3771" t="s">
        <v>680</v>
      </c>
      <c r="F3771" t="s">
        <v>139</v>
      </c>
      <c r="G3771" t="s">
        <v>1319</v>
      </c>
      <c r="H3771" t="s">
        <v>164</v>
      </c>
      <c r="I3771" t="s">
        <v>125</v>
      </c>
      <c r="J3771" t="s">
        <v>361</v>
      </c>
      <c r="K3771" t="s">
        <v>643</v>
      </c>
      <c r="L3771" t="s">
        <v>201</v>
      </c>
      <c r="M3771" t="s">
        <v>494</v>
      </c>
      <c r="N3771" t="s">
        <v>649</v>
      </c>
      <c r="O3771" t="s">
        <v>1358</v>
      </c>
    </row>
    <row r="3772" spans="1:15" x14ac:dyDescent="0.3">
      <c r="A3772" t="s">
        <v>28</v>
      </c>
      <c r="B3772" t="s">
        <v>312</v>
      </c>
      <c r="C3772">
        <v>93</v>
      </c>
      <c r="D3772" t="s">
        <v>301</v>
      </c>
      <c r="E3772" t="s">
        <v>438</v>
      </c>
      <c r="F3772" t="s">
        <v>93</v>
      </c>
      <c r="G3772" t="s">
        <v>56</v>
      </c>
      <c r="H3772" t="s">
        <v>890</v>
      </c>
      <c r="I3772" t="s">
        <v>98</v>
      </c>
      <c r="J3772" t="s">
        <v>583</v>
      </c>
      <c r="K3772" t="s">
        <v>121</v>
      </c>
      <c r="L3772" t="s">
        <v>467</v>
      </c>
      <c r="M3772" t="s">
        <v>133</v>
      </c>
      <c r="N3772" t="s">
        <v>438</v>
      </c>
      <c r="O3772" t="s">
        <v>395</v>
      </c>
    </row>
    <row r="3773" spans="1:15" x14ac:dyDescent="0.3">
      <c r="A3773" t="s">
        <v>28</v>
      </c>
      <c r="B3773" t="s">
        <v>308</v>
      </c>
      <c r="C3773">
        <v>1</v>
      </c>
      <c r="D3773" t="s">
        <v>103</v>
      </c>
      <c r="E3773" t="s">
        <v>103</v>
      </c>
      <c r="F3773" t="s">
        <v>103</v>
      </c>
      <c r="G3773" t="s">
        <v>103</v>
      </c>
      <c r="H3773" t="s">
        <v>103</v>
      </c>
      <c r="I3773" t="s">
        <v>103</v>
      </c>
      <c r="J3773" t="s">
        <v>103</v>
      </c>
      <c r="K3773" t="s">
        <v>103</v>
      </c>
      <c r="L3773" t="s">
        <v>103</v>
      </c>
      <c r="M3773" t="s">
        <v>103</v>
      </c>
      <c r="N3773" t="s">
        <v>103</v>
      </c>
      <c r="O3773" t="s">
        <v>192</v>
      </c>
    </row>
    <row r="3774" spans="1:15" x14ac:dyDescent="0.3">
      <c r="A3774" t="s">
        <v>27</v>
      </c>
      <c r="B3774" t="s">
        <v>311</v>
      </c>
      <c r="C3774">
        <v>237</v>
      </c>
      <c r="D3774" t="s">
        <v>804</v>
      </c>
      <c r="E3774" t="s">
        <v>1199</v>
      </c>
      <c r="F3774" t="s">
        <v>102</v>
      </c>
      <c r="G3774" t="s">
        <v>512</v>
      </c>
      <c r="H3774" t="s">
        <v>129</v>
      </c>
      <c r="I3774" t="s">
        <v>244</v>
      </c>
      <c r="J3774" t="s">
        <v>372</v>
      </c>
      <c r="K3774" t="s">
        <v>1546</v>
      </c>
      <c r="L3774" t="s">
        <v>517</v>
      </c>
      <c r="M3774" t="s">
        <v>68</v>
      </c>
      <c r="N3774" t="s">
        <v>1006</v>
      </c>
      <c r="O3774" t="s">
        <v>457</v>
      </c>
    </row>
    <row r="3775" spans="1:15" x14ac:dyDescent="0.3">
      <c r="A3775" t="s">
        <v>27</v>
      </c>
      <c r="B3775" t="s">
        <v>312</v>
      </c>
      <c r="C3775">
        <v>60</v>
      </c>
      <c r="D3775" t="s">
        <v>399</v>
      </c>
      <c r="E3775" t="s">
        <v>568</v>
      </c>
      <c r="F3775" t="s">
        <v>232</v>
      </c>
      <c r="G3775" t="s">
        <v>643</v>
      </c>
      <c r="H3775" t="s">
        <v>654</v>
      </c>
      <c r="I3775" t="s">
        <v>97</v>
      </c>
      <c r="J3775" t="s">
        <v>791</v>
      </c>
      <c r="K3775" t="s">
        <v>375</v>
      </c>
      <c r="L3775" t="s">
        <v>687</v>
      </c>
      <c r="M3775" t="s">
        <v>601</v>
      </c>
      <c r="N3775" t="s">
        <v>540</v>
      </c>
      <c r="O3775" t="s">
        <v>699</v>
      </c>
    </row>
    <row r="3776" spans="1:15" x14ac:dyDescent="0.3">
      <c r="A3776" t="s">
        <v>27</v>
      </c>
      <c r="B3776" t="s">
        <v>308</v>
      </c>
      <c r="C3776">
        <v>3</v>
      </c>
      <c r="D3776" t="s">
        <v>527</v>
      </c>
      <c r="E3776" t="s">
        <v>527</v>
      </c>
      <c r="F3776" t="s">
        <v>103</v>
      </c>
      <c r="G3776" t="s">
        <v>527</v>
      </c>
      <c r="H3776" t="s">
        <v>527</v>
      </c>
      <c r="I3776" t="s">
        <v>103</v>
      </c>
      <c r="J3776" t="s">
        <v>527</v>
      </c>
      <c r="K3776" t="s">
        <v>527</v>
      </c>
      <c r="L3776" t="s">
        <v>103</v>
      </c>
      <c r="M3776" t="s">
        <v>103</v>
      </c>
      <c r="N3776" t="s">
        <v>103</v>
      </c>
      <c r="O3776" t="s">
        <v>943</v>
      </c>
    </row>
    <row r="3777" spans="1:15" x14ac:dyDescent="0.3">
      <c r="A3777" t="s">
        <v>41</v>
      </c>
      <c r="B3777" t="s">
        <v>311</v>
      </c>
      <c r="C3777">
        <v>1541</v>
      </c>
      <c r="D3777" t="s">
        <v>927</v>
      </c>
      <c r="E3777" t="s">
        <v>1198</v>
      </c>
      <c r="F3777" t="s">
        <v>195</v>
      </c>
      <c r="G3777" t="s">
        <v>106</v>
      </c>
      <c r="H3777" t="s">
        <v>157</v>
      </c>
      <c r="I3777" t="s">
        <v>188</v>
      </c>
      <c r="J3777" t="s">
        <v>421</v>
      </c>
      <c r="K3777" t="s">
        <v>455</v>
      </c>
      <c r="L3777" t="s">
        <v>127</v>
      </c>
      <c r="M3777" t="s">
        <v>494</v>
      </c>
      <c r="N3777" t="s">
        <v>173</v>
      </c>
      <c r="O3777" t="s">
        <v>928</v>
      </c>
    </row>
    <row r="3778" spans="1:15" x14ac:dyDescent="0.3">
      <c r="A3778" t="s">
        <v>41</v>
      </c>
      <c r="B3778" t="s">
        <v>312</v>
      </c>
      <c r="C3778">
        <v>432</v>
      </c>
      <c r="D3778" t="s">
        <v>475</v>
      </c>
      <c r="E3778" t="s">
        <v>511</v>
      </c>
      <c r="F3778" t="s">
        <v>188</v>
      </c>
      <c r="G3778" t="s">
        <v>813</v>
      </c>
      <c r="H3778" t="s">
        <v>543</v>
      </c>
      <c r="I3778" t="s">
        <v>68</v>
      </c>
      <c r="J3778" t="s">
        <v>534</v>
      </c>
      <c r="K3778" t="s">
        <v>569</v>
      </c>
      <c r="L3778" t="s">
        <v>186</v>
      </c>
      <c r="M3778" t="s">
        <v>438</v>
      </c>
      <c r="N3778" t="s">
        <v>481</v>
      </c>
      <c r="O3778" t="s">
        <v>298</v>
      </c>
    </row>
    <row r="3779" spans="1:15" x14ac:dyDescent="0.3">
      <c r="A3779" t="s">
        <v>41</v>
      </c>
      <c r="B3779" t="s">
        <v>308</v>
      </c>
      <c r="C3779">
        <v>65</v>
      </c>
      <c r="D3779" t="s">
        <v>469</v>
      </c>
      <c r="E3779" t="s">
        <v>268</v>
      </c>
      <c r="F3779" t="s">
        <v>284</v>
      </c>
      <c r="G3779" t="s">
        <v>463</v>
      </c>
      <c r="H3779" t="s">
        <v>737</v>
      </c>
      <c r="I3779" t="s">
        <v>103</v>
      </c>
      <c r="J3779" t="s">
        <v>792</v>
      </c>
      <c r="K3779" t="s">
        <v>691</v>
      </c>
      <c r="L3779" t="s">
        <v>130</v>
      </c>
      <c r="M3779" t="s">
        <v>108</v>
      </c>
      <c r="N3779" t="s">
        <v>516</v>
      </c>
      <c r="O3779" t="s">
        <v>546</v>
      </c>
    </row>
    <row r="3781" spans="1:15" x14ac:dyDescent="0.3">
      <c r="A3781" t="s">
        <v>1547</v>
      </c>
    </row>
    <row r="3782" spans="1:15" x14ac:dyDescent="0.3">
      <c r="A3782" t="s">
        <v>36</v>
      </c>
      <c r="B3782" t="s">
        <v>197</v>
      </c>
      <c r="C3782" t="s">
        <v>24</v>
      </c>
      <c r="D3782" t="s">
        <v>1532</v>
      </c>
      <c r="E3782" t="s">
        <v>1533</v>
      </c>
      <c r="F3782" t="s">
        <v>1534</v>
      </c>
      <c r="G3782" t="s">
        <v>1535</v>
      </c>
      <c r="H3782" t="s">
        <v>1536</v>
      </c>
      <c r="I3782" t="s">
        <v>1537</v>
      </c>
      <c r="J3782" t="s">
        <v>1538</v>
      </c>
      <c r="K3782" t="s">
        <v>1539</v>
      </c>
      <c r="L3782" t="s">
        <v>1540</v>
      </c>
      <c r="M3782" t="s">
        <v>1541</v>
      </c>
      <c r="N3782" t="s">
        <v>1542</v>
      </c>
      <c r="O3782" t="s">
        <v>1543</v>
      </c>
    </row>
    <row r="3783" spans="1:15" x14ac:dyDescent="0.3">
      <c r="A3783" t="s">
        <v>25</v>
      </c>
      <c r="B3783" t="s">
        <v>198</v>
      </c>
      <c r="C3783">
        <v>104</v>
      </c>
      <c r="D3783" t="s">
        <v>687</v>
      </c>
      <c r="E3783" t="s">
        <v>918</v>
      </c>
      <c r="F3783" t="s">
        <v>98</v>
      </c>
      <c r="G3783" t="s">
        <v>104</v>
      </c>
      <c r="H3783" t="s">
        <v>205</v>
      </c>
      <c r="I3783" t="s">
        <v>245</v>
      </c>
      <c r="J3783" t="s">
        <v>129</v>
      </c>
      <c r="K3783" t="s">
        <v>295</v>
      </c>
      <c r="L3783" t="s">
        <v>205</v>
      </c>
      <c r="M3783" t="s">
        <v>1319</v>
      </c>
      <c r="N3783" t="s">
        <v>900</v>
      </c>
      <c r="O3783" t="s">
        <v>231</v>
      </c>
    </row>
    <row r="3784" spans="1:15" x14ac:dyDescent="0.3">
      <c r="A3784" t="s">
        <v>25</v>
      </c>
      <c r="B3784" t="s">
        <v>199</v>
      </c>
      <c r="C3784">
        <v>310</v>
      </c>
      <c r="D3784" t="s">
        <v>649</v>
      </c>
      <c r="E3784" t="s">
        <v>123</v>
      </c>
      <c r="F3784" t="s">
        <v>270</v>
      </c>
      <c r="G3784" t="s">
        <v>62</v>
      </c>
      <c r="H3784" t="s">
        <v>70</v>
      </c>
      <c r="I3784" t="s">
        <v>93</v>
      </c>
      <c r="J3784" t="s">
        <v>1213</v>
      </c>
      <c r="K3784" t="s">
        <v>825</v>
      </c>
      <c r="L3784" t="s">
        <v>232</v>
      </c>
      <c r="M3784" t="s">
        <v>452</v>
      </c>
      <c r="N3784" t="s">
        <v>706</v>
      </c>
      <c r="O3784" t="s">
        <v>931</v>
      </c>
    </row>
    <row r="3785" spans="1:15" x14ac:dyDescent="0.3">
      <c r="A3785" t="s">
        <v>26</v>
      </c>
      <c r="B3785" t="s">
        <v>198</v>
      </c>
      <c r="C3785">
        <v>41</v>
      </c>
      <c r="D3785" t="s">
        <v>523</v>
      </c>
      <c r="E3785" t="s">
        <v>697</v>
      </c>
      <c r="F3785" t="s">
        <v>531</v>
      </c>
      <c r="G3785" t="s">
        <v>935</v>
      </c>
      <c r="H3785" t="s">
        <v>472</v>
      </c>
      <c r="I3785" t="s">
        <v>113</v>
      </c>
      <c r="J3785" t="s">
        <v>540</v>
      </c>
      <c r="K3785" t="s">
        <v>297</v>
      </c>
      <c r="L3785" t="s">
        <v>118</v>
      </c>
      <c r="M3785" t="s">
        <v>103</v>
      </c>
      <c r="N3785" t="s">
        <v>214</v>
      </c>
      <c r="O3785" t="s">
        <v>1284</v>
      </c>
    </row>
    <row r="3786" spans="1:15" x14ac:dyDescent="0.3">
      <c r="A3786" t="s">
        <v>26</v>
      </c>
      <c r="B3786" t="s">
        <v>199</v>
      </c>
      <c r="C3786">
        <v>436</v>
      </c>
      <c r="D3786" t="s">
        <v>1319</v>
      </c>
      <c r="E3786" t="s">
        <v>117</v>
      </c>
      <c r="F3786" t="s">
        <v>270</v>
      </c>
      <c r="G3786" t="s">
        <v>544</v>
      </c>
      <c r="H3786" t="s">
        <v>137</v>
      </c>
      <c r="I3786" t="s">
        <v>341</v>
      </c>
      <c r="J3786" t="s">
        <v>919</v>
      </c>
      <c r="K3786" t="s">
        <v>651</v>
      </c>
      <c r="L3786" t="s">
        <v>615</v>
      </c>
      <c r="M3786" t="s">
        <v>467</v>
      </c>
      <c r="N3786" t="s">
        <v>481</v>
      </c>
      <c r="O3786" t="s">
        <v>362</v>
      </c>
    </row>
    <row r="3787" spans="1:15" x14ac:dyDescent="0.3">
      <c r="A3787" t="s">
        <v>29</v>
      </c>
      <c r="B3787" t="s">
        <v>198</v>
      </c>
      <c r="C3787">
        <v>170</v>
      </c>
      <c r="D3787" t="s">
        <v>505</v>
      </c>
      <c r="E3787" t="s">
        <v>552</v>
      </c>
      <c r="F3787" t="s">
        <v>466</v>
      </c>
      <c r="G3787" t="s">
        <v>48</v>
      </c>
      <c r="H3787" t="s">
        <v>578</v>
      </c>
      <c r="I3787" t="s">
        <v>68</v>
      </c>
      <c r="J3787" t="s">
        <v>361</v>
      </c>
      <c r="K3787" t="s">
        <v>530</v>
      </c>
      <c r="L3787" t="s">
        <v>459</v>
      </c>
      <c r="M3787" t="s">
        <v>575</v>
      </c>
      <c r="N3787" t="s">
        <v>460</v>
      </c>
      <c r="O3787" t="s">
        <v>1257</v>
      </c>
    </row>
    <row r="3788" spans="1:15" x14ac:dyDescent="0.3">
      <c r="A3788" t="s">
        <v>29</v>
      </c>
      <c r="B3788" t="s">
        <v>199</v>
      </c>
      <c r="C3788">
        <v>360</v>
      </c>
      <c r="D3788" t="s">
        <v>732</v>
      </c>
      <c r="E3788" t="s">
        <v>505</v>
      </c>
      <c r="F3788" t="s">
        <v>266</v>
      </c>
      <c r="G3788" t="s">
        <v>700</v>
      </c>
      <c r="H3788" t="s">
        <v>62</v>
      </c>
      <c r="I3788" t="s">
        <v>284</v>
      </c>
      <c r="J3788" t="s">
        <v>530</v>
      </c>
      <c r="K3788" t="s">
        <v>455</v>
      </c>
      <c r="L3788" t="s">
        <v>737</v>
      </c>
      <c r="M3788" t="s">
        <v>571</v>
      </c>
      <c r="N3788" t="s">
        <v>269</v>
      </c>
      <c r="O3788" t="s">
        <v>1295</v>
      </c>
    </row>
    <row r="3789" spans="1:15" x14ac:dyDescent="0.3">
      <c r="A3789" t="s">
        <v>28</v>
      </c>
      <c r="B3789" t="s">
        <v>198</v>
      </c>
      <c r="C3789">
        <v>70</v>
      </c>
      <c r="D3789" t="s">
        <v>1251</v>
      </c>
      <c r="E3789" t="s">
        <v>561</v>
      </c>
      <c r="F3789" t="s">
        <v>214</v>
      </c>
      <c r="G3789" t="s">
        <v>556</v>
      </c>
      <c r="H3789" t="s">
        <v>528</v>
      </c>
      <c r="I3789" t="s">
        <v>107</v>
      </c>
      <c r="J3789" t="s">
        <v>802</v>
      </c>
      <c r="K3789" t="s">
        <v>793</v>
      </c>
      <c r="L3789" t="s">
        <v>107</v>
      </c>
      <c r="M3789" t="s">
        <v>103</v>
      </c>
      <c r="N3789" t="s">
        <v>60</v>
      </c>
      <c r="O3789" t="s">
        <v>729</v>
      </c>
    </row>
    <row r="3790" spans="1:15" x14ac:dyDescent="0.3">
      <c r="A3790" t="s">
        <v>28</v>
      </c>
      <c r="B3790" t="s">
        <v>199</v>
      </c>
      <c r="C3790">
        <v>247</v>
      </c>
      <c r="D3790" t="s">
        <v>526</v>
      </c>
      <c r="E3790" t="s">
        <v>224</v>
      </c>
      <c r="F3790" t="s">
        <v>103</v>
      </c>
      <c r="G3790" t="s">
        <v>175</v>
      </c>
      <c r="H3790" t="s">
        <v>157</v>
      </c>
      <c r="I3790" t="s">
        <v>257</v>
      </c>
      <c r="J3790" t="s">
        <v>670</v>
      </c>
      <c r="K3790" t="s">
        <v>261</v>
      </c>
      <c r="L3790" t="s">
        <v>186</v>
      </c>
      <c r="M3790" t="s">
        <v>482</v>
      </c>
      <c r="N3790" t="s">
        <v>737</v>
      </c>
      <c r="O3790" t="s">
        <v>294</v>
      </c>
    </row>
    <row r="3791" spans="1:15" x14ac:dyDescent="0.3">
      <c r="A3791" t="s">
        <v>27</v>
      </c>
      <c r="B3791" t="s">
        <v>198</v>
      </c>
      <c r="C3791">
        <v>136</v>
      </c>
      <c r="D3791" t="s">
        <v>1089</v>
      </c>
      <c r="E3791" t="s">
        <v>538</v>
      </c>
      <c r="F3791" t="s">
        <v>113</v>
      </c>
      <c r="G3791" t="s">
        <v>567</v>
      </c>
      <c r="H3791" t="s">
        <v>921</v>
      </c>
      <c r="I3791" t="s">
        <v>281</v>
      </c>
      <c r="J3791" t="s">
        <v>793</v>
      </c>
      <c r="K3791" t="s">
        <v>401</v>
      </c>
      <c r="L3791" t="s">
        <v>90</v>
      </c>
      <c r="M3791" t="s">
        <v>270</v>
      </c>
      <c r="N3791" t="s">
        <v>659</v>
      </c>
      <c r="O3791" t="s">
        <v>109</v>
      </c>
    </row>
    <row r="3792" spans="1:15" x14ac:dyDescent="0.3">
      <c r="A3792" t="s">
        <v>27</v>
      </c>
      <c r="B3792" t="s">
        <v>199</v>
      </c>
      <c r="C3792">
        <v>164</v>
      </c>
      <c r="D3792" t="s">
        <v>1021</v>
      </c>
      <c r="E3792" t="s">
        <v>770</v>
      </c>
      <c r="F3792" t="s">
        <v>102</v>
      </c>
      <c r="G3792" t="s">
        <v>362</v>
      </c>
      <c r="H3792" t="s">
        <v>382</v>
      </c>
      <c r="I3792" t="s">
        <v>750</v>
      </c>
      <c r="J3792" t="s">
        <v>1209</v>
      </c>
      <c r="K3792" t="s">
        <v>363</v>
      </c>
      <c r="L3792" t="s">
        <v>475</v>
      </c>
      <c r="M3792" t="s">
        <v>281</v>
      </c>
      <c r="N3792" t="s">
        <v>358</v>
      </c>
      <c r="O3792" t="s">
        <v>660</v>
      </c>
    </row>
    <row r="3793" spans="1:15" x14ac:dyDescent="0.3">
      <c r="A3793" t="s">
        <v>41</v>
      </c>
      <c r="B3793" t="s">
        <v>198</v>
      </c>
      <c r="C3793">
        <v>521</v>
      </c>
      <c r="D3793" t="s">
        <v>582</v>
      </c>
      <c r="E3793" t="s">
        <v>706</v>
      </c>
      <c r="F3793" t="s">
        <v>284</v>
      </c>
      <c r="G3793" t="s">
        <v>672</v>
      </c>
      <c r="H3793" t="s">
        <v>550</v>
      </c>
      <c r="I3793" t="s">
        <v>272</v>
      </c>
      <c r="J3793" t="s">
        <v>1202</v>
      </c>
      <c r="K3793" t="s">
        <v>418</v>
      </c>
      <c r="L3793" t="s">
        <v>262</v>
      </c>
      <c r="M3793" t="s">
        <v>126</v>
      </c>
      <c r="N3793" t="s">
        <v>148</v>
      </c>
      <c r="O3793" t="s">
        <v>423</v>
      </c>
    </row>
    <row r="3794" spans="1:15" x14ac:dyDescent="0.3">
      <c r="A3794" t="s">
        <v>41</v>
      </c>
      <c r="B3794" t="s">
        <v>199</v>
      </c>
      <c r="C3794">
        <v>1517</v>
      </c>
      <c r="D3794" t="s">
        <v>485</v>
      </c>
      <c r="E3794" t="s">
        <v>331</v>
      </c>
      <c r="F3794" t="s">
        <v>266</v>
      </c>
      <c r="G3794" t="s">
        <v>813</v>
      </c>
      <c r="H3794" t="s">
        <v>191</v>
      </c>
      <c r="I3794" t="s">
        <v>493</v>
      </c>
      <c r="J3794" t="s">
        <v>303</v>
      </c>
      <c r="K3794" t="s">
        <v>1227</v>
      </c>
      <c r="L3794" t="s">
        <v>190</v>
      </c>
      <c r="M3794" t="s">
        <v>594</v>
      </c>
      <c r="N3794" t="s">
        <v>524</v>
      </c>
      <c r="O3794" t="s">
        <v>401</v>
      </c>
    </row>
    <row r="3796" spans="1:15" x14ac:dyDescent="0.3">
      <c r="A3796" t="s">
        <v>1548</v>
      </c>
    </row>
    <row r="3797" spans="1:15" x14ac:dyDescent="0.3">
      <c r="A3797" t="s">
        <v>36</v>
      </c>
      <c r="B3797" t="s">
        <v>1233</v>
      </c>
      <c r="C3797" t="s">
        <v>24</v>
      </c>
      <c r="D3797" t="s">
        <v>1532</v>
      </c>
      <c r="E3797" t="s">
        <v>1533</v>
      </c>
      <c r="F3797" t="s">
        <v>1534</v>
      </c>
      <c r="G3797" t="s">
        <v>1535</v>
      </c>
      <c r="H3797" t="s">
        <v>1536</v>
      </c>
      <c r="I3797" t="s">
        <v>1537</v>
      </c>
      <c r="J3797" t="s">
        <v>1538</v>
      </c>
      <c r="K3797" t="s">
        <v>1539</v>
      </c>
      <c r="L3797" t="s">
        <v>1540</v>
      </c>
      <c r="M3797" t="s">
        <v>1541</v>
      </c>
      <c r="N3797" t="s">
        <v>1542</v>
      </c>
      <c r="O3797" t="s">
        <v>1543</v>
      </c>
    </row>
    <row r="3798" spans="1:15" x14ac:dyDescent="0.3">
      <c r="A3798" t="s">
        <v>25</v>
      </c>
      <c r="B3798" t="s">
        <v>1234</v>
      </c>
      <c r="C3798">
        <v>257</v>
      </c>
      <c r="D3798" t="s">
        <v>544</v>
      </c>
      <c r="E3798" t="s">
        <v>528</v>
      </c>
      <c r="F3798" t="s">
        <v>467</v>
      </c>
      <c r="G3798" t="s">
        <v>543</v>
      </c>
      <c r="H3798" t="s">
        <v>452</v>
      </c>
      <c r="I3798" t="s">
        <v>341</v>
      </c>
      <c r="J3798" t="s">
        <v>698</v>
      </c>
      <c r="K3798" t="s">
        <v>569</v>
      </c>
      <c r="L3798" t="s">
        <v>33</v>
      </c>
      <c r="M3798" t="s">
        <v>242</v>
      </c>
      <c r="N3798" t="s">
        <v>525</v>
      </c>
      <c r="O3798" t="s">
        <v>1025</v>
      </c>
    </row>
    <row r="3799" spans="1:15" s="3" customFormat="1" x14ac:dyDescent="0.3">
      <c r="A3799" s="3" t="s">
        <v>25</v>
      </c>
      <c r="B3799" s="3" t="s">
        <v>1235</v>
      </c>
      <c r="C3799" s="3">
        <v>25</v>
      </c>
      <c r="D3799" s="3" t="s">
        <v>244</v>
      </c>
      <c r="E3799" s="3" t="s">
        <v>191</v>
      </c>
      <c r="F3799" s="3" t="s">
        <v>662</v>
      </c>
      <c r="G3799" s="3" t="s">
        <v>1219</v>
      </c>
      <c r="H3799" s="3" t="s">
        <v>191</v>
      </c>
      <c r="I3799" s="3" t="s">
        <v>103</v>
      </c>
      <c r="J3799" s="3" t="s">
        <v>357</v>
      </c>
      <c r="K3799" s="3" t="s">
        <v>458</v>
      </c>
      <c r="L3799" s="3" t="s">
        <v>697</v>
      </c>
      <c r="M3799" s="3" t="s">
        <v>554</v>
      </c>
      <c r="N3799" s="3" t="s">
        <v>561</v>
      </c>
      <c r="O3799" s="3" t="s">
        <v>893</v>
      </c>
    </row>
    <row r="3800" spans="1:15" x14ac:dyDescent="0.3">
      <c r="A3800" t="s">
        <v>25</v>
      </c>
      <c r="B3800" t="s">
        <v>1237</v>
      </c>
      <c r="C3800">
        <v>132</v>
      </c>
      <c r="D3800" t="s">
        <v>254</v>
      </c>
      <c r="E3800" t="s">
        <v>102</v>
      </c>
      <c r="F3800" t="s">
        <v>103</v>
      </c>
      <c r="G3800" t="s">
        <v>90</v>
      </c>
      <c r="H3800" t="s">
        <v>33</v>
      </c>
      <c r="I3800" t="s">
        <v>195</v>
      </c>
      <c r="J3800" t="s">
        <v>746</v>
      </c>
      <c r="K3800" t="s">
        <v>654</v>
      </c>
      <c r="L3800" t="s">
        <v>232</v>
      </c>
      <c r="M3800" t="s">
        <v>284</v>
      </c>
      <c r="N3800" t="s">
        <v>471</v>
      </c>
      <c r="O3800" t="s">
        <v>678</v>
      </c>
    </row>
    <row r="3801" spans="1:15" x14ac:dyDescent="0.3">
      <c r="A3801" t="s">
        <v>26</v>
      </c>
      <c r="B3801" t="s">
        <v>1234</v>
      </c>
      <c r="C3801">
        <v>296</v>
      </c>
      <c r="D3801" t="s">
        <v>807</v>
      </c>
      <c r="E3801" t="s">
        <v>566</v>
      </c>
      <c r="F3801" t="s">
        <v>105</v>
      </c>
      <c r="G3801" t="s">
        <v>495</v>
      </c>
      <c r="H3801" t="s">
        <v>157</v>
      </c>
      <c r="I3801" t="s">
        <v>266</v>
      </c>
      <c r="J3801" t="s">
        <v>490</v>
      </c>
      <c r="K3801" t="s">
        <v>746</v>
      </c>
      <c r="L3801" t="s">
        <v>251</v>
      </c>
      <c r="M3801" t="s">
        <v>467</v>
      </c>
      <c r="N3801" t="s">
        <v>918</v>
      </c>
      <c r="O3801" t="s">
        <v>391</v>
      </c>
    </row>
    <row r="3802" spans="1:15" x14ac:dyDescent="0.3">
      <c r="A3802" t="s">
        <v>26</v>
      </c>
      <c r="B3802" t="s">
        <v>1235</v>
      </c>
      <c r="C3802">
        <v>37</v>
      </c>
      <c r="D3802" t="s">
        <v>1219</v>
      </c>
      <c r="E3802" t="s">
        <v>552</v>
      </c>
      <c r="F3802" t="s">
        <v>707</v>
      </c>
      <c r="G3802" t="s">
        <v>62</v>
      </c>
      <c r="H3802" t="s">
        <v>558</v>
      </c>
      <c r="I3802" t="s">
        <v>103</v>
      </c>
      <c r="J3802" t="s">
        <v>661</v>
      </c>
      <c r="K3802" t="s">
        <v>1196</v>
      </c>
      <c r="L3802" t="s">
        <v>128</v>
      </c>
      <c r="M3802" t="s">
        <v>270</v>
      </c>
      <c r="N3802" t="s">
        <v>56</v>
      </c>
      <c r="O3802" t="s">
        <v>134</v>
      </c>
    </row>
    <row r="3803" spans="1:15" x14ac:dyDescent="0.3">
      <c r="A3803" t="s">
        <v>26</v>
      </c>
      <c r="B3803" t="s">
        <v>1237</v>
      </c>
      <c r="C3803">
        <v>144</v>
      </c>
      <c r="D3803" t="s">
        <v>475</v>
      </c>
      <c r="E3803" t="s">
        <v>270</v>
      </c>
      <c r="F3803" t="s">
        <v>103</v>
      </c>
      <c r="G3803" t="s">
        <v>62</v>
      </c>
      <c r="H3803" t="s">
        <v>94</v>
      </c>
      <c r="I3803" t="s">
        <v>282</v>
      </c>
      <c r="J3803" t="s">
        <v>645</v>
      </c>
      <c r="K3803" t="s">
        <v>688</v>
      </c>
      <c r="L3803" t="s">
        <v>139</v>
      </c>
      <c r="M3803" t="s">
        <v>64</v>
      </c>
      <c r="N3803" t="s">
        <v>101</v>
      </c>
      <c r="O3803" t="s">
        <v>1029</v>
      </c>
    </row>
    <row r="3804" spans="1:15" x14ac:dyDescent="0.3">
      <c r="A3804" t="s">
        <v>29</v>
      </c>
      <c r="B3804" t="s">
        <v>1234</v>
      </c>
      <c r="C3804">
        <v>372</v>
      </c>
      <c r="D3804" t="s">
        <v>658</v>
      </c>
      <c r="E3804" t="s">
        <v>398</v>
      </c>
      <c r="F3804" t="s">
        <v>438</v>
      </c>
      <c r="G3804" t="s">
        <v>54</v>
      </c>
      <c r="H3804" t="s">
        <v>148</v>
      </c>
      <c r="I3804" t="s">
        <v>33</v>
      </c>
      <c r="J3804" t="s">
        <v>490</v>
      </c>
      <c r="K3804" t="s">
        <v>1097</v>
      </c>
      <c r="L3804" t="s">
        <v>693</v>
      </c>
      <c r="M3804" t="s">
        <v>137</v>
      </c>
      <c r="N3804" t="s">
        <v>119</v>
      </c>
      <c r="O3804" t="s">
        <v>1284</v>
      </c>
    </row>
    <row r="3805" spans="1:15" x14ac:dyDescent="0.3">
      <c r="A3805" t="s">
        <v>29</v>
      </c>
      <c r="B3805" t="s">
        <v>1235</v>
      </c>
      <c r="C3805">
        <v>38</v>
      </c>
      <c r="D3805" t="s">
        <v>1219</v>
      </c>
      <c r="E3805" t="s">
        <v>685</v>
      </c>
      <c r="F3805" t="s">
        <v>727</v>
      </c>
      <c r="G3805" t="s">
        <v>515</v>
      </c>
      <c r="H3805" t="s">
        <v>488</v>
      </c>
      <c r="I3805" t="s">
        <v>103</v>
      </c>
      <c r="J3805" t="s">
        <v>1050</v>
      </c>
      <c r="K3805" t="s">
        <v>655</v>
      </c>
      <c r="L3805" t="s">
        <v>33</v>
      </c>
      <c r="M3805" t="s">
        <v>103</v>
      </c>
      <c r="N3805" t="s">
        <v>467</v>
      </c>
      <c r="O3805" t="s">
        <v>748</v>
      </c>
    </row>
    <row r="3806" spans="1:15" x14ac:dyDescent="0.3">
      <c r="A3806" t="s">
        <v>29</v>
      </c>
      <c r="B3806" t="s">
        <v>1237</v>
      </c>
      <c r="C3806">
        <v>120</v>
      </c>
      <c r="D3806" t="s">
        <v>506</v>
      </c>
      <c r="E3806" t="s">
        <v>813</v>
      </c>
      <c r="F3806" t="s">
        <v>103</v>
      </c>
      <c r="G3806" t="s">
        <v>119</v>
      </c>
      <c r="H3806" t="s">
        <v>459</v>
      </c>
      <c r="I3806" t="s">
        <v>107</v>
      </c>
      <c r="J3806" t="s">
        <v>858</v>
      </c>
      <c r="K3806" t="s">
        <v>1223</v>
      </c>
      <c r="L3806" t="s">
        <v>108</v>
      </c>
      <c r="M3806" t="s">
        <v>90</v>
      </c>
      <c r="N3806" t="s">
        <v>594</v>
      </c>
      <c r="O3806" t="s">
        <v>1009</v>
      </c>
    </row>
    <row r="3807" spans="1:15" x14ac:dyDescent="0.3">
      <c r="A3807" t="s">
        <v>28</v>
      </c>
      <c r="B3807" t="s">
        <v>1234</v>
      </c>
      <c r="C3807">
        <v>126</v>
      </c>
      <c r="D3807" t="s">
        <v>301</v>
      </c>
      <c r="E3807" t="s">
        <v>570</v>
      </c>
      <c r="F3807" t="s">
        <v>329</v>
      </c>
      <c r="G3807" t="s">
        <v>697</v>
      </c>
      <c r="H3807" t="s">
        <v>700</v>
      </c>
      <c r="I3807" t="s">
        <v>98</v>
      </c>
      <c r="J3807" t="s">
        <v>655</v>
      </c>
      <c r="K3807" t="s">
        <v>1200</v>
      </c>
      <c r="L3807" t="s">
        <v>266</v>
      </c>
      <c r="M3807" t="s">
        <v>272</v>
      </c>
      <c r="N3807" t="s">
        <v>90</v>
      </c>
      <c r="O3807" t="s">
        <v>231</v>
      </c>
    </row>
    <row r="3808" spans="1:15" s="3" customFormat="1" x14ac:dyDescent="0.3">
      <c r="A3808" s="3" t="s">
        <v>28</v>
      </c>
      <c r="B3808" s="3" t="s">
        <v>1235</v>
      </c>
      <c r="C3808" s="3">
        <v>17</v>
      </c>
      <c r="D3808" s="3" t="s">
        <v>256</v>
      </c>
      <c r="E3808" s="3" t="s">
        <v>256</v>
      </c>
      <c r="F3808" s="3" t="s">
        <v>140</v>
      </c>
      <c r="G3808" s="3" t="s">
        <v>140</v>
      </c>
      <c r="H3808" s="3" t="s">
        <v>103</v>
      </c>
      <c r="I3808" s="3" t="s">
        <v>438</v>
      </c>
      <c r="J3808" s="3" t="s">
        <v>1007</v>
      </c>
      <c r="K3808" s="3" t="s">
        <v>646</v>
      </c>
      <c r="L3808" s="3" t="s">
        <v>103</v>
      </c>
      <c r="M3808" s="3" t="s">
        <v>103</v>
      </c>
      <c r="N3808" s="3" t="s">
        <v>743</v>
      </c>
      <c r="O3808" s="3" t="s">
        <v>1228</v>
      </c>
    </row>
    <row r="3809" spans="1:15" x14ac:dyDescent="0.3">
      <c r="A3809" t="s">
        <v>28</v>
      </c>
      <c r="B3809" t="s">
        <v>1237</v>
      </c>
      <c r="C3809">
        <v>174</v>
      </c>
      <c r="D3809" t="s">
        <v>674</v>
      </c>
      <c r="E3809" t="s">
        <v>115</v>
      </c>
      <c r="F3809" t="s">
        <v>103</v>
      </c>
      <c r="G3809" t="s">
        <v>516</v>
      </c>
      <c r="H3809" t="s">
        <v>925</v>
      </c>
      <c r="I3809" t="s">
        <v>107</v>
      </c>
      <c r="J3809" t="s">
        <v>564</v>
      </c>
      <c r="K3809" t="s">
        <v>1070</v>
      </c>
      <c r="L3809" t="s">
        <v>112</v>
      </c>
      <c r="M3809" t="s">
        <v>652</v>
      </c>
      <c r="N3809" t="s">
        <v>100</v>
      </c>
      <c r="O3809" t="s">
        <v>1549</v>
      </c>
    </row>
    <row r="3810" spans="1:15" x14ac:dyDescent="0.3">
      <c r="A3810" t="s">
        <v>27</v>
      </c>
      <c r="B3810" t="s">
        <v>1234</v>
      </c>
      <c r="C3810">
        <v>149</v>
      </c>
      <c r="D3810" t="s">
        <v>1000</v>
      </c>
      <c r="E3810" t="s">
        <v>838</v>
      </c>
      <c r="F3810" t="s">
        <v>266</v>
      </c>
      <c r="G3810" t="s">
        <v>462</v>
      </c>
      <c r="H3810" t="s">
        <v>670</v>
      </c>
      <c r="I3810" t="s">
        <v>517</v>
      </c>
      <c r="J3810" t="s">
        <v>419</v>
      </c>
      <c r="K3810" t="s">
        <v>1236</v>
      </c>
      <c r="L3810" t="s">
        <v>99</v>
      </c>
      <c r="M3810" t="s">
        <v>64</v>
      </c>
      <c r="N3810" t="s">
        <v>1356</v>
      </c>
      <c r="O3810" t="s">
        <v>686</v>
      </c>
    </row>
    <row r="3811" spans="1:15" s="3" customFormat="1" x14ac:dyDescent="0.3">
      <c r="A3811" s="3" t="s">
        <v>27</v>
      </c>
      <c r="B3811" s="3" t="s">
        <v>1235</v>
      </c>
      <c r="C3811" s="3">
        <v>10</v>
      </c>
      <c r="D3811" s="3" t="s">
        <v>791</v>
      </c>
      <c r="E3811" s="3" t="s">
        <v>1354</v>
      </c>
      <c r="F3811" s="3" t="s">
        <v>357</v>
      </c>
      <c r="G3811" s="3" t="s">
        <v>791</v>
      </c>
      <c r="H3811" s="3" t="s">
        <v>1097</v>
      </c>
      <c r="I3811" s="3" t="s">
        <v>680</v>
      </c>
      <c r="J3811" s="3" t="s">
        <v>1354</v>
      </c>
      <c r="K3811" s="3" t="s">
        <v>791</v>
      </c>
      <c r="L3811" s="3" t="s">
        <v>1203</v>
      </c>
      <c r="M3811" s="3" t="s">
        <v>1038</v>
      </c>
      <c r="N3811" s="3" t="s">
        <v>747</v>
      </c>
      <c r="O3811" s="3" t="s">
        <v>807</v>
      </c>
    </row>
    <row r="3812" spans="1:15" x14ac:dyDescent="0.3">
      <c r="A3812" t="s">
        <v>27</v>
      </c>
      <c r="B3812" t="s">
        <v>1237</v>
      </c>
      <c r="C3812">
        <v>141</v>
      </c>
      <c r="D3812" t="s">
        <v>1461</v>
      </c>
      <c r="E3812" t="s">
        <v>659</v>
      </c>
      <c r="F3812" t="s">
        <v>118</v>
      </c>
      <c r="G3812" t="s">
        <v>490</v>
      </c>
      <c r="H3812" t="s">
        <v>477</v>
      </c>
      <c r="I3812" t="s">
        <v>100</v>
      </c>
      <c r="J3812" t="s">
        <v>354</v>
      </c>
      <c r="K3812" t="s">
        <v>933</v>
      </c>
      <c r="L3812" t="s">
        <v>813</v>
      </c>
      <c r="M3812" t="s">
        <v>68</v>
      </c>
      <c r="N3812" t="s">
        <v>1212</v>
      </c>
      <c r="O3812" t="s">
        <v>1206</v>
      </c>
    </row>
    <row r="3813" spans="1:15" x14ac:dyDescent="0.3">
      <c r="A3813" t="s">
        <v>41</v>
      </c>
      <c r="B3813" t="s">
        <v>1234</v>
      </c>
      <c r="C3813">
        <v>1200</v>
      </c>
      <c r="D3813" t="s">
        <v>672</v>
      </c>
      <c r="E3813" t="s">
        <v>1198</v>
      </c>
      <c r="F3813" t="s">
        <v>270</v>
      </c>
      <c r="G3813" t="s">
        <v>273</v>
      </c>
      <c r="H3813" t="s">
        <v>743</v>
      </c>
      <c r="I3813" t="s">
        <v>114</v>
      </c>
      <c r="J3813" t="s">
        <v>492</v>
      </c>
      <c r="K3813" t="s">
        <v>906</v>
      </c>
      <c r="L3813" t="s">
        <v>575</v>
      </c>
      <c r="M3813" t="s">
        <v>60</v>
      </c>
      <c r="N3813" t="s">
        <v>518</v>
      </c>
      <c r="O3813" t="s">
        <v>1250</v>
      </c>
    </row>
    <row r="3814" spans="1:15" x14ac:dyDescent="0.3">
      <c r="A3814" t="s">
        <v>41</v>
      </c>
      <c r="B3814" t="s">
        <v>1235</v>
      </c>
      <c r="C3814">
        <v>127</v>
      </c>
      <c r="D3814" t="s">
        <v>756</v>
      </c>
      <c r="E3814" t="s">
        <v>975</v>
      </c>
      <c r="F3814" t="s">
        <v>474</v>
      </c>
      <c r="G3814" t="s">
        <v>515</v>
      </c>
      <c r="H3814" t="s">
        <v>117</v>
      </c>
      <c r="I3814" t="s">
        <v>120</v>
      </c>
      <c r="J3814" t="s">
        <v>635</v>
      </c>
      <c r="K3814" t="s">
        <v>537</v>
      </c>
      <c r="L3814" t="s">
        <v>494</v>
      </c>
      <c r="M3814" t="s">
        <v>662</v>
      </c>
      <c r="N3814" t="s">
        <v>273</v>
      </c>
      <c r="O3814" t="s">
        <v>1065</v>
      </c>
    </row>
    <row r="3815" spans="1:15" x14ac:dyDescent="0.3">
      <c r="A3815" t="s">
        <v>41</v>
      </c>
      <c r="B3815" t="s">
        <v>1237</v>
      </c>
      <c r="C3815">
        <v>711</v>
      </c>
      <c r="D3815" t="s">
        <v>580</v>
      </c>
      <c r="E3815" t="s">
        <v>543</v>
      </c>
      <c r="F3815" t="s">
        <v>66</v>
      </c>
      <c r="G3815" t="s">
        <v>130</v>
      </c>
      <c r="H3815" t="s">
        <v>191</v>
      </c>
      <c r="I3815" t="s">
        <v>438</v>
      </c>
      <c r="J3815" t="s">
        <v>382</v>
      </c>
      <c r="K3815" t="s">
        <v>788</v>
      </c>
      <c r="L3815" t="s">
        <v>232</v>
      </c>
      <c r="M3815" t="s">
        <v>452</v>
      </c>
      <c r="N3815" t="s">
        <v>743</v>
      </c>
      <c r="O3815" t="s">
        <v>1394</v>
      </c>
    </row>
    <row r="3817" spans="1:15" x14ac:dyDescent="0.3">
      <c r="A3817" t="s">
        <v>1550</v>
      </c>
    </row>
    <row r="3818" spans="1:15" x14ac:dyDescent="0.3">
      <c r="A3818" t="s">
        <v>36</v>
      </c>
      <c r="B3818" t="s">
        <v>210</v>
      </c>
      <c r="C3818" t="s">
        <v>24</v>
      </c>
      <c r="D3818" t="s">
        <v>1532</v>
      </c>
      <c r="E3818" t="s">
        <v>1533</v>
      </c>
      <c r="F3818" t="s">
        <v>1534</v>
      </c>
      <c r="G3818" t="s">
        <v>1535</v>
      </c>
      <c r="H3818" t="s">
        <v>1536</v>
      </c>
      <c r="I3818" t="s">
        <v>1537</v>
      </c>
      <c r="J3818" t="s">
        <v>1538</v>
      </c>
      <c r="K3818" t="s">
        <v>1539</v>
      </c>
      <c r="L3818" t="s">
        <v>1540</v>
      </c>
      <c r="M3818" t="s">
        <v>1541</v>
      </c>
      <c r="N3818" t="s">
        <v>1542</v>
      </c>
      <c r="O3818" t="s">
        <v>1543</v>
      </c>
    </row>
    <row r="3819" spans="1:15" x14ac:dyDescent="0.3">
      <c r="A3819" t="s">
        <v>25</v>
      </c>
      <c r="B3819" t="s">
        <v>211</v>
      </c>
      <c r="C3819">
        <v>414</v>
      </c>
      <c r="D3819" t="s">
        <v>517</v>
      </c>
      <c r="E3819" t="s">
        <v>119</v>
      </c>
      <c r="F3819" t="s">
        <v>118</v>
      </c>
      <c r="G3819" t="s">
        <v>890</v>
      </c>
      <c r="H3819" t="s">
        <v>206</v>
      </c>
      <c r="I3819" t="s">
        <v>329</v>
      </c>
      <c r="J3819" t="s">
        <v>935</v>
      </c>
      <c r="K3819" t="s">
        <v>569</v>
      </c>
      <c r="L3819" t="s">
        <v>594</v>
      </c>
      <c r="M3819" t="s">
        <v>242</v>
      </c>
      <c r="N3819" t="s">
        <v>805</v>
      </c>
      <c r="O3819" t="s">
        <v>400</v>
      </c>
    </row>
    <row r="3820" spans="1:15" x14ac:dyDescent="0.3">
      <c r="A3820" t="s">
        <v>26</v>
      </c>
      <c r="B3820" t="s">
        <v>211</v>
      </c>
      <c r="C3820">
        <v>223</v>
      </c>
      <c r="D3820" t="s">
        <v>526</v>
      </c>
      <c r="E3820" t="s">
        <v>463</v>
      </c>
      <c r="F3820" t="s">
        <v>97</v>
      </c>
      <c r="G3820" t="s">
        <v>331</v>
      </c>
      <c r="H3820" t="s">
        <v>104</v>
      </c>
      <c r="I3820" t="s">
        <v>341</v>
      </c>
      <c r="J3820" t="s">
        <v>1228</v>
      </c>
      <c r="K3820" t="s">
        <v>1204</v>
      </c>
      <c r="L3820" t="s">
        <v>140</v>
      </c>
      <c r="M3820" t="s">
        <v>329</v>
      </c>
      <c r="N3820" t="s">
        <v>216</v>
      </c>
      <c r="O3820" t="s">
        <v>436</v>
      </c>
    </row>
    <row r="3821" spans="1:15" x14ac:dyDescent="0.3">
      <c r="A3821" t="s">
        <v>26</v>
      </c>
      <c r="B3821" t="s">
        <v>212</v>
      </c>
      <c r="C3821">
        <v>254</v>
      </c>
      <c r="D3821" t="s">
        <v>164</v>
      </c>
      <c r="E3821" t="s">
        <v>119</v>
      </c>
      <c r="F3821" t="s">
        <v>133</v>
      </c>
      <c r="G3821" t="s">
        <v>482</v>
      </c>
      <c r="H3821" t="s">
        <v>242</v>
      </c>
      <c r="I3821" t="s">
        <v>208</v>
      </c>
      <c r="J3821" t="s">
        <v>686</v>
      </c>
      <c r="K3821" t="s">
        <v>554</v>
      </c>
      <c r="L3821" t="s">
        <v>257</v>
      </c>
      <c r="M3821" t="s">
        <v>591</v>
      </c>
      <c r="N3821" t="s">
        <v>672</v>
      </c>
      <c r="O3821" t="s">
        <v>425</v>
      </c>
    </row>
    <row r="3822" spans="1:15" x14ac:dyDescent="0.3">
      <c r="A3822" t="s">
        <v>29</v>
      </c>
      <c r="B3822" t="s">
        <v>211</v>
      </c>
      <c r="C3822">
        <v>530</v>
      </c>
      <c r="D3822" t="s">
        <v>927</v>
      </c>
      <c r="E3822" t="s">
        <v>525</v>
      </c>
      <c r="F3822" t="s">
        <v>188</v>
      </c>
      <c r="G3822" t="s">
        <v>516</v>
      </c>
      <c r="H3822" t="s">
        <v>144</v>
      </c>
      <c r="I3822" t="s">
        <v>201</v>
      </c>
      <c r="J3822" t="s">
        <v>465</v>
      </c>
      <c r="K3822" t="s">
        <v>604</v>
      </c>
      <c r="L3822" t="s">
        <v>254</v>
      </c>
      <c r="M3822" t="s">
        <v>90</v>
      </c>
      <c r="N3822" t="s">
        <v>99</v>
      </c>
      <c r="O3822" t="s">
        <v>804</v>
      </c>
    </row>
    <row r="3823" spans="1:15" x14ac:dyDescent="0.3">
      <c r="A3823" t="s">
        <v>28</v>
      </c>
      <c r="B3823" t="s">
        <v>211</v>
      </c>
      <c r="C3823">
        <v>277</v>
      </c>
      <c r="D3823" t="s">
        <v>858</v>
      </c>
      <c r="E3823" t="s">
        <v>550</v>
      </c>
      <c r="F3823" t="s">
        <v>194</v>
      </c>
      <c r="G3823" t="s">
        <v>472</v>
      </c>
      <c r="H3823" t="s">
        <v>809</v>
      </c>
      <c r="I3823" t="s">
        <v>272</v>
      </c>
      <c r="J3823" t="s">
        <v>797</v>
      </c>
      <c r="K3823" t="s">
        <v>659</v>
      </c>
      <c r="L3823" t="s">
        <v>615</v>
      </c>
      <c r="M3823" t="s">
        <v>127</v>
      </c>
      <c r="N3823" t="s">
        <v>601</v>
      </c>
      <c r="O3823" t="s">
        <v>1220</v>
      </c>
    </row>
    <row r="3824" spans="1:15" x14ac:dyDescent="0.3">
      <c r="A3824" t="s">
        <v>28</v>
      </c>
      <c r="B3824" t="s">
        <v>212</v>
      </c>
      <c r="C3824">
        <v>40</v>
      </c>
      <c r="D3824" t="s">
        <v>217</v>
      </c>
      <c r="E3824" t="s">
        <v>103</v>
      </c>
      <c r="F3824" t="s">
        <v>103</v>
      </c>
      <c r="G3824" t="s">
        <v>217</v>
      </c>
      <c r="H3824" t="s">
        <v>217</v>
      </c>
      <c r="I3824" t="s">
        <v>103</v>
      </c>
      <c r="J3824" t="s">
        <v>103</v>
      </c>
      <c r="K3824" t="s">
        <v>103</v>
      </c>
      <c r="L3824" t="s">
        <v>103</v>
      </c>
      <c r="M3824" t="s">
        <v>103</v>
      </c>
      <c r="N3824" t="s">
        <v>103</v>
      </c>
      <c r="O3824" t="s">
        <v>768</v>
      </c>
    </row>
    <row r="3825" spans="1:15" x14ac:dyDescent="0.3">
      <c r="A3825" t="s">
        <v>27</v>
      </c>
      <c r="B3825" t="s">
        <v>211</v>
      </c>
      <c r="C3825">
        <v>270</v>
      </c>
      <c r="D3825" t="s">
        <v>368</v>
      </c>
      <c r="E3825" t="s">
        <v>943</v>
      </c>
      <c r="F3825" t="s">
        <v>591</v>
      </c>
      <c r="G3825" t="s">
        <v>546</v>
      </c>
      <c r="H3825" t="s">
        <v>1038</v>
      </c>
      <c r="I3825" t="s">
        <v>890</v>
      </c>
      <c r="J3825" t="s">
        <v>294</v>
      </c>
      <c r="K3825" t="s">
        <v>931</v>
      </c>
      <c r="L3825" t="s">
        <v>271</v>
      </c>
      <c r="M3825" t="s">
        <v>188</v>
      </c>
      <c r="N3825" t="s">
        <v>359</v>
      </c>
      <c r="O3825" t="s">
        <v>688</v>
      </c>
    </row>
    <row r="3826" spans="1:15" s="3" customFormat="1" x14ac:dyDescent="0.3">
      <c r="A3826" s="3" t="s">
        <v>27</v>
      </c>
      <c r="B3826" s="3" t="s">
        <v>212</v>
      </c>
      <c r="C3826" s="3">
        <v>30</v>
      </c>
      <c r="D3826" s="3" t="s">
        <v>103</v>
      </c>
      <c r="E3826" s="3" t="s">
        <v>103</v>
      </c>
      <c r="F3826" s="3" t="s">
        <v>110</v>
      </c>
      <c r="G3826" s="3" t="s">
        <v>103</v>
      </c>
      <c r="H3826" s="3" t="s">
        <v>103</v>
      </c>
      <c r="I3826" s="3" t="s">
        <v>103</v>
      </c>
      <c r="J3826" s="3" t="s">
        <v>463</v>
      </c>
      <c r="K3826" s="3" t="s">
        <v>103</v>
      </c>
      <c r="L3826" s="3" t="s">
        <v>103</v>
      </c>
      <c r="M3826" s="3" t="s">
        <v>652</v>
      </c>
      <c r="N3826" s="3" t="s">
        <v>479</v>
      </c>
      <c r="O3826" s="3" t="s">
        <v>1420</v>
      </c>
    </row>
    <row r="3827" spans="1:15" x14ac:dyDescent="0.3">
      <c r="A3827" t="s">
        <v>41</v>
      </c>
      <c r="B3827" t="s">
        <v>211</v>
      </c>
      <c r="C3827">
        <v>1714</v>
      </c>
      <c r="D3827" t="s">
        <v>1198</v>
      </c>
      <c r="E3827" t="s">
        <v>727</v>
      </c>
      <c r="F3827" t="s">
        <v>195</v>
      </c>
      <c r="G3827" t="s">
        <v>469</v>
      </c>
      <c r="H3827" t="s">
        <v>536</v>
      </c>
      <c r="I3827" t="s">
        <v>188</v>
      </c>
      <c r="J3827" t="s">
        <v>421</v>
      </c>
      <c r="K3827" t="s">
        <v>858</v>
      </c>
      <c r="L3827" t="s">
        <v>108</v>
      </c>
      <c r="M3827" t="s">
        <v>60</v>
      </c>
      <c r="N3827" t="s">
        <v>175</v>
      </c>
      <c r="O3827" t="s">
        <v>487</v>
      </c>
    </row>
    <row r="3828" spans="1:15" x14ac:dyDescent="0.3">
      <c r="A3828" t="s">
        <v>41</v>
      </c>
      <c r="B3828" t="s">
        <v>212</v>
      </c>
      <c r="C3828">
        <v>324</v>
      </c>
      <c r="D3828" t="s">
        <v>271</v>
      </c>
      <c r="E3828" t="s">
        <v>269</v>
      </c>
      <c r="F3828" t="s">
        <v>278</v>
      </c>
      <c r="G3828" t="s">
        <v>262</v>
      </c>
      <c r="H3828" t="s">
        <v>575</v>
      </c>
      <c r="I3828" t="s">
        <v>341</v>
      </c>
      <c r="J3828" t="s">
        <v>565</v>
      </c>
      <c r="K3828" t="s">
        <v>695</v>
      </c>
      <c r="L3828" t="s">
        <v>118</v>
      </c>
      <c r="M3828" t="s">
        <v>591</v>
      </c>
      <c r="N3828" t="s">
        <v>548</v>
      </c>
      <c r="O3828" t="s">
        <v>1067</v>
      </c>
    </row>
    <row r="3830" spans="1:15" x14ac:dyDescent="0.3">
      <c r="A3830" t="s">
        <v>1551</v>
      </c>
    </row>
    <row r="3831" spans="1:15" x14ac:dyDescent="0.3">
      <c r="A3831" t="s">
        <v>36</v>
      </c>
      <c r="B3831" t="s">
        <v>1552</v>
      </c>
      <c r="C3831" t="s">
        <v>24</v>
      </c>
      <c r="D3831" t="s">
        <v>1532</v>
      </c>
      <c r="E3831" t="s">
        <v>1533</v>
      </c>
      <c r="F3831" t="s">
        <v>1534</v>
      </c>
      <c r="G3831" t="s">
        <v>1535</v>
      </c>
      <c r="H3831" t="s">
        <v>1536</v>
      </c>
      <c r="I3831" t="s">
        <v>1537</v>
      </c>
      <c r="J3831" t="s">
        <v>1538</v>
      </c>
      <c r="K3831" t="s">
        <v>1539</v>
      </c>
      <c r="L3831" t="s">
        <v>1540</v>
      </c>
      <c r="M3831" t="s">
        <v>1541</v>
      </c>
      <c r="N3831" t="s">
        <v>1542</v>
      </c>
      <c r="O3831" t="s">
        <v>1543</v>
      </c>
    </row>
    <row r="3832" spans="1:15" x14ac:dyDescent="0.3">
      <c r="A3832" t="s">
        <v>25</v>
      </c>
      <c r="B3832" t="s">
        <v>1553</v>
      </c>
      <c r="C3832">
        <v>280</v>
      </c>
      <c r="D3832" t="s">
        <v>171</v>
      </c>
      <c r="E3832" t="s">
        <v>750</v>
      </c>
      <c r="F3832" t="s">
        <v>125</v>
      </c>
      <c r="G3832" t="s">
        <v>115</v>
      </c>
      <c r="H3832" t="s">
        <v>101</v>
      </c>
      <c r="I3832" t="s">
        <v>239</v>
      </c>
      <c r="J3832" t="s">
        <v>699</v>
      </c>
      <c r="K3832" t="s">
        <v>503</v>
      </c>
      <c r="L3832" t="s">
        <v>511</v>
      </c>
      <c r="M3832" t="s">
        <v>99</v>
      </c>
      <c r="N3832" t="s">
        <v>539</v>
      </c>
      <c r="O3832" t="s">
        <v>401</v>
      </c>
    </row>
    <row r="3833" spans="1:15" x14ac:dyDescent="0.3">
      <c r="A3833" t="s">
        <v>25</v>
      </c>
      <c r="B3833" t="s">
        <v>1554</v>
      </c>
      <c r="C3833">
        <v>134</v>
      </c>
      <c r="D3833" t="s">
        <v>206</v>
      </c>
      <c r="E3833" t="s">
        <v>214</v>
      </c>
      <c r="F3833" t="s">
        <v>103</v>
      </c>
      <c r="G3833" t="s">
        <v>662</v>
      </c>
      <c r="H3833" t="s">
        <v>493</v>
      </c>
      <c r="I3833" t="s">
        <v>467</v>
      </c>
      <c r="J3833" t="s">
        <v>789</v>
      </c>
      <c r="K3833" t="s">
        <v>472</v>
      </c>
      <c r="L3833" t="s">
        <v>33</v>
      </c>
      <c r="M3833" t="s">
        <v>284</v>
      </c>
      <c r="N3833" t="s">
        <v>253</v>
      </c>
      <c r="O3833" t="s">
        <v>730</v>
      </c>
    </row>
    <row r="3834" spans="1:15" x14ac:dyDescent="0.3">
      <c r="A3834" t="s">
        <v>26</v>
      </c>
      <c r="B3834" t="s">
        <v>1553</v>
      </c>
      <c r="C3834">
        <v>337</v>
      </c>
      <c r="D3834" t="s">
        <v>570</v>
      </c>
      <c r="E3834" t="s">
        <v>516</v>
      </c>
      <c r="F3834" t="s">
        <v>107</v>
      </c>
      <c r="G3834" t="s">
        <v>475</v>
      </c>
      <c r="H3834" t="s">
        <v>517</v>
      </c>
      <c r="I3834" t="s">
        <v>93</v>
      </c>
      <c r="J3834" t="s">
        <v>352</v>
      </c>
      <c r="K3834" t="s">
        <v>461</v>
      </c>
      <c r="L3834" t="s">
        <v>112</v>
      </c>
      <c r="M3834" t="s">
        <v>467</v>
      </c>
      <c r="N3834" t="s">
        <v>144</v>
      </c>
      <c r="O3834" t="s">
        <v>399</v>
      </c>
    </row>
    <row r="3835" spans="1:15" x14ac:dyDescent="0.3">
      <c r="A3835" t="s">
        <v>26</v>
      </c>
      <c r="B3835" t="s">
        <v>1554</v>
      </c>
      <c r="C3835">
        <v>140</v>
      </c>
      <c r="D3835" t="s">
        <v>807</v>
      </c>
      <c r="E3835" t="s">
        <v>270</v>
      </c>
      <c r="F3835" t="s">
        <v>103</v>
      </c>
      <c r="G3835" t="s">
        <v>124</v>
      </c>
      <c r="H3835" t="s">
        <v>112</v>
      </c>
      <c r="I3835" t="s">
        <v>110</v>
      </c>
      <c r="J3835" t="s">
        <v>1196</v>
      </c>
      <c r="K3835" t="s">
        <v>684</v>
      </c>
      <c r="L3835" t="s">
        <v>216</v>
      </c>
      <c r="M3835" t="s">
        <v>257</v>
      </c>
      <c r="N3835" t="s">
        <v>549</v>
      </c>
      <c r="O3835" t="s">
        <v>931</v>
      </c>
    </row>
    <row r="3836" spans="1:15" x14ac:dyDescent="0.3">
      <c r="A3836" t="s">
        <v>29</v>
      </c>
      <c r="B3836" t="s">
        <v>1553</v>
      </c>
      <c r="C3836">
        <v>395</v>
      </c>
      <c r="D3836" t="s">
        <v>732</v>
      </c>
      <c r="E3836" t="s">
        <v>671</v>
      </c>
      <c r="F3836" t="s">
        <v>284</v>
      </c>
      <c r="G3836" t="s">
        <v>488</v>
      </c>
      <c r="H3836" t="s">
        <v>536</v>
      </c>
      <c r="I3836" t="s">
        <v>188</v>
      </c>
      <c r="J3836" t="s">
        <v>1057</v>
      </c>
      <c r="K3836" t="s">
        <v>679</v>
      </c>
      <c r="L3836" t="s">
        <v>629</v>
      </c>
      <c r="M3836" t="s">
        <v>60</v>
      </c>
      <c r="N3836" t="s">
        <v>269</v>
      </c>
      <c r="O3836" t="s">
        <v>1555</v>
      </c>
    </row>
    <row r="3837" spans="1:15" x14ac:dyDescent="0.3">
      <c r="A3837" t="s">
        <v>29</v>
      </c>
      <c r="B3837" t="s">
        <v>1554</v>
      </c>
      <c r="C3837">
        <v>135</v>
      </c>
      <c r="D3837" t="s">
        <v>539</v>
      </c>
      <c r="E3837" t="s">
        <v>734</v>
      </c>
      <c r="F3837" t="s">
        <v>103</v>
      </c>
      <c r="G3837" t="s">
        <v>470</v>
      </c>
      <c r="H3837" t="s">
        <v>92</v>
      </c>
      <c r="I3837" t="s">
        <v>94</v>
      </c>
      <c r="J3837" t="s">
        <v>293</v>
      </c>
      <c r="K3837" t="s">
        <v>1218</v>
      </c>
      <c r="L3837" t="s">
        <v>101</v>
      </c>
      <c r="M3837" t="s">
        <v>244</v>
      </c>
      <c r="N3837" t="s">
        <v>531</v>
      </c>
      <c r="O3837" t="s">
        <v>368</v>
      </c>
    </row>
    <row r="3838" spans="1:15" x14ac:dyDescent="0.3">
      <c r="A3838" t="s">
        <v>28</v>
      </c>
      <c r="B3838" t="s">
        <v>1553</v>
      </c>
      <c r="C3838">
        <v>224</v>
      </c>
      <c r="D3838" t="s">
        <v>577</v>
      </c>
      <c r="E3838" t="s">
        <v>164</v>
      </c>
      <c r="F3838" t="s">
        <v>245</v>
      </c>
      <c r="G3838" t="s">
        <v>734</v>
      </c>
      <c r="H3838" t="s">
        <v>254</v>
      </c>
      <c r="I3838" t="s">
        <v>341</v>
      </c>
      <c r="J3838" t="s">
        <v>1050</v>
      </c>
      <c r="K3838" t="s">
        <v>656</v>
      </c>
      <c r="L3838" t="s">
        <v>208</v>
      </c>
      <c r="M3838" t="s">
        <v>272</v>
      </c>
      <c r="N3838" t="s">
        <v>531</v>
      </c>
      <c r="O3838" t="s">
        <v>1034</v>
      </c>
    </row>
    <row r="3839" spans="1:15" x14ac:dyDescent="0.3">
      <c r="A3839" t="s">
        <v>28</v>
      </c>
      <c r="B3839" t="s">
        <v>1554</v>
      </c>
      <c r="C3839">
        <v>93</v>
      </c>
      <c r="D3839" t="s">
        <v>1057</v>
      </c>
      <c r="E3839" t="s">
        <v>228</v>
      </c>
      <c r="F3839" t="s">
        <v>103</v>
      </c>
      <c r="G3839" t="s">
        <v>734</v>
      </c>
      <c r="H3839" t="s">
        <v>256</v>
      </c>
      <c r="I3839" t="s">
        <v>33</v>
      </c>
      <c r="J3839" t="s">
        <v>500</v>
      </c>
      <c r="K3839" t="s">
        <v>1081</v>
      </c>
      <c r="L3839" t="s">
        <v>571</v>
      </c>
      <c r="M3839" t="s">
        <v>516</v>
      </c>
      <c r="N3839" t="s">
        <v>743</v>
      </c>
      <c r="O3839" t="s">
        <v>1021</v>
      </c>
    </row>
    <row r="3840" spans="1:15" x14ac:dyDescent="0.3">
      <c r="A3840" t="s">
        <v>27</v>
      </c>
      <c r="B3840" t="s">
        <v>1553</v>
      </c>
      <c r="C3840">
        <v>162</v>
      </c>
      <c r="D3840" t="s">
        <v>422</v>
      </c>
      <c r="E3840" t="s">
        <v>425</v>
      </c>
      <c r="F3840" t="s">
        <v>452</v>
      </c>
      <c r="G3840" t="s">
        <v>355</v>
      </c>
      <c r="H3840" t="s">
        <v>645</v>
      </c>
      <c r="I3840" t="s">
        <v>117</v>
      </c>
      <c r="J3840" t="s">
        <v>300</v>
      </c>
      <c r="K3840" t="s">
        <v>487</v>
      </c>
      <c r="L3840" t="s">
        <v>150</v>
      </c>
      <c r="M3840" t="s">
        <v>214</v>
      </c>
      <c r="N3840" t="s">
        <v>1087</v>
      </c>
      <c r="O3840" t="s">
        <v>921</v>
      </c>
    </row>
    <row r="3841" spans="1:15" x14ac:dyDescent="0.3">
      <c r="A3841" t="s">
        <v>27</v>
      </c>
      <c r="B3841" t="s">
        <v>1554</v>
      </c>
      <c r="C3841">
        <v>138</v>
      </c>
      <c r="D3841" t="s">
        <v>1556</v>
      </c>
      <c r="E3841" t="s">
        <v>96</v>
      </c>
      <c r="F3841" t="s">
        <v>98</v>
      </c>
      <c r="G3841" t="s">
        <v>627</v>
      </c>
      <c r="H3841" t="s">
        <v>230</v>
      </c>
      <c r="I3841" t="s">
        <v>549</v>
      </c>
      <c r="J3841" t="s">
        <v>1039</v>
      </c>
      <c r="K3841" t="s">
        <v>349</v>
      </c>
      <c r="L3841" t="s">
        <v>99</v>
      </c>
      <c r="M3841" t="s">
        <v>272</v>
      </c>
      <c r="N3841" t="s">
        <v>297</v>
      </c>
      <c r="O3841" t="s">
        <v>542</v>
      </c>
    </row>
    <row r="3842" spans="1:15" x14ac:dyDescent="0.3">
      <c r="A3842" t="s">
        <v>41</v>
      </c>
      <c r="B3842" t="s">
        <v>1553</v>
      </c>
      <c r="C3842">
        <v>1398</v>
      </c>
      <c r="D3842" t="s">
        <v>727</v>
      </c>
      <c r="E3842" t="s">
        <v>695</v>
      </c>
      <c r="F3842" t="s">
        <v>532</v>
      </c>
      <c r="G3842" t="s">
        <v>54</v>
      </c>
      <c r="H3842" t="s">
        <v>104</v>
      </c>
      <c r="I3842" t="s">
        <v>272</v>
      </c>
      <c r="J3842" t="s">
        <v>666</v>
      </c>
      <c r="K3842" t="s">
        <v>705</v>
      </c>
      <c r="L3842" t="s">
        <v>126</v>
      </c>
      <c r="M3842" t="s">
        <v>594</v>
      </c>
      <c r="N3842" t="s">
        <v>528</v>
      </c>
      <c r="O3842" t="s">
        <v>1231</v>
      </c>
    </row>
    <row r="3843" spans="1:15" x14ac:dyDescent="0.3">
      <c r="A3843" t="s">
        <v>41</v>
      </c>
      <c r="B3843" t="s">
        <v>1554</v>
      </c>
      <c r="C3843">
        <v>640</v>
      </c>
      <c r="D3843" t="s">
        <v>1198</v>
      </c>
      <c r="E3843" t="s">
        <v>144</v>
      </c>
      <c r="F3843" t="s">
        <v>91</v>
      </c>
      <c r="G3843" t="s">
        <v>150</v>
      </c>
      <c r="H3843" t="s">
        <v>136</v>
      </c>
      <c r="I3843" t="s">
        <v>615</v>
      </c>
      <c r="J3843" t="s">
        <v>365</v>
      </c>
      <c r="K3843" t="s">
        <v>1223</v>
      </c>
      <c r="L3843" t="s">
        <v>112</v>
      </c>
      <c r="M3843" t="s">
        <v>127</v>
      </c>
      <c r="N3843" t="s">
        <v>743</v>
      </c>
      <c r="O3843" t="s">
        <v>354</v>
      </c>
    </row>
    <row r="3845" spans="1:15" x14ac:dyDescent="0.3">
      <c r="A3845" t="s">
        <v>1557</v>
      </c>
    </row>
    <row r="3846" spans="1:15" x14ac:dyDescent="0.3">
      <c r="A3846" t="s">
        <v>36</v>
      </c>
      <c r="B3846" t="s">
        <v>307</v>
      </c>
      <c r="C3846" t="s">
        <v>24</v>
      </c>
      <c r="D3846" t="s">
        <v>1532</v>
      </c>
      <c r="E3846" t="s">
        <v>1533</v>
      </c>
      <c r="F3846" t="s">
        <v>1534</v>
      </c>
      <c r="G3846" t="s">
        <v>1535</v>
      </c>
      <c r="H3846" t="s">
        <v>1536</v>
      </c>
      <c r="I3846" t="s">
        <v>1537</v>
      </c>
      <c r="J3846" t="s">
        <v>1538</v>
      </c>
      <c r="K3846" t="s">
        <v>1539</v>
      </c>
      <c r="L3846" t="s">
        <v>1540</v>
      </c>
      <c r="M3846" t="s">
        <v>1541</v>
      </c>
      <c r="N3846" t="s">
        <v>1542</v>
      </c>
      <c r="O3846" t="s">
        <v>1543</v>
      </c>
    </row>
    <row r="3847" spans="1:15" x14ac:dyDescent="0.3">
      <c r="A3847" t="s">
        <v>25</v>
      </c>
      <c r="B3847" t="s">
        <v>291</v>
      </c>
      <c r="C3847">
        <v>156</v>
      </c>
      <c r="D3847" t="s">
        <v>136</v>
      </c>
      <c r="E3847" t="s">
        <v>135</v>
      </c>
      <c r="F3847" t="s">
        <v>282</v>
      </c>
      <c r="G3847" t="s">
        <v>99</v>
      </c>
      <c r="H3847" t="s">
        <v>532</v>
      </c>
      <c r="I3847" t="s">
        <v>662</v>
      </c>
      <c r="J3847" t="s">
        <v>129</v>
      </c>
      <c r="K3847" t="s">
        <v>457</v>
      </c>
      <c r="L3847" t="s">
        <v>114</v>
      </c>
      <c r="M3847" t="s">
        <v>190</v>
      </c>
      <c r="N3847" t="s">
        <v>525</v>
      </c>
      <c r="O3847" t="s">
        <v>1558</v>
      </c>
    </row>
    <row r="3848" spans="1:15" x14ac:dyDescent="0.3">
      <c r="A3848" t="s">
        <v>25</v>
      </c>
      <c r="B3848" t="s">
        <v>292</v>
      </c>
      <c r="C3848">
        <v>254</v>
      </c>
      <c r="D3848" t="s">
        <v>463</v>
      </c>
      <c r="E3848" t="s">
        <v>918</v>
      </c>
      <c r="F3848" t="s">
        <v>438</v>
      </c>
      <c r="G3848" t="s">
        <v>119</v>
      </c>
      <c r="H3848" t="s">
        <v>511</v>
      </c>
      <c r="I3848" t="s">
        <v>103</v>
      </c>
      <c r="J3848" t="s">
        <v>1213</v>
      </c>
      <c r="K3848" t="s">
        <v>547</v>
      </c>
      <c r="L3848" t="s">
        <v>126</v>
      </c>
      <c r="M3848" t="s">
        <v>137</v>
      </c>
      <c r="N3848" t="s">
        <v>707</v>
      </c>
      <c r="O3848" t="s">
        <v>431</v>
      </c>
    </row>
    <row r="3849" spans="1:15" x14ac:dyDescent="0.3">
      <c r="A3849" t="s">
        <v>25</v>
      </c>
      <c r="B3849" t="s">
        <v>308</v>
      </c>
      <c r="C3849">
        <v>4</v>
      </c>
      <c r="D3849" t="s">
        <v>103</v>
      </c>
      <c r="E3849" t="s">
        <v>103</v>
      </c>
      <c r="F3849" t="s">
        <v>103</v>
      </c>
      <c r="G3849" t="s">
        <v>103</v>
      </c>
      <c r="H3849" t="s">
        <v>103</v>
      </c>
      <c r="I3849" t="s">
        <v>103</v>
      </c>
      <c r="J3849" t="s">
        <v>103</v>
      </c>
      <c r="K3849" t="s">
        <v>103</v>
      </c>
      <c r="L3849" t="s">
        <v>103</v>
      </c>
      <c r="M3849" t="s">
        <v>103</v>
      </c>
      <c r="N3849" t="s">
        <v>297</v>
      </c>
      <c r="O3849" t="s">
        <v>298</v>
      </c>
    </row>
    <row r="3850" spans="1:15" x14ac:dyDescent="0.3">
      <c r="A3850" t="s">
        <v>26</v>
      </c>
      <c r="B3850" t="s">
        <v>291</v>
      </c>
      <c r="C3850">
        <v>122</v>
      </c>
      <c r="D3850" t="s">
        <v>131</v>
      </c>
      <c r="E3850" t="s">
        <v>466</v>
      </c>
      <c r="F3850" t="s">
        <v>98</v>
      </c>
      <c r="G3850" t="s">
        <v>108</v>
      </c>
      <c r="H3850" t="s">
        <v>214</v>
      </c>
      <c r="I3850" t="s">
        <v>112</v>
      </c>
      <c r="J3850" t="s">
        <v>491</v>
      </c>
      <c r="K3850" t="s">
        <v>504</v>
      </c>
      <c r="L3850" t="s">
        <v>118</v>
      </c>
      <c r="M3850" t="s">
        <v>270</v>
      </c>
      <c r="N3850" t="s">
        <v>488</v>
      </c>
      <c r="O3850" t="s">
        <v>804</v>
      </c>
    </row>
    <row r="3851" spans="1:15" x14ac:dyDescent="0.3">
      <c r="A3851" t="s">
        <v>26</v>
      </c>
      <c r="B3851" t="s">
        <v>292</v>
      </c>
      <c r="C3851">
        <v>352</v>
      </c>
      <c r="D3851" t="s">
        <v>46</v>
      </c>
      <c r="E3851" t="s">
        <v>164</v>
      </c>
      <c r="F3851" t="s">
        <v>188</v>
      </c>
      <c r="G3851" t="s">
        <v>519</v>
      </c>
      <c r="H3851" t="s">
        <v>463</v>
      </c>
      <c r="I3851" t="s">
        <v>139</v>
      </c>
      <c r="J3851" t="s">
        <v>635</v>
      </c>
      <c r="K3851" t="s">
        <v>650</v>
      </c>
      <c r="L3851" t="s">
        <v>33</v>
      </c>
      <c r="M3851" t="s">
        <v>272</v>
      </c>
      <c r="N3851" t="s">
        <v>543</v>
      </c>
      <c r="O3851" t="s">
        <v>934</v>
      </c>
    </row>
    <row r="3852" spans="1:15" x14ac:dyDescent="0.3">
      <c r="A3852" t="s">
        <v>26</v>
      </c>
      <c r="B3852" t="s">
        <v>308</v>
      </c>
      <c r="C3852">
        <v>3</v>
      </c>
      <c r="D3852" t="s">
        <v>103</v>
      </c>
      <c r="E3852" t="s">
        <v>103</v>
      </c>
      <c r="F3852" t="s">
        <v>103</v>
      </c>
      <c r="G3852" t="s">
        <v>103</v>
      </c>
      <c r="H3852" t="s">
        <v>103</v>
      </c>
      <c r="I3852" t="s">
        <v>103</v>
      </c>
      <c r="J3852" t="s">
        <v>1178</v>
      </c>
      <c r="K3852" t="s">
        <v>103</v>
      </c>
      <c r="L3852" t="s">
        <v>699</v>
      </c>
      <c r="M3852" t="s">
        <v>103</v>
      </c>
      <c r="N3852" t="s">
        <v>921</v>
      </c>
      <c r="O3852" t="s">
        <v>103</v>
      </c>
    </row>
    <row r="3853" spans="1:15" x14ac:dyDescent="0.3">
      <c r="A3853" t="s">
        <v>29</v>
      </c>
      <c r="B3853" t="s">
        <v>291</v>
      </c>
      <c r="C3853">
        <v>205</v>
      </c>
      <c r="D3853" t="s">
        <v>651</v>
      </c>
      <c r="E3853" t="s">
        <v>1084</v>
      </c>
      <c r="F3853" t="s">
        <v>270</v>
      </c>
      <c r="G3853" t="s">
        <v>160</v>
      </c>
      <c r="H3853" t="s">
        <v>809</v>
      </c>
      <c r="I3853" t="s">
        <v>262</v>
      </c>
      <c r="J3853" t="s">
        <v>490</v>
      </c>
      <c r="K3853" t="s">
        <v>499</v>
      </c>
      <c r="L3853" t="s">
        <v>117</v>
      </c>
      <c r="M3853" t="s">
        <v>737</v>
      </c>
      <c r="N3853" t="s">
        <v>254</v>
      </c>
      <c r="O3853" t="s">
        <v>538</v>
      </c>
    </row>
    <row r="3854" spans="1:15" x14ac:dyDescent="0.3">
      <c r="A3854" t="s">
        <v>29</v>
      </c>
      <c r="B3854" t="s">
        <v>292</v>
      </c>
      <c r="C3854">
        <v>325</v>
      </c>
      <c r="D3854" t="s">
        <v>555</v>
      </c>
      <c r="E3854" t="s">
        <v>706</v>
      </c>
      <c r="F3854" t="s">
        <v>201</v>
      </c>
      <c r="G3854" t="s">
        <v>809</v>
      </c>
      <c r="H3854" t="s">
        <v>157</v>
      </c>
      <c r="I3854" t="s">
        <v>245</v>
      </c>
      <c r="J3854" t="s">
        <v>530</v>
      </c>
      <c r="K3854" t="s">
        <v>542</v>
      </c>
      <c r="L3854" t="s">
        <v>100</v>
      </c>
      <c r="M3854" t="s">
        <v>205</v>
      </c>
      <c r="N3854" t="s">
        <v>459</v>
      </c>
      <c r="O3854" t="s">
        <v>415</v>
      </c>
    </row>
    <row r="3855" spans="1:15" x14ac:dyDescent="0.3">
      <c r="A3855" t="s">
        <v>28</v>
      </c>
      <c r="B3855" t="s">
        <v>291</v>
      </c>
      <c r="C3855">
        <v>114</v>
      </c>
      <c r="D3855" t="s">
        <v>698</v>
      </c>
      <c r="E3855" t="s">
        <v>488</v>
      </c>
      <c r="F3855" t="s">
        <v>103</v>
      </c>
      <c r="G3855" t="s">
        <v>829</v>
      </c>
      <c r="H3855" t="s">
        <v>472</v>
      </c>
      <c r="I3855" t="s">
        <v>107</v>
      </c>
      <c r="J3855" t="s">
        <v>499</v>
      </c>
      <c r="K3855" t="s">
        <v>393</v>
      </c>
      <c r="L3855" t="s">
        <v>126</v>
      </c>
      <c r="M3855" t="s">
        <v>269</v>
      </c>
      <c r="N3855" t="s">
        <v>570</v>
      </c>
      <c r="O3855" t="s">
        <v>692</v>
      </c>
    </row>
    <row r="3856" spans="1:15" x14ac:dyDescent="0.3">
      <c r="A3856" t="s">
        <v>28</v>
      </c>
      <c r="B3856" t="s">
        <v>292</v>
      </c>
      <c r="C3856">
        <v>191</v>
      </c>
      <c r="D3856" t="s">
        <v>553</v>
      </c>
      <c r="E3856" t="s">
        <v>162</v>
      </c>
      <c r="F3856" t="s">
        <v>110</v>
      </c>
      <c r="G3856" t="s">
        <v>734</v>
      </c>
      <c r="H3856" t="s">
        <v>629</v>
      </c>
      <c r="I3856" t="s">
        <v>93</v>
      </c>
      <c r="J3856" t="s">
        <v>1070</v>
      </c>
      <c r="K3856" t="s">
        <v>560</v>
      </c>
      <c r="L3856" t="s">
        <v>194</v>
      </c>
      <c r="M3856" t="s">
        <v>32</v>
      </c>
      <c r="N3856" t="s">
        <v>118</v>
      </c>
      <c r="O3856" t="s">
        <v>1221</v>
      </c>
    </row>
    <row r="3857" spans="1:15" x14ac:dyDescent="0.3">
      <c r="A3857" t="s">
        <v>28</v>
      </c>
      <c r="B3857" t="s">
        <v>308</v>
      </c>
      <c r="C3857">
        <v>12</v>
      </c>
      <c r="D3857" t="s">
        <v>380</v>
      </c>
      <c r="E3857" t="s">
        <v>1093</v>
      </c>
      <c r="F3857" t="s">
        <v>459</v>
      </c>
      <c r="G3857" t="s">
        <v>275</v>
      </c>
      <c r="H3857" t="s">
        <v>103</v>
      </c>
      <c r="I3857" t="s">
        <v>103</v>
      </c>
      <c r="J3857" t="s">
        <v>1053</v>
      </c>
      <c r="K3857" t="s">
        <v>1214</v>
      </c>
      <c r="L3857" t="s">
        <v>482</v>
      </c>
      <c r="M3857" t="s">
        <v>103</v>
      </c>
      <c r="N3857" t="s">
        <v>482</v>
      </c>
      <c r="O3857" t="s">
        <v>376</v>
      </c>
    </row>
    <row r="3858" spans="1:15" x14ac:dyDescent="0.3">
      <c r="A3858" t="s">
        <v>27</v>
      </c>
      <c r="B3858" t="s">
        <v>291</v>
      </c>
      <c r="C3858">
        <v>95</v>
      </c>
      <c r="D3858" t="s">
        <v>371</v>
      </c>
      <c r="E3858" t="s">
        <v>1091</v>
      </c>
      <c r="F3858" t="s">
        <v>194</v>
      </c>
      <c r="G3858" t="s">
        <v>1098</v>
      </c>
      <c r="H3858" t="s">
        <v>604</v>
      </c>
      <c r="I3858" t="s">
        <v>162</v>
      </c>
      <c r="J3858" t="s">
        <v>1209</v>
      </c>
      <c r="K3858" t="s">
        <v>1064</v>
      </c>
      <c r="L3858" t="s">
        <v>649</v>
      </c>
      <c r="M3858" t="s">
        <v>281</v>
      </c>
      <c r="N3858" t="s">
        <v>661</v>
      </c>
      <c r="O3858" t="s">
        <v>553</v>
      </c>
    </row>
    <row r="3859" spans="1:15" x14ac:dyDescent="0.3">
      <c r="A3859" t="s">
        <v>27</v>
      </c>
      <c r="B3859" t="s">
        <v>292</v>
      </c>
      <c r="C3859">
        <v>198</v>
      </c>
      <c r="D3859" t="s">
        <v>1545</v>
      </c>
      <c r="E3859" t="s">
        <v>1559</v>
      </c>
      <c r="F3859" t="s">
        <v>186</v>
      </c>
      <c r="G3859" t="s">
        <v>498</v>
      </c>
      <c r="H3859" t="s">
        <v>577</v>
      </c>
      <c r="I3859" t="s">
        <v>511</v>
      </c>
      <c r="J3859" t="s">
        <v>1401</v>
      </c>
      <c r="K3859" t="s">
        <v>34</v>
      </c>
      <c r="L3859" t="s">
        <v>271</v>
      </c>
      <c r="M3859" t="s">
        <v>272</v>
      </c>
      <c r="N3859" t="s">
        <v>1356</v>
      </c>
      <c r="O3859" t="s">
        <v>647</v>
      </c>
    </row>
    <row r="3860" spans="1:15" x14ac:dyDescent="0.3">
      <c r="A3860" t="s">
        <v>27</v>
      </c>
      <c r="B3860" t="s">
        <v>308</v>
      </c>
      <c r="C3860">
        <v>7</v>
      </c>
      <c r="D3860" t="s">
        <v>53</v>
      </c>
      <c r="E3860" t="s">
        <v>192</v>
      </c>
      <c r="F3860" t="s">
        <v>504</v>
      </c>
      <c r="G3860" t="s">
        <v>53</v>
      </c>
      <c r="H3860" t="s">
        <v>1137</v>
      </c>
      <c r="I3860" t="s">
        <v>443</v>
      </c>
      <c r="J3860" t="s">
        <v>53</v>
      </c>
      <c r="K3860" t="s">
        <v>53</v>
      </c>
      <c r="L3860" t="s">
        <v>469</v>
      </c>
      <c r="M3860" t="s">
        <v>173</v>
      </c>
      <c r="N3860" t="s">
        <v>391</v>
      </c>
      <c r="O3860" t="s">
        <v>103</v>
      </c>
    </row>
    <row r="3861" spans="1:15" x14ac:dyDescent="0.3">
      <c r="A3861" t="s">
        <v>41</v>
      </c>
      <c r="B3861" t="s">
        <v>291</v>
      </c>
      <c r="C3861">
        <v>692</v>
      </c>
      <c r="D3861" t="s">
        <v>658</v>
      </c>
      <c r="E3861" t="s">
        <v>485</v>
      </c>
      <c r="F3861" t="s">
        <v>341</v>
      </c>
      <c r="G3861" t="s">
        <v>131</v>
      </c>
      <c r="H3861" t="s">
        <v>517</v>
      </c>
      <c r="I3861" t="s">
        <v>494</v>
      </c>
      <c r="J3861" t="s">
        <v>729</v>
      </c>
      <c r="K3861" t="s">
        <v>1097</v>
      </c>
      <c r="L3861" t="s">
        <v>127</v>
      </c>
      <c r="M3861" t="s">
        <v>101</v>
      </c>
      <c r="N3861" t="s">
        <v>524</v>
      </c>
      <c r="O3861" t="s">
        <v>943</v>
      </c>
    </row>
    <row r="3862" spans="1:15" x14ac:dyDescent="0.3">
      <c r="A3862" t="s">
        <v>41</v>
      </c>
      <c r="B3862" t="s">
        <v>292</v>
      </c>
      <c r="C3862">
        <v>1320</v>
      </c>
      <c r="D3862" t="s">
        <v>471</v>
      </c>
      <c r="E3862" t="s">
        <v>132</v>
      </c>
      <c r="F3862" t="s">
        <v>114</v>
      </c>
      <c r="G3862" t="s">
        <v>518</v>
      </c>
      <c r="H3862" t="s">
        <v>104</v>
      </c>
      <c r="I3862" t="s">
        <v>110</v>
      </c>
      <c r="J3862" t="s">
        <v>464</v>
      </c>
      <c r="K3862" t="s">
        <v>1227</v>
      </c>
      <c r="L3862" t="s">
        <v>607</v>
      </c>
      <c r="M3862" t="s">
        <v>251</v>
      </c>
      <c r="N3862" t="s">
        <v>566</v>
      </c>
      <c r="O3862" t="s">
        <v>804</v>
      </c>
    </row>
    <row r="3863" spans="1:15" x14ac:dyDescent="0.3">
      <c r="A3863" t="s">
        <v>41</v>
      </c>
      <c r="B3863" t="s">
        <v>308</v>
      </c>
      <c r="C3863">
        <v>26</v>
      </c>
      <c r="D3863" t="s">
        <v>688</v>
      </c>
      <c r="E3863" t="s">
        <v>477</v>
      </c>
      <c r="F3863" t="s">
        <v>108</v>
      </c>
      <c r="G3863" t="s">
        <v>568</v>
      </c>
      <c r="H3863" t="s">
        <v>488</v>
      </c>
      <c r="I3863" t="s">
        <v>571</v>
      </c>
      <c r="J3863" t="s">
        <v>1199</v>
      </c>
      <c r="K3863" t="s">
        <v>1213</v>
      </c>
      <c r="L3863" t="s">
        <v>92</v>
      </c>
      <c r="M3863" t="s">
        <v>64</v>
      </c>
      <c r="N3863" t="s">
        <v>574</v>
      </c>
      <c r="O3863" t="s">
        <v>686</v>
      </c>
    </row>
    <row r="3865" spans="1:15" x14ac:dyDescent="0.3">
      <c r="A3865" t="s">
        <v>1560</v>
      </c>
    </row>
    <row r="3866" spans="1:15" x14ac:dyDescent="0.3">
      <c r="A3866" t="s">
        <v>36</v>
      </c>
      <c r="B3866" t="s">
        <v>24</v>
      </c>
      <c r="C3866" t="s">
        <v>1561</v>
      </c>
      <c r="D3866" t="s">
        <v>1562</v>
      </c>
      <c r="E3866" t="s">
        <v>1563</v>
      </c>
      <c r="F3866" t="s">
        <v>1564</v>
      </c>
      <c r="G3866" t="s">
        <v>1565</v>
      </c>
      <c r="H3866" t="s">
        <v>89</v>
      </c>
      <c r="I3866" t="s">
        <v>87</v>
      </c>
      <c r="J3866" t="s">
        <v>1566</v>
      </c>
    </row>
    <row r="3867" spans="1:15" x14ac:dyDescent="0.3">
      <c r="A3867" t="s">
        <v>25</v>
      </c>
      <c r="B3867">
        <v>414</v>
      </c>
      <c r="C3867" t="s">
        <v>66</v>
      </c>
      <c r="D3867" t="s">
        <v>97</v>
      </c>
      <c r="E3867" t="s">
        <v>343</v>
      </c>
      <c r="F3867" t="s">
        <v>116</v>
      </c>
      <c r="G3867" t="s">
        <v>270</v>
      </c>
      <c r="H3867" t="s">
        <v>103</v>
      </c>
      <c r="I3867" t="s">
        <v>103</v>
      </c>
      <c r="J3867" t="s">
        <v>103</v>
      </c>
    </row>
    <row r="3868" spans="1:15" x14ac:dyDescent="0.3">
      <c r="A3868" t="s">
        <v>26</v>
      </c>
      <c r="B3868">
        <v>477</v>
      </c>
      <c r="C3868" t="s">
        <v>103</v>
      </c>
      <c r="D3868" t="s">
        <v>103</v>
      </c>
      <c r="E3868" t="s">
        <v>337</v>
      </c>
      <c r="F3868" t="s">
        <v>103</v>
      </c>
      <c r="G3868" t="s">
        <v>66</v>
      </c>
      <c r="H3868" t="s">
        <v>103</v>
      </c>
      <c r="I3868" t="s">
        <v>103</v>
      </c>
      <c r="J3868" t="s">
        <v>103</v>
      </c>
    </row>
    <row r="3869" spans="1:15" x14ac:dyDescent="0.3">
      <c r="A3869" t="s">
        <v>29</v>
      </c>
      <c r="B3869">
        <v>530</v>
      </c>
      <c r="C3869" t="s">
        <v>245</v>
      </c>
      <c r="D3869" t="s">
        <v>282</v>
      </c>
      <c r="E3869" t="s">
        <v>1471</v>
      </c>
      <c r="F3869" t="s">
        <v>95</v>
      </c>
      <c r="G3869" t="s">
        <v>97</v>
      </c>
      <c r="H3869" t="s">
        <v>103</v>
      </c>
      <c r="I3869" t="s">
        <v>103</v>
      </c>
      <c r="J3869" t="s">
        <v>103</v>
      </c>
    </row>
    <row r="3870" spans="1:15" x14ac:dyDescent="0.3">
      <c r="A3870" t="s">
        <v>28</v>
      </c>
      <c r="B3870">
        <v>317</v>
      </c>
      <c r="C3870" t="s">
        <v>217</v>
      </c>
      <c r="D3870" t="s">
        <v>66</v>
      </c>
      <c r="E3870" t="s">
        <v>850</v>
      </c>
      <c r="F3870" t="s">
        <v>467</v>
      </c>
      <c r="G3870" t="s">
        <v>66</v>
      </c>
      <c r="H3870" t="s">
        <v>103</v>
      </c>
      <c r="I3870" t="s">
        <v>97</v>
      </c>
      <c r="J3870" t="s">
        <v>103</v>
      </c>
    </row>
    <row r="3871" spans="1:15" x14ac:dyDescent="0.3">
      <c r="A3871" t="s">
        <v>27</v>
      </c>
      <c r="B3871">
        <v>300</v>
      </c>
      <c r="C3871" t="s">
        <v>345</v>
      </c>
      <c r="D3871" t="s">
        <v>116</v>
      </c>
      <c r="E3871" t="s">
        <v>334</v>
      </c>
      <c r="F3871" t="s">
        <v>103</v>
      </c>
      <c r="G3871" t="s">
        <v>95</v>
      </c>
      <c r="H3871" t="s">
        <v>103</v>
      </c>
      <c r="I3871" t="s">
        <v>103</v>
      </c>
      <c r="J3871" t="s">
        <v>103</v>
      </c>
    </row>
    <row r="3872" spans="1:15" x14ac:dyDescent="0.3">
      <c r="A3872" t="s">
        <v>41</v>
      </c>
      <c r="B3872">
        <v>2038</v>
      </c>
      <c r="C3872" t="s">
        <v>282</v>
      </c>
      <c r="D3872" t="s">
        <v>120</v>
      </c>
      <c r="E3872" t="s">
        <v>954</v>
      </c>
      <c r="F3872" t="s">
        <v>97</v>
      </c>
      <c r="G3872" t="s">
        <v>98</v>
      </c>
      <c r="H3872" t="s">
        <v>103</v>
      </c>
      <c r="I3872" t="s">
        <v>103</v>
      </c>
      <c r="J3872" t="s">
        <v>103</v>
      </c>
    </row>
    <row r="3874" spans="1:11" x14ac:dyDescent="0.3">
      <c r="A3874" t="s">
        <v>1567</v>
      </c>
    </row>
    <row r="3875" spans="1:11" x14ac:dyDescent="0.3">
      <c r="A3875" t="s">
        <v>36</v>
      </c>
      <c r="B3875" t="s">
        <v>197</v>
      </c>
      <c r="C3875" t="s">
        <v>24</v>
      </c>
      <c r="D3875" t="s">
        <v>1561</v>
      </c>
      <c r="E3875" t="s">
        <v>1562</v>
      </c>
      <c r="F3875" t="s">
        <v>1563</v>
      </c>
      <c r="G3875" t="s">
        <v>1564</v>
      </c>
      <c r="H3875" t="s">
        <v>1565</v>
      </c>
      <c r="I3875" t="s">
        <v>89</v>
      </c>
      <c r="J3875" t="s">
        <v>87</v>
      </c>
      <c r="K3875" t="s">
        <v>1566</v>
      </c>
    </row>
    <row r="3876" spans="1:11" x14ac:dyDescent="0.3">
      <c r="A3876" t="s">
        <v>25</v>
      </c>
      <c r="B3876" t="s">
        <v>198</v>
      </c>
      <c r="C3876">
        <v>104</v>
      </c>
      <c r="D3876" t="s">
        <v>98</v>
      </c>
      <c r="E3876" t="s">
        <v>118</v>
      </c>
      <c r="F3876" t="s">
        <v>69</v>
      </c>
      <c r="G3876" t="s">
        <v>468</v>
      </c>
      <c r="H3876" t="s">
        <v>188</v>
      </c>
      <c r="I3876" t="s">
        <v>103</v>
      </c>
      <c r="J3876" t="s">
        <v>103</v>
      </c>
      <c r="K3876" t="s">
        <v>103</v>
      </c>
    </row>
    <row r="3877" spans="1:11" x14ac:dyDescent="0.3">
      <c r="A3877" t="s">
        <v>25</v>
      </c>
      <c r="B3877" t="s">
        <v>199</v>
      </c>
      <c r="C3877">
        <v>310</v>
      </c>
      <c r="D3877" t="s">
        <v>103</v>
      </c>
      <c r="E3877" t="s">
        <v>103</v>
      </c>
      <c r="F3877" t="s">
        <v>192</v>
      </c>
      <c r="G3877" t="s">
        <v>103</v>
      </c>
      <c r="H3877" t="s">
        <v>266</v>
      </c>
      <c r="I3877" t="s">
        <v>103</v>
      </c>
      <c r="J3877" t="s">
        <v>103</v>
      </c>
      <c r="K3877" t="s">
        <v>103</v>
      </c>
    </row>
    <row r="3878" spans="1:11" x14ac:dyDescent="0.3">
      <c r="A3878" t="s">
        <v>26</v>
      </c>
      <c r="B3878" t="s">
        <v>198</v>
      </c>
      <c r="C3878">
        <v>41</v>
      </c>
      <c r="D3878" t="s">
        <v>120</v>
      </c>
      <c r="E3878" t="s">
        <v>103</v>
      </c>
      <c r="F3878" t="s">
        <v>346</v>
      </c>
      <c r="G3878" t="s">
        <v>103</v>
      </c>
      <c r="H3878" t="s">
        <v>103</v>
      </c>
      <c r="I3878" t="s">
        <v>103</v>
      </c>
      <c r="J3878" t="s">
        <v>103</v>
      </c>
      <c r="K3878" t="s">
        <v>97</v>
      </c>
    </row>
    <row r="3879" spans="1:11" x14ac:dyDescent="0.3">
      <c r="A3879" t="s">
        <v>26</v>
      </c>
      <c r="B3879" t="s">
        <v>199</v>
      </c>
      <c r="C3879">
        <v>436</v>
      </c>
      <c r="D3879" t="s">
        <v>103</v>
      </c>
      <c r="E3879" t="s">
        <v>103</v>
      </c>
      <c r="F3879" t="s">
        <v>192</v>
      </c>
      <c r="G3879" t="s">
        <v>103</v>
      </c>
      <c r="H3879" t="s">
        <v>66</v>
      </c>
      <c r="I3879" t="s">
        <v>103</v>
      </c>
      <c r="J3879" t="s">
        <v>103</v>
      </c>
      <c r="K3879" t="s">
        <v>103</v>
      </c>
    </row>
    <row r="3880" spans="1:11" x14ac:dyDescent="0.3">
      <c r="A3880" t="s">
        <v>29</v>
      </c>
      <c r="B3880" t="s">
        <v>198</v>
      </c>
      <c r="C3880">
        <v>170</v>
      </c>
      <c r="D3880" t="s">
        <v>70</v>
      </c>
      <c r="E3880" t="s">
        <v>272</v>
      </c>
      <c r="F3880" t="s">
        <v>896</v>
      </c>
      <c r="G3880" t="s">
        <v>128</v>
      </c>
      <c r="H3880" t="s">
        <v>98</v>
      </c>
      <c r="I3880" t="s">
        <v>103</v>
      </c>
      <c r="J3880" t="s">
        <v>103</v>
      </c>
      <c r="K3880" t="s">
        <v>103</v>
      </c>
    </row>
    <row r="3881" spans="1:11" x14ac:dyDescent="0.3">
      <c r="A3881" t="s">
        <v>29</v>
      </c>
      <c r="B3881" t="s">
        <v>199</v>
      </c>
      <c r="C3881">
        <v>360</v>
      </c>
      <c r="D3881" t="s">
        <v>103</v>
      </c>
      <c r="E3881" t="s">
        <v>103</v>
      </c>
      <c r="F3881" t="s">
        <v>192</v>
      </c>
      <c r="G3881" t="s">
        <v>103</v>
      </c>
      <c r="H3881" t="s">
        <v>116</v>
      </c>
      <c r="I3881" t="s">
        <v>103</v>
      </c>
      <c r="J3881" t="s">
        <v>103</v>
      </c>
      <c r="K3881" t="s">
        <v>103</v>
      </c>
    </row>
    <row r="3882" spans="1:11" x14ac:dyDescent="0.3">
      <c r="A3882" t="s">
        <v>28</v>
      </c>
      <c r="B3882" t="s">
        <v>198</v>
      </c>
      <c r="C3882">
        <v>70</v>
      </c>
      <c r="D3882" t="s">
        <v>169</v>
      </c>
      <c r="E3882" t="s">
        <v>103</v>
      </c>
      <c r="F3882" t="s">
        <v>882</v>
      </c>
      <c r="G3882" t="s">
        <v>493</v>
      </c>
      <c r="H3882" t="s">
        <v>103</v>
      </c>
      <c r="I3882" t="s">
        <v>103</v>
      </c>
      <c r="J3882" t="s">
        <v>103</v>
      </c>
      <c r="K3882" t="s">
        <v>103</v>
      </c>
    </row>
    <row r="3883" spans="1:11" x14ac:dyDescent="0.3">
      <c r="A3883" t="s">
        <v>28</v>
      </c>
      <c r="B3883" t="s">
        <v>199</v>
      </c>
      <c r="C3883">
        <v>247</v>
      </c>
      <c r="D3883" t="s">
        <v>103</v>
      </c>
      <c r="E3883" t="s">
        <v>116</v>
      </c>
      <c r="F3883" t="s">
        <v>1173</v>
      </c>
      <c r="G3883" t="s">
        <v>272</v>
      </c>
      <c r="H3883" t="s">
        <v>116</v>
      </c>
      <c r="I3883" t="s">
        <v>103</v>
      </c>
      <c r="J3883" t="s">
        <v>120</v>
      </c>
      <c r="K3883" t="s">
        <v>103</v>
      </c>
    </row>
    <row r="3884" spans="1:11" x14ac:dyDescent="0.3">
      <c r="A3884" t="s">
        <v>27</v>
      </c>
      <c r="B3884" t="s">
        <v>198</v>
      </c>
      <c r="C3884">
        <v>136</v>
      </c>
      <c r="D3884" t="s">
        <v>128</v>
      </c>
      <c r="E3884" t="s">
        <v>95</v>
      </c>
      <c r="F3884" t="s">
        <v>335</v>
      </c>
      <c r="G3884" t="s">
        <v>103</v>
      </c>
      <c r="H3884" t="s">
        <v>239</v>
      </c>
      <c r="I3884" t="s">
        <v>103</v>
      </c>
      <c r="J3884" t="s">
        <v>103</v>
      </c>
      <c r="K3884" t="s">
        <v>103</v>
      </c>
    </row>
    <row r="3885" spans="1:11" x14ac:dyDescent="0.3">
      <c r="A3885" t="s">
        <v>27</v>
      </c>
      <c r="B3885" t="s">
        <v>199</v>
      </c>
      <c r="C3885">
        <v>164</v>
      </c>
      <c r="D3885" t="s">
        <v>103</v>
      </c>
      <c r="E3885" t="s">
        <v>103</v>
      </c>
      <c r="F3885" t="s">
        <v>192</v>
      </c>
      <c r="G3885" t="s">
        <v>103</v>
      </c>
      <c r="H3885" t="s">
        <v>103</v>
      </c>
      <c r="I3885" t="s">
        <v>103</v>
      </c>
      <c r="J3885" t="s">
        <v>103</v>
      </c>
      <c r="K3885" t="s">
        <v>103</v>
      </c>
    </row>
    <row r="3886" spans="1:11" x14ac:dyDescent="0.3">
      <c r="A3886" t="s">
        <v>41</v>
      </c>
      <c r="B3886" t="s">
        <v>198</v>
      </c>
      <c r="C3886">
        <v>521</v>
      </c>
      <c r="D3886" t="s">
        <v>107</v>
      </c>
      <c r="E3886" t="s">
        <v>257</v>
      </c>
      <c r="F3886" t="s">
        <v>981</v>
      </c>
      <c r="G3886" t="s">
        <v>105</v>
      </c>
      <c r="H3886" t="s">
        <v>110</v>
      </c>
      <c r="I3886" t="s">
        <v>103</v>
      </c>
      <c r="J3886" t="s">
        <v>103</v>
      </c>
      <c r="K3886" t="s">
        <v>103</v>
      </c>
    </row>
    <row r="3887" spans="1:11" x14ac:dyDescent="0.3">
      <c r="A3887" t="s">
        <v>41</v>
      </c>
      <c r="B3887" t="s">
        <v>199</v>
      </c>
      <c r="C3887">
        <v>1517</v>
      </c>
      <c r="D3887" t="s">
        <v>103</v>
      </c>
      <c r="E3887" t="s">
        <v>103</v>
      </c>
      <c r="F3887" t="s">
        <v>67</v>
      </c>
      <c r="G3887" t="s">
        <v>66</v>
      </c>
      <c r="H3887" t="s">
        <v>139</v>
      </c>
      <c r="I3887" t="s">
        <v>103</v>
      </c>
      <c r="J3887" t="s">
        <v>103</v>
      </c>
      <c r="K3887" t="s">
        <v>103</v>
      </c>
    </row>
    <row r="3889" spans="1:11" x14ac:dyDescent="0.3">
      <c r="A3889" t="s">
        <v>1568</v>
      </c>
    </row>
    <row r="3890" spans="1:11" x14ac:dyDescent="0.3">
      <c r="A3890" t="s">
        <v>36</v>
      </c>
      <c r="B3890" t="s">
        <v>1233</v>
      </c>
      <c r="C3890" t="s">
        <v>24</v>
      </c>
      <c r="D3890" t="s">
        <v>1561</v>
      </c>
      <c r="E3890" t="s">
        <v>1562</v>
      </c>
      <c r="F3890" t="s">
        <v>1563</v>
      </c>
      <c r="G3890" t="s">
        <v>1564</v>
      </c>
      <c r="H3890" t="s">
        <v>1565</v>
      </c>
      <c r="I3890" t="s">
        <v>89</v>
      </c>
      <c r="J3890" t="s">
        <v>87</v>
      </c>
      <c r="K3890" t="s">
        <v>1566</v>
      </c>
    </row>
    <row r="3891" spans="1:11" x14ac:dyDescent="0.3">
      <c r="A3891" t="s">
        <v>25</v>
      </c>
      <c r="B3891" t="s">
        <v>1234</v>
      </c>
      <c r="C3891">
        <v>257</v>
      </c>
      <c r="D3891" t="s">
        <v>116</v>
      </c>
      <c r="E3891" t="s">
        <v>91</v>
      </c>
      <c r="F3891" t="s">
        <v>950</v>
      </c>
      <c r="G3891" t="s">
        <v>122</v>
      </c>
      <c r="H3891" t="s">
        <v>114</v>
      </c>
      <c r="I3891" t="s">
        <v>103</v>
      </c>
      <c r="J3891" t="s">
        <v>103</v>
      </c>
      <c r="K3891" t="s">
        <v>103</v>
      </c>
    </row>
    <row r="3892" spans="1:11" s="3" customFormat="1" x14ac:dyDescent="0.3">
      <c r="A3892" s="3" t="s">
        <v>25</v>
      </c>
      <c r="B3892" s="3" t="s">
        <v>1235</v>
      </c>
      <c r="C3892" s="3">
        <v>25</v>
      </c>
      <c r="D3892" s="3" t="s">
        <v>103</v>
      </c>
      <c r="E3892" s="3" t="s">
        <v>32</v>
      </c>
      <c r="F3892" s="3" t="s">
        <v>192</v>
      </c>
      <c r="G3892" s="3" t="s">
        <v>103</v>
      </c>
      <c r="H3892" s="3" t="s">
        <v>64</v>
      </c>
      <c r="I3892" s="3" t="s">
        <v>103</v>
      </c>
      <c r="J3892" s="3" t="s">
        <v>103</v>
      </c>
      <c r="K3892" s="3" t="s">
        <v>103</v>
      </c>
    </row>
    <row r="3893" spans="1:11" x14ac:dyDescent="0.3">
      <c r="A3893" t="s">
        <v>25</v>
      </c>
      <c r="B3893" t="s">
        <v>1237</v>
      </c>
      <c r="C3893">
        <v>132</v>
      </c>
      <c r="D3893" t="s">
        <v>103</v>
      </c>
      <c r="E3893" t="s">
        <v>122</v>
      </c>
      <c r="F3893" t="s">
        <v>327</v>
      </c>
      <c r="G3893" t="s">
        <v>103</v>
      </c>
      <c r="H3893" t="s">
        <v>98</v>
      </c>
      <c r="I3893" t="s">
        <v>103</v>
      </c>
      <c r="J3893" t="s">
        <v>103</v>
      </c>
      <c r="K3893" t="s">
        <v>103</v>
      </c>
    </row>
    <row r="3894" spans="1:11" x14ac:dyDescent="0.3">
      <c r="A3894" t="s">
        <v>26</v>
      </c>
      <c r="B3894" t="s">
        <v>1234</v>
      </c>
      <c r="C3894">
        <v>296</v>
      </c>
      <c r="D3894" t="s">
        <v>91</v>
      </c>
      <c r="E3894" t="s">
        <v>103</v>
      </c>
      <c r="F3894" t="s">
        <v>337</v>
      </c>
      <c r="G3894" t="s">
        <v>103</v>
      </c>
      <c r="H3894" t="s">
        <v>122</v>
      </c>
      <c r="I3894" t="s">
        <v>103</v>
      </c>
      <c r="J3894" t="s">
        <v>103</v>
      </c>
      <c r="K3894" t="s">
        <v>103</v>
      </c>
    </row>
    <row r="3895" spans="1:11" x14ac:dyDescent="0.3">
      <c r="A3895" t="s">
        <v>26</v>
      </c>
      <c r="B3895" t="s">
        <v>1235</v>
      </c>
      <c r="C3895">
        <v>37</v>
      </c>
      <c r="D3895" t="s">
        <v>103</v>
      </c>
      <c r="E3895" t="s">
        <v>103</v>
      </c>
      <c r="F3895" t="s">
        <v>192</v>
      </c>
      <c r="G3895" t="s">
        <v>103</v>
      </c>
      <c r="H3895" t="s">
        <v>103</v>
      </c>
      <c r="I3895" t="s">
        <v>103</v>
      </c>
      <c r="J3895" t="s">
        <v>103</v>
      </c>
      <c r="K3895" t="s">
        <v>103</v>
      </c>
    </row>
    <row r="3896" spans="1:11" x14ac:dyDescent="0.3">
      <c r="A3896" t="s">
        <v>26</v>
      </c>
      <c r="B3896" t="s">
        <v>1237</v>
      </c>
      <c r="C3896">
        <v>144</v>
      </c>
      <c r="D3896" t="s">
        <v>103</v>
      </c>
      <c r="E3896" t="s">
        <v>103</v>
      </c>
      <c r="F3896" t="s">
        <v>192</v>
      </c>
      <c r="G3896" t="s">
        <v>103</v>
      </c>
      <c r="H3896" t="s">
        <v>103</v>
      </c>
      <c r="I3896" t="s">
        <v>103</v>
      </c>
      <c r="J3896" t="s">
        <v>103</v>
      </c>
      <c r="K3896" t="s">
        <v>103</v>
      </c>
    </row>
    <row r="3897" spans="1:11" x14ac:dyDescent="0.3">
      <c r="A3897" t="s">
        <v>29</v>
      </c>
      <c r="B3897" t="s">
        <v>1234</v>
      </c>
      <c r="C3897">
        <v>372</v>
      </c>
      <c r="D3897" t="s">
        <v>208</v>
      </c>
      <c r="E3897" t="s">
        <v>139</v>
      </c>
      <c r="F3897" t="s">
        <v>1478</v>
      </c>
      <c r="G3897" t="s">
        <v>116</v>
      </c>
      <c r="H3897" t="s">
        <v>95</v>
      </c>
      <c r="I3897" t="s">
        <v>103</v>
      </c>
      <c r="J3897" t="s">
        <v>103</v>
      </c>
      <c r="K3897" t="s">
        <v>103</v>
      </c>
    </row>
    <row r="3898" spans="1:11" x14ac:dyDescent="0.3">
      <c r="A3898" t="s">
        <v>29</v>
      </c>
      <c r="B3898" t="s">
        <v>1235</v>
      </c>
      <c r="C3898">
        <v>38</v>
      </c>
      <c r="D3898" t="s">
        <v>103</v>
      </c>
      <c r="E3898" t="s">
        <v>270</v>
      </c>
      <c r="F3898" t="s">
        <v>855</v>
      </c>
      <c r="G3898" t="s">
        <v>102</v>
      </c>
      <c r="H3898" t="s">
        <v>103</v>
      </c>
      <c r="I3898" t="s">
        <v>103</v>
      </c>
      <c r="J3898" t="s">
        <v>103</v>
      </c>
      <c r="K3898" t="s">
        <v>103</v>
      </c>
    </row>
    <row r="3899" spans="1:11" x14ac:dyDescent="0.3">
      <c r="A3899" t="s">
        <v>29</v>
      </c>
      <c r="B3899" t="s">
        <v>1237</v>
      </c>
      <c r="C3899">
        <v>120</v>
      </c>
      <c r="D3899" t="s">
        <v>98</v>
      </c>
      <c r="E3899" t="s">
        <v>98</v>
      </c>
      <c r="F3899" t="s">
        <v>950</v>
      </c>
      <c r="G3899" t="s">
        <v>345</v>
      </c>
      <c r="H3899" t="s">
        <v>103</v>
      </c>
      <c r="I3899" t="s">
        <v>103</v>
      </c>
      <c r="J3899" t="s">
        <v>103</v>
      </c>
      <c r="K3899" t="s">
        <v>103</v>
      </c>
    </row>
    <row r="3900" spans="1:11" x14ac:dyDescent="0.3">
      <c r="A3900" t="s">
        <v>28</v>
      </c>
      <c r="B3900" t="s">
        <v>1234</v>
      </c>
      <c r="C3900">
        <v>126</v>
      </c>
      <c r="D3900" t="s">
        <v>216</v>
      </c>
      <c r="E3900" t="s">
        <v>120</v>
      </c>
      <c r="F3900" t="s">
        <v>752</v>
      </c>
      <c r="G3900" t="s">
        <v>64</v>
      </c>
      <c r="H3900" t="s">
        <v>120</v>
      </c>
      <c r="I3900" t="s">
        <v>103</v>
      </c>
      <c r="J3900" t="s">
        <v>120</v>
      </c>
      <c r="K3900" t="s">
        <v>103</v>
      </c>
    </row>
    <row r="3901" spans="1:11" s="3" customFormat="1" x14ac:dyDescent="0.3">
      <c r="A3901" s="3" t="s">
        <v>28</v>
      </c>
      <c r="B3901" s="3" t="s">
        <v>1235</v>
      </c>
      <c r="C3901" s="3">
        <v>17</v>
      </c>
      <c r="D3901" s="3" t="s">
        <v>516</v>
      </c>
      <c r="E3901" s="3" t="s">
        <v>103</v>
      </c>
      <c r="F3901" s="3" t="s">
        <v>156</v>
      </c>
      <c r="G3901" s="3" t="s">
        <v>687</v>
      </c>
      <c r="H3901" s="3" t="s">
        <v>103</v>
      </c>
      <c r="I3901" s="3" t="s">
        <v>103</v>
      </c>
      <c r="J3901" s="3" t="s">
        <v>103</v>
      </c>
      <c r="K3901" s="3" t="s">
        <v>103</v>
      </c>
    </row>
    <row r="3902" spans="1:11" x14ac:dyDescent="0.3">
      <c r="A3902" t="s">
        <v>28</v>
      </c>
      <c r="B3902" t="s">
        <v>1237</v>
      </c>
      <c r="C3902">
        <v>174</v>
      </c>
      <c r="D3902" t="s">
        <v>329</v>
      </c>
      <c r="E3902" t="s">
        <v>103</v>
      </c>
      <c r="F3902" t="s">
        <v>332</v>
      </c>
      <c r="G3902" t="s">
        <v>118</v>
      </c>
      <c r="H3902" t="s">
        <v>103</v>
      </c>
      <c r="I3902" t="s">
        <v>103</v>
      </c>
      <c r="J3902" t="s">
        <v>97</v>
      </c>
      <c r="K3902" t="s">
        <v>103</v>
      </c>
    </row>
    <row r="3903" spans="1:11" x14ac:dyDescent="0.3">
      <c r="A3903" t="s">
        <v>27</v>
      </c>
      <c r="B3903" t="s">
        <v>1234</v>
      </c>
      <c r="C3903">
        <v>149</v>
      </c>
      <c r="D3903" t="s">
        <v>120</v>
      </c>
      <c r="E3903" t="s">
        <v>120</v>
      </c>
      <c r="F3903" t="s">
        <v>192</v>
      </c>
      <c r="G3903" t="s">
        <v>103</v>
      </c>
      <c r="H3903" t="s">
        <v>103</v>
      </c>
      <c r="I3903" t="s">
        <v>103</v>
      </c>
      <c r="J3903" t="s">
        <v>103</v>
      </c>
      <c r="K3903" t="s">
        <v>103</v>
      </c>
    </row>
    <row r="3904" spans="1:11" s="3" customFormat="1" x14ac:dyDescent="0.3">
      <c r="A3904" s="3" t="s">
        <v>27</v>
      </c>
      <c r="B3904" s="3" t="s">
        <v>1235</v>
      </c>
      <c r="C3904" s="3">
        <v>10</v>
      </c>
      <c r="D3904" s="3" t="s">
        <v>486</v>
      </c>
      <c r="E3904" s="3" t="s">
        <v>103</v>
      </c>
      <c r="F3904" s="3" t="s">
        <v>760</v>
      </c>
      <c r="G3904" s="3" t="s">
        <v>103</v>
      </c>
      <c r="H3904" s="3" t="s">
        <v>486</v>
      </c>
      <c r="I3904" s="3" t="s">
        <v>103</v>
      </c>
      <c r="J3904" s="3" t="s">
        <v>103</v>
      </c>
      <c r="K3904" s="3" t="s">
        <v>103</v>
      </c>
    </row>
    <row r="3905" spans="1:11" x14ac:dyDescent="0.3">
      <c r="A3905" t="s">
        <v>27</v>
      </c>
      <c r="B3905" t="s">
        <v>1237</v>
      </c>
      <c r="C3905">
        <v>141</v>
      </c>
      <c r="D3905" t="s">
        <v>103</v>
      </c>
      <c r="E3905" t="s">
        <v>103</v>
      </c>
      <c r="F3905" t="s">
        <v>192</v>
      </c>
      <c r="G3905" t="s">
        <v>103</v>
      </c>
      <c r="H3905" t="s">
        <v>103</v>
      </c>
      <c r="I3905" t="s">
        <v>103</v>
      </c>
      <c r="J3905" t="s">
        <v>103</v>
      </c>
      <c r="K3905" t="s">
        <v>103</v>
      </c>
    </row>
    <row r="3906" spans="1:11" x14ac:dyDescent="0.3">
      <c r="A3906" t="s">
        <v>41</v>
      </c>
      <c r="B3906" t="s">
        <v>1234</v>
      </c>
      <c r="C3906">
        <v>1200</v>
      </c>
      <c r="D3906" t="s">
        <v>468</v>
      </c>
      <c r="E3906" t="s">
        <v>97</v>
      </c>
      <c r="F3906" t="s">
        <v>346</v>
      </c>
      <c r="G3906" t="s">
        <v>116</v>
      </c>
      <c r="H3906" t="s">
        <v>468</v>
      </c>
      <c r="I3906" t="s">
        <v>103</v>
      </c>
      <c r="J3906" t="s">
        <v>103</v>
      </c>
      <c r="K3906" t="s">
        <v>103</v>
      </c>
    </row>
    <row r="3907" spans="1:11" x14ac:dyDescent="0.3">
      <c r="A3907" t="s">
        <v>41</v>
      </c>
      <c r="B3907" t="s">
        <v>1235</v>
      </c>
      <c r="C3907">
        <v>127</v>
      </c>
      <c r="D3907" t="s">
        <v>282</v>
      </c>
      <c r="E3907" t="s">
        <v>93</v>
      </c>
      <c r="F3907" t="s">
        <v>1173</v>
      </c>
      <c r="G3907" t="s">
        <v>93</v>
      </c>
      <c r="H3907" t="s">
        <v>282</v>
      </c>
      <c r="I3907" t="s">
        <v>103</v>
      </c>
      <c r="J3907" t="s">
        <v>103</v>
      </c>
      <c r="K3907" t="s">
        <v>103</v>
      </c>
    </row>
    <row r="3908" spans="1:11" x14ac:dyDescent="0.3">
      <c r="A3908" t="s">
        <v>41</v>
      </c>
      <c r="B3908" t="s">
        <v>1237</v>
      </c>
      <c r="C3908">
        <v>711</v>
      </c>
      <c r="D3908" t="s">
        <v>120</v>
      </c>
      <c r="E3908" t="s">
        <v>122</v>
      </c>
      <c r="F3908" t="s">
        <v>334</v>
      </c>
      <c r="G3908" t="s">
        <v>120</v>
      </c>
      <c r="H3908" t="s">
        <v>66</v>
      </c>
      <c r="I3908" t="s">
        <v>103</v>
      </c>
      <c r="J3908" t="s">
        <v>103</v>
      </c>
      <c r="K3908" t="s">
        <v>103</v>
      </c>
    </row>
    <row r="3910" spans="1:11" x14ac:dyDescent="0.3">
      <c r="A3910" t="s">
        <v>1569</v>
      </c>
    </row>
    <row r="3911" spans="1:11" x14ac:dyDescent="0.3">
      <c r="A3911" t="s">
        <v>36</v>
      </c>
      <c r="B3911" t="s">
        <v>763</v>
      </c>
      <c r="C3911" t="s">
        <v>24</v>
      </c>
      <c r="D3911" t="s">
        <v>1561</v>
      </c>
      <c r="E3911" t="s">
        <v>1562</v>
      </c>
      <c r="F3911" t="s">
        <v>1563</v>
      </c>
      <c r="G3911" t="s">
        <v>1564</v>
      </c>
      <c r="H3911" t="s">
        <v>1565</v>
      </c>
      <c r="I3911" t="s">
        <v>89</v>
      </c>
      <c r="J3911" t="s">
        <v>87</v>
      </c>
      <c r="K3911" t="s">
        <v>1566</v>
      </c>
    </row>
    <row r="3912" spans="1:11" x14ac:dyDescent="0.3">
      <c r="A3912" t="s">
        <v>25</v>
      </c>
      <c r="B3912" t="s">
        <v>764</v>
      </c>
      <c r="C3912">
        <v>31</v>
      </c>
      <c r="D3912" t="s">
        <v>103</v>
      </c>
      <c r="E3912" t="s">
        <v>103</v>
      </c>
      <c r="F3912" t="s">
        <v>192</v>
      </c>
      <c r="G3912" t="s">
        <v>103</v>
      </c>
      <c r="H3912" t="s">
        <v>103</v>
      </c>
      <c r="I3912" t="s">
        <v>103</v>
      </c>
      <c r="J3912" t="s">
        <v>103</v>
      </c>
      <c r="K3912" t="s">
        <v>103</v>
      </c>
    </row>
    <row r="3913" spans="1:11" x14ac:dyDescent="0.3">
      <c r="A3913" t="s">
        <v>25</v>
      </c>
      <c r="B3913" t="s">
        <v>765</v>
      </c>
      <c r="C3913">
        <v>280</v>
      </c>
      <c r="D3913" t="s">
        <v>116</v>
      </c>
      <c r="E3913" t="s">
        <v>116</v>
      </c>
      <c r="F3913" t="s">
        <v>343</v>
      </c>
      <c r="G3913" t="s">
        <v>103</v>
      </c>
      <c r="H3913" t="s">
        <v>110</v>
      </c>
      <c r="I3913" t="s">
        <v>103</v>
      </c>
      <c r="J3913" t="s">
        <v>103</v>
      </c>
      <c r="K3913" t="s">
        <v>103</v>
      </c>
    </row>
    <row r="3914" spans="1:11" x14ac:dyDescent="0.3">
      <c r="A3914" t="s">
        <v>25</v>
      </c>
      <c r="B3914" t="s">
        <v>767</v>
      </c>
      <c r="C3914">
        <v>103</v>
      </c>
      <c r="D3914" t="s">
        <v>103</v>
      </c>
      <c r="E3914" t="s">
        <v>468</v>
      </c>
      <c r="F3914" t="s">
        <v>876</v>
      </c>
      <c r="G3914" t="s">
        <v>282</v>
      </c>
      <c r="H3914" t="s">
        <v>126</v>
      </c>
      <c r="I3914" t="s">
        <v>103</v>
      </c>
      <c r="J3914" t="s">
        <v>103</v>
      </c>
      <c r="K3914" t="s">
        <v>103</v>
      </c>
    </row>
    <row r="3915" spans="1:11" x14ac:dyDescent="0.3">
      <c r="A3915" t="s">
        <v>26</v>
      </c>
      <c r="B3915" t="s">
        <v>764</v>
      </c>
      <c r="C3915">
        <v>58</v>
      </c>
      <c r="D3915" t="s">
        <v>103</v>
      </c>
      <c r="E3915" t="s">
        <v>103</v>
      </c>
      <c r="F3915" t="s">
        <v>192</v>
      </c>
      <c r="G3915" t="s">
        <v>103</v>
      </c>
      <c r="H3915" t="s">
        <v>103</v>
      </c>
      <c r="I3915" t="s">
        <v>103</v>
      </c>
      <c r="J3915" t="s">
        <v>103</v>
      </c>
      <c r="K3915" t="s">
        <v>103</v>
      </c>
    </row>
    <row r="3916" spans="1:11" x14ac:dyDescent="0.3">
      <c r="A3916" t="s">
        <v>26</v>
      </c>
      <c r="B3916" t="s">
        <v>765</v>
      </c>
      <c r="C3916">
        <v>278</v>
      </c>
      <c r="D3916" t="s">
        <v>103</v>
      </c>
      <c r="E3916" t="s">
        <v>103</v>
      </c>
      <c r="F3916" t="s">
        <v>192</v>
      </c>
      <c r="G3916" t="s">
        <v>103</v>
      </c>
      <c r="H3916" t="s">
        <v>103</v>
      </c>
      <c r="I3916" t="s">
        <v>103</v>
      </c>
      <c r="J3916" t="s">
        <v>103</v>
      </c>
      <c r="K3916" t="s">
        <v>103</v>
      </c>
    </row>
    <row r="3917" spans="1:11" x14ac:dyDescent="0.3">
      <c r="A3917" t="s">
        <v>26</v>
      </c>
      <c r="B3917" t="s">
        <v>767</v>
      </c>
      <c r="C3917">
        <v>141</v>
      </c>
      <c r="D3917" t="s">
        <v>91</v>
      </c>
      <c r="E3917" t="s">
        <v>103</v>
      </c>
      <c r="F3917" t="s">
        <v>337</v>
      </c>
      <c r="G3917" t="s">
        <v>103</v>
      </c>
      <c r="H3917" t="s">
        <v>139</v>
      </c>
      <c r="I3917" t="s">
        <v>103</v>
      </c>
      <c r="J3917" t="s">
        <v>103</v>
      </c>
      <c r="K3917" t="s">
        <v>103</v>
      </c>
    </row>
    <row r="3918" spans="1:11" s="3" customFormat="1" x14ac:dyDescent="0.3">
      <c r="A3918" s="3" t="s">
        <v>29</v>
      </c>
      <c r="B3918" s="3" t="s">
        <v>764</v>
      </c>
      <c r="C3918" s="3">
        <v>11</v>
      </c>
      <c r="D3918" s="3" t="s">
        <v>103</v>
      </c>
      <c r="E3918" s="3" t="s">
        <v>103</v>
      </c>
      <c r="F3918" s="3" t="s">
        <v>192</v>
      </c>
      <c r="G3918" s="3" t="s">
        <v>115</v>
      </c>
      <c r="H3918" s="3" t="s">
        <v>103</v>
      </c>
      <c r="I3918" s="3" t="s">
        <v>103</v>
      </c>
      <c r="J3918" s="3" t="s">
        <v>103</v>
      </c>
      <c r="K3918" s="3" t="s">
        <v>103</v>
      </c>
    </row>
    <row r="3919" spans="1:11" x14ac:dyDescent="0.3">
      <c r="A3919" t="s">
        <v>29</v>
      </c>
      <c r="B3919" t="s">
        <v>765</v>
      </c>
      <c r="C3919">
        <v>365</v>
      </c>
      <c r="D3919" t="s">
        <v>329</v>
      </c>
      <c r="E3919" t="s">
        <v>345</v>
      </c>
      <c r="F3919" t="s">
        <v>322</v>
      </c>
      <c r="G3919" t="s">
        <v>122</v>
      </c>
      <c r="H3919" t="s">
        <v>97</v>
      </c>
      <c r="I3919" t="s">
        <v>103</v>
      </c>
      <c r="J3919" t="s">
        <v>103</v>
      </c>
      <c r="K3919" t="s">
        <v>103</v>
      </c>
    </row>
    <row r="3920" spans="1:11" x14ac:dyDescent="0.3">
      <c r="A3920" t="s">
        <v>29</v>
      </c>
      <c r="B3920" t="s">
        <v>767</v>
      </c>
      <c r="C3920">
        <v>154</v>
      </c>
      <c r="D3920" t="s">
        <v>95</v>
      </c>
      <c r="E3920" t="s">
        <v>95</v>
      </c>
      <c r="F3920" t="s">
        <v>335</v>
      </c>
      <c r="G3920" t="s">
        <v>139</v>
      </c>
      <c r="H3920" t="s">
        <v>97</v>
      </c>
      <c r="I3920" t="s">
        <v>103</v>
      </c>
      <c r="J3920" t="s">
        <v>103</v>
      </c>
      <c r="K3920" t="s">
        <v>103</v>
      </c>
    </row>
    <row r="3921" spans="1:11" s="3" customFormat="1" x14ac:dyDescent="0.3">
      <c r="A3921" s="3" t="s">
        <v>28</v>
      </c>
      <c r="B3921" s="3" t="s">
        <v>764</v>
      </c>
      <c r="C3921" s="3">
        <v>20</v>
      </c>
      <c r="D3921" s="3" t="s">
        <v>103</v>
      </c>
      <c r="E3921" s="3" t="s">
        <v>103</v>
      </c>
      <c r="F3921" s="3" t="s">
        <v>192</v>
      </c>
      <c r="G3921" s="3" t="s">
        <v>103</v>
      </c>
      <c r="H3921" s="3" t="s">
        <v>103</v>
      </c>
      <c r="I3921" s="3" t="s">
        <v>103</v>
      </c>
      <c r="J3921" s="3" t="s">
        <v>103</v>
      </c>
      <c r="K3921" s="3" t="s">
        <v>103</v>
      </c>
    </row>
    <row r="3922" spans="1:11" x14ac:dyDescent="0.3">
      <c r="A3922" t="s">
        <v>28</v>
      </c>
      <c r="B3922" t="s">
        <v>765</v>
      </c>
      <c r="C3922">
        <v>260</v>
      </c>
      <c r="D3922" t="s">
        <v>272</v>
      </c>
      <c r="E3922" t="s">
        <v>103</v>
      </c>
      <c r="F3922" t="s">
        <v>279</v>
      </c>
      <c r="G3922" t="s">
        <v>272</v>
      </c>
      <c r="H3922" t="s">
        <v>103</v>
      </c>
      <c r="I3922" t="s">
        <v>103</v>
      </c>
      <c r="J3922" t="s">
        <v>120</v>
      </c>
      <c r="K3922" t="s">
        <v>103</v>
      </c>
    </row>
    <row r="3923" spans="1:11" x14ac:dyDescent="0.3">
      <c r="A3923" t="s">
        <v>28</v>
      </c>
      <c r="B3923" t="s">
        <v>767</v>
      </c>
      <c r="C3923">
        <v>37</v>
      </c>
      <c r="D3923" t="s">
        <v>103</v>
      </c>
      <c r="E3923" t="s">
        <v>118</v>
      </c>
      <c r="F3923" t="s">
        <v>863</v>
      </c>
      <c r="G3923" t="s">
        <v>460</v>
      </c>
      <c r="H3923" t="s">
        <v>118</v>
      </c>
      <c r="I3923" t="s">
        <v>103</v>
      </c>
      <c r="J3923" t="s">
        <v>103</v>
      </c>
      <c r="K3923" t="s">
        <v>103</v>
      </c>
    </row>
    <row r="3924" spans="1:11" s="3" customFormat="1" x14ac:dyDescent="0.3">
      <c r="A3924" s="3" t="s">
        <v>27</v>
      </c>
      <c r="B3924" s="3" t="s">
        <v>764</v>
      </c>
      <c r="C3924" s="3">
        <v>29</v>
      </c>
      <c r="D3924" s="3" t="s">
        <v>103</v>
      </c>
      <c r="E3924" s="3" t="s">
        <v>103</v>
      </c>
      <c r="F3924" s="3" t="s">
        <v>192</v>
      </c>
      <c r="G3924" s="3" t="s">
        <v>103</v>
      </c>
      <c r="H3924" s="3" t="s">
        <v>103</v>
      </c>
      <c r="I3924" s="3" t="s">
        <v>103</v>
      </c>
      <c r="J3924" s="3" t="s">
        <v>103</v>
      </c>
      <c r="K3924" s="3" t="s">
        <v>103</v>
      </c>
    </row>
    <row r="3925" spans="1:11" x14ac:dyDescent="0.3">
      <c r="A3925" t="s">
        <v>27</v>
      </c>
      <c r="B3925" t="s">
        <v>765</v>
      </c>
      <c r="C3925">
        <v>209</v>
      </c>
      <c r="D3925" t="s">
        <v>345</v>
      </c>
      <c r="E3925" t="s">
        <v>103</v>
      </c>
      <c r="F3925" t="s">
        <v>346</v>
      </c>
      <c r="G3925" t="s">
        <v>103</v>
      </c>
      <c r="H3925" t="s">
        <v>345</v>
      </c>
      <c r="I3925" t="s">
        <v>103</v>
      </c>
      <c r="J3925" t="s">
        <v>103</v>
      </c>
      <c r="K3925" t="s">
        <v>103</v>
      </c>
    </row>
    <row r="3926" spans="1:11" x14ac:dyDescent="0.3">
      <c r="A3926" t="s">
        <v>27</v>
      </c>
      <c r="B3926" t="s">
        <v>767</v>
      </c>
      <c r="C3926">
        <v>62</v>
      </c>
      <c r="D3926" t="s">
        <v>110</v>
      </c>
      <c r="E3926" t="s">
        <v>110</v>
      </c>
      <c r="F3926" t="s">
        <v>192</v>
      </c>
      <c r="G3926" t="s">
        <v>103</v>
      </c>
      <c r="H3926" t="s">
        <v>103</v>
      </c>
      <c r="I3926" t="s">
        <v>103</v>
      </c>
      <c r="J3926" t="s">
        <v>103</v>
      </c>
      <c r="K3926" t="s">
        <v>103</v>
      </c>
    </row>
    <row r="3927" spans="1:11" x14ac:dyDescent="0.3">
      <c r="A3927" t="s">
        <v>41</v>
      </c>
      <c r="B3927" t="s">
        <v>764</v>
      </c>
      <c r="C3927">
        <v>149</v>
      </c>
      <c r="D3927" t="s">
        <v>103</v>
      </c>
      <c r="E3927" t="s">
        <v>103</v>
      </c>
      <c r="F3927" t="s">
        <v>192</v>
      </c>
      <c r="G3927" t="s">
        <v>245</v>
      </c>
      <c r="H3927" t="s">
        <v>103</v>
      </c>
      <c r="I3927" t="s">
        <v>103</v>
      </c>
      <c r="J3927" t="s">
        <v>103</v>
      </c>
      <c r="K3927" t="s">
        <v>103</v>
      </c>
    </row>
    <row r="3928" spans="1:11" x14ac:dyDescent="0.3">
      <c r="A3928" t="s">
        <v>41</v>
      </c>
      <c r="B3928" t="s">
        <v>765</v>
      </c>
      <c r="C3928">
        <v>1392</v>
      </c>
      <c r="D3928" t="s">
        <v>194</v>
      </c>
      <c r="E3928" t="s">
        <v>120</v>
      </c>
      <c r="F3928" t="s">
        <v>1478</v>
      </c>
      <c r="G3928" t="s">
        <v>122</v>
      </c>
      <c r="H3928" t="s">
        <v>120</v>
      </c>
      <c r="I3928" t="s">
        <v>103</v>
      </c>
      <c r="J3928" t="s">
        <v>103</v>
      </c>
      <c r="K3928" t="s">
        <v>103</v>
      </c>
    </row>
    <row r="3929" spans="1:11" x14ac:dyDescent="0.3">
      <c r="A3929" t="s">
        <v>41</v>
      </c>
      <c r="B3929" t="s">
        <v>767</v>
      </c>
      <c r="C3929">
        <v>497</v>
      </c>
      <c r="D3929" t="s">
        <v>122</v>
      </c>
      <c r="E3929" t="s">
        <v>95</v>
      </c>
      <c r="F3929" t="s">
        <v>346</v>
      </c>
      <c r="G3929" t="s">
        <v>95</v>
      </c>
      <c r="H3929" t="s">
        <v>341</v>
      </c>
      <c r="I3929" t="s">
        <v>103</v>
      </c>
      <c r="J3929" t="s">
        <v>103</v>
      </c>
      <c r="K3929" t="s">
        <v>103</v>
      </c>
    </row>
    <row r="3931" spans="1:11" x14ac:dyDescent="0.3">
      <c r="A3931" t="s">
        <v>1570</v>
      </c>
    </row>
    <row r="3932" spans="1:11" x14ac:dyDescent="0.3">
      <c r="A3932" t="s">
        <v>36</v>
      </c>
      <c r="B3932" t="s">
        <v>210</v>
      </c>
      <c r="C3932" t="s">
        <v>24</v>
      </c>
      <c r="D3932" t="s">
        <v>1561</v>
      </c>
      <c r="E3932" t="s">
        <v>1562</v>
      </c>
      <c r="F3932" t="s">
        <v>1563</v>
      </c>
      <c r="G3932" t="s">
        <v>1564</v>
      </c>
      <c r="H3932" t="s">
        <v>1565</v>
      </c>
      <c r="I3932" t="s">
        <v>89</v>
      </c>
      <c r="J3932" t="s">
        <v>87</v>
      </c>
      <c r="K3932" t="s">
        <v>1566</v>
      </c>
    </row>
    <row r="3933" spans="1:11" x14ac:dyDescent="0.3">
      <c r="A3933" t="s">
        <v>25</v>
      </c>
      <c r="B3933" t="s">
        <v>211</v>
      </c>
      <c r="C3933">
        <v>414</v>
      </c>
      <c r="D3933" t="s">
        <v>66</v>
      </c>
      <c r="E3933" t="s">
        <v>97</v>
      </c>
      <c r="F3933" t="s">
        <v>343</v>
      </c>
      <c r="G3933" t="s">
        <v>116</v>
      </c>
      <c r="H3933" t="s">
        <v>270</v>
      </c>
      <c r="I3933" t="s">
        <v>103</v>
      </c>
      <c r="J3933" t="s">
        <v>103</v>
      </c>
      <c r="K3933" t="s">
        <v>103</v>
      </c>
    </row>
    <row r="3934" spans="1:11" x14ac:dyDescent="0.3">
      <c r="A3934" t="s">
        <v>26</v>
      </c>
      <c r="B3934" t="s">
        <v>211</v>
      </c>
      <c r="C3934">
        <v>223</v>
      </c>
      <c r="D3934" t="s">
        <v>91</v>
      </c>
      <c r="E3934" t="s">
        <v>103</v>
      </c>
      <c r="F3934" t="s">
        <v>337</v>
      </c>
      <c r="G3934" t="s">
        <v>103</v>
      </c>
      <c r="H3934" t="s">
        <v>103</v>
      </c>
      <c r="I3934" t="s">
        <v>103</v>
      </c>
      <c r="J3934" t="s">
        <v>103</v>
      </c>
      <c r="K3934" t="s">
        <v>91</v>
      </c>
    </row>
    <row r="3935" spans="1:11" x14ac:dyDescent="0.3">
      <c r="A3935" t="s">
        <v>26</v>
      </c>
      <c r="B3935" t="s">
        <v>212</v>
      </c>
      <c r="C3935">
        <v>254</v>
      </c>
      <c r="D3935" t="s">
        <v>103</v>
      </c>
      <c r="E3935" t="s">
        <v>103</v>
      </c>
      <c r="F3935" t="s">
        <v>192</v>
      </c>
      <c r="G3935" t="s">
        <v>103</v>
      </c>
      <c r="H3935" t="s">
        <v>122</v>
      </c>
      <c r="I3935" t="s">
        <v>103</v>
      </c>
      <c r="J3935" t="s">
        <v>103</v>
      </c>
      <c r="K3935" t="s">
        <v>103</v>
      </c>
    </row>
    <row r="3936" spans="1:11" x14ac:dyDescent="0.3">
      <c r="A3936" t="s">
        <v>29</v>
      </c>
      <c r="B3936" t="s">
        <v>211</v>
      </c>
      <c r="C3936">
        <v>530</v>
      </c>
      <c r="D3936" t="s">
        <v>245</v>
      </c>
      <c r="E3936" t="s">
        <v>282</v>
      </c>
      <c r="F3936" t="s">
        <v>1471</v>
      </c>
      <c r="G3936" t="s">
        <v>95</v>
      </c>
      <c r="H3936" t="s">
        <v>97</v>
      </c>
      <c r="I3936" t="s">
        <v>103</v>
      </c>
      <c r="J3936" t="s">
        <v>103</v>
      </c>
      <c r="K3936" t="s">
        <v>103</v>
      </c>
    </row>
    <row r="3937" spans="1:11" x14ac:dyDescent="0.3">
      <c r="A3937" t="s">
        <v>28</v>
      </c>
      <c r="B3937" t="s">
        <v>211</v>
      </c>
      <c r="C3937">
        <v>277</v>
      </c>
      <c r="D3937" t="s">
        <v>270</v>
      </c>
      <c r="E3937" t="s">
        <v>116</v>
      </c>
      <c r="F3937" t="s">
        <v>597</v>
      </c>
      <c r="G3937" t="s">
        <v>493</v>
      </c>
      <c r="H3937" t="s">
        <v>116</v>
      </c>
      <c r="I3937" t="s">
        <v>103</v>
      </c>
      <c r="J3937" t="s">
        <v>66</v>
      </c>
      <c r="K3937" t="s">
        <v>103</v>
      </c>
    </row>
    <row r="3938" spans="1:11" x14ac:dyDescent="0.3">
      <c r="A3938" t="s">
        <v>28</v>
      </c>
      <c r="B3938" t="s">
        <v>212</v>
      </c>
      <c r="C3938">
        <v>40</v>
      </c>
      <c r="D3938" t="s">
        <v>103</v>
      </c>
      <c r="E3938" t="s">
        <v>103</v>
      </c>
      <c r="F3938" t="s">
        <v>768</v>
      </c>
      <c r="G3938" t="s">
        <v>103</v>
      </c>
      <c r="H3938" t="s">
        <v>103</v>
      </c>
      <c r="I3938" t="s">
        <v>103</v>
      </c>
      <c r="J3938" t="s">
        <v>217</v>
      </c>
      <c r="K3938" t="s">
        <v>103</v>
      </c>
    </row>
    <row r="3939" spans="1:11" x14ac:dyDescent="0.3">
      <c r="A3939" t="s">
        <v>27</v>
      </c>
      <c r="B3939" t="s">
        <v>211</v>
      </c>
      <c r="C3939">
        <v>270</v>
      </c>
      <c r="D3939" t="s">
        <v>139</v>
      </c>
      <c r="E3939" t="s">
        <v>103</v>
      </c>
      <c r="F3939" t="s">
        <v>325</v>
      </c>
      <c r="G3939" t="s">
        <v>103</v>
      </c>
      <c r="H3939" t="s">
        <v>139</v>
      </c>
      <c r="I3939" t="s">
        <v>103</v>
      </c>
      <c r="J3939" t="s">
        <v>103</v>
      </c>
      <c r="K3939" t="s">
        <v>103</v>
      </c>
    </row>
    <row r="3940" spans="1:11" s="3" customFormat="1" x14ac:dyDescent="0.3">
      <c r="A3940" s="3" t="s">
        <v>27</v>
      </c>
      <c r="B3940" s="3" t="s">
        <v>212</v>
      </c>
      <c r="C3940" s="3">
        <v>30</v>
      </c>
      <c r="D3940" s="3" t="s">
        <v>251</v>
      </c>
      <c r="E3940" s="3" t="s">
        <v>251</v>
      </c>
      <c r="F3940" s="3" t="s">
        <v>192</v>
      </c>
      <c r="G3940" s="3" t="s">
        <v>103</v>
      </c>
      <c r="H3940" s="3" t="s">
        <v>103</v>
      </c>
      <c r="I3940" s="3" t="s">
        <v>103</v>
      </c>
      <c r="J3940" s="3" t="s">
        <v>103</v>
      </c>
      <c r="K3940" s="3" t="s">
        <v>103</v>
      </c>
    </row>
    <row r="3941" spans="1:11" x14ac:dyDescent="0.3">
      <c r="A3941" t="s">
        <v>41</v>
      </c>
      <c r="B3941" t="s">
        <v>211</v>
      </c>
      <c r="C3941">
        <v>1714</v>
      </c>
      <c r="D3941" t="s">
        <v>345</v>
      </c>
      <c r="E3941" t="s">
        <v>95</v>
      </c>
      <c r="F3941" t="s">
        <v>1478</v>
      </c>
      <c r="G3941" t="s">
        <v>120</v>
      </c>
      <c r="H3941" t="s">
        <v>282</v>
      </c>
      <c r="I3941" t="s">
        <v>103</v>
      </c>
      <c r="J3941" t="s">
        <v>103</v>
      </c>
      <c r="K3941" t="s">
        <v>103</v>
      </c>
    </row>
    <row r="3942" spans="1:11" x14ac:dyDescent="0.3">
      <c r="A3942" t="s">
        <v>41</v>
      </c>
      <c r="B3942" t="s">
        <v>212</v>
      </c>
      <c r="C3942">
        <v>324</v>
      </c>
      <c r="D3942" t="s">
        <v>91</v>
      </c>
      <c r="E3942" t="s">
        <v>91</v>
      </c>
      <c r="F3942" t="s">
        <v>337</v>
      </c>
      <c r="G3942" t="s">
        <v>103</v>
      </c>
      <c r="H3942" t="s">
        <v>122</v>
      </c>
      <c r="I3942" t="s">
        <v>103</v>
      </c>
      <c r="J3942" t="s">
        <v>91</v>
      </c>
      <c r="K3942" t="s">
        <v>103</v>
      </c>
    </row>
    <row r="3944" spans="1:11" x14ac:dyDescent="0.3">
      <c r="A3944" t="s">
        <v>1571</v>
      </c>
    </row>
    <row r="3945" spans="1:11" x14ac:dyDescent="0.3">
      <c r="A3945" t="s">
        <v>36</v>
      </c>
      <c r="B3945" t="s">
        <v>24</v>
      </c>
      <c r="C3945" t="s">
        <v>1572</v>
      </c>
      <c r="D3945" t="s">
        <v>1573</v>
      </c>
      <c r="E3945" t="s">
        <v>1574</v>
      </c>
    </row>
    <row r="3946" spans="1:11" x14ac:dyDescent="0.3">
      <c r="A3946" t="s">
        <v>25</v>
      </c>
      <c r="B3946">
        <v>412</v>
      </c>
      <c r="C3946" t="s">
        <v>102</v>
      </c>
      <c r="D3946" t="s">
        <v>1240</v>
      </c>
      <c r="E3946" t="s">
        <v>420</v>
      </c>
    </row>
    <row r="3947" spans="1:11" x14ac:dyDescent="0.3">
      <c r="A3947" t="s">
        <v>26</v>
      </c>
      <c r="B3947">
        <v>474</v>
      </c>
      <c r="C3947" t="s">
        <v>194</v>
      </c>
      <c r="D3947" t="s">
        <v>593</v>
      </c>
      <c r="E3947" t="s">
        <v>893</v>
      </c>
    </row>
    <row r="3948" spans="1:11" x14ac:dyDescent="0.3">
      <c r="A3948" t="s">
        <v>29</v>
      </c>
      <c r="B3948">
        <v>527</v>
      </c>
      <c r="C3948" t="s">
        <v>102</v>
      </c>
      <c r="D3948" t="s">
        <v>538</v>
      </c>
      <c r="E3948" t="s">
        <v>401</v>
      </c>
    </row>
    <row r="3949" spans="1:11" x14ac:dyDescent="0.3">
      <c r="A3949" t="s">
        <v>28</v>
      </c>
      <c r="B3949">
        <v>317</v>
      </c>
      <c r="C3949" t="s">
        <v>93</v>
      </c>
      <c r="D3949" t="s">
        <v>1373</v>
      </c>
      <c r="E3949" t="s">
        <v>1226</v>
      </c>
    </row>
    <row r="3950" spans="1:11" x14ac:dyDescent="0.3">
      <c r="A3950" t="s">
        <v>27</v>
      </c>
      <c r="B3950">
        <v>296</v>
      </c>
      <c r="C3950" t="s">
        <v>98</v>
      </c>
      <c r="D3950" t="s">
        <v>866</v>
      </c>
      <c r="E3950" t="s">
        <v>357</v>
      </c>
    </row>
    <row r="3951" spans="1:11" x14ac:dyDescent="0.3">
      <c r="A3951" t="s">
        <v>41</v>
      </c>
      <c r="B3951">
        <v>2026</v>
      </c>
      <c r="C3951" t="s">
        <v>64</v>
      </c>
      <c r="D3951" t="s">
        <v>1404</v>
      </c>
      <c r="E3951" t="s">
        <v>1091</v>
      </c>
    </row>
    <row r="3953" spans="1:6" x14ac:dyDescent="0.3">
      <c r="A3953" t="s">
        <v>1575</v>
      </c>
    </row>
    <row r="3954" spans="1:6" x14ac:dyDescent="0.3">
      <c r="A3954" t="s">
        <v>36</v>
      </c>
      <c r="B3954" t="s">
        <v>307</v>
      </c>
      <c r="C3954" t="s">
        <v>24</v>
      </c>
      <c r="D3954" t="s">
        <v>1572</v>
      </c>
      <c r="E3954" t="s">
        <v>1573</v>
      </c>
      <c r="F3954" t="s">
        <v>1574</v>
      </c>
    </row>
    <row r="3955" spans="1:6" x14ac:dyDescent="0.3">
      <c r="A3955" t="s">
        <v>25</v>
      </c>
      <c r="B3955" t="s">
        <v>291</v>
      </c>
      <c r="C3955">
        <v>155</v>
      </c>
      <c r="D3955" t="s">
        <v>281</v>
      </c>
      <c r="E3955" t="s">
        <v>389</v>
      </c>
      <c r="F3955" t="s">
        <v>361</v>
      </c>
    </row>
    <row r="3956" spans="1:6" x14ac:dyDescent="0.3">
      <c r="A3956" t="s">
        <v>25</v>
      </c>
      <c r="B3956" t="s">
        <v>292</v>
      </c>
      <c r="C3956">
        <v>253</v>
      </c>
      <c r="D3956" t="s">
        <v>118</v>
      </c>
      <c r="E3956" t="s">
        <v>1390</v>
      </c>
      <c r="F3956" t="s">
        <v>545</v>
      </c>
    </row>
    <row r="3957" spans="1:6" x14ac:dyDescent="0.3">
      <c r="A3957" t="s">
        <v>25</v>
      </c>
      <c r="B3957" t="s">
        <v>308</v>
      </c>
      <c r="C3957">
        <v>4</v>
      </c>
      <c r="D3957" t="s">
        <v>103</v>
      </c>
      <c r="E3957" t="s">
        <v>534</v>
      </c>
      <c r="F3957" t="s">
        <v>1438</v>
      </c>
    </row>
    <row r="3958" spans="1:6" x14ac:dyDescent="0.3">
      <c r="A3958" t="s">
        <v>26</v>
      </c>
      <c r="B3958" t="s">
        <v>291</v>
      </c>
      <c r="C3958">
        <v>121</v>
      </c>
      <c r="D3958" t="s">
        <v>118</v>
      </c>
      <c r="E3958" t="s">
        <v>258</v>
      </c>
      <c r="F3958" t="s">
        <v>1229</v>
      </c>
    </row>
    <row r="3959" spans="1:6" x14ac:dyDescent="0.3">
      <c r="A3959" t="s">
        <v>26</v>
      </c>
      <c r="B3959" t="s">
        <v>292</v>
      </c>
      <c r="C3959">
        <v>350</v>
      </c>
      <c r="D3959" t="s">
        <v>98</v>
      </c>
      <c r="E3959" t="s">
        <v>924</v>
      </c>
      <c r="F3959" t="s">
        <v>1224</v>
      </c>
    </row>
    <row r="3960" spans="1:6" x14ac:dyDescent="0.3">
      <c r="A3960" t="s">
        <v>26</v>
      </c>
      <c r="B3960" t="s">
        <v>308</v>
      </c>
      <c r="C3960">
        <v>3</v>
      </c>
      <c r="D3960" t="s">
        <v>103</v>
      </c>
      <c r="E3960" t="s">
        <v>103</v>
      </c>
      <c r="F3960" t="s">
        <v>192</v>
      </c>
    </row>
    <row r="3961" spans="1:6" x14ac:dyDescent="0.3">
      <c r="A3961" t="s">
        <v>29</v>
      </c>
      <c r="B3961" t="s">
        <v>291</v>
      </c>
      <c r="C3961">
        <v>202</v>
      </c>
      <c r="D3961" t="s">
        <v>266</v>
      </c>
      <c r="E3961" t="s">
        <v>669</v>
      </c>
      <c r="F3961" t="s">
        <v>389</v>
      </c>
    </row>
    <row r="3962" spans="1:6" x14ac:dyDescent="0.3">
      <c r="A3962" t="s">
        <v>29</v>
      </c>
      <c r="B3962" t="s">
        <v>292</v>
      </c>
      <c r="C3962">
        <v>325</v>
      </c>
      <c r="D3962" t="s">
        <v>591</v>
      </c>
      <c r="E3962" t="s">
        <v>1231</v>
      </c>
      <c r="F3962" t="s">
        <v>1006</v>
      </c>
    </row>
    <row r="3963" spans="1:6" x14ac:dyDescent="0.3">
      <c r="A3963" t="s">
        <v>28</v>
      </c>
      <c r="B3963" t="s">
        <v>291</v>
      </c>
      <c r="C3963">
        <v>114</v>
      </c>
      <c r="D3963" t="s">
        <v>125</v>
      </c>
      <c r="E3963" t="s">
        <v>1577</v>
      </c>
      <c r="F3963" t="s">
        <v>792</v>
      </c>
    </row>
    <row r="3964" spans="1:6" x14ac:dyDescent="0.3">
      <c r="A3964" t="s">
        <v>28</v>
      </c>
      <c r="B3964" t="s">
        <v>292</v>
      </c>
      <c r="C3964">
        <v>191</v>
      </c>
      <c r="D3964" t="s">
        <v>110</v>
      </c>
      <c r="E3964" t="s">
        <v>1135</v>
      </c>
      <c r="F3964" t="s">
        <v>253</v>
      </c>
    </row>
    <row r="3965" spans="1:6" x14ac:dyDescent="0.3">
      <c r="A3965" t="s">
        <v>28</v>
      </c>
      <c r="B3965" t="s">
        <v>308</v>
      </c>
      <c r="C3965">
        <v>12</v>
      </c>
      <c r="D3965" t="s">
        <v>103</v>
      </c>
      <c r="E3965" t="s">
        <v>787</v>
      </c>
      <c r="F3965" t="s">
        <v>788</v>
      </c>
    </row>
    <row r="3966" spans="1:6" x14ac:dyDescent="0.3">
      <c r="A3966" t="s">
        <v>27</v>
      </c>
      <c r="B3966" t="s">
        <v>291</v>
      </c>
      <c r="C3966">
        <v>93</v>
      </c>
      <c r="D3966" t="s">
        <v>110</v>
      </c>
      <c r="E3966" t="s">
        <v>1578</v>
      </c>
      <c r="F3966" t="s">
        <v>1576</v>
      </c>
    </row>
    <row r="3967" spans="1:6" x14ac:dyDescent="0.3">
      <c r="A3967" t="s">
        <v>27</v>
      </c>
      <c r="B3967" t="s">
        <v>292</v>
      </c>
      <c r="C3967">
        <v>196</v>
      </c>
      <c r="D3967" t="s">
        <v>95</v>
      </c>
      <c r="E3967" t="s">
        <v>439</v>
      </c>
      <c r="F3967" t="s">
        <v>699</v>
      </c>
    </row>
    <row r="3968" spans="1:6" x14ac:dyDescent="0.3">
      <c r="A3968" t="s">
        <v>27</v>
      </c>
      <c r="B3968" t="s">
        <v>308</v>
      </c>
      <c r="C3968">
        <v>7</v>
      </c>
      <c r="D3968" t="s">
        <v>103</v>
      </c>
      <c r="E3968" t="s">
        <v>1362</v>
      </c>
      <c r="F3968" t="s">
        <v>456</v>
      </c>
    </row>
    <row r="3969" spans="1:6" x14ac:dyDescent="0.3">
      <c r="A3969" t="s">
        <v>41</v>
      </c>
      <c r="B3969" t="s">
        <v>291</v>
      </c>
      <c r="C3969">
        <v>685</v>
      </c>
      <c r="D3969" t="s">
        <v>272</v>
      </c>
      <c r="E3969" t="s">
        <v>1461</v>
      </c>
      <c r="F3969" t="s">
        <v>359</v>
      </c>
    </row>
    <row r="3970" spans="1:6" x14ac:dyDescent="0.3">
      <c r="A3970" t="s">
        <v>41</v>
      </c>
      <c r="B3970" t="s">
        <v>292</v>
      </c>
      <c r="C3970">
        <v>1315</v>
      </c>
      <c r="D3970" t="s">
        <v>217</v>
      </c>
      <c r="E3970" t="s">
        <v>383</v>
      </c>
      <c r="F3970" t="s">
        <v>96</v>
      </c>
    </row>
    <row r="3971" spans="1:6" x14ac:dyDescent="0.3">
      <c r="A3971" t="s">
        <v>41</v>
      </c>
      <c r="B3971" t="s">
        <v>308</v>
      </c>
      <c r="C3971">
        <v>26</v>
      </c>
      <c r="D3971" t="s">
        <v>103</v>
      </c>
      <c r="E3971" t="s">
        <v>513</v>
      </c>
      <c r="F3971" t="s">
        <v>1240</v>
      </c>
    </row>
    <row r="3973" spans="1:6" x14ac:dyDescent="0.3">
      <c r="A3973" t="s">
        <v>1580</v>
      </c>
    </row>
    <row r="3974" spans="1:6" x14ac:dyDescent="0.3">
      <c r="A3974" t="s">
        <v>36</v>
      </c>
      <c r="B3974" t="s">
        <v>310</v>
      </c>
      <c r="C3974" t="s">
        <v>24</v>
      </c>
      <c r="D3974" t="s">
        <v>1572</v>
      </c>
      <c r="E3974" t="s">
        <v>1573</v>
      </c>
      <c r="F3974" t="s">
        <v>1574</v>
      </c>
    </row>
    <row r="3975" spans="1:6" x14ac:dyDescent="0.3">
      <c r="A3975" t="s">
        <v>25</v>
      </c>
      <c r="B3975" t="s">
        <v>311</v>
      </c>
      <c r="C3975">
        <v>324</v>
      </c>
      <c r="D3975" t="s">
        <v>272</v>
      </c>
      <c r="E3975" t="s">
        <v>1039</v>
      </c>
      <c r="F3975" t="s">
        <v>453</v>
      </c>
    </row>
    <row r="3976" spans="1:6" x14ac:dyDescent="0.3">
      <c r="A3976" t="s">
        <v>25</v>
      </c>
      <c r="B3976" t="s">
        <v>312</v>
      </c>
      <c r="C3976">
        <v>78</v>
      </c>
      <c r="D3976" t="s">
        <v>118</v>
      </c>
      <c r="E3976" t="s">
        <v>814</v>
      </c>
      <c r="F3976" t="s">
        <v>698</v>
      </c>
    </row>
    <row r="3977" spans="1:6" x14ac:dyDescent="0.3">
      <c r="A3977" t="s">
        <v>25</v>
      </c>
      <c r="B3977" t="s">
        <v>308</v>
      </c>
      <c r="C3977">
        <v>10</v>
      </c>
      <c r="D3977" t="s">
        <v>228</v>
      </c>
      <c r="E3977" t="s">
        <v>1215</v>
      </c>
      <c r="F3977" t="s">
        <v>938</v>
      </c>
    </row>
    <row r="3978" spans="1:6" x14ac:dyDescent="0.3">
      <c r="A3978" t="s">
        <v>26</v>
      </c>
      <c r="B3978" t="s">
        <v>311</v>
      </c>
      <c r="C3978">
        <v>340</v>
      </c>
      <c r="D3978" t="s">
        <v>216</v>
      </c>
      <c r="E3978" t="s">
        <v>394</v>
      </c>
      <c r="F3978" t="s">
        <v>464</v>
      </c>
    </row>
    <row r="3979" spans="1:6" x14ac:dyDescent="0.3">
      <c r="A3979" t="s">
        <v>26</v>
      </c>
      <c r="B3979" t="s">
        <v>312</v>
      </c>
      <c r="C3979">
        <v>96</v>
      </c>
      <c r="D3979" t="s">
        <v>95</v>
      </c>
      <c r="E3979" t="s">
        <v>1047</v>
      </c>
      <c r="F3979" t="s">
        <v>1088</v>
      </c>
    </row>
    <row r="3980" spans="1:6" x14ac:dyDescent="0.3">
      <c r="A3980" t="s">
        <v>26</v>
      </c>
      <c r="B3980" t="s">
        <v>308</v>
      </c>
      <c r="C3980">
        <v>38</v>
      </c>
      <c r="D3980" t="s">
        <v>103</v>
      </c>
      <c r="E3980" t="s">
        <v>258</v>
      </c>
      <c r="F3980" t="s">
        <v>1041</v>
      </c>
    </row>
    <row r="3981" spans="1:6" x14ac:dyDescent="0.3">
      <c r="A3981" t="s">
        <v>29</v>
      </c>
      <c r="B3981" t="s">
        <v>311</v>
      </c>
      <c r="C3981">
        <v>413</v>
      </c>
      <c r="D3981" t="s">
        <v>125</v>
      </c>
      <c r="E3981" t="s">
        <v>932</v>
      </c>
      <c r="F3981" t="s">
        <v>423</v>
      </c>
    </row>
    <row r="3982" spans="1:6" x14ac:dyDescent="0.3">
      <c r="A3982" t="s">
        <v>29</v>
      </c>
      <c r="B3982" t="s">
        <v>312</v>
      </c>
      <c r="C3982">
        <v>101</v>
      </c>
      <c r="D3982" t="s">
        <v>194</v>
      </c>
      <c r="E3982" t="s">
        <v>1215</v>
      </c>
      <c r="F3982" t="s">
        <v>993</v>
      </c>
    </row>
    <row r="3983" spans="1:6" x14ac:dyDescent="0.3">
      <c r="A3983" t="s">
        <v>29</v>
      </c>
      <c r="B3983" t="s">
        <v>308</v>
      </c>
      <c r="C3983">
        <v>13</v>
      </c>
      <c r="D3983" t="s">
        <v>734</v>
      </c>
      <c r="E3983" t="s">
        <v>661</v>
      </c>
      <c r="F3983" t="s">
        <v>134</v>
      </c>
    </row>
    <row r="3984" spans="1:6" x14ac:dyDescent="0.3">
      <c r="A3984" t="s">
        <v>28</v>
      </c>
      <c r="B3984" t="s">
        <v>311</v>
      </c>
      <c r="C3984">
        <v>223</v>
      </c>
      <c r="D3984" t="s">
        <v>208</v>
      </c>
      <c r="E3984" t="s">
        <v>1581</v>
      </c>
      <c r="F3984" t="s">
        <v>523</v>
      </c>
    </row>
    <row r="3985" spans="1:6" x14ac:dyDescent="0.3">
      <c r="A3985" t="s">
        <v>28</v>
      </c>
      <c r="B3985" t="s">
        <v>312</v>
      </c>
      <c r="C3985">
        <v>93</v>
      </c>
      <c r="D3985" t="s">
        <v>217</v>
      </c>
      <c r="E3985" t="s">
        <v>1012</v>
      </c>
      <c r="F3985" t="s">
        <v>927</v>
      </c>
    </row>
    <row r="3986" spans="1:6" x14ac:dyDescent="0.3">
      <c r="A3986" t="s">
        <v>28</v>
      </c>
      <c r="B3986" t="s">
        <v>308</v>
      </c>
      <c r="C3986">
        <v>1</v>
      </c>
      <c r="D3986" t="s">
        <v>103</v>
      </c>
      <c r="E3986" t="s">
        <v>192</v>
      </c>
      <c r="F3986" t="s">
        <v>103</v>
      </c>
    </row>
    <row r="3987" spans="1:6" x14ac:dyDescent="0.3">
      <c r="A3987" t="s">
        <v>27</v>
      </c>
      <c r="B3987" t="s">
        <v>311</v>
      </c>
      <c r="C3987">
        <v>235</v>
      </c>
      <c r="D3987" t="s">
        <v>345</v>
      </c>
      <c r="E3987" t="s">
        <v>502</v>
      </c>
      <c r="F3987" t="s">
        <v>1218</v>
      </c>
    </row>
    <row r="3988" spans="1:6" x14ac:dyDescent="0.3">
      <c r="A3988" t="s">
        <v>27</v>
      </c>
      <c r="B3988" t="s">
        <v>312</v>
      </c>
      <c r="C3988">
        <v>58</v>
      </c>
      <c r="D3988" t="s">
        <v>103</v>
      </c>
      <c r="E3988" t="s">
        <v>1397</v>
      </c>
      <c r="F3988" t="s">
        <v>545</v>
      </c>
    </row>
    <row r="3989" spans="1:6" x14ac:dyDescent="0.3">
      <c r="A3989" t="s">
        <v>27</v>
      </c>
      <c r="B3989" t="s">
        <v>308</v>
      </c>
      <c r="C3989">
        <v>3</v>
      </c>
      <c r="D3989" t="s">
        <v>103</v>
      </c>
      <c r="E3989" t="s">
        <v>943</v>
      </c>
      <c r="F3989" t="s">
        <v>527</v>
      </c>
    </row>
    <row r="3990" spans="1:6" x14ac:dyDescent="0.3">
      <c r="A3990" t="s">
        <v>41</v>
      </c>
      <c r="B3990" t="s">
        <v>311</v>
      </c>
      <c r="C3990">
        <v>1535</v>
      </c>
      <c r="D3990" t="s">
        <v>270</v>
      </c>
      <c r="E3990" t="s">
        <v>810</v>
      </c>
      <c r="F3990" t="s">
        <v>1060</v>
      </c>
    </row>
    <row r="3991" spans="1:6" x14ac:dyDescent="0.3">
      <c r="A3991" t="s">
        <v>41</v>
      </c>
      <c r="B3991" t="s">
        <v>312</v>
      </c>
      <c r="C3991">
        <v>426</v>
      </c>
      <c r="D3991" t="s">
        <v>110</v>
      </c>
      <c r="E3991" t="s">
        <v>678</v>
      </c>
      <c r="F3991" t="s">
        <v>573</v>
      </c>
    </row>
    <row r="3992" spans="1:6" x14ac:dyDescent="0.3">
      <c r="A3992" t="s">
        <v>41</v>
      </c>
      <c r="B3992" t="s">
        <v>308</v>
      </c>
      <c r="C3992">
        <v>65</v>
      </c>
      <c r="D3992" t="s">
        <v>460</v>
      </c>
      <c r="E3992" t="s">
        <v>368</v>
      </c>
      <c r="F3992" t="s">
        <v>361</v>
      </c>
    </row>
    <row r="3994" spans="1:6" x14ac:dyDescent="0.3">
      <c r="A3994" t="s">
        <v>1582</v>
      </c>
    </row>
    <row r="3995" spans="1:6" x14ac:dyDescent="0.3">
      <c r="A3995" t="s">
        <v>36</v>
      </c>
      <c r="B3995" t="s">
        <v>197</v>
      </c>
      <c r="C3995" t="s">
        <v>24</v>
      </c>
      <c r="D3995" t="s">
        <v>1572</v>
      </c>
      <c r="E3995" t="s">
        <v>1573</v>
      </c>
      <c r="F3995" t="s">
        <v>1574</v>
      </c>
    </row>
    <row r="3996" spans="1:6" x14ac:dyDescent="0.3">
      <c r="A3996" t="s">
        <v>25</v>
      </c>
      <c r="B3996" t="s">
        <v>198</v>
      </c>
      <c r="C3996">
        <v>104</v>
      </c>
      <c r="D3996" t="s">
        <v>110</v>
      </c>
      <c r="E3996" t="s">
        <v>835</v>
      </c>
      <c r="F3996" t="s">
        <v>1070</v>
      </c>
    </row>
    <row r="3997" spans="1:6" x14ac:dyDescent="0.3">
      <c r="A3997" t="s">
        <v>25</v>
      </c>
      <c r="B3997" t="s">
        <v>199</v>
      </c>
      <c r="C3997">
        <v>308</v>
      </c>
      <c r="D3997" t="s">
        <v>186</v>
      </c>
      <c r="E3997" t="s">
        <v>1251</v>
      </c>
      <c r="F3997" t="s">
        <v>293</v>
      </c>
    </row>
    <row r="3998" spans="1:6" x14ac:dyDescent="0.3">
      <c r="A3998" t="s">
        <v>26</v>
      </c>
      <c r="B3998" t="s">
        <v>198</v>
      </c>
      <c r="C3998">
        <v>41</v>
      </c>
      <c r="D3998" t="s">
        <v>103</v>
      </c>
      <c r="E3998" t="s">
        <v>709</v>
      </c>
      <c r="F3998" t="s">
        <v>473</v>
      </c>
    </row>
    <row r="3999" spans="1:6" x14ac:dyDescent="0.3">
      <c r="A3999" t="s">
        <v>26</v>
      </c>
      <c r="B3999" t="s">
        <v>199</v>
      </c>
      <c r="C3999">
        <v>433</v>
      </c>
      <c r="D3999" t="s">
        <v>194</v>
      </c>
      <c r="E3999" t="s">
        <v>419</v>
      </c>
      <c r="F3999" t="s">
        <v>465</v>
      </c>
    </row>
    <row r="4000" spans="1:6" x14ac:dyDescent="0.3">
      <c r="A4000" t="s">
        <v>29</v>
      </c>
      <c r="B4000" t="s">
        <v>198</v>
      </c>
      <c r="C4000">
        <v>168</v>
      </c>
      <c r="D4000" t="s">
        <v>190</v>
      </c>
      <c r="E4000" t="s">
        <v>1216</v>
      </c>
      <c r="F4000" t="s">
        <v>385</v>
      </c>
    </row>
    <row r="4001" spans="1:50" x14ac:dyDescent="0.3">
      <c r="A4001" t="s">
        <v>29</v>
      </c>
      <c r="B4001" t="s">
        <v>199</v>
      </c>
      <c r="C4001">
        <v>359</v>
      </c>
      <c r="D4001" t="s">
        <v>329</v>
      </c>
      <c r="E4001" t="s">
        <v>1228</v>
      </c>
      <c r="F4001" t="s">
        <v>401</v>
      </c>
    </row>
    <row r="4002" spans="1:50" x14ac:dyDescent="0.3">
      <c r="A4002" t="s">
        <v>28</v>
      </c>
      <c r="B4002" t="s">
        <v>198</v>
      </c>
      <c r="C4002">
        <v>70</v>
      </c>
      <c r="D4002" t="s">
        <v>98</v>
      </c>
      <c r="E4002" t="s">
        <v>1052</v>
      </c>
      <c r="F4002" t="s">
        <v>900</v>
      </c>
    </row>
    <row r="4003" spans="1:50" x14ac:dyDescent="0.3">
      <c r="A4003" t="s">
        <v>28</v>
      </c>
      <c r="B4003" t="s">
        <v>199</v>
      </c>
      <c r="C4003">
        <v>247</v>
      </c>
      <c r="D4003" t="s">
        <v>217</v>
      </c>
      <c r="E4003" t="s">
        <v>703</v>
      </c>
      <c r="F4003" t="s">
        <v>1008</v>
      </c>
    </row>
    <row r="4004" spans="1:50" x14ac:dyDescent="0.3">
      <c r="A4004" t="s">
        <v>27</v>
      </c>
      <c r="B4004" t="s">
        <v>198</v>
      </c>
      <c r="C4004">
        <v>135</v>
      </c>
      <c r="D4004" t="s">
        <v>103</v>
      </c>
      <c r="E4004" t="s">
        <v>802</v>
      </c>
      <c r="F4004" t="s">
        <v>669</v>
      </c>
    </row>
    <row r="4005" spans="1:50" x14ac:dyDescent="0.3">
      <c r="A4005" t="s">
        <v>27</v>
      </c>
      <c r="B4005" t="s">
        <v>199</v>
      </c>
      <c r="C4005">
        <v>161</v>
      </c>
      <c r="D4005" t="s">
        <v>245</v>
      </c>
      <c r="E4005" t="s">
        <v>255</v>
      </c>
      <c r="F4005" t="s">
        <v>230</v>
      </c>
    </row>
    <row r="4006" spans="1:50" x14ac:dyDescent="0.3">
      <c r="A4006" t="s">
        <v>41</v>
      </c>
      <c r="B4006" t="s">
        <v>198</v>
      </c>
      <c r="C4006">
        <v>518</v>
      </c>
      <c r="D4006" t="s">
        <v>201</v>
      </c>
      <c r="E4006" t="s">
        <v>673</v>
      </c>
      <c r="F4006" t="s">
        <v>1098</v>
      </c>
    </row>
    <row r="4007" spans="1:50" x14ac:dyDescent="0.3">
      <c r="A4007" t="s">
        <v>41</v>
      </c>
      <c r="B4007" t="s">
        <v>199</v>
      </c>
      <c r="C4007">
        <v>1508</v>
      </c>
      <c r="D4007" t="s">
        <v>128</v>
      </c>
      <c r="E4007" t="s">
        <v>1549</v>
      </c>
      <c r="F4007" t="s">
        <v>1205</v>
      </c>
    </row>
    <row r="4009" spans="1:50" x14ac:dyDescent="0.3">
      <c r="A4009" t="s">
        <v>1583</v>
      </c>
    </row>
    <row r="4010" spans="1:50" x14ac:dyDescent="0.3">
      <c r="A4010" t="s">
        <v>36</v>
      </c>
      <c r="B4010" t="s">
        <v>1584</v>
      </c>
      <c r="C4010" t="s">
        <v>1585</v>
      </c>
      <c r="D4010" t="s">
        <v>1586</v>
      </c>
      <c r="E4010" t="s">
        <v>1587</v>
      </c>
      <c r="F4010" t="s">
        <v>1588</v>
      </c>
      <c r="G4010" t="s">
        <v>1589</v>
      </c>
      <c r="H4010" t="s">
        <v>1590</v>
      </c>
      <c r="I4010" t="s">
        <v>1591</v>
      </c>
      <c r="J4010" t="s">
        <v>1592</v>
      </c>
      <c r="K4010" t="s">
        <v>1593</v>
      </c>
      <c r="L4010" t="s">
        <v>1594</v>
      </c>
      <c r="M4010" t="s">
        <v>1595</v>
      </c>
      <c r="N4010" t="s">
        <v>1596</v>
      </c>
      <c r="O4010" t="s">
        <v>1597</v>
      </c>
      <c r="P4010" t="s">
        <v>1598</v>
      </c>
      <c r="Q4010" t="s">
        <v>1599</v>
      </c>
      <c r="R4010" t="s">
        <v>1600</v>
      </c>
      <c r="S4010" t="s">
        <v>1601</v>
      </c>
      <c r="T4010" t="s">
        <v>1602</v>
      </c>
      <c r="U4010" t="s">
        <v>1603</v>
      </c>
      <c r="V4010" t="s">
        <v>1604</v>
      </c>
      <c r="W4010" t="s">
        <v>1605</v>
      </c>
      <c r="X4010" t="s">
        <v>1606</v>
      </c>
      <c r="Y4010" t="s">
        <v>1607</v>
      </c>
      <c r="Z4010" t="s">
        <v>1608</v>
      </c>
      <c r="AA4010" t="s">
        <v>1609</v>
      </c>
      <c r="AB4010" t="s">
        <v>1610</v>
      </c>
      <c r="AC4010" t="s">
        <v>1611</v>
      </c>
      <c r="AD4010" t="s">
        <v>1612</v>
      </c>
      <c r="AE4010" t="s">
        <v>1613</v>
      </c>
      <c r="AF4010" t="s">
        <v>1614</v>
      </c>
      <c r="AG4010" t="s">
        <v>1615</v>
      </c>
      <c r="AH4010" t="s">
        <v>1616</v>
      </c>
      <c r="AI4010" t="s">
        <v>1617</v>
      </c>
      <c r="AJ4010" t="s">
        <v>1618</v>
      </c>
      <c r="AK4010" t="s">
        <v>1619</v>
      </c>
      <c r="AL4010" t="s">
        <v>1620</v>
      </c>
      <c r="AM4010" t="s">
        <v>1621</v>
      </c>
      <c r="AN4010" t="s">
        <v>1622</v>
      </c>
      <c r="AO4010" t="s">
        <v>1623</v>
      </c>
      <c r="AP4010" t="s">
        <v>1624</v>
      </c>
      <c r="AQ4010" t="s">
        <v>1625</v>
      </c>
      <c r="AR4010" t="s">
        <v>1626</v>
      </c>
      <c r="AS4010" t="s">
        <v>1627</v>
      </c>
      <c r="AT4010" t="s">
        <v>1628</v>
      </c>
      <c r="AU4010" t="s">
        <v>1629</v>
      </c>
      <c r="AV4010" t="s">
        <v>1630</v>
      </c>
      <c r="AW4010" t="s">
        <v>1631</v>
      </c>
      <c r="AX4010" t="s">
        <v>1632</v>
      </c>
    </row>
    <row r="4011" spans="1:50" x14ac:dyDescent="0.3">
      <c r="A4011" t="s">
        <v>25</v>
      </c>
      <c r="B4011">
        <v>414</v>
      </c>
      <c r="C4011" t="s">
        <v>411</v>
      </c>
      <c r="D4011" t="s">
        <v>591</v>
      </c>
      <c r="E4011" t="s">
        <v>543</v>
      </c>
      <c r="F4011" t="s">
        <v>254</v>
      </c>
      <c r="G4011" t="s">
        <v>214</v>
      </c>
      <c r="H4011" t="s">
        <v>114</v>
      </c>
      <c r="I4011" t="s">
        <v>208</v>
      </c>
      <c r="J4011" t="s">
        <v>702</v>
      </c>
      <c r="K4011" t="s">
        <v>120</v>
      </c>
      <c r="L4011">
        <v>414</v>
      </c>
      <c r="M4011" t="s">
        <v>606</v>
      </c>
      <c r="N4011" t="s">
        <v>272</v>
      </c>
      <c r="O4011" t="s">
        <v>278</v>
      </c>
      <c r="P4011" t="s">
        <v>282</v>
      </c>
      <c r="Q4011" t="s">
        <v>66</v>
      </c>
      <c r="R4011" t="s">
        <v>66</v>
      </c>
      <c r="S4011" t="s">
        <v>116</v>
      </c>
      <c r="T4011" t="s">
        <v>103</v>
      </c>
      <c r="U4011" t="s">
        <v>103</v>
      </c>
      <c r="V4011">
        <v>414</v>
      </c>
      <c r="W4011" t="s">
        <v>147</v>
      </c>
      <c r="X4011" t="s">
        <v>64</v>
      </c>
      <c r="Y4011" t="s">
        <v>257</v>
      </c>
      <c r="Z4011" t="s">
        <v>208</v>
      </c>
      <c r="AA4011" t="s">
        <v>139</v>
      </c>
      <c r="AB4011" t="s">
        <v>66</v>
      </c>
      <c r="AC4011" t="s">
        <v>103</v>
      </c>
      <c r="AD4011" t="s">
        <v>105</v>
      </c>
      <c r="AE4011" t="s">
        <v>103</v>
      </c>
      <c r="AF4011">
        <v>414</v>
      </c>
      <c r="AG4011" t="s">
        <v>850</v>
      </c>
      <c r="AH4011" t="s">
        <v>194</v>
      </c>
      <c r="AI4011" t="s">
        <v>194</v>
      </c>
      <c r="AJ4011" t="s">
        <v>120</v>
      </c>
      <c r="AK4011" t="s">
        <v>98</v>
      </c>
      <c r="AL4011" t="s">
        <v>116</v>
      </c>
      <c r="AM4011" t="s">
        <v>120</v>
      </c>
      <c r="AN4011" t="s">
        <v>103</v>
      </c>
      <c r="AO4011">
        <v>414</v>
      </c>
      <c r="AP4011" t="s">
        <v>896</v>
      </c>
      <c r="AQ4011" t="s">
        <v>239</v>
      </c>
      <c r="AR4011" t="s">
        <v>282</v>
      </c>
      <c r="AS4011" t="s">
        <v>120</v>
      </c>
      <c r="AT4011" t="s">
        <v>98</v>
      </c>
      <c r="AU4011" t="s">
        <v>66</v>
      </c>
      <c r="AV4011" t="s">
        <v>116</v>
      </c>
      <c r="AW4011" t="s">
        <v>282</v>
      </c>
      <c r="AX4011" t="s">
        <v>103</v>
      </c>
    </row>
    <row r="4012" spans="1:50" x14ac:dyDescent="0.3">
      <c r="A4012" t="s">
        <v>26</v>
      </c>
      <c r="B4012">
        <v>477</v>
      </c>
      <c r="C4012" t="s">
        <v>442</v>
      </c>
      <c r="D4012" t="s">
        <v>329</v>
      </c>
      <c r="E4012" t="s">
        <v>601</v>
      </c>
      <c r="F4012" t="s">
        <v>100</v>
      </c>
      <c r="G4012" t="s">
        <v>251</v>
      </c>
      <c r="H4012" t="s">
        <v>126</v>
      </c>
      <c r="I4012" t="s">
        <v>511</v>
      </c>
      <c r="J4012" t="s">
        <v>743</v>
      </c>
      <c r="K4012" t="s">
        <v>122</v>
      </c>
      <c r="L4012">
        <v>477</v>
      </c>
      <c r="M4012" t="s">
        <v>752</v>
      </c>
      <c r="N4012" t="s">
        <v>118</v>
      </c>
      <c r="O4012" t="s">
        <v>239</v>
      </c>
      <c r="P4012" t="s">
        <v>194</v>
      </c>
      <c r="Q4012" t="s">
        <v>103</v>
      </c>
      <c r="R4012" t="s">
        <v>103</v>
      </c>
      <c r="S4012" t="s">
        <v>91</v>
      </c>
      <c r="T4012" t="s">
        <v>122</v>
      </c>
      <c r="U4012" t="s">
        <v>103</v>
      </c>
      <c r="V4012">
        <v>477</v>
      </c>
      <c r="W4012" t="s">
        <v>207</v>
      </c>
      <c r="X4012" t="s">
        <v>122</v>
      </c>
      <c r="Y4012" t="s">
        <v>114</v>
      </c>
      <c r="Z4012" t="s">
        <v>341</v>
      </c>
      <c r="AA4012" t="s">
        <v>345</v>
      </c>
      <c r="AB4012" t="s">
        <v>103</v>
      </c>
      <c r="AC4012" t="s">
        <v>103</v>
      </c>
      <c r="AD4012" t="s">
        <v>103</v>
      </c>
      <c r="AE4012" t="s">
        <v>103</v>
      </c>
      <c r="AF4012">
        <v>477</v>
      </c>
      <c r="AG4012" t="s">
        <v>332</v>
      </c>
      <c r="AH4012" t="s">
        <v>66</v>
      </c>
      <c r="AI4012" t="s">
        <v>139</v>
      </c>
      <c r="AJ4012" t="s">
        <v>468</v>
      </c>
      <c r="AK4012" t="s">
        <v>116</v>
      </c>
      <c r="AL4012" t="s">
        <v>103</v>
      </c>
      <c r="AM4012" t="s">
        <v>116</v>
      </c>
      <c r="AN4012" t="s">
        <v>103</v>
      </c>
      <c r="AO4012">
        <v>477</v>
      </c>
      <c r="AP4012" t="s">
        <v>1633</v>
      </c>
      <c r="AQ4012" t="s">
        <v>122</v>
      </c>
      <c r="AR4012" t="s">
        <v>216</v>
      </c>
      <c r="AS4012" t="s">
        <v>95</v>
      </c>
      <c r="AT4012" t="s">
        <v>120</v>
      </c>
      <c r="AU4012" t="s">
        <v>103</v>
      </c>
      <c r="AV4012" t="s">
        <v>103</v>
      </c>
      <c r="AW4012" t="s">
        <v>103</v>
      </c>
      <c r="AX4012" t="s">
        <v>66</v>
      </c>
    </row>
    <row r="4013" spans="1:50" x14ac:dyDescent="0.3">
      <c r="A4013" t="s">
        <v>29</v>
      </c>
      <c r="B4013">
        <v>530</v>
      </c>
      <c r="C4013" t="s">
        <v>1213</v>
      </c>
      <c r="D4013" t="s">
        <v>558</v>
      </c>
      <c r="E4013" t="s">
        <v>652</v>
      </c>
      <c r="F4013" t="s">
        <v>518</v>
      </c>
      <c r="G4013" t="s">
        <v>126</v>
      </c>
      <c r="H4013" t="s">
        <v>133</v>
      </c>
      <c r="I4013" t="s">
        <v>493</v>
      </c>
      <c r="J4013" t="s">
        <v>581</v>
      </c>
      <c r="K4013" t="s">
        <v>116</v>
      </c>
      <c r="L4013">
        <v>530</v>
      </c>
      <c r="M4013" t="s">
        <v>897</v>
      </c>
      <c r="N4013" t="s">
        <v>575</v>
      </c>
      <c r="O4013" t="s">
        <v>266</v>
      </c>
      <c r="P4013" t="s">
        <v>341</v>
      </c>
      <c r="Q4013" t="s">
        <v>216</v>
      </c>
      <c r="R4013" t="s">
        <v>66</v>
      </c>
      <c r="S4013" t="s">
        <v>66</v>
      </c>
      <c r="T4013" t="s">
        <v>122</v>
      </c>
      <c r="U4013" t="s">
        <v>103</v>
      </c>
      <c r="V4013">
        <v>530</v>
      </c>
      <c r="W4013" t="s">
        <v>1153</v>
      </c>
      <c r="X4013" t="s">
        <v>133</v>
      </c>
      <c r="Y4013" t="s">
        <v>494</v>
      </c>
      <c r="Z4013" t="s">
        <v>493</v>
      </c>
      <c r="AA4013" t="s">
        <v>329</v>
      </c>
      <c r="AB4013" t="s">
        <v>345</v>
      </c>
      <c r="AC4013" t="s">
        <v>103</v>
      </c>
      <c r="AD4013" t="s">
        <v>122</v>
      </c>
      <c r="AE4013" t="s">
        <v>66</v>
      </c>
      <c r="AF4013">
        <v>530</v>
      </c>
      <c r="AG4013" t="s">
        <v>624</v>
      </c>
      <c r="AH4013" t="s">
        <v>245</v>
      </c>
      <c r="AI4013" t="s">
        <v>341</v>
      </c>
      <c r="AJ4013" t="s">
        <v>110</v>
      </c>
      <c r="AK4013" t="s">
        <v>139</v>
      </c>
      <c r="AL4013" t="s">
        <v>97</v>
      </c>
      <c r="AM4013" t="s">
        <v>116</v>
      </c>
      <c r="AN4013" t="s">
        <v>98</v>
      </c>
      <c r="AO4013">
        <v>530</v>
      </c>
      <c r="AP4013" t="s">
        <v>613</v>
      </c>
      <c r="AQ4013" t="s">
        <v>113</v>
      </c>
      <c r="AR4013" t="s">
        <v>113</v>
      </c>
      <c r="AS4013" t="s">
        <v>245</v>
      </c>
      <c r="AT4013" t="s">
        <v>282</v>
      </c>
      <c r="AU4013" t="s">
        <v>120</v>
      </c>
      <c r="AV4013" t="s">
        <v>103</v>
      </c>
      <c r="AW4013" t="s">
        <v>91</v>
      </c>
      <c r="AX4013" t="s">
        <v>103</v>
      </c>
    </row>
    <row r="4014" spans="1:50" x14ac:dyDescent="0.3">
      <c r="A4014" t="s">
        <v>28</v>
      </c>
      <c r="B4014">
        <v>317</v>
      </c>
      <c r="C4014" t="s">
        <v>790</v>
      </c>
      <c r="D4014" t="s">
        <v>468</v>
      </c>
      <c r="E4014" t="s">
        <v>68</v>
      </c>
      <c r="F4014" t="s">
        <v>511</v>
      </c>
      <c r="G4014" t="s">
        <v>140</v>
      </c>
      <c r="H4014" t="s">
        <v>266</v>
      </c>
      <c r="I4014" t="s">
        <v>64</v>
      </c>
      <c r="J4014" t="s">
        <v>90</v>
      </c>
      <c r="K4014" t="s">
        <v>103</v>
      </c>
      <c r="L4014">
        <v>317</v>
      </c>
      <c r="M4014" t="s">
        <v>1355</v>
      </c>
      <c r="N4014" t="s">
        <v>245</v>
      </c>
      <c r="O4014" t="s">
        <v>467</v>
      </c>
      <c r="P4014" t="s">
        <v>122</v>
      </c>
      <c r="Q4014" t="s">
        <v>66</v>
      </c>
      <c r="R4014" t="s">
        <v>282</v>
      </c>
      <c r="S4014" t="s">
        <v>66</v>
      </c>
      <c r="T4014" t="s">
        <v>103</v>
      </c>
      <c r="U4014" t="s">
        <v>103</v>
      </c>
      <c r="V4014">
        <v>317</v>
      </c>
      <c r="W4014" t="s">
        <v>771</v>
      </c>
      <c r="X4014" t="s">
        <v>239</v>
      </c>
      <c r="Y4014" t="s">
        <v>266</v>
      </c>
      <c r="Z4014" t="s">
        <v>270</v>
      </c>
      <c r="AA4014" t="s">
        <v>217</v>
      </c>
      <c r="AB4014" t="s">
        <v>97</v>
      </c>
      <c r="AC4014" t="s">
        <v>116</v>
      </c>
      <c r="AD4014" t="s">
        <v>122</v>
      </c>
      <c r="AE4014" t="s">
        <v>103</v>
      </c>
      <c r="AF4014">
        <v>317</v>
      </c>
      <c r="AG4014" t="s">
        <v>328</v>
      </c>
      <c r="AH4014" t="s">
        <v>66</v>
      </c>
      <c r="AI4014" t="s">
        <v>282</v>
      </c>
      <c r="AJ4014" t="s">
        <v>122</v>
      </c>
      <c r="AK4014" t="s">
        <v>103</v>
      </c>
      <c r="AL4014" t="s">
        <v>66</v>
      </c>
      <c r="AM4014" t="s">
        <v>122</v>
      </c>
      <c r="AN4014" t="s">
        <v>103</v>
      </c>
      <c r="AO4014">
        <v>317</v>
      </c>
      <c r="AP4014" t="s">
        <v>625</v>
      </c>
      <c r="AQ4014" t="s">
        <v>345</v>
      </c>
      <c r="AR4014" t="s">
        <v>64</v>
      </c>
      <c r="AS4014" t="s">
        <v>128</v>
      </c>
      <c r="AT4014" t="s">
        <v>66</v>
      </c>
      <c r="AU4014" t="s">
        <v>103</v>
      </c>
      <c r="AV4014" t="s">
        <v>282</v>
      </c>
      <c r="AW4014" t="s">
        <v>122</v>
      </c>
      <c r="AX4014" t="s">
        <v>103</v>
      </c>
    </row>
    <row r="4015" spans="1:50" x14ac:dyDescent="0.3">
      <c r="A4015" t="s">
        <v>27</v>
      </c>
      <c r="B4015">
        <v>300</v>
      </c>
      <c r="C4015" t="s">
        <v>1439</v>
      </c>
      <c r="D4015" t="s">
        <v>64</v>
      </c>
      <c r="E4015" t="s">
        <v>118</v>
      </c>
      <c r="F4015" t="s">
        <v>201</v>
      </c>
      <c r="G4015" t="s">
        <v>110</v>
      </c>
      <c r="H4015" t="s">
        <v>239</v>
      </c>
      <c r="I4015" t="s">
        <v>120</v>
      </c>
      <c r="J4015" t="s">
        <v>550</v>
      </c>
      <c r="K4015" t="s">
        <v>122</v>
      </c>
      <c r="L4015">
        <v>300</v>
      </c>
      <c r="M4015" t="s">
        <v>63</v>
      </c>
      <c r="N4015" t="s">
        <v>208</v>
      </c>
      <c r="O4015" t="s">
        <v>133</v>
      </c>
      <c r="P4015" t="s">
        <v>345</v>
      </c>
      <c r="Q4015" t="s">
        <v>282</v>
      </c>
      <c r="R4015" t="s">
        <v>116</v>
      </c>
      <c r="S4015" t="s">
        <v>103</v>
      </c>
      <c r="T4015" t="s">
        <v>103</v>
      </c>
      <c r="U4015" t="s">
        <v>116</v>
      </c>
      <c r="V4015">
        <v>300</v>
      </c>
      <c r="W4015" t="s">
        <v>55</v>
      </c>
      <c r="X4015" t="s">
        <v>493</v>
      </c>
      <c r="Y4015" t="s">
        <v>232</v>
      </c>
      <c r="Z4015" t="s">
        <v>452</v>
      </c>
      <c r="AA4015" t="s">
        <v>110</v>
      </c>
      <c r="AB4015" t="s">
        <v>95</v>
      </c>
      <c r="AC4015" t="s">
        <v>103</v>
      </c>
      <c r="AD4015" t="s">
        <v>98</v>
      </c>
      <c r="AE4015" t="s">
        <v>116</v>
      </c>
      <c r="AF4015">
        <v>300</v>
      </c>
      <c r="AG4015" t="s">
        <v>850</v>
      </c>
      <c r="AH4015" t="s">
        <v>103</v>
      </c>
      <c r="AI4015" t="s">
        <v>128</v>
      </c>
      <c r="AJ4015" t="s">
        <v>208</v>
      </c>
      <c r="AK4015" t="s">
        <v>103</v>
      </c>
      <c r="AL4015" t="s">
        <v>103</v>
      </c>
      <c r="AM4015" t="s">
        <v>97</v>
      </c>
      <c r="AN4015" t="s">
        <v>103</v>
      </c>
      <c r="AO4015">
        <v>300</v>
      </c>
      <c r="AP4015" t="s">
        <v>992</v>
      </c>
      <c r="AQ4015" t="s">
        <v>532</v>
      </c>
      <c r="AR4015" t="s">
        <v>466</v>
      </c>
      <c r="AS4015" t="s">
        <v>452</v>
      </c>
      <c r="AT4015" t="s">
        <v>110</v>
      </c>
      <c r="AU4015" t="s">
        <v>116</v>
      </c>
      <c r="AV4015" t="s">
        <v>122</v>
      </c>
      <c r="AW4015" t="s">
        <v>120</v>
      </c>
      <c r="AX4015" t="s">
        <v>116</v>
      </c>
    </row>
    <row r="4016" spans="1:50" x14ac:dyDescent="0.3">
      <c r="A4016" t="s">
        <v>41</v>
      </c>
      <c r="B4016">
        <v>2038</v>
      </c>
      <c r="C4016" t="s">
        <v>454</v>
      </c>
      <c r="D4016" t="s">
        <v>186</v>
      </c>
      <c r="E4016" t="s">
        <v>482</v>
      </c>
      <c r="F4016" t="s">
        <v>517</v>
      </c>
      <c r="G4016" t="s">
        <v>251</v>
      </c>
      <c r="H4016" t="s">
        <v>133</v>
      </c>
      <c r="I4016" t="s">
        <v>591</v>
      </c>
      <c r="J4016" t="s">
        <v>155</v>
      </c>
      <c r="K4016" t="s">
        <v>122</v>
      </c>
      <c r="L4016">
        <v>2038</v>
      </c>
      <c r="M4016" t="s">
        <v>776</v>
      </c>
      <c r="N4016" t="s">
        <v>284</v>
      </c>
      <c r="O4016" t="s">
        <v>195</v>
      </c>
      <c r="P4016" t="s">
        <v>239</v>
      </c>
      <c r="Q4016" t="s">
        <v>139</v>
      </c>
      <c r="R4016" t="s">
        <v>66</v>
      </c>
      <c r="S4016" t="s">
        <v>66</v>
      </c>
      <c r="T4016" t="s">
        <v>116</v>
      </c>
      <c r="U4016" t="s">
        <v>103</v>
      </c>
      <c r="V4016">
        <v>2038</v>
      </c>
      <c r="W4016" t="s">
        <v>174</v>
      </c>
      <c r="X4016" t="s">
        <v>438</v>
      </c>
      <c r="Y4016" t="s">
        <v>70</v>
      </c>
      <c r="Z4016" t="s">
        <v>195</v>
      </c>
      <c r="AA4016" t="s">
        <v>216</v>
      </c>
      <c r="AB4016" t="s">
        <v>120</v>
      </c>
      <c r="AC4016" t="s">
        <v>103</v>
      </c>
      <c r="AD4016" t="s">
        <v>120</v>
      </c>
      <c r="AE4016" t="s">
        <v>91</v>
      </c>
      <c r="AF4016">
        <v>2038</v>
      </c>
      <c r="AG4016" t="s">
        <v>859</v>
      </c>
      <c r="AH4016" t="s">
        <v>345</v>
      </c>
      <c r="AI4016" t="s">
        <v>239</v>
      </c>
      <c r="AJ4016" t="s">
        <v>468</v>
      </c>
      <c r="AK4016" t="s">
        <v>120</v>
      </c>
      <c r="AL4016" t="s">
        <v>116</v>
      </c>
      <c r="AM4016" t="s">
        <v>122</v>
      </c>
      <c r="AN4016" t="s">
        <v>122</v>
      </c>
      <c r="AO4016">
        <v>2038</v>
      </c>
      <c r="AP4016" t="s">
        <v>280</v>
      </c>
      <c r="AQ4016" t="s">
        <v>266</v>
      </c>
      <c r="AR4016" t="s">
        <v>195</v>
      </c>
      <c r="AS4016" t="s">
        <v>239</v>
      </c>
      <c r="AT4016" t="s">
        <v>98</v>
      </c>
      <c r="AU4016" t="s">
        <v>116</v>
      </c>
      <c r="AV4016" t="s">
        <v>91</v>
      </c>
      <c r="AW4016" t="s">
        <v>116</v>
      </c>
      <c r="AX4016" t="s">
        <v>91</v>
      </c>
    </row>
    <row r="4018" spans="1:51" x14ac:dyDescent="0.3">
      <c r="A4018" t="s">
        <v>1634</v>
      </c>
    </row>
    <row r="4019" spans="1:51" x14ac:dyDescent="0.3">
      <c r="A4019" t="s">
        <v>36</v>
      </c>
      <c r="B4019" t="s">
        <v>307</v>
      </c>
      <c r="C4019" t="s">
        <v>1584</v>
      </c>
      <c r="D4019" t="s">
        <v>1585</v>
      </c>
      <c r="E4019" t="s">
        <v>1586</v>
      </c>
      <c r="F4019" t="s">
        <v>1587</v>
      </c>
      <c r="G4019" t="s">
        <v>1588</v>
      </c>
      <c r="H4019" t="s">
        <v>1589</v>
      </c>
      <c r="I4019" t="s">
        <v>1590</v>
      </c>
      <c r="J4019" t="s">
        <v>1591</v>
      </c>
      <c r="K4019" t="s">
        <v>1592</v>
      </c>
      <c r="L4019" t="s">
        <v>1593</v>
      </c>
      <c r="M4019" t="s">
        <v>1594</v>
      </c>
      <c r="N4019" t="s">
        <v>1595</v>
      </c>
      <c r="O4019" t="s">
        <v>1596</v>
      </c>
      <c r="P4019" t="s">
        <v>1597</v>
      </c>
      <c r="Q4019" t="s">
        <v>1598</v>
      </c>
      <c r="R4019" t="s">
        <v>1599</v>
      </c>
      <c r="S4019" t="s">
        <v>1600</v>
      </c>
      <c r="T4019" t="s">
        <v>1601</v>
      </c>
      <c r="U4019" t="s">
        <v>1602</v>
      </c>
      <c r="V4019" t="s">
        <v>1603</v>
      </c>
      <c r="W4019" t="s">
        <v>1604</v>
      </c>
      <c r="X4019" t="s">
        <v>1605</v>
      </c>
      <c r="Y4019" t="s">
        <v>1606</v>
      </c>
      <c r="Z4019" t="s">
        <v>1607</v>
      </c>
      <c r="AA4019" t="s">
        <v>1608</v>
      </c>
      <c r="AB4019" t="s">
        <v>1609</v>
      </c>
      <c r="AC4019" t="s">
        <v>1611</v>
      </c>
      <c r="AD4019" t="s">
        <v>1612</v>
      </c>
      <c r="AE4019" t="s">
        <v>1610</v>
      </c>
      <c r="AF4019" t="s">
        <v>1613</v>
      </c>
      <c r="AG4019" t="s">
        <v>1614</v>
      </c>
      <c r="AH4019" t="s">
        <v>1615</v>
      </c>
      <c r="AI4019" t="s">
        <v>1616</v>
      </c>
      <c r="AJ4019" t="s">
        <v>1617</v>
      </c>
      <c r="AK4019" t="s">
        <v>1618</v>
      </c>
      <c r="AL4019" t="s">
        <v>1619</v>
      </c>
      <c r="AM4019" t="s">
        <v>1621</v>
      </c>
      <c r="AN4019" t="s">
        <v>1620</v>
      </c>
      <c r="AO4019" t="s">
        <v>1622</v>
      </c>
      <c r="AP4019" t="s">
        <v>1623</v>
      </c>
      <c r="AQ4019" t="s">
        <v>1624</v>
      </c>
      <c r="AR4019" t="s">
        <v>1625</v>
      </c>
      <c r="AS4019" t="s">
        <v>1626</v>
      </c>
      <c r="AT4019" t="s">
        <v>1628</v>
      </c>
      <c r="AU4019" t="s">
        <v>1629</v>
      </c>
      <c r="AV4019" t="s">
        <v>1630</v>
      </c>
      <c r="AW4019" t="s">
        <v>1631</v>
      </c>
      <c r="AX4019" t="s">
        <v>1627</v>
      </c>
      <c r="AY4019" t="s">
        <v>1632</v>
      </c>
    </row>
    <row r="4020" spans="1:51" x14ac:dyDescent="0.3">
      <c r="A4020" t="s">
        <v>25</v>
      </c>
      <c r="B4020" t="s">
        <v>291</v>
      </c>
      <c r="C4020">
        <v>156</v>
      </c>
      <c r="D4020" t="s">
        <v>797</v>
      </c>
      <c r="E4020" t="s">
        <v>467</v>
      </c>
      <c r="F4020" t="s">
        <v>700</v>
      </c>
      <c r="G4020" t="s">
        <v>60</v>
      </c>
      <c r="H4020" t="s">
        <v>284</v>
      </c>
      <c r="I4020" t="s">
        <v>208</v>
      </c>
      <c r="J4020" t="s">
        <v>282</v>
      </c>
      <c r="K4020" t="s">
        <v>457</v>
      </c>
      <c r="L4020" t="s">
        <v>120</v>
      </c>
      <c r="M4020">
        <v>156</v>
      </c>
      <c r="N4020" t="s">
        <v>599</v>
      </c>
      <c r="O4020" t="s">
        <v>201</v>
      </c>
      <c r="P4020" t="s">
        <v>32</v>
      </c>
      <c r="Q4020" t="s">
        <v>345</v>
      </c>
      <c r="R4020" t="s">
        <v>120</v>
      </c>
      <c r="S4020" t="s">
        <v>120</v>
      </c>
      <c r="T4020" t="s">
        <v>98</v>
      </c>
      <c r="U4020" t="s">
        <v>103</v>
      </c>
      <c r="V4020" t="s">
        <v>103</v>
      </c>
      <c r="W4020">
        <v>156</v>
      </c>
      <c r="X4020" t="s">
        <v>149</v>
      </c>
      <c r="Y4020" t="s">
        <v>278</v>
      </c>
      <c r="Z4020" t="s">
        <v>282</v>
      </c>
      <c r="AA4020" t="s">
        <v>64</v>
      </c>
      <c r="AB4020" t="s">
        <v>216</v>
      </c>
      <c r="AC4020" t="s">
        <v>91</v>
      </c>
      <c r="AD4020" t="s">
        <v>93</v>
      </c>
      <c r="AE4020" t="s">
        <v>103</v>
      </c>
      <c r="AF4020" t="s">
        <v>103</v>
      </c>
      <c r="AG4020">
        <v>156</v>
      </c>
      <c r="AH4020" t="s">
        <v>752</v>
      </c>
      <c r="AI4020" t="s">
        <v>139</v>
      </c>
      <c r="AJ4020" t="s">
        <v>217</v>
      </c>
      <c r="AK4020" t="s">
        <v>345</v>
      </c>
      <c r="AL4020" t="s">
        <v>95</v>
      </c>
      <c r="AM4020" t="s">
        <v>97</v>
      </c>
      <c r="AN4020" t="s">
        <v>103</v>
      </c>
      <c r="AO4020" t="s">
        <v>103</v>
      </c>
      <c r="AP4020">
        <v>156</v>
      </c>
      <c r="AQ4020" t="s">
        <v>288</v>
      </c>
      <c r="AR4020" t="s">
        <v>116</v>
      </c>
      <c r="AS4020" t="s">
        <v>345</v>
      </c>
      <c r="AT4020" t="s">
        <v>341</v>
      </c>
      <c r="AU4020" t="s">
        <v>120</v>
      </c>
      <c r="AV4020" t="s">
        <v>91</v>
      </c>
      <c r="AW4020" t="s">
        <v>329</v>
      </c>
      <c r="AX4020" t="s">
        <v>103</v>
      </c>
      <c r="AY4020" t="s">
        <v>103</v>
      </c>
    </row>
    <row r="4021" spans="1:51" x14ac:dyDescent="0.3">
      <c r="A4021" t="s">
        <v>25</v>
      </c>
      <c r="B4021" t="s">
        <v>292</v>
      </c>
      <c r="C4021">
        <v>254</v>
      </c>
      <c r="D4021" t="s">
        <v>355</v>
      </c>
      <c r="E4021" t="s">
        <v>532</v>
      </c>
      <c r="F4021" t="s">
        <v>247</v>
      </c>
      <c r="G4021" t="s">
        <v>146</v>
      </c>
      <c r="H4021" t="s">
        <v>107</v>
      </c>
      <c r="I4021" t="s">
        <v>284</v>
      </c>
      <c r="J4021" t="s">
        <v>266</v>
      </c>
      <c r="K4021" t="s">
        <v>732</v>
      </c>
      <c r="L4021" t="s">
        <v>120</v>
      </c>
      <c r="M4021">
        <v>254</v>
      </c>
      <c r="N4021" t="s">
        <v>827</v>
      </c>
      <c r="O4021" t="s">
        <v>118</v>
      </c>
      <c r="P4021" t="s">
        <v>70</v>
      </c>
      <c r="Q4021" t="s">
        <v>98</v>
      </c>
      <c r="R4021" t="s">
        <v>103</v>
      </c>
      <c r="S4021" t="s">
        <v>103</v>
      </c>
      <c r="T4021" t="s">
        <v>103</v>
      </c>
      <c r="U4021" t="s">
        <v>103</v>
      </c>
      <c r="V4021" t="s">
        <v>103</v>
      </c>
      <c r="W4021">
        <v>254</v>
      </c>
      <c r="X4021" t="s">
        <v>1307</v>
      </c>
      <c r="Y4021" t="s">
        <v>110</v>
      </c>
      <c r="Z4021" t="s">
        <v>102</v>
      </c>
      <c r="AA4021" t="s">
        <v>216</v>
      </c>
      <c r="AB4021" t="s">
        <v>116</v>
      </c>
      <c r="AC4021" t="s">
        <v>103</v>
      </c>
      <c r="AD4021" t="s">
        <v>216</v>
      </c>
      <c r="AE4021" t="s">
        <v>116</v>
      </c>
      <c r="AF4021" t="s">
        <v>103</v>
      </c>
      <c r="AG4021">
        <v>254</v>
      </c>
      <c r="AH4021" t="s">
        <v>981</v>
      </c>
      <c r="AI4021" t="s">
        <v>216</v>
      </c>
      <c r="AJ4021" t="s">
        <v>122</v>
      </c>
      <c r="AK4021" t="s">
        <v>116</v>
      </c>
      <c r="AL4021" t="s">
        <v>282</v>
      </c>
      <c r="AM4021" t="s">
        <v>120</v>
      </c>
      <c r="AN4021" t="s">
        <v>97</v>
      </c>
      <c r="AO4021" t="s">
        <v>103</v>
      </c>
      <c r="AP4021">
        <v>254</v>
      </c>
      <c r="AQ4021" t="s">
        <v>289</v>
      </c>
      <c r="AR4021" t="s">
        <v>93</v>
      </c>
      <c r="AS4021" t="s">
        <v>98</v>
      </c>
      <c r="AT4021" t="s">
        <v>116</v>
      </c>
      <c r="AU4021" t="s">
        <v>103</v>
      </c>
      <c r="AV4021" t="s">
        <v>97</v>
      </c>
      <c r="AW4021" t="s">
        <v>116</v>
      </c>
      <c r="AX4021" t="s">
        <v>282</v>
      </c>
      <c r="AY4021" t="s">
        <v>103</v>
      </c>
    </row>
    <row r="4022" spans="1:51" x14ac:dyDescent="0.3">
      <c r="A4022" t="s">
        <v>25</v>
      </c>
      <c r="B4022" t="s">
        <v>308</v>
      </c>
      <c r="C4022">
        <v>4</v>
      </c>
      <c r="D4022" t="s">
        <v>534</v>
      </c>
      <c r="E4022" t="s">
        <v>103</v>
      </c>
      <c r="F4022" t="s">
        <v>103</v>
      </c>
      <c r="G4022" t="s">
        <v>103</v>
      </c>
      <c r="H4022" t="s">
        <v>456</v>
      </c>
      <c r="I4022" t="s">
        <v>103</v>
      </c>
      <c r="J4022" t="s">
        <v>103</v>
      </c>
      <c r="K4022" t="s">
        <v>1205</v>
      </c>
      <c r="L4022" t="s">
        <v>103</v>
      </c>
      <c r="M4022">
        <v>4</v>
      </c>
      <c r="N4022" t="s">
        <v>192</v>
      </c>
      <c r="O4022" t="s">
        <v>103</v>
      </c>
      <c r="P4022" t="s">
        <v>103</v>
      </c>
      <c r="Q4022" t="s">
        <v>103</v>
      </c>
      <c r="R4022" t="s">
        <v>103</v>
      </c>
      <c r="S4022" t="s">
        <v>103</v>
      </c>
      <c r="T4022" t="s">
        <v>103</v>
      </c>
      <c r="U4022" t="s">
        <v>103</v>
      </c>
      <c r="V4022" t="s">
        <v>103</v>
      </c>
      <c r="W4022">
        <v>4</v>
      </c>
      <c r="X4022" t="s">
        <v>192</v>
      </c>
      <c r="Y4022" t="s">
        <v>103</v>
      </c>
      <c r="Z4022" t="s">
        <v>103</v>
      </c>
      <c r="AA4022" t="s">
        <v>103</v>
      </c>
      <c r="AB4022" t="s">
        <v>103</v>
      </c>
      <c r="AC4022" t="s">
        <v>103</v>
      </c>
      <c r="AD4022" t="s">
        <v>103</v>
      </c>
      <c r="AE4022" t="s">
        <v>103</v>
      </c>
      <c r="AF4022" t="s">
        <v>103</v>
      </c>
      <c r="AG4022">
        <v>4</v>
      </c>
      <c r="AH4022" t="s">
        <v>192</v>
      </c>
      <c r="AI4022" t="s">
        <v>103</v>
      </c>
      <c r="AJ4022" t="s">
        <v>103</v>
      </c>
      <c r="AK4022" t="s">
        <v>103</v>
      </c>
      <c r="AL4022" t="s">
        <v>103</v>
      </c>
      <c r="AM4022" t="s">
        <v>103</v>
      </c>
      <c r="AN4022" t="s">
        <v>103</v>
      </c>
      <c r="AO4022" t="s">
        <v>103</v>
      </c>
      <c r="AP4022">
        <v>4</v>
      </c>
      <c r="AQ4022" t="s">
        <v>192</v>
      </c>
      <c r="AR4022" t="s">
        <v>103</v>
      </c>
      <c r="AS4022" t="s">
        <v>103</v>
      </c>
      <c r="AT4022" t="s">
        <v>103</v>
      </c>
      <c r="AU4022" t="s">
        <v>103</v>
      </c>
      <c r="AV4022" t="s">
        <v>103</v>
      </c>
      <c r="AW4022" t="s">
        <v>103</v>
      </c>
      <c r="AX4022" t="s">
        <v>103</v>
      </c>
      <c r="AY4022" t="s">
        <v>103</v>
      </c>
    </row>
    <row r="4023" spans="1:51" x14ac:dyDescent="0.3">
      <c r="A4023" t="s">
        <v>26</v>
      </c>
      <c r="B4023" t="s">
        <v>291</v>
      </c>
      <c r="C4023">
        <v>122</v>
      </c>
      <c r="D4023" t="s">
        <v>1559</v>
      </c>
      <c r="E4023" t="s">
        <v>282</v>
      </c>
      <c r="F4023" t="s">
        <v>148</v>
      </c>
      <c r="G4023" t="s">
        <v>126</v>
      </c>
      <c r="H4023" t="s">
        <v>32</v>
      </c>
      <c r="I4023" t="s">
        <v>232</v>
      </c>
      <c r="J4023" t="s">
        <v>206</v>
      </c>
      <c r="K4023" t="s">
        <v>521</v>
      </c>
      <c r="L4023" t="s">
        <v>103</v>
      </c>
      <c r="M4023">
        <v>122</v>
      </c>
      <c r="N4023" t="s">
        <v>991</v>
      </c>
      <c r="O4023" t="s">
        <v>245</v>
      </c>
      <c r="P4023" t="s">
        <v>32</v>
      </c>
      <c r="Q4023" t="s">
        <v>103</v>
      </c>
      <c r="R4023" t="s">
        <v>103</v>
      </c>
      <c r="S4023" t="s">
        <v>103</v>
      </c>
      <c r="T4023" t="s">
        <v>103</v>
      </c>
      <c r="U4023" t="s">
        <v>103</v>
      </c>
      <c r="V4023" t="s">
        <v>103</v>
      </c>
      <c r="W4023">
        <v>122</v>
      </c>
      <c r="X4023" t="s">
        <v>53</v>
      </c>
      <c r="Y4023" t="s">
        <v>103</v>
      </c>
      <c r="Z4023" t="s">
        <v>629</v>
      </c>
      <c r="AA4023" t="s">
        <v>272</v>
      </c>
      <c r="AB4023" t="s">
        <v>217</v>
      </c>
      <c r="AC4023" t="s">
        <v>103</v>
      </c>
      <c r="AD4023" t="s">
        <v>103</v>
      </c>
      <c r="AE4023" t="s">
        <v>103</v>
      </c>
      <c r="AF4023" t="s">
        <v>103</v>
      </c>
      <c r="AG4023">
        <v>122</v>
      </c>
      <c r="AH4023" t="s">
        <v>864</v>
      </c>
      <c r="AI4023" t="s">
        <v>103</v>
      </c>
      <c r="AJ4023" t="s">
        <v>128</v>
      </c>
      <c r="AK4023" t="s">
        <v>93</v>
      </c>
      <c r="AL4023" t="s">
        <v>194</v>
      </c>
      <c r="AM4023" t="s">
        <v>103</v>
      </c>
      <c r="AN4023" t="s">
        <v>103</v>
      </c>
      <c r="AO4023" t="s">
        <v>103</v>
      </c>
      <c r="AP4023">
        <v>122</v>
      </c>
      <c r="AQ4023" t="s">
        <v>597</v>
      </c>
      <c r="AR4023" t="s">
        <v>103</v>
      </c>
      <c r="AS4023" t="s">
        <v>95</v>
      </c>
      <c r="AT4023" t="s">
        <v>217</v>
      </c>
      <c r="AU4023" t="s">
        <v>103</v>
      </c>
      <c r="AV4023" t="s">
        <v>103</v>
      </c>
      <c r="AW4023" t="s">
        <v>103</v>
      </c>
      <c r="AX4023" t="s">
        <v>98</v>
      </c>
      <c r="AY4023" t="s">
        <v>98</v>
      </c>
    </row>
    <row r="4024" spans="1:51" x14ac:dyDescent="0.3">
      <c r="A4024" t="s">
        <v>26</v>
      </c>
      <c r="B4024" t="s">
        <v>292</v>
      </c>
      <c r="C4024">
        <v>352</v>
      </c>
      <c r="D4024" t="s">
        <v>422</v>
      </c>
      <c r="E4024" t="s">
        <v>257</v>
      </c>
      <c r="F4024" t="s">
        <v>575</v>
      </c>
      <c r="G4024" t="s">
        <v>100</v>
      </c>
      <c r="H4024" t="s">
        <v>511</v>
      </c>
      <c r="I4024" t="s">
        <v>90</v>
      </c>
      <c r="J4024" t="s">
        <v>60</v>
      </c>
      <c r="K4024" t="s">
        <v>890</v>
      </c>
      <c r="L4024" t="s">
        <v>120</v>
      </c>
      <c r="M4024">
        <v>352</v>
      </c>
      <c r="N4024" t="s">
        <v>859</v>
      </c>
      <c r="O4024" t="s">
        <v>266</v>
      </c>
      <c r="P4024" t="s">
        <v>116</v>
      </c>
      <c r="Q4024" t="s">
        <v>245</v>
      </c>
      <c r="R4024" t="s">
        <v>103</v>
      </c>
      <c r="S4024" t="s">
        <v>103</v>
      </c>
      <c r="T4024" t="s">
        <v>66</v>
      </c>
      <c r="U4024" t="s">
        <v>120</v>
      </c>
      <c r="V4024" t="s">
        <v>103</v>
      </c>
      <c r="W4024">
        <v>352</v>
      </c>
      <c r="X4024" t="s">
        <v>213</v>
      </c>
      <c r="Y4024" t="s">
        <v>120</v>
      </c>
      <c r="Z4024" t="s">
        <v>329</v>
      </c>
      <c r="AA4024" t="s">
        <v>110</v>
      </c>
      <c r="AB4024" t="s">
        <v>120</v>
      </c>
      <c r="AC4024" t="s">
        <v>103</v>
      </c>
      <c r="AD4024" t="s">
        <v>103</v>
      </c>
      <c r="AE4024" t="s">
        <v>103</v>
      </c>
      <c r="AF4024" t="s">
        <v>103</v>
      </c>
      <c r="AG4024">
        <v>352</v>
      </c>
      <c r="AH4024" t="s">
        <v>340</v>
      </c>
      <c r="AI4024" t="s">
        <v>103</v>
      </c>
      <c r="AJ4024" t="s">
        <v>66</v>
      </c>
      <c r="AK4024" t="s">
        <v>98</v>
      </c>
      <c r="AL4024" t="s">
        <v>103</v>
      </c>
      <c r="AM4024" t="s">
        <v>97</v>
      </c>
      <c r="AN4024" t="s">
        <v>103</v>
      </c>
      <c r="AO4024" t="s">
        <v>103</v>
      </c>
      <c r="AP4024">
        <v>352</v>
      </c>
      <c r="AQ4024" t="s">
        <v>336</v>
      </c>
      <c r="AR4024" t="s">
        <v>120</v>
      </c>
      <c r="AS4024" t="s">
        <v>208</v>
      </c>
      <c r="AT4024" t="s">
        <v>103</v>
      </c>
      <c r="AU4024" t="s">
        <v>103</v>
      </c>
      <c r="AV4024" t="s">
        <v>103</v>
      </c>
      <c r="AW4024" t="s">
        <v>103</v>
      </c>
      <c r="AX4024" t="s">
        <v>95</v>
      </c>
      <c r="AY4024" t="s">
        <v>103</v>
      </c>
    </row>
    <row r="4025" spans="1:51" x14ac:dyDescent="0.3">
      <c r="A4025" t="s">
        <v>26</v>
      </c>
      <c r="B4025" t="s">
        <v>308</v>
      </c>
      <c r="C4025">
        <v>3</v>
      </c>
      <c r="D4025" t="s">
        <v>103</v>
      </c>
      <c r="E4025" t="s">
        <v>103</v>
      </c>
      <c r="F4025" t="s">
        <v>103</v>
      </c>
      <c r="G4025" t="s">
        <v>103</v>
      </c>
      <c r="H4025" t="s">
        <v>921</v>
      </c>
      <c r="I4025" t="s">
        <v>1202</v>
      </c>
      <c r="J4025" t="s">
        <v>699</v>
      </c>
      <c r="K4025" t="s">
        <v>103</v>
      </c>
      <c r="L4025" t="s">
        <v>103</v>
      </c>
      <c r="M4025">
        <v>3</v>
      </c>
      <c r="N4025" t="s">
        <v>192</v>
      </c>
      <c r="O4025" t="s">
        <v>103</v>
      </c>
      <c r="P4025" t="s">
        <v>103</v>
      </c>
      <c r="Q4025" t="s">
        <v>103</v>
      </c>
      <c r="R4025" t="s">
        <v>103</v>
      </c>
      <c r="S4025" t="s">
        <v>103</v>
      </c>
      <c r="T4025" t="s">
        <v>103</v>
      </c>
      <c r="U4025" t="s">
        <v>103</v>
      </c>
      <c r="V4025" t="s">
        <v>103</v>
      </c>
      <c r="W4025">
        <v>3</v>
      </c>
      <c r="X4025" t="s">
        <v>192</v>
      </c>
      <c r="Y4025" t="s">
        <v>103</v>
      </c>
      <c r="Z4025" t="s">
        <v>103</v>
      </c>
      <c r="AA4025" t="s">
        <v>103</v>
      </c>
      <c r="AB4025" t="s">
        <v>103</v>
      </c>
      <c r="AC4025" t="s">
        <v>103</v>
      </c>
      <c r="AD4025" t="s">
        <v>103</v>
      </c>
      <c r="AE4025" t="s">
        <v>103</v>
      </c>
      <c r="AF4025" t="s">
        <v>103</v>
      </c>
      <c r="AG4025">
        <v>3</v>
      </c>
      <c r="AH4025" t="s">
        <v>784</v>
      </c>
      <c r="AI4025" t="s">
        <v>699</v>
      </c>
      <c r="AJ4025" t="s">
        <v>103</v>
      </c>
      <c r="AK4025" t="s">
        <v>103</v>
      </c>
      <c r="AL4025" t="s">
        <v>103</v>
      </c>
      <c r="AM4025" t="s">
        <v>103</v>
      </c>
      <c r="AN4025" t="s">
        <v>103</v>
      </c>
      <c r="AO4025" t="s">
        <v>103</v>
      </c>
      <c r="AP4025">
        <v>3</v>
      </c>
      <c r="AQ4025" t="s">
        <v>192</v>
      </c>
      <c r="AR4025" t="s">
        <v>103</v>
      </c>
      <c r="AS4025" t="s">
        <v>103</v>
      </c>
      <c r="AT4025" t="s">
        <v>103</v>
      </c>
      <c r="AU4025" t="s">
        <v>103</v>
      </c>
      <c r="AV4025" t="s">
        <v>103</v>
      </c>
      <c r="AW4025" t="s">
        <v>103</v>
      </c>
      <c r="AX4025" t="s">
        <v>103</v>
      </c>
      <c r="AY4025" t="s">
        <v>103</v>
      </c>
    </row>
    <row r="4026" spans="1:51" x14ac:dyDescent="0.3">
      <c r="A4026" t="s">
        <v>29</v>
      </c>
      <c r="B4026" t="s">
        <v>291</v>
      </c>
      <c r="C4026">
        <v>205</v>
      </c>
      <c r="D4026" t="s">
        <v>927</v>
      </c>
      <c r="E4026" t="s">
        <v>494</v>
      </c>
      <c r="F4026" t="s">
        <v>544</v>
      </c>
      <c r="G4026" t="s">
        <v>918</v>
      </c>
      <c r="H4026" t="s">
        <v>108</v>
      </c>
      <c r="I4026" t="s">
        <v>242</v>
      </c>
      <c r="J4026" t="s">
        <v>467</v>
      </c>
      <c r="K4026" t="s">
        <v>457</v>
      </c>
      <c r="L4026" t="s">
        <v>95</v>
      </c>
      <c r="M4026">
        <v>205</v>
      </c>
      <c r="N4026" t="s">
        <v>143</v>
      </c>
      <c r="O4026" t="s">
        <v>629</v>
      </c>
      <c r="P4026" t="s">
        <v>64</v>
      </c>
      <c r="Q4026" t="s">
        <v>64</v>
      </c>
      <c r="R4026" t="s">
        <v>110</v>
      </c>
      <c r="S4026" t="s">
        <v>120</v>
      </c>
      <c r="T4026" t="s">
        <v>120</v>
      </c>
      <c r="U4026" t="s">
        <v>97</v>
      </c>
      <c r="V4026" t="s">
        <v>103</v>
      </c>
      <c r="W4026">
        <v>205</v>
      </c>
      <c r="X4026" t="s">
        <v>1052</v>
      </c>
      <c r="Y4026" t="s">
        <v>100</v>
      </c>
      <c r="Z4026" t="s">
        <v>531</v>
      </c>
      <c r="AA4026" t="s">
        <v>493</v>
      </c>
      <c r="AB4026" t="s">
        <v>128</v>
      </c>
      <c r="AC4026" t="s">
        <v>103</v>
      </c>
      <c r="AD4026" t="s">
        <v>120</v>
      </c>
      <c r="AE4026" t="s">
        <v>257</v>
      </c>
      <c r="AF4026" t="s">
        <v>97</v>
      </c>
      <c r="AG4026">
        <v>205</v>
      </c>
      <c r="AH4026" t="s">
        <v>850</v>
      </c>
      <c r="AI4026" t="s">
        <v>98</v>
      </c>
      <c r="AJ4026" t="s">
        <v>128</v>
      </c>
      <c r="AK4026" t="s">
        <v>245</v>
      </c>
      <c r="AL4026" t="s">
        <v>103</v>
      </c>
      <c r="AM4026" t="s">
        <v>103</v>
      </c>
      <c r="AN4026" t="s">
        <v>103</v>
      </c>
      <c r="AO4026" t="s">
        <v>103</v>
      </c>
      <c r="AP4026">
        <v>205</v>
      </c>
      <c r="AQ4026" t="s">
        <v>1357</v>
      </c>
      <c r="AR4026" t="s">
        <v>112</v>
      </c>
      <c r="AS4026" t="s">
        <v>278</v>
      </c>
      <c r="AT4026" t="s">
        <v>282</v>
      </c>
      <c r="AU4026" t="s">
        <v>282</v>
      </c>
      <c r="AV4026" t="s">
        <v>103</v>
      </c>
      <c r="AW4026" t="s">
        <v>66</v>
      </c>
      <c r="AX4026" t="s">
        <v>95</v>
      </c>
      <c r="AY4026" t="s">
        <v>103</v>
      </c>
    </row>
    <row r="4027" spans="1:51" x14ac:dyDescent="0.3">
      <c r="A4027" t="s">
        <v>29</v>
      </c>
      <c r="B4027" t="s">
        <v>292</v>
      </c>
      <c r="C4027">
        <v>325</v>
      </c>
      <c r="D4027" t="s">
        <v>440</v>
      </c>
      <c r="E4027" t="s">
        <v>615</v>
      </c>
      <c r="F4027" t="s">
        <v>262</v>
      </c>
      <c r="G4027" t="s">
        <v>734</v>
      </c>
      <c r="H4027" t="s">
        <v>575</v>
      </c>
      <c r="I4027" t="s">
        <v>188</v>
      </c>
      <c r="J4027" t="s">
        <v>114</v>
      </c>
      <c r="K4027" t="s">
        <v>476</v>
      </c>
      <c r="L4027" t="s">
        <v>103</v>
      </c>
      <c r="M4027">
        <v>325</v>
      </c>
      <c r="N4027" t="s">
        <v>187</v>
      </c>
      <c r="O4027" t="s">
        <v>190</v>
      </c>
      <c r="P4027" t="s">
        <v>217</v>
      </c>
      <c r="Q4027" t="s">
        <v>110</v>
      </c>
      <c r="R4027" t="s">
        <v>216</v>
      </c>
      <c r="S4027" t="s">
        <v>103</v>
      </c>
      <c r="T4027" t="s">
        <v>103</v>
      </c>
      <c r="U4027" t="s">
        <v>116</v>
      </c>
      <c r="V4027" t="s">
        <v>103</v>
      </c>
      <c r="W4027">
        <v>325</v>
      </c>
      <c r="X4027" t="s">
        <v>1138</v>
      </c>
      <c r="Y4027" t="s">
        <v>591</v>
      </c>
      <c r="Z4027" t="s">
        <v>90</v>
      </c>
      <c r="AA4027" t="s">
        <v>493</v>
      </c>
      <c r="AB4027" t="s">
        <v>341</v>
      </c>
      <c r="AC4027" t="s">
        <v>103</v>
      </c>
      <c r="AD4027" t="s">
        <v>116</v>
      </c>
      <c r="AE4027" t="s">
        <v>116</v>
      </c>
      <c r="AF4027" t="s">
        <v>103</v>
      </c>
      <c r="AG4027">
        <v>325</v>
      </c>
      <c r="AH4027" t="s">
        <v>184</v>
      </c>
      <c r="AI4027" t="s">
        <v>93</v>
      </c>
      <c r="AJ4027" t="s">
        <v>216</v>
      </c>
      <c r="AK4027" t="s">
        <v>194</v>
      </c>
      <c r="AL4027" t="s">
        <v>194</v>
      </c>
      <c r="AM4027" t="s">
        <v>97</v>
      </c>
      <c r="AN4027" t="s">
        <v>95</v>
      </c>
      <c r="AO4027" t="s">
        <v>110</v>
      </c>
      <c r="AP4027">
        <v>325</v>
      </c>
      <c r="AQ4027" t="s">
        <v>215</v>
      </c>
      <c r="AR4027" t="s">
        <v>125</v>
      </c>
      <c r="AS4027" t="s">
        <v>188</v>
      </c>
      <c r="AT4027" t="s">
        <v>282</v>
      </c>
      <c r="AU4027" t="s">
        <v>116</v>
      </c>
      <c r="AV4027" t="s">
        <v>103</v>
      </c>
      <c r="AW4027" t="s">
        <v>103</v>
      </c>
      <c r="AX4027" t="s">
        <v>118</v>
      </c>
      <c r="AY4027" t="s">
        <v>103</v>
      </c>
    </row>
    <row r="4028" spans="1:51" x14ac:dyDescent="0.3">
      <c r="A4028" t="s">
        <v>28</v>
      </c>
      <c r="B4028" t="s">
        <v>291</v>
      </c>
      <c r="C4028">
        <v>114</v>
      </c>
      <c r="D4028" t="s">
        <v>939</v>
      </c>
      <c r="E4028" t="s">
        <v>257</v>
      </c>
      <c r="F4028" t="s">
        <v>113</v>
      </c>
      <c r="G4028" t="s">
        <v>247</v>
      </c>
      <c r="H4028" t="s">
        <v>549</v>
      </c>
      <c r="I4028" t="s">
        <v>125</v>
      </c>
      <c r="J4028" t="s">
        <v>124</v>
      </c>
      <c r="K4028" t="s">
        <v>146</v>
      </c>
      <c r="L4028" t="s">
        <v>103</v>
      </c>
      <c r="M4028">
        <v>114</v>
      </c>
      <c r="N4028" t="s">
        <v>828</v>
      </c>
      <c r="O4028" t="s">
        <v>272</v>
      </c>
      <c r="P4028" t="s">
        <v>188</v>
      </c>
      <c r="Q4028" t="s">
        <v>103</v>
      </c>
      <c r="R4028" t="s">
        <v>103</v>
      </c>
      <c r="S4028" t="s">
        <v>266</v>
      </c>
      <c r="T4028" t="s">
        <v>103</v>
      </c>
      <c r="U4028" t="s">
        <v>103</v>
      </c>
      <c r="V4028" t="s">
        <v>103</v>
      </c>
      <c r="W4028">
        <v>114</v>
      </c>
      <c r="X4028" t="s">
        <v>1378</v>
      </c>
      <c r="Y4028" t="s">
        <v>329</v>
      </c>
      <c r="Z4028" t="s">
        <v>438</v>
      </c>
      <c r="AA4028" t="s">
        <v>591</v>
      </c>
      <c r="AB4028" t="s">
        <v>466</v>
      </c>
      <c r="AC4028" t="s">
        <v>98</v>
      </c>
      <c r="AD4028" t="s">
        <v>345</v>
      </c>
      <c r="AE4028" t="s">
        <v>194</v>
      </c>
      <c r="AF4028" t="s">
        <v>103</v>
      </c>
      <c r="AG4028">
        <v>114</v>
      </c>
      <c r="AH4028" t="s">
        <v>339</v>
      </c>
      <c r="AI4028" t="s">
        <v>103</v>
      </c>
      <c r="AJ4028" t="s">
        <v>98</v>
      </c>
      <c r="AK4028" t="s">
        <v>103</v>
      </c>
      <c r="AL4028" t="s">
        <v>103</v>
      </c>
      <c r="AM4028" t="s">
        <v>98</v>
      </c>
      <c r="AN4028" t="s">
        <v>120</v>
      </c>
      <c r="AO4028" t="s">
        <v>103</v>
      </c>
      <c r="AP4028">
        <v>114</v>
      </c>
      <c r="AQ4028" t="s">
        <v>174</v>
      </c>
      <c r="AR4028" t="s">
        <v>239</v>
      </c>
      <c r="AS4028" t="s">
        <v>531</v>
      </c>
      <c r="AT4028" t="s">
        <v>122</v>
      </c>
      <c r="AU4028" t="s">
        <v>103</v>
      </c>
      <c r="AV4028" t="s">
        <v>266</v>
      </c>
      <c r="AW4028" t="s">
        <v>98</v>
      </c>
      <c r="AX4028" t="s">
        <v>270</v>
      </c>
      <c r="AY4028" t="s">
        <v>103</v>
      </c>
    </row>
    <row r="4029" spans="1:51" x14ac:dyDescent="0.3">
      <c r="A4029" t="s">
        <v>28</v>
      </c>
      <c r="B4029" t="s">
        <v>292</v>
      </c>
      <c r="C4029">
        <v>191</v>
      </c>
      <c r="D4029" t="s">
        <v>608</v>
      </c>
      <c r="E4029" t="s">
        <v>122</v>
      </c>
      <c r="F4029" t="s">
        <v>257</v>
      </c>
      <c r="G4029" t="s">
        <v>281</v>
      </c>
      <c r="H4029" t="s">
        <v>662</v>
      </c>
      <c r="I4029" t="s">
        <v>128</v>
      </c>
      <c r="J4029" t="s">
        <v>103</v>
      </c>
      <c r="K4029" t="s">
        <v>466</v>
      </c>
      <c r="L4029" t="s">
        <v>103</v>
      </c>
      <c r="M4029">
        <v>191</v>
      </c>
      <c r="N4029" t="s">
        <v>213</v>
      </c>
      <c r="O4029" t="s">
        <v>95</v>
      </c>
      <c r="P4029" t="s">
        <v>272</v>
      </c>
      <c r="Q4029" t="s">
        <v>103</v>
      </c>
      <c r="R4029" t="s">
        <v>116</v>
      </c>
      <c r="S4029" t="s">
        <v>103</v>
      </c>
      <c r="T4029" t="s">
        <v>122</v>
      </c>
      <c r="U4029" t="s">
        <v>103</v>
      </c>
      <c r="V4029" t="s">
        <v>103</v>
      </c>
      <c r="W4029">
        <v>191</v>
      </c>
      <c r="X4029" t="s">
        <v>864</v>
      </c>
      <c r="Y4029" t="s">
        <v>468</v>
      </c>
      <c r="Z4029" t="s">
        <v>245</v>
      </c>
      <c r="AA4029" t="s">
        <v>118</v>
      </c>
      <c r="AB4029" t="s">
        <v>122</v>
      </c>
      <c r="AC4029" t="s">
        <v>103</v>
      </c>
      <c r="AD4029" t="s">
        <v>103</v>
      </c>
      <c r="AE4029" t="s">
        <v>103</v>
      </c>
      <c r="AF4029" t="s">
        <v>103</v>
      </c>
      <c r="AG4029">
        <v>191</v>
      </c>
      <c r="AH4029" t="s">
        <v>328</v>
      </c>
      <c r="AI4029" t="s">
        <v>116</v>
      </c>
      <c r="AJ4029" t="s">
        <v>345</v>
      </c>
      <c r="AK4029" t="s">
        <v>95</v>
      </c>
      <c r="AL4029" t="s">
        <v>103</v>
      </c>
      <c r="AM4029" t="s">
        <v>103</v>
      </c>
      <c r="AN4029" t="s">
        <v>103</v>
      </c>
      <c r="AO4029" t="s">
        <v>103</v>
      </c>
      <c r="AP4029">
        <v>191</v>
      </c>
      <c r="AQ4029" t="s">
        <v>1633</v>
      </c>
      <c r="AR4029" t="s">
        <v>98</v>
      </c>
      <c r="AS4029" t="s">
        <v>95</v>
      </c>
      <c r="AT4029" t="s">
        <v>103</v>
      </c>
      <c r="AU4029" t="s">
        <v>103</v>
      </c>
      <c r="AV4029" t="s">
        <v>103</v>
      </c>
      <c r="AW4029" t="s">
        <v>103</v>
      </c>
      <c r="AX4029" t="s">
        <v>208</v>
      </c>
      <c r="AY4029" t="s">
        <v>103</v>
      </c>
    </row>
    <row r="4030" spans="1:51" x14ac:dyDescent="0.3">
      <c r="A4030" t="s">
        <v>28</v>
      </c>
      <c r="B4030" t="s">
        <v>308</v>
      </c>
      <c r="C4030">
        <v>12</v>
      </c>
      <c r="D4030" t="s">
        <v>787</v>
      </c>
      <c r="E4030" t="s">
        <v>103</v>
      </c>
      <c r="F4030" t="s">
        <v>103</v>
      </c>
      <c r="G4030" t="s">
        <v>459</v>
      </c>
      <c r="H4030" t="s">
        <v>103</v>
      </c>
      <c r="I4030" t="s">
        <v>103</v>
      </c>
      <c r="J4030" t="s">
        <v>103</v>
      </c>
      <c r="K4030" t="s">
        <v>479</v>
      </c>
      <c r="L4030" t="s">
        <v>103</v>
      </c>
      <c r="M4030">
        <v>12</v>
      </c>
      <c r="N4030" t="s">
        <v>818</v>
      </c>
      <c r="O4030" t="s">
        <v>103</v>
      </c>
      <c r="P4030" t="s">
        <v>103</v>
      </c>
      <c r="Q4030" t="s">
        <v>459</v>
      </c>
      <c r="R4030" t="s">
        <v>103</v>
      </c>
      <c r="S4030" t="s">
        <v>103</v>
      </c>
      <c r="T4030" t="s">
        <v>103</v>
      </c>
      <c r="U4030" t="s">
        <v>103</v>
      </c>
      <c r="V4030" t="s">
        <v>103</v>
      </c>
      <c r="W4030">
        <v>12</v>
      </c>
      <c r="X4030" t="s">
        <v>818</v>
      </c>
      <c r="Y4030" t="s">
        <v>103</v>
      </c>
      <c r="Z4030" t="s">
        <v>459</v>
      </c>
      <c r="AA4030" t="s">
        <v>103</v>
      </c>
      <c r="AB4030" t="s">
        <v>103</v>
      </c>
      <c r="AC4030" t="s">
        <v>103</v>
      </c>
      <c r="AD4030" t="s">
        <v>103</v>
      </c>
      <c r="AE4030" t="s">
        <v>103</v>
      </c>
      <c r="AF4030" t="s">
        <v>103</v>
      </c>
      <c r="AG4030">
        <v>12</v>
      </c>
      <c r="AH4030" t="s">
        <v>192</v>
      </c>
      <c r="AI4030" t="s">
        <v>103</v>
      </c>
      <c r="AJ4030" t="s">
        <v>103</v>
      </c>
      <c r="AK4030" t="s">
        <v>103</v>
      </c>
      <c r="AL4030" t="s">
        <v>103</v>
      </c>
      <c r="AM4030" t="s">
        <v>103</v>
      </c>
      <c r="AN4030" t="s">
        <v>103</v>
      </c>
      <c r="AO4030" t="s">
        <v>103</v>
      </c>
      <c r="AP4030">
        <v>12</v>
      </c>
      <c r="AQ4030" t="s">
        <v>192</v>
      </c>
      <c r="AR4030" t="s">
        <v>103</v>
      </c>
      <c r="AS4030" t="s">
        <v>103</v>
      </c>
      <c r="AT4030" t="s">
        <v>103</v>
      </c>
      <c r="AU4030" t="s">
        <v>103</v>
      </c>
      <c r="AV4030" t="s">
        <v>103</v>
      </c>
      <c r="AW4030" t="s">
        <v>103</v>
      </c>
      <c r="AX4030" t="s">
        <v>103</v>
      </c>
      <c r="AY4030" t="s">
        <v>103</v>
      </c>
    </row>
    <row r="4031" spans="1:51" x14ac:dyDescent="0.3">
      <c r="A4031" t="s">
        <v>27</v>
      </c>
      <c r="B4031" t="s">
        <v>291</v>
      </c>
      <c r="C4031">
        <v>95</v>
      </c>
      <c r="D4031" t="s">
        <v>821</v>
      </c>
      <c r="E4031" t="s">
        <v>139</v>
      </c>
      <c r="F4031" t="s">
        <v>239</v>
      </c>
      <c r="G4031" t="s">
        <v>468</v>
      </c>
      <c r="H4031" t="s">
        <v>468</v>
      </c>
      <c r="I4031" t="s">
        <v>468</v>
      </c>
      <c r="J4031" t="s">
        <v>208</v>
      </c>
      <c r="K4031" t="s">
        <v>680</v>
      </c>
      <c r="L4031" t="s">
        <v>345</v>
      </c>
      <c r="M4031">
        <v>95</v>
      </c>
      <c r="N4031" t="s">
        <v>885</v>
      </c>
      <c r="O4031" t="s">
        <v>493</v>
      </c>
      <c r="P4031" t="s">
        <v>532</v>
      </c>
      <c r="Q4031" t="s">
        <v>103</v>
      </c>
      <c r="R4031" t="s">
        <v>468</v>
      </c>
      <c r="S4031" t="s">
        <v>103</v>
      </c>
      <c r="T4031" t="s">
        <v>103</v>
      </c>
      <c r="U4031" t="s">
        <v>103</v>
      </c>
      <c r="V4031" t="s">
        <v>103</v>
      </c>
      <c r="W4031">
        <v>95</v>
      </c>
      <c r="X4031" t="s">
        <v>978</v>
      </c>
      <c r="Y4031" t="s">
        <v>532</v>
      </c>
      <c r="Z4031" t="s">
        <v>99</v>
      </c>
      <c r="AA4031" t="s">
        <v>532</v>
      </c>
      <c r="AB4031" t="s">
        <v>110</v>
      </c>
      <c r="AC4031" t="s">
        <v>103</v>
      </c>
      <c r="AD4031" t="s">
        <v>98</v>
      </c>
      <c r="AE4031" t="s">
        <v>103</v>
      </c>
      <c r="AF4031" t="s">
        <v>103</v>
      </c>
      <c r="AG4031">
        <v>95</v>
      </c>
      <c r="AH4031" t="s">
        <v>1173</v>
      </c>
      <c r="AI4031" t="s">
        <v>103</v>
      </c>
      <c r="AJ4031" t="s">
        <v>216</v>
      </c>
      <c r="AK4031" t="s">
        <v>468</v>
      </c>
      <c r="AL4031" t="s">
        <v>103</v>
      </c>
      <c r="AM4031" t="s">
        <v>110</v>
      </c>
      <c r="AN4031" t="s">
        <v>103</v>
      </c>
      <c r="AO4031" t="s">
        <v>103</v>
      </c>
      <c r="AP4031">
        <v>95</v>
      </c>
      <c r="AQ4031" t="s">
        <v>1169</v>
      </c>
      <c r="AR4031" t="s">
        <v>575</v>
      </c>
      <c r="AS4031" t="s">
        <v>224</v>
      </c>
      <c r="AT4031" t="s">
        <v>468</v>
      </c>
      <c r="AU4031" t="s">
        <v>103</v>
      </c>
      <c r="AV4031" t="s">
        <v>103</v>
      </c>
      <c r="AW4031" t="s">
        <v>98</v>
      </c>
      <c r="AX4031" t="s">
        <v>284</v>
      </c>
      <c r="AY4031" t="s">
        <v>103</v>
      </c>
    </row>
    <row r="4032" spans="1:51" x14ac:dyDescent="0.3">
      <c r="A4032" t="s">
        <v>27</v>
      </c>
      <c r="B4032" t="s">
        <v>292</v>
      </c>
      <c r="C4032">
        <v>198</v>
      </c>
      <c r="D4032" t="s">
        <v>1037</v>
      </c>
      <c r="E4032" t="s">
        <v>493</v>
      </c>
      <c r="F4032" t="s">
        <v>270</v>
      </c>
      <c r="G4032" t="s">
        <v>232</v>
      </c>
      <c r="H4032" t="s">
        <v>110</v>
      </c>
      <c r="I4032" t="s">
        <v>216</v>
      </c>
      <c r="J4032" t="s">
        <v>103</v>
      </c>
      <c r="K4032" t="s">
        <v>273</v>
      </c>
      <c r="L4032" t="s">
        <v>91</v>
      </c>
      <c r="M4032">
        <v>198</v>
      </c>
      <c r="N4032" t="s">
        <v>889</v>
      </c>
      <c r="O4032" t="s">
        <v>110</v>
      </c>
      <c r="P4032" t="s">
        <v>133</v>
      </c>
      <c r="Q4032" t="s">
        <v>239</v>
      </c>
      <c r="R4032" t="s">
        <v>282</v>
      </c>
      <c r="S4032" t="s">
        <v>97</v>
      </c>
      <c r="T4032" t="s">
        <v>103</v>
      </c>
      <c r="U4032" t="s">
        <v>103</v>
      </c>
      <c r="V4032" t="s">
        <v>97</v>
      </c>
      <c r="W4032">
        <v>198</v>
      </c>
      <c r="X4032" t="s">
        <v>274</v>
      </c>
      <c r="Y4032" t="s">
        <v>102</v>
      </c>
      <c r="Z4032" t="s">
        <v>532</v>
      </c>
      <c r="AA4032" t="s">
        <v>558</v>
      </c>
      <c r="AB4032" t="s">
        <v>110</v>
      </c>
      <c r="AC4032" t="s">
        <v>103</v>
      </c>
      <c r="AD4032" t="s">
        <v>98</v>
      </c>
      <c r="AE4032" t="s">
        <v>282</v>
      </c>
      <c r="AF4032" t="s">
        <v>97</v>
      </c>
      <c r="AG4032">
        <v>198</v>
      </c>
      <c r="AH4032" t="s">
        <v>279</v>
      </c>
      <c r="AI4032" t="s">
        <v>103</v>
      </c>
      <c r="AJ4032" t="s">
        <v>329</v>
      </c>
      <c r="AK4032" t="s">
        <v>118</v>
      </c>
      <c r="AL4032" t="s">
        <v>103</v>
      </c>
      <c r="AM4032" t="s">
        <v>66</v>
      </c>
      <c r="AN4032" t="s">
        <v>103</v>
      </c>
      <c r="AO4032" t="s">
        <v>103</v>
      </c>
      <c r="AP4032">
        <v>198</v>
      </c>
      <c r="AQ4032" t="s">
        <v>143</v>
      </c>
      <c r="AR4032" t="s">
        <v>438</v>
      </c>
      <c r="AS4032" t="s">
        <v>133</v>
      </c>
      <c r="AT4032" t="s">
        <v>282</v>
      </c>
      <c r="AU4032" t="s">
        <v>97</v>
      </c>
      <c r="AV4032" t="s">
        <v>120</v>
      </c>
      <c r="AW4032" t="s">
        <v>97</v>
      </c>
      <c r="AX4032" t="s">
        <v>531</v>
      </c>
      <c r="AY4032" t="s">
        <v>97</v>
      </c>
    </row>
    <row r="4033" spans="1:51" x14ac:dyDescent="0.3">
      <c r="A4033" t="s">
        <v>27</v>
      </c>
      <c r="B4033" t="s">
        <v>308</v>
      </c>
      <c r="C4033">
        <v>7</v>
      </c>
      <c r="D4033" t="s">
        <v>605</v>
      </c>
      <c r="E4033" t="s">
        <v>103</v>
      </c>
      <c r="F4033" t="s">
        <v>103</v>
      </c>
      <c r="G4033" t="s">
        <v>103</v>
      </c>
      <c r="H4033" t="s">
        <v>103</v>
      </c>
      <c r="I4033" t="s">
        <v>103</v>
      </c>
      <c r="J4033" t="s">
        <v>103</v>
      </c>
      <c r="K4033" t="s">
        <v>488</v>
      </c>
      <c r="L4033" t="s">
        <v>103</v>
      </c>
      <c r="M4033">
        <v>7</v>
      </c>
      <c r="N4033" t="s">
        <v>725</v>
      </c>
      <c r="O4033" t="s">
        <v>103</v>
      </c>
      <c r="P4033" t="s">
        <v>469</v>
      </c>
      <c r="Q4033" t="s">
        <v>103</v>
      </c>
      <c r="R4033" t="s">
        <v>103</v>
      </c>
      <c r="S4033" t="s">
        <v>103</v>
      </c>
      <c r="T4033" t="s">
        <v>103</v>
      </c>
      <c r="U4033" t="s">
        <v>103</v>
      </c>
      <c r="V4033" t="s">
        <v>103</v>
      </c>
      <c r="W4033">
        <v>7</v>
      </c>
      <c r="X4033" t="s">
        <v>1291</v>
      </c>
      <c r="Y4033" t="s">
        <v>103</v>
      </c>
      <c r="Z4033" t="s">
        <v>103</v>
      </c>
      <c r="AA4033" t="s">
        <v>1090</v>
      </c>
      <c r="AB4033" t="s">
        <v>103</v>
      </c>
      <c r="AC4033" t="s">
        <v>103</v>
      </c>
      <c r="AD4033" t="s">
        <v>103</v>
      </c>
      <c r="AE4033" t="s">
        <v>103</v>
      </c>
      <c r="AF4033" t="s">
        <v>103</v>
      </c>
      <c r="AG4033">
        <v>7</v>
      </c>
      <c r="AH4033" t="s">
        <v>725</v>
      </c>
      <c r="AI4033" t="s">
        <v>103</v>
      </c>
      <c r="AJ4033" t="s">
        <v>469</v>
      </c>
      <c r="AK4033" t="s">
        <v>103</v>
      </c>
      <c r="AL4033" t="s">
        <v>103</v>
      </c>
      <c r="AM4033" t="s">
        <v>103</v>
      </c>
      <c r="AN4033" t="s">
        <v>103</v>
      </c>
      <c r="AO4033" t="s">
        <v>103</v>
      </c>
      <c r="AP4033">
        <v>7</v>
      </c>
      <c r="AQ4033" t="s">
        <v>830</v>
      </c>
      <c r="AR4033" t="s">
        <v>103</v>
      </c>
      <c r="AS4033" t="s">
        <v>103</v>
      </c>
      <c r="AT4033" t="s">
        <v>469</v>
      </c>
      <c r="AU4033" t="s">
        <v>103</v>
      </c>
      <c r="AV4033" t="s">
        <v>103</v>
      </c>
      <c r="AW4033" t="s">
        <v>103</v>
      </c>
      <c r="AX4033" t="s">
        <v>54</v>
      </c>
      <c r="AY4033" t="s">
        <v>103</v>
      </c>
    </row>
    <row r="4034" spans="1:51" x14ac:dyDescent="0.3">
      <c r="A4034" t="s">
        <v>41</v>
      </c>
      <c r="B4034" t="s">
        <v>291</v>
      </c>
      <c r="C4034">
        <v>692</v>
      </c>
      <c r="D4034" t="s">
        <v>604</v>
      </c>
      <c r="E4034" t="s">
        <v>33</v>
      </c>
      <c r="F4034" t="s">
        <v>111</v>
      </c>
      <c r="G4034" t="s">
        <v>649</v>
      </c>
      <c r="H4034" t="s">
        <v>251</v>
      </c>
      <c r="I4034" t="s">
        <v>232</v>
      </c>
      <c r="J4034" t="s">
        <v>438</v>
      </c>
      <c r="K4034" t="s">
        <v>825</v>
      </c>
      <c r="L4034" t="s">
        <v>97</v>
      </c>
      <c r="M4034">
        <v>692</v>
      </c>
      <c r="N4034" t="s">
        <v>163</v>
      </c>
      <c r="O4034" t="s">
        <v>94</v>
      </c>
      <c r="P4034" t="s">
        <v>493</v>
      </c>
      <c r="Q4034" t="s">
        <v>245</v>
      </c>
      <c r="R4034" t="s">
        <v>98</v>
      </c>
      <c r="S4034" t="s">
        <v>120</v>
      </c>
      <c r="T4034" t="s">
        <v>97</v>
      </c>
      <c r="U4034" t="s">
        <v>116</v>
      </c>
      <c r="V4034" t="s">
        <v>103</v>
      </c>
      <c r="W4034">
        <v>692</v>
      </c>
      <c r="X4034" t="s">
        <v>806</v>
      </c>
      <c r="Y4034" t="s">
        <v>70</v>
      </c>
      <c r="Z4034" t="s">
        <v>662</v>
      </c>
      <c r="AA4034" t="s">
        <v>102</v>
      </c>
      <c r="AB4034" t="s">
        <v>118</v>
      </c>
      <c r="AC4034" t="s">
        <v>91</v>
      </c>
      <c r="AD4034" t="s">
        <v>98</v>
      </c>
      <c r="AE4034" t="s">
        <v>110</v>
      </c>
      <c r="AF4034" t="s">
        <v>116</v>
      </c>
      <c r="AG4034">
        <v>692</v>
      </c>
      <c r="AH4034" t="s">
        <v>597</v>
      </c>
      <c r="AI4034" t="s">
        <v>120</v>
      </c>
      <c r="AJ4034" t="s">
        <v>93</v>
      </c>
      <c r="AK4034" t="s">
        <v>216</v>
      </c>
      <c r="AL4034" t="s">
        <v>122</v>
      </c>
      <c r="AM4034" t="s">
        <v>66</v>
      </c>
      <c r="AN4034" t="s">
        <v>103</v>
      </c>
      <c r="AO4034" t="s">
        <v>103</v>
      </c>
      <c r="AP4034">
        <v>692</v>
      </c>
      <c r="AQ4034" t="s">
        <v>616</v>
      </c>
      <c r="AR4034" t="s">
        <v>467</v>
      </c>
      <c r="AS4034" t="s">
        <v>493</v>
      </c>
      <c r="AT4034" t="s">
        <v>110</v>
      </c>
      <c r="AU4034" t="s">
        <v>120</v>
      </c>
      <c r="AV4034" t="s">
        <v>66</v>
      </c>
      <c r="AW4034" t="s">
        <v>120</v>
      </c>
      <c r="AX4034" t="s">
        <v>139</v>
      </c>
      <c r="AY4034" t="s">
        <v>66</v>
      </c>
    </row>
    <row r="4035" spans="1:51" x14ac:dyDescent="0.3">
      <c r="A4035" t="s">
        <v>41</v>
      </c>
      <c r="B4035" t="s">
        <v>292</v>
      </c>
      <c r="C4035">
        <v>1320</v>
      </c>
      <c r="D4035" t="s">
        <v>1098</v>
      </c>
      <c r="E4035" t="s">
        <v>188</v>
      </c>
      <c r="F4035" t="s">
        <v>242</v>
      </c>
      <c r="G4035" t="s">
        <v>244</v>
      </c>
      <c r="H4035" t="s">
        <v>94</v>
      </c>
      <c r="I4035" t="s">
        <v>278</v>
      </c>
      <c r="J4035" t="s">
        <v>107</v>
      </c>
      <c r="K4035" t="s">
        <v>253</v>
      </c>
      <c r="L4035" t="s">
        <v>116</v>
      </c>
      <c r="M4035">
        <v>1320</v>
      </c>
      <c r="N4035" t="s">
        <v>240</v>
      </c>
      <c r="O4035" t="s">
        <v>113</v>
      </c>
      <c r="P4035" t="s">
        <v>217</v>
      </c>
      <c r="Q4035" t="s">
        <v>194</v>
      </c>
      <c r="R4035" t="s">
        <v>139</v>
      </c>
      <c r="S4035" t="s">
        <v>103</v>
      </c>
      <c r="T4035" t="s">
        <v>91</v>
      </c>
      <c r="U4035" t="s">
        <v>116</v>
      </c>
      <c r="V4035" t="s">
        <v>103</v>
      </c>
      <c r="W4035">
        <v>1320</v>
      </c>
      <c r="X4035" t="s">
        <v>145</v>
      </c>
      <c r="Y4035" t="s">
        <v>118</v>
      </c>
      <c r="Z4035" t="s">
        <v>281</v>
      </c>
      <c r="AA4035" t="s">
        <v>266</v>
      </c>
      <c r="AB4035" t="s">
        <v>468</v>
      </c>
      <c r="AC4035" t="s">
        <v>103</v>
      </c>
      <c r="AD4035" t="s">
        <v>97</v>
      </c>
      <c r="AE4035" t="s">
        <v>66</v>
      </c>
      <c r="AF4035" t="s">
        <v>103</v>
      </c>
      <c r="AG4035">
        <v>1320</v>
      </c>
      <c r="AH4035" t="s">
        <v>611</v>
      </c>
      <c r="AI4035" t="s">
        <v>194</v>
      </c>
      <c r="AJ4035" t="s">
        <v>282</v>
      </c>
      <c r="AK4035" t="s">
        <v>282</v>
      </c>
      <c r="AL4035" t="s">
        <v>139</v>
      </c>
      <c r="AM4035" t="s">
        <v>97</v>
      </c>
      <c r="AN4035" t="s">
        <v>122</v>
      </c>
      <c r="AO4035" t="s">
        <v>120</v>
      </c>
      <c r="AP4035">
        <v>1320</v>
      </c>
      <c r="AQ4035" t="s">
        <v>283</v>
      </c>
      <c r="AR4035" t="s">
        <v>118</v>
      </c>
      <c r="AS4035" t="s">
        <v>266</v>
      </c>
      <c r="AT4035" t="s">
        <v>120</v>
      </c>
      <c r="AU4035" t="s">
        <v>66</v>
      </c>
      <c r="AV4035" t="s">
        <v>91</v>
      </c>
      <c r="AW4035" t="s">
        <v>91</v>
      </c>
      <c r="AX4035" t="s">
        <v>105</v>
      </c>
      <c r="AY4035" t="s">
        <v>103</v>
      </c>
    </row>
    <row r="4036" spans="1:51" x14ac:dyDescent="0.3">
      <c r="A4036" t="s">
        <v>41</v>
      </c>
      <c r="B4036" t="s">
        <v>308</v>
      </c>
      <c r="C4036">
        <v>26</v>
      </c>
      <c r="D4036" t="s">
        <v>390</v>
      </c>
      <c r="E4036" t="s">
        <v>103</v>
      </c>
      <c r="F4036" t="s">
        <v>103</v>
      </c>
      <c r="G4036" t="s">
        <v>64</v>
      </c>
      <c r="H4036" t="s">
        <v>173</v>
      </c>
      <c r="I4036" t="s">
        <v>62</v>
      </c>
      <c r="J4036" t="s">
        <v>737</v>
      </c>
      <c r="K4036" t="s">
        <v>580</v>
      </c>
      <c r="L4036" t="s">
        <v>103</v>
      </c>
      <c r="M4036">
        <v>26</v>
      </c>
      <c r="N4036" t="s">
        <v>864</v>
      </c>
      <c r="O4036" t="s">
        <v>103</v>
      </c>
      <c r="P4036" t="s">
        <v>195</v>
      </c>
      <c r="Q4036" t="s">
        <v>64</v>
      </c>
      <c r="R4036" t="s">
        <v>103</v>
      </c>
      <c r="S4036" t="s">
        <v>103</v>
      </c>
      <c r="T4036" t="s">
        <v>103</v>
      </c>
      <c r="U4036" t="s">
        <v>103</v>
      </c>
      <c r="V4036" t="s">
        <v>103</v>
      </c>
      <c r="W4036">
        <v>26</v>
      </c>
      <c r="X4036" t="s">
        <v>851</v>
      </c>
      <c r="Y4036" t="s">
        <v>103</v>
      </c>
      <c r="Z4036" t="s">
        <v>64</v>
      </c>
      <c r="AA4036" t="s">
        <v>662</v>
      </c>
      <c r="AB4036" t="s">
        <v>103</v>
      </c>
      <c r="AC4036" t="s">
        <v>103</v>
      </c>
      <c r="AD4036" t="s">
        <v>103</v>
      </c>
      <c r="AE4036" t="s">
        <v>103</v>
      </c>
      <c r="AF4036" t="s">
        <v>103</v>
      </c>
      <c r="AG4036">
        <v>26</v>
      </c>
      <c r="AH4036" t="s">
        <v>241</v>
      </c>
      <c r="AI4036" t="s">
        <v>737</v>
      </c>
      <c r="AJ4036" t="s">
        <v>195</v>
      </c>
      <c r="AK4036" t="s">
        <v>103</v>
      </c>
      <c r="AL4036" t="s">
        <v>103</v>
      </c>
      <c r="AM4036" t="s">
        <v>103</v>
      </c>
      <c r="AN4036" t="s">
        <v>103</v>
      </c>
      <c r="AO4036" t="s">
        <v>103</v>
      </c>
      <c r="AP4036">
        <v>26</v>
      </c>
      <c r="AQ4036" t="s">
        <v>864</v>
      </c>
      <c r="AR4036" t="s">
        <v>103</v>
      </c>
      <c r="AS4036" t="s">
        <v>103</v>
      </c>
      <c r="AT4036" t="s">
        <v>195</v>
      </c>
      <c r="AU4036" t="s">
        <v>103</v>
      </c>
      <c r="AV4036" t="s">
        <v>103</v>
      </c>
      <c r="AW4036" t="s">
        <v>103</v>
      </c>
      <c r="AX4036" t="s">
        <v>270</v>
      </c>
      <c r="AY4036" t="s">
        <v>103</v>
      </c>
    </row>
    <row r="4038" spans="1:51" x14ac:dyDescent="0.3">
      <c r="A4038" t="s">
        <v>1635</v>
      </c>
    </row>
    <row r="4039" spans="1:51" x14ac:dyDescent="0.3">
      <c r="A4039" t="s">
        <v>36</v>
      </c>
      <c r="B4039" t="s">
        <v>310</v>
      </c>
      <c r="C4039" t="s">
        <v>1584</v>
      </c>
      <c r="D4039" t="s">
        <v>1585</v>
      </c>
      <c r="E4039" t="s">
        <v>1586</v>
      </c>
      <c r="F4039" t="s">
        <v>1587</v>
      </c>
      <c r="G4039" t="s">
        <v>1588</v>
      </c>
      <c r="H4039" t="s">
        <v>1589</v>
      </c>
      <c r="I4039" t="s">
        <v>1590</v>
      </c>
      <c r="J4039" t="s">
        <v>1591</v>
      </c>
      <c r="K4039" t="s">
        <v>1592</v>
      </c>
      <c r="L4039" t="s">
        <v>1593</v>
      </c>
      <c r="M4039" t="s">
        <v>1594</v>
      </c>
      <c r="N4039" t="s">
        <v>1595</v>
      </c>
      <c r="O4039" t="s">
        <v>1596</v>
      </c>
      <c r="P4039" t="s">
        <v>1597</v>
      </c>
      <c r="Q4039" t="s">
        <v>1598</v>
      </c>
      <c r="R4039" t="s">
        <v>1599</v>
      </c>
      <c r="S4039" t="s">
        <v>1600</v>
      </c>
      <c r="T4039" t="s">
        <v>1601</v>
      </c>
      <c r="U4039" t="s">
        <v>1602</v>
      </c>
      <c r="V4039" t="s">
        <v>1603</v>
      </c>
      <c r="W4039" t="s">
        <v>1604</v>
      </c>
      <c r="X4039" t="s">
        <v>1605</v>
      </c>
      <c r="Y4039" t="s">
        <v>1606</v>
      </c>
      <c r="Z4039" t="s">
        <v>1607</v>
      </c>
      <c r="AA4039" t="s">
        <v>1608</v>
      </c>
      <c r="AB4039" t="s">
        <v>1609</v>
      </c>
      <c r="AC4039" t="s">
        <v>1610</v>
      </c>
      <c r="AD4039" t="s">
        <v>1611</v>
      </c>
      <c r="AE4039" t="s">
        <v>1612</v>
      </c>
      <c r="AF4039" t="s">
        <v>1613</v>
      </c>
      <c r="AG4039" t="s">
        <v>1614</v>
      </c>
      <c r="AH4039" t="s">
        <v>1615</v>
      </c>
      <c r="AI4039" t="s">
        <v>1616</v>
      </c>
      <c r="AJ4039" t="s">
        <v>1617</v>
      </c>
      <c r="AK4039" t="s">
        <v>1618</v>
      </c>
      <c r="AL4039" t="s">
        <v>1619</v>
      </c>
      <c r="AM4039" t="s">
        <v>1620</v>
      </c>
      <c r="AN4039" t="s">
        <v>1621</v>
      </c>
      <c r="AO4039" t="s">
        <v>1622</v>
      </c>
      <c r="AP4039" t="s">
        <v>1623</v>
      </c>
      <c r="AQ4039" t="s">
        <v>1624</v>
      </c>
      <c r="AR4039" t="s">
        <v>1625</v>
      </c>
      <c r="AS4039" t="s">
        <v>1626</v>
      </c>
      <c r="AT4039" t="s">
        <v>1627</v>
      </c>
      <c r="AU4039" t="s">
        <v>1628</v>
      </c>
      <c r="AV4039" t="s">
        <v>1629</v>
      </c>
      <c r="AW4039" t="s">
        <v>1630</v>
      </c>
      <c r="AX4039" t="s">
        <v>1631</v>
      </c>
      <c r="AY4039" t="s">
        <v>1632</v>
      </c>
    </row>
    <row r="4040" spans="1:51" x14ac:dyDescent="0.3">
      <c r="A4040" t="s">
        <v>25</v>
      </c>
      <c r="B4040" t="s">
        <v>311</v>
      </c>
      <c r="C4040">
        <v>324</v>
      </c>
      <c r="D4040" t="s">
        <v>627</v>
      </c>
      <c r="E4040" t="s">
        <v>32</v>
      </c>
      <c r="F4040" t="s">
        <v>813</v>
      </c>
      <c r="G4040" t="s">
        <v>549</v>
      </c>
      <c r="H4040" t="s">
        <v>114</v>
      </c>
      <c r="I4040" t="s">
        <v>114</v>
      </c>
      <c r="J4040" t="s">
        <v>128</v>
      </c>
      <c r="K4040" t="s">
        <v>569</v>
      </c>
      <c r="L4040" t="s">
        <v>103</v>
      </c>
      <c r="M4040">
        <v>324</v>
      </c>
      <c r="N4040" t="s">
        <v>759</v>
      </c>
      <c r="O4040" t="s">
        <v>438</v>
      </c>
      <c r="P4040" t="s">
        <v>278</v>
      </c>
      <c r="Q4040" t="s">
        <v>194</v>
      </c>
      <c r="R4040" t="s">
        <v>116</v>
      </c>
      <c r="S4040" t="s">
        <v>116</v>
      </c>
      <c r="T4040" t="s">
        <v>103</v>
      </c>
      <c r="U4040" t="s">
        <v>103</v>
      </c>
      <c r="V4040" t="s">
        <v>103</v>
      </c>
      <c r="W4040">
        <v>324</v>
      </c>
      <c r="X4040" t="s">
        <v>771</v>
      </c>
      <c r="Y4040" t="s">
        <v>195</v>
      </c>
      <c r="Z4040" t="s">
        <v>257</v>
      </c>
      <c r="AA4040" t="s">
        <v>329</v>
      </c>
      <c r="AB4040" t="s">
        <v>282</v>
      </c>
      <c r="AC4040" t="s">
        <v>66</v>
      </c>
      <c r="AD4040" t="s">
        <v>103</v>
      </c>
      <c r="AE4040" t="s">
        <v>208</v>
      </c>
      <c r="AF4040" t="s">
        <v>103</v>
      </c>
      <c r="AG4040">
        <v>324</v>
      </c>
      <c r="AH4040" t="s">
        <v>849</v>
      </c>
      <c r="AI4040" t="s">
        <v>216</v>
      </c>
      <c r="AJ4040" t="s">
        <v>239</v>
      </c>
      <c r="AK4040" t="s">
        <v>139</v>
      </c>
      <c r="AL4040" t="s">
        <v>345</v>
      </c>
      <c r="AM4040" t="s">
        <v>122</v>
      </c>
      <c r="AN4040" t="s">
        <v>120</v>
      </c>
      <c r="AO4040" t="s">
        <v>103</v>
      </c>
      <c r="AP4040">
        <v>324</v>
      </c>
      <c r="AQ4040" t="s">
        <v>850</v>
      </c>
      <c r="AR4040" t="s">
        <v>110</v>
      </c>
      <c r="AS4040" t="s">
        <v>98</v>
      </c>
      <c r="AT4040" t="s">
        <v>95</v>
      </c>
      <c r="AU4040" t="s">
        <v>468</v>
      </c>
      <c r="AV4040" t="s">
        <v>116</v>
      </c>
      <c r="AW4040" t="s">
        <v>122</v>
      </c>
      <c r="AX4040" t="s">
        <v>103</v>
      </c>
      <c r="AY4040" t="s">
        <v>103</v>
      </c>
    </row>
    <row r="4041" spans="1:51" x14ac:dyDescent="0.3">
      <c r="A4041" t="s">
        <v>25</v>
      </c>
      <c r="B4041" t="s">
        <v>312</v>
      </c>
      <c r="C4041">
        <v>80</v>
      </c>
      <c r="D4041" t="s">
        <v>1032</v>
      </c>
      <c r="E4041" t="s">
        <v>345</v>
      </c>
      <c r="F4041" t="s">
        <v>120</v>
      </c>
      <c r="G4041" t="s">
        <v>104</v>
      </c>
      <c r="H4041" t="s">
        <v>247</v>
      </c>
      <c r="I4041" t="s">
        <v>113</v>
      </c>
      <c r="J4041" t="s">
        <v>468</v>
      </c>
      <c r="K4041" t="s">
        <v>54</v>
      </c>
      <c r="L4041" t="s">
        <v>68</v>
      </c>
      <c r="M4041">
        <v>80</v>
      </c>
      <c r="N4041" t="s">
        <v>862</v>
      </c>
      <c r="O4041" t="s">
        <v>64</v>
      </c>
      <c r="P4041" t="s">
        <v>239</v>
      </c>
      <c r="Q4041" t="s">
        <v>103</v>
      </c>
      <c r="R4041" t="s">
        <v>103</v>
      </c>
      <c r="S4041" t="s">
        <v>103</v>
      </c>
      <c r="T4041" t="s">
        <v>105</v>
      </c>
      <c r="U4041" t="s">
        <v>103</v>
      </c>
      <c r="V4041" t="s">
        <v>103</v>
      </c>
      <c r="W4041">
        <v>80</v>
      </c>
      <c r="X4041" t="s">
        <v>752</v>
      </c>
      <c r="Y4041" t="s">
        <v>103</v>
      </c>
      <c r="Z4041" t="s">
        <v>68</v>
      </c>
      <c r="AA4041" t="s">
        <v>208</v>
      </c>
      <c r="AB4041" t="s">
        <v>103</v>
      </c>
      <c r="AC4041" t="s">
        <v>103</v>
      </c>
      <c r="AD4041" t="s">
        <v>103</v>
      </c>
      <c r="AE4041" t="s">
        <v>120</v>
      </c>
      <c r="AF4041" t="s">
        <v>103</v>
      </c>
      <c r="AG4041">
        <v>80</v>
      </c>
      <c r="AH4041" t="s">
        <v>343</v>
      </c>
      <c r="AI4041" t="s">
        <v>103</v>
      </c>
      <c r="AJ4041" t="s">
        <v>103</v>
      </c>
      <c r="AK4041" t="s">
        <v>103</v>
      </c>
      <c r="AL4041" t="s">
        <v>103</v>
      </c>
      <c r="AM4041" t="s">
        <v>103</v>
      </c>
      <c r="AN4041" t="s">
        <v>120</v>
      </c>
      <c r="AO4041" t="s">
        <v>103</v>
      </c>
      <c r="AP4041">
        <v>80</v>
      </c>
      <c r="AQ4041" t="s">
        <v>288</v>
      </c>
      <c r="AR4041" t="s">
        <v>208</v>
      </c>
      <c r="AS4041" t="s">
        <v>239</v>
      </c>
      <c r="AT4041" t="s">
        <v>103</v>
      </c>
      <c r="AU4041" t="s">
        <v>103</v>
      </c>
      <c r="AV4041" t="s">
        <v>103</v>
      </c>
      <c r="AW4041" t="s">
        <v>103</v>
      </c>
      <c r="AX4041" t="s">
        <v>257</v>
      </c>
      <c r="AY4041" t="s">
        <v>103</v>
      </c>
    </row>
    <row r="4042" spans="1:51" x14ac:dyDescent="0.3">
      <c r="A4042" t="s">
        <v>25</v>
      </c>
      <c r="B4042" t="s">
        <v>308</v>
      </c>
      <c r="C4042">
        <v>10</v>
      </c>
      <c r="D4042" t="s">
        <v>621</v>
      </c>
      <c r="E4042" t="s">
        <v>103</v>
      </c>
      <c r="F4042" t="s">
        <v>103</v>
      </c>
      <c r="G4042" t="s">
        <v>103</v>
      </c>
      <c r="H4042" t="s">
        <v>103</v>
      </c>
      <c r="I4042" t="s">
        <v>103</v>
      </c>
      <c r="J4042" t="s">
        <v>103</v>
      </c>
      <c r="K4042" t="s">
        <v>1028</v>
      </c>
      <c r="L4042" t="s">
        <v>103</v>
      </c>
      <c r="M4042">
        <v>10</v>
      </c>
      <c r="N4042" t="s">
        <v>1063</v>
      </c>
      <c r="O4042" t="s">
        <v>103</v>
      </c>
      <c r="P4042" t="s">
        <v>565</v>
      </c>
      <c r="Q4042" t="s">
        <v>103</v>
      </c>
      <c r="R4042" t="s">
        <v>103</v>
      </c>
      <c r="S4042" t="s">
        <v>103</v>
      </c>
      <c r="T4042" t="s">
        <v>103</v>
      </c>
      <c r="U4042" t="s">
        <v>103</v>
      </c>
      <c r="V4042" t="s">
        <v>103</v>
      </c>
      <c r="W4042">
        <v>10</v>
      </c>
      <c r="X4042" t="s">
        <v>758</v>
      </c>
      <c r="Y4042" t="s">
        <v>131</v>
      </c>
      <c r="Z4042" t="s">
        <v>103</v>
      </c>
      <c r="AA4042" t="s">
        <v>103</v>
      </c>
      <c r="AB4042" t="s">
        <v>103</v>
      </c>
      <c r="AC4042" t="s">
        <v>103</v>
      </c>
      <c r="AD4042" t="s">
        <v>103</v>
      </c>
      <c r="AE4042" t="s">
        <v>438</v>
      </c>
      <c r="AF4042" t="s">
        <v>103</v>
      </c>
      <c r="AG4042">
        <v>10</v>
      </c>
      <c r="AH4042" t="s">
        <v>287</v>
      </c>
      <c r="AI4042" t="s">
        <v>103</v>
      </c>
      <c r="AJ4042" t="s">
        <v>591</v>
      </c>
      <c r="AK4042" t="s">
        <v>103</v>
      </c>
      <c r="AL4042" t="s">
        <v>103</v>
      </c>
      <c r="AM4042" t="s">
        <v>103</v>
      </c>
      <c r="AN4042" t="s">
        <v>103</v>
      </c>
      <c r="AO4042" t="s">
        <v>103</v>
      </c>
      <c r="AP4042">
        <v>10</v>
      </c>
      <c r="AQ4042" t="s">
        <v>758</v>
      </c>
      <c r="AR4042" t="s">
        <v>103</v>
      </c>
      <c r="AS4042" t="s">
        <v>103</v>
      </c>
      <c r="AT4042" t="s">
        <v>103</v>
      </c>
      <c r="AU4042" t="s">
        <v>103</v>
      </c>
      <c r="AV4042" t="s">
        <v>103</v>
      </c>
      <c r="AW4042" t="s">
        <v>103</v>
      </c>
      <c r="AX4042" t="s">
        <v>228</v>
      </c>
      <c r="AY4042" t="s">
        <v>103</v>
      </c>
    </row>
    <row r="4043" spans="1:51" x14ac:dyDescent="0.3">
      <c r="A4043" t="s">
        <v>26</v>
      </c>
      <c r="B4043" t="s">
        <v>311</v>
      </c>
      <c r="C4043">
        <v>343</v>
      </c>
      <c r="D4043" t="s">
        <v>350</v>
      </c>
      <c r="E4043" t="s">
        <v>208</v>
      </c>
      <c r="F4043" t="s">
        <v>191</v>
      </c>
      <c r="G4043" t="s">
        <v>737</v>
      </c>
      <c r="H4043" t="s">
        <v>591</v>
      </c>
      <c r="I4043" t="s">
        <v>224</v>
      </c>
      <c r="J4043" t="s">
        <v>511</v>
      </c>
      <c r="K4043" t="s">
        <v>809</v>
      </c>
      <c r="L4043" t="s">
        <v>120</v>
      </c>
      <c r="M4043">
        <v>343</v>
      </c>
      <c r="N4043" t="s">
        <v>288</v>
      </c>
      <c r="O4043" t="s">
        <v>93</v>
      </c>
      <c r="P4043" t="s">
        <v>245</v>
      </c>
      <c r="Q4043" t="s">
        <v>239</v>
      </c>
      <c r="R4043" t="s">
        <v>103</v>
      </c>
      <c r="S4043" t="s">
        <v>103</v>
      </c>
      <c r="T4043" t="s">
        <v>103</v>
      </c>
      <c r="U4043" t="s">
        <v>120</v>
      </c>
      <c r="V4043" t="s">
        <v>103</v>
      </c>
      <c r="W4043">
        <v>343</v>
      </c>
      <c r="X4043" t="s">
        <v>203</v>
      </c>
      <c r="Y4043" t="s">
        <v>66</v>
      </c>
      <c r="Z4043" t="s">
        <v>201</v>
      </c>
      <c r="AA4043" t="s">
        <v>245</v>
      </c>
      <c r="AB4043" t="s">
        <v>468</v>
      </c>
      <c r="AC4043" t="s">
        <v>103</v>
      </c>
      <c r="AD4043" t="s">
        <v>103</v>
      </c>
      <c r="AE4043" t="s">
        <v>103</v>
      </c>
      <c r="AF4043" t="s">
        <v>103</v>
      </c>
      <c r="AG4043">
        <v>343</v>
      </c>
      <c r="AH4043" t="s">
        <v>286</v>
      </c>
      <c r="AI4043" t="s">
        <v>116</v>
      </c>
      <c r="AJ4043" t="s">
        <v>282</v>
      </c>
      <c r="AK4043" t="s">
        <v>239</v>
      </c>
      <c r="AL4043" t="s">
        <v>122</v>
      </c>
      <c r="AM4043" t="s">
        <v>103</v>
      </c>
      <c r="AN4043" t="s">
        <v>97</v>
      </c>
      <c r="AO4043" t="s">
        <v>103</v>
      </c>
      <c r="AP4043">
        <v>343</v>
      </c>
      <c r="AQ4043" t="s">
        <v>833</v>
      </c>
      <c r="AR4043" t="s">
        <v>120</v>
      </c>
      <c r="AS4043" t="s">
        <v>245</v>
      </c>
      <c r="AT4043" t="s">
        <v>122</v>
      </c>
      <c r="AU4043" t="s">
        <v>98</v>
      </c>
      <c r="AV4043" t="s">
        <v>103</v>
      </c>
      <c r="AW4043" t="s">
        <v>103</v>
      </c>
      <c r="AX4043" t="s">
        <v>103</v>
      </c>
      <c r="AY4043" t="s">
        <v>116</v>
      </c>
    </row>
    <row r="4044" spans="1:51" x14ac:dyDescent="0.3">
      <c r="A4044" t="s">
        <v>26</v>
      </c>
      <c r="B4044" t="s">
        <v>312</v>
      </c>
      <c r="C4044">
        <v>96</v>
      </c>
      <c r="D4044" t="s">
        <v>1292</v>
      </c>
      <c r="E4044" t="s">
        <v>110</v>
      </c>
      <c r="F4044" t="s">
        <v>60</v>
      </c>
      <c r="G4044" t="s">
        <v>272</v>
      </c>
      <c r="H4044" t="s">
        <v>488</v>
      </c>
      <c r="I4044" t="s">
        <v>242</v>
      </c>
      <c r="J4044" t="s">
        <v>113</v>
      </c>
      <c r="K4044" t="s">
        <v>558</v>
      </c>
      <c r="L4044" t="s">
        <v>103</v>
      </c>
      <c r="M4044">
        <v>96</v>
      </c>
      <c r="N4044" t="s">
        <v>69</v>
      </c>
      <c r="O4044" t="s">
        <v>216</v>
      </c>
      <c r="P4044" t="s">
        <v>103</v>
      </c>
      <c r="Q4044" t="s">
        <v>98</v>
      </c>
      <c r="R4044" t="s">
        <v>103</v>
      </c>
      <c r="S4044" t="s">
        <v>103</v>
      </c>
      <c r="T4044" t="s">
        <v>95</v>
      </c>
      <c r="U4044" t="s">
        <v>103</v>
      </c>
      <c r="V4044" t="s">
        <v>103</v>
      </c>
      <c r="W4044">
        <v>96</v>
      </c>
      <c r="X4044" t="s">
        <v>849</v>
      </c>
      <c r="Y4044" t="s">
        <v>103</v>
      </c>
      <c r="Z4044" t="s">
        <v>266</v>
      </c>
      <c r="AA4044" t="s">
        <v>118</v>
      </c>
      <c r="AB4044" t="s">
        <v>139</v>
      </c>
      <c r="AC4044" t="s">
        <v>103</v>
      </c>
      <c r="AD4044" t="s">
        <v>103</v>
      </c>
      <c r="AE4044" t="s">
        <v>103</v>
      </c>
      <c r="AF4044" t="s">
        <v>103</v>
      </c>
      <c r="AG4044">
        <v>96</v>
      </c>
      <c r="AH4044" t="s">
        <v>334</v>
      </c>
      <c r="AI4044" t="s">
        <v>103</v>
      </c>
      <c r="AJ4044" t="s">
        <v>103</v>
      </c>
      <c r="AK4044" t="s">
        <v>95</v>
      </c>
      <c r="AL4044" t="s">
        <v>103</v>
      </c>
      <c r="AM4044" t="s">
        <v>103</v>
      </c>
      <c r="AN4044" t="s">
        <v>103</v>
      </c>
      <c r="AO4044" t="s">
        <v>103</v>
      </c>
      <c r="AP4044">
        <v>96</v>
      </c>
      <c r="AQ4044" t="s">
        <v>339</v>
      </c>
      <c r="AR4044" t="s">
        <v>103</v>
      </c>
      <c r="AS4044" t="s">
        <v>468</v>
      </c>
      <c r="AT4044" t="s">
        <v>345</v>
      </c>
      <c r="AU4044" t="s">
        <v>103</v>
      </c>
      <c r="AV4044" t="s">
        <v>103</v>
      </c>
      <c r="AW4044" t="s">
        <v>103</v>
      </c>
      <c r="AX4044" t="s">
        <v>103</v>
      </c>
      <c r="AY4044" t="s">
        <v>103</v>
      </c>
    </row>
    <row r="4045" spans="1:51" x14ac:dyDescent="0.3">
      <c r="A4045" t="s">
        <v>26</v>
      </c>
      <c r="B4045" t="s">
        <v>308</v>
      </c>
      <c r="C4045">
        <v>38</v>
      </c>
      <c r="D4045" t="s">
        <v>373</v>
      </c>
      <c r="E4045" t="s">
        <v>113</v>
      </c>
      <c r="F4045" t="s">
        <v>460</v>
      </c>
      <c r="G4045" t="s">
        <v>146</v>
      </c>
      <c r="H4045" t="s">
        <v>164</v>
      </c>
      <c r="I4045" t="s">
        <v>282</v>
      </c>
      <c r="J4045" t="s">
        <v>148</v>
      </c>
      <c r="K4045" t="s">
        <v>813</v>
      </c>
      <c r="L4045" t="s">
        <v>103</v>
      </c>
      <c r="M4045">
        <v>38</v>
      </c>
      <c r="N4045" t="s">
        <v>871</v>
      </c>
      <c r="O4045" t="s">
        <v>206</v>
      </c>
      <c r="P4045" t="s">
        <v>257</v>
      </c>
      <c r="Q4045" t="s">
        <v>103</v>
      </c>
      <c r="R4045" t="s">
        <v>103</v>
      </c>
      <c r="S4045" t="s">
        <v>103</v>
      </c>
      <c r="T4045" t="s">
        <v>103</v>
      </c>
      <c r="U4045" t="s">
        <v>103</v>
      </c>
      <c r="V4045" t="s">
        <v>103</v>
      </c>
      <c r="W4045">
        <v>38</v>
      </c>
      <c r="X4045" t="s">
        <v>203</v>
      </c>
      <c r="Y4045" t="s">
        <v>270</v>
      </c>
      <c r="Z4045" t="s">
        <v>93</v>
      </c>
      <c r="AA4045" t="s">
        <v>257</v>
      </c>
      <c r="AB4045" t="s">
        <v>103</v>
      </c>
      <c r="AC4045" t="s">
        <v>103</v>
      </c>
      <c r="AD4045" t="s">
        <v>103</v>
      </c>
      <c r="AE4045" t="s">
        <v>103</v>
      </c>
      <c r="AF4045" t="s">
        <v>103</v>
      </c>
      <c r="AG4045">
        <v>38</v>
      </c>
      <c r="AH4045" t="s">
        <v>192</v>
      </c>
      <c r="AI4045" t="s">
        <v>103</v>
      </c>
      <c r="AJ4045" t="s">
        <v>103</v>
      </c>
      <c r="AK4045" t="s">
        <v>103</v>
      </c>
      <c r="AL4045" t="s">
        <v>103</v>
      </c>
      <c r="AM4045" t="s">
        <v>103</v>
      </c>
      <c r="AN4045" t="s">
        <v>103</v>
      </c>
      <c r="AO4045" t="s">
        <v>103</v>
      </c>
      <c r="AP4045">
        <v>38</v>
      </c>
      <c r="AQ4045" t="s">
        <v>213</v>
      </c>
      <c r="AR4045" t="s">
        <v>103</v>
      </c>
      <c r="AS4045" t="s">
        <v>93</v>
      </c>
      <c r="AT4045" t="s">
        <v>257</v>
      </c>
      <c r="AU4045" t="s">
        <v>103</v>
      </c>
      <c r="AV4045" t="s">
        <v>103</v>
      </c>
      <c r="AW4045" t="s">
        <v>103</v>
      </c>
      <c r="AX4045" t="s">
        <v>103</v>
      </c>
      <c r="AY4045" t="s">
        <v>103</v>
      </c>
    </row>
    <row r="4046" spans="1:51" x14ac:dyDescent="0.3">
      <c r="A4046" t="s">
        <v>29</v>
      </c>
      <c r="B4046" t="s">
        <v>311</v>
      </c>
      <c r="C4046">
        <v>414</v>
      </c>
      <c r="D4046" t="s">
        <v>935</v>
      </c>
      <c r="E4046" t="s">
        <v>112</v>
      </c>
      <c r="F4046" t="s">
        <v>123</v>
      </c>
      <c r="G4046" t="s">
        <v>524</v>
      </c>
      <c r="H4046" t="s">
        <v>100</v>
      </c>
      <c r="I4046" t="s">
        <v>33</v>
      </c>
      <c r="J4046" t="s">
        <v>186</v>
      </c>
      <c r="K4046" t="s">
        <v>1084</v>
      </c>
      <c r="L4046" t="s">
        <v>103</v>
      </c>
      <c r="M4046">
        <v>414</v>
      </c>
      <c r="N4046" t="s">
        <v>630</v>
      </c>
      <c r="O4046" t="s">
        <v>108</v>
      </c>
      <c r="P4046" t="s">
        <v>217</v>
      </c>
      <c r="Q4046" t="s">
        <v>216</v>
      </c>
      <c r="R4046" t="s">
        <v>208</v>
      </c>
      <c r="S4046" t="s">
        <v>116</v>
      </c>
      <c r="T4046" t="s">
        <v>116</v>
      </c>
      <c r="U4046" t="s">
        <v>97</v>
      </c>
      <c r="V4046" t="s">
        <v>103</v>
      </c>
      <c r="W4046">
        <v>414</v>
      </c>
      <c r="X4046" t="s">
        <v>204</v>
      </c>
      <c r="Y4046" t="s">
        <v>662</v>
      </c>
      <c r="Z4046" t="s">
        <v>205</v>
      </c>
      <c r="AA4046" t="s">
        <v>114</v>
      </c>
      <c r="AB4046" t="s">
        <v>93</v>
      </c>
      <c r="AC4046" t="s">
        <v>110</v>
      </c>
      <c r="AD4046" t="s">
        <v>103</v>
      </c>
      <c r="AE4046" t="s">
        <v>66</v>
      </c>
      <c r="AF4046" t="s">
        <v>116</v>
      </c>
      <c r="AG4046">
        <v>414</v>
      </c>
      <c r="AH4046" t="s">
        <v>283</v>
      </c>
      <c r="AI4046" t="s">
        <v>341</v>
      </c>
      <c r="AJ4046" t="s">
        <v>93</v>
      </c>
      <c r="AK4046" t="s">
        <v>105</v>
      </c>
      <c r="AL4046" t="s">
        <v>120</v>
      </c>
      <c r="AM4046" t="s">
        <v>120</v>
      </c>
      <c r="AN4046" t="s">
        <v>122</v>
      </c>
      <c r="AO4046" t="s">
        <v>122</v>
      </c>
      <c r="AP4046">
        <v>414</v>
      </c>
      <c r="AQ4046" t="s">
        <v>1019</v>
      </c>
      <c r="AR4046" t="s">
        <v>281</v>
      </c>
      <c r="AS4046" t="s">
        <v>493</v>
      </c>
      <c r="AT4046" t="s">
        <v>341</v>
      </c>
      <c r="AU4046" t="s">
        <v>194</v>
      </c>
      <c r="AV4046" t="s">
        <v>95</v>
      </c>
      <c r="AW4046" t="s">
        <v>103</v>
      </c>
      <c r="AX4046" t="s">
        <v>91</v>
      </c>
      <c r="AY4046" t="s">
        <v>103</v>
      </c>
    </row>
    <row r="4047" spans="1:51" x14ac:dyDescent="0.3">
      <c r="A4047" t="s">
        <v>29</v>
      </c>
      <c r="B4047" t="s">
        <v>312</v>
      </c>
      <c r="C4047">
        <v>103</v>
      </c>
      <c r="D4047" t="s">
        <v>556</v>
      </c>
      <c r="E4047" t="s">
        <v>124</v>
      </c>
      <c r="F4047" t="s">
        <v>126</v>
      </c>
      <c r="G4047" t="s">
        <v>687</v>
      </c>
      <c r="H4047" t="s">
        <v>254</v>
      </c>
      <c r="I4047" t="s">
        <v>124</v>
      </c>
      <c r="J4047" t="s">
        <v>194</v>
      </c>
      <c r="K4047" t="s">
        <v>1084</v>
      </c>
      <c r="L4047" t="s">
        <v>110</v>
      </c>
      <c r="M4047">
        <v>103</v>
      </c>
      <c r="N4047" t="s">
        <v>153</v>
      </c>
      <c r="O4047" t="s">
        <v>511</v>
      </c>
      <c r="P4047" t="s">
        <v>272</v>
      </c>
      <c r="Q4047" t="s">
        <v>118</v>
      </c>
      <c r="R4047" t="s">
        <v>103</v>
      </c>
      <c r="S4047" t="s">
        <v>103</v>
      </c>
      <c r="T4047" t="s">
        <v>103</v>
      </c>
      <c r="U4047" t="s">
        <v>103</v>
      </c>
      <c r="V4047" t="s">
        <v>103</v>
      </c>
      <c r="W4047">
        <v>103</v>
      </c>
      <c r="X4047" t="s">
        <v>168</v>
      </c>
      <c r="Y4047" t="s">
        <v>33</v>
      </c>
      <c r="Z4047" t="s">
        <v>125</v>
      </c>
      <c r="AA4047" t="s">
        <v>467</v>
      </c>
      <c r="AB4047" t="s">
        <v>103</v>
      </c>
      <c r="AC4047" t="s">
        <v>103</v>
      </c>
      <c r="AD4047" t="s">
        <v>103</v>
      </c>
      <c r="AE4047" t="s">
        <v>194</v>
      </c>
      <c r="AF4047" t="s">
        <v>103</v>
      </c>
      <c r="AG4047">
        <v>103</v>
      </c>
      <c r="AH4047" t="s">
        <v>213</v>
      </c>
      <c r="AI4047" t="s">
        <v>282</v>
      </c>
      <c r="AJ4047" t="s">
        <v>139</v>
      </c>
      <c r="AK4047" t="s">
        <v>103</v>
      </c>
      <c r="AL4047" t="s">
        <v>103</v>
      </c>
      <c r="AM4047" t="s">
        <v>103</v>
      </c>
      <c r="AN4047" t="s">
        <v>103</v>
      </c>
      <c r="AO4047" t="s">
        <v>270</v>
      </c>
      <c r="AP4047">
        <v>103</v>
      </c>
      <c r="AQ4047" t="s">
        <v>61</v>
      </c>
      <c r="AR4047" t="s">
        <v>468</v>
      </c>
      <c r="AS4047" t="s">
        <v>232</v>
      </c>
      <c r="AT4047" t="s">
        <v>103</v>
      </c>
      <c r="AU4047" t="s">
        <v>103</v>
      </c>
      <c r="AV4047" t="s">
        <v>103</v>
      </c>
      <c r="AW4047" t="s">
        <v>103</v>
      </c>
      <c r="AX4047" t="s">
        <v>103</v>
      </c>
      <c r="AY4047" t="s">
        <v>103</v>
      </c>
    </row>
    <row r="4048" spans="1:51" x14ac:dyDescent="0.3">
      <c r="A4048" t="s">
        <v>29</v>
      </c>
      <c r="B4048" t="s">
        <v>308</v>
      </c>
      <c r="C4048">
        <v>13</v>
      </c>
      <c r="D4048" t="s">
        <v>1057</v>
      </c>
      <c r="E4048" t="s">
        <v>103</v>
      </c>
      <c r="F4048" t="s">
        <v>468</v>
      </c>
      <c r="G4048" t="s">
        <v>1198</v>
      </c>
      <c r="H4048" t="s">
        <v>108</v>
      </c>
      <c r="I4048" t="s">
        <v>482</v>
      </c>
      <c r="J4048" t="s">
        <v>649</v>
      </c>
      <c r="K4048" t="s">
        <v>519</v>
      </c>
      <c r="L4048" t="s">
        <v>103</v>
      </c>
      <c r="M4048">
        <v>13</v>
      </c>
      <c r="N4048" t="s">
        <v>1371</v>
      </c>
      <c r="O4048" t="s">
        <v>594</v>
      </c>
      <c r="P4048" t="s">
        <v>103</v>
      </c>
      <c r="Q4048" t="s">
        <v>99</v>
      </c>
      <c r="R4048" t="s">
        <v>103</v>
      </c>
      <c r="S4048" t="s">
        <v>103</v>
      </c>
      <c r="T4048" t="s">
        <v>103</v>
      </c>
      <c r="U4048" t="s">
        <v>103</v>
      </c>
      <c r="V4048" t="s">
        <v>103</v>
      </c>
      <c r="W4048">
        <v>13</v>
      </c>
      <c r="X4048" t="s">
        <v>1062</v>
      </c>
      <c r="Y4048" t="s">
        <v>103</v>
      </c>
      <c r="Z4048" t="s">
        <v>148</v>
      </c>
      <c r="AA4048" t="s">
        <v>468</v>
      </c>
      <c r="AB4048" t="s">
        <v>734</v>
      </c>
      <c r="AC4048" t="s">
        <v>103</v>
      </c>
      <c r="AD4048" t="s">
        <v>103</v>
      </c>
      <c r="AE4048" t="s">
        <v>103</v>
      </c>
      <c r="AF4048" t="s">
        <v>103</v>
      </c>
      <c r="AG4048">
        <v>13</v>
      </c>
      <c r="AH4048" t="s">
        <v>735</v>
      </c>
      <c r="AI4048" t="s">
        <v>103</v>
      </c>
      <c r="AJ4048" t="s">
        <v>103</v>
      </c>
      <c r="AK4048" t="s">
        <v>103</v>
      </c>
      <c r="AL4048" t="s">
        <v>734</v>
      </c>
      <c r="AM4048" t="s">
        <v>103</v>
      </c>
      <c r="AN4048" t="s">
        <v>103</v>
      </c>
      <c r="AO4048" t="s">
        <v>103</v>
      </c>
      <c r="AP4048">
        <v>13</v>
      </c>
      <c r="AQ4048" t="s">
        <v>976</v>
      </c>
      <c r="AR4048" t="s">
        <v>468</v>
      </c>
      <c r="AS4048" t="s">
        <v>148</v>
      </c>
      <c r="AT4048" t="s">
        <v>99</v>
      </c>
      <c r="AU4048" t="s">
        <v>103</v>
      </c>
      <c r="AV4048" t="s">
        <v>103</v>
      </c>
      <c r="AW4048" t="s">
        <v>103</v>
      </c>
      <c r="AX4048" t="s">
        <v>103</v>
      </c>
      <c r="AY4048" t="s">
        <v>103</v>
      </c>
    </row>
    <row r="4049" spans="1:51" x14ac:dyDescent="0.3">
      <c r="A4049" t="s">
        <v>28</v>
      </c>
      <c r="B4049" t="s">
        <v>311</v>
      </c>
      <c r="C4049">
        <v>223</v>
      </c>
      <c r="D4049" t="s">
        <v>831</v>
      </c>
      <c r="E4049" t="s">
        <v>194</v>
      </c>
      <c r="F4049" t="s">
        <v>68</v>
      </c>
      <c r="G4049" t="s">
        <v>126</v>
      </c>
      <c r="H4049" t="s">
        <v>494</v>
      </c>
      <c r="I4049" t="s">
        <v>329</v>
      </c>
      <c r="J4049" t="s">
        <v>270</v>
      </c>
      <c r="K4049" t="s">
        <v>254</v>
      </c>
      <c r="L4049" t="s">
        <v>103</v>
      </c>
      <c r="M4049">
        <v>223</v>
      </c>
      <c r="N4049" t="s">
        <v>991</v>
      </c>
      <c r="O4049" t="s">
        <v>216</v>
      </c>
      <c r="P4049" t="s">
        <v>438</v>
      </c>
      <c r="Q4049" t="s">
        <v>97</v>
      </c>
      <c r="R4049" t="s">
        <v>116</v>
      </c>
      <c r="S4049" t="s">
        <v>97</v>
      </c>
      <c r="T4049" t="s">
        <v>116</v>
      </c>
      <c r="U4049" t="s">
        <v>103</v>
      </c>
      <c r="V4049" t="s">
        <v>103</v>
      </c>
      <c r="W4049">
        <v>223</v>
      </c>
      <c r="X4049" t="s">
        <v>599</v>
      </c>
      <c r="Y4049" t="s">
        <v>329</v>
      </c>
      <c r="Z4049" t="s">
        <v>64</v>
      </c>
      <c r="AA4049" t="s">
        <v>272</v>
      </c>
      <c r="AB4049" t="s">
        <v>272</v>
      </c>
      <c r="AC4049" t="s">
        <v>97</v>
      </c>
      <c r="AD4049" t="s">
        <v>103</v>
      </c>
      <c r="AE4049" t="s">
        <v>120</v>
      </c>
      <c r="AF4049" t="s">
        <v>103</v>
      </c>
      <c r="AG4049">
        <v>223</v>
      </c>
      <c r="AH4049" t="s">
        <v>332</v>
      </c>
      <c r="AI4049" t="s">
        <v>116</v>
      </c>
      <c r="AJ4049" t="s">
        <v>194</v>
      </c>
      <c r="AK4049" t="s">
        <v>97</v>
      </c>
      <c r="AL4049" t="s">
        <v>103</v>
      </c>
      <c r="AM4049" t="s">
        <v>116</v>
      </c>
      <c r="AN4049" t="s">
        <v>97</v>
      </c>
      <c r="AO4049" t="s">
        <v>103</v>
      </c>
      <c r="AP4049">
        <v>223</v>
      </c>
      <c r="AQ4049" t="s">
        <v>283</v>
      </c>
      <c r="AR4049" t="s">
        <v>95</v>
      </c>
      <c r="AS4049" t="s">
        <v>438</v>
      </c>
      <c r="AT4049" t="s">
        <v>118</v>
      </c>
      <c r="AU4049" t="s">
        <v>103</v>
      </c>
      <c r="AV4049" t="s">
        <v>103</v>
      </c>
      <c r="AW4049" t="s">
        <v>282</v>
      </c>
      <c r="AX4049" t="s">
        <v>97</v>
      </c>
      <c r="AY4049" t="s">
        <v>103</v>
      </c>
    </row>
    <row r="4050" spans="1:51" x14ac:dyDescent="0.3">
      <c r="A4050" t="s">
        <v>28</v>
      </c>
      <c r="B4050" t="s">
        <v>312</v>
      </c>
      <c r="C4050">
        <v>93</v>
      </c>
      <c r="D4050" t="s">
        <v>1282</v>
      </c>
      <c r="E4050" t="s">
        <v>98</v>
      </c>
      <c r="F4050" t="s">
        <v>272</v>
      </c>
      <c r="G4050" t="s">
        <v>201</v>
      </c>
      <c r="H4050" t="s">
        <v>113</v>
      </c>
      <c r="I4050" t="s">
        <v>532</v>
      </c>
      <c r="J4050" t="s">
        <v>217</v>
      </c>
      <c r="K4050" t="s">
        <v>190</v>
      </c>
      <c r="L4050" t="s">
        <v>103</v>
      </c>
      <c r="M4050">
        <v>93</v>
      </c>
      <c r="N4050" t="s">
        <v>624</v>
      </c>
      <c r="O4050" t="s">
        <v>208</v>
      </c>
      <c r="P4050" t="s">
        <v>270</v>
      </c>
      <c r="Q4050" t="s">
        <v>103</v>
      </c>
      <c r="R4050" t="s">
        <v>103</v>
      </c>
      <c r="S4050" t="s">
        <v>217</v>
      </c>
      <c r="T4050" t="s">
        <v>103</v>
      </c>
      <c r="U4050" t="s">
        <v>103</v>
      </c>
      <c r="V4050" t="s">
        <v>103</v>
      </c>
      <c r="W4050">
        <v>93</v>
      </c>
      <c r="X4050" t="s">
        <v>61</v>
      </c>
      <c r="Y4050" t="s">
        <v>103</v>
      </c>
      <c r="Z4050" t="s">
        <v>93</v>
      </c>
      <c r="AA4050" t="s">
        <v>93</v>
      </c>
      <c r="AB4050" t="s">
        <v>139</v>
      </c>
      <c r="AC4050" t="s">
        <v>120</v>
      </c>
      <c r="AD4050" t="s">
        <v>194</v>
      </c>
      <c r="AE4050" t="s">
        <v>103</v>
      </c>
      <c r="AF4050" t="s">
        <v>103</v>
      </c>
      <c r="AG4050">
        <v>93</v>
      </c>
      <c r="AH4050" t="s">
        <v>192</v>
      </c>
      <c r="AI4050" t="s">
        <v>103</v>
      </c>
      <c r="AJ4050" t="s">
        <v>103</v>
      </c>
      <c r="AK4050" t="s">
        <v>103</v>
      </c>
      <c r="AL4050" t="s">
        <v>103</v>
      </c>
      <c r="AM4050" t="s">
        <v>103</v>
      </c>
      <c r="AN4050" t="s">
        <v>103</v>
      </c>
      <c r="AO4050" t="s">
        <v>103</v>
      </c>
      <c r="AP4050">
        <v>93</v>
      </c>
      <c r="AQ4050" t="s">
        <v>61</v>
      </c>
      <c r="AR4050" t="s">
        <v>93</v>
      </c>
      <c r="AS4050" t="s">
        <v>98</v>
      </c>
      <c r="AT4050" t="s">
        <v>329</v>
      </c>
      <c r="AU4050" t="s">
        <v>120</v>
      </c>
      <c r="AV4050" t="s">
        <v>103</v>
      </c>
      <c r="AW4050" t="s">
        <v>194</v>
      </c>
      <c r="AX4050" t="s">
        <v>103</v>
      </c>
      <c r="AY4050" t="s">
        <v>103</v>
      </c>
    </row>
    <row r="4051" spans="1:51" x14ac:dyDescent="0.3">
      <c r="A4051" t="s">
        <v>28</v>
      </c>
      <c r="B4051" t="s">
        <v>308</v>
      </c>
      <c r="C4051">
        <v>1</v>
      </c>
      <c r="D4051" t="s">
        <v>192</v>
      </c>
      <c r="E4051" t="s">
        <v>103</v>
      </c>
      <c r="F4051" t="s">
        <v>103</v>
      </c>
      <c r="G4051" t="s">
        <v>103</v>
      </c>
      <c r="H4051" t="s">
        <v>103</v>
      </c>
      <c r="I4051" t="s">
        <v>103</v>
      </c>
      <c r="J4051" t="s">
        <v>103</v>
      </c>
      <c r="K4051" t="s">
        <v>103</v>
      </c>
      <c r="L4051" t="s">
        <v>103</v>
      </c>
      <c r="M4051">
        <v>1</v>
      </c>
      <c r="N4051" t="s">
        <v>192</v>
      </c>
      <c r="O4051" t="s">
        <v>103</v>
      </c>
      <c r="P4051" t="s">
        <v>103</v>
      </c>
      <c r="Q4051" t="s">
        <v>103</v>
      </c>
      <c r="R4051" t="s">
        <v>103</v>
      </c>
      <c r="S4051" t="s">
        <v>103</v>
      </c>
      <c r="T4051" t="s">
        <v>103</v>
      </c>
      <c r="U4051" t="s">
        <v>103</v>
      </c>
      <c r="V4051" t="s">
        <v>103</v>
      </c>
      <c r="W4051">
        <v>1</v>
      </c>
      <c r="X4051" t="s">
        <v>192</v>
      </c>
      <c r="Y4051" t="s">
        <v>103</v>
      </c>
      <c r="Z4051" t="s">
        <v>103</v>
      </c>
      <c r="AA4051" t="s">
        <v>103</v>
      </c>
      <c r="AB4051" t="s">
        <v>103</v>
      </c>
      <c r="AC4051" t="s">
        <v>103</v>
      </c>
      <c r="AD4051" t="s">
        <v>103</v>
      </c>
      <c r="AE4051" t="s">
        <v>103</v>
      </c>
      <c r="AF4051" t="s">
        <v>103</v>
      </c>
      <c r="AG4051">
        <v>1</v>
      </c>
      <c r="AH4051" t="s">
        <v>192</v>
      </c>
      <c r="AI4051" t="s">
        <v>103</v>
      </c>
      <c r="AJ4051" t="s">
        <v>103</v>
      </c>
      <c r="AK4051" t="s">
        <v>103</v>
      </c>
      <c r="AL4051" t="s">
        <v>103</v>
      </c>
      <c r="AM4051" t="s">
        <v>103</v>
      </c>
      <c r="AN4051" t="s">
        <v>103</v>
      </c>
      <c r="AO4051" t="s">
        <v>103</v>
      </c>
      <c r="AP4051">
        <v>1</v>
      </c>
      <c r="AQ4051" t="s">
        <v>192</v>
      </c>
      <c r="AR4051" t="s">
        <v>103</v>
      </c>
      <c r="AS4051" t="s">
        <v>103</v>
      </c>
      <c r="AT4051" t="s">
        <v>103</v>
      </c>
      <c r="AU4051" t="s">
        <v>103</v>
      </c>
      <c r="AV4051" t="s">
        <v>103</v>
      </c>
      <c r="AW4051" t="s">
        <v>103</v>
      </c>
      <c r="AX4051" t="s">
        <v>103</v>
      </c>
      <c r="AY4051" t="s">
        <v>103</v>
      </c>
    </row>
    <row r="4052" spans="1:51" x14ac:dyDescent="0.3">
      <c r="A4052" t="s">
        <v>27</v>
      </c>
      <c r="B4052" t="s">
        <v>311</v>
      </c>
      <c r="C4052">
        <v>237</v>
      </c>
      <c r="D4052" t="s">
        <v>1137</v>
      </c>
      <c r="E4052" t="s">
        <v>68</v>
      </c>
      <c r="F4052" t="s">
        <v>64</v>
      </c>
      <c r="G4052" t="s">
        <v>214</v>
      </c>
      <c r="H4052" t="s">
        <v>139</v>
      </c>
      <c r="I4052" t="s">
        <v>122</v>
      </c>
      <c r="J4052" t="s">
        <v>95</v>
      </c>
      <c r="K4052" t="s">
        <v>275</v>
      </c>
      <c r="L4052" t="s">
        <v>122</v>
      </c>
      <c r="M4052">
        <v>237</v>
      </c>
      <c r="N4052" t="s">
        <v>170</v>
      </c>
      <c r="O4052" t="s">
        <v>257</v>
      </c>
      <c r="P4052" t="s">
        <v>662</v>
      </c>
      <c r="Q4052" t="s">
        <v>98</v>
      </c>
      <c r="R4052" t="s">
        <v>194</v>
      </c>
      <c r="S4052" t="s">
        <v>122</v>
      </c>
      <c r="T4052" t="s">
        <v>103</v>
      </c>
      <c r="U4052" t="s">
        <v>103</v>
      </c>
      <c r="V4052" t="s">
        <v>103</v>
      </c>
      <c r="W4052">
        <v>237</v>
      </c>
      <c r="X4052" t="s">
        <v>992</v>
      </c>
      <c r="Y4052" t="s">
        <v>591</v>
      </c>
      <c r="Z4052" t="s">
        <v>133</v>
      </c>
      <c r="AA4052" t="s">
        <v>607</v>
      </c>
      <c r="AB4052" t="s">
        <v>245</v>
      </c>
      <c r="AC4052" t="s">
        <v>139</v>
      </c>
      <c r="AD4052" t="s">
        <v>103</v>
      </c>
      <c r="AE4052" t="s">
        <v>345</v>
      </c>
      <c r="AF4052" t="s">
        <v>103</v>
      </c>
      <c r="AG4052">
        <v>237</v>
      </c>
      <c r="AH4052" t="s">
        <v>859</v>
      </c>
      <c r="AI4052" t="s">
        <v>103</v>
      </c>
      <c r="AJ4052" t="s">
        <v>64</v>
      </c>
      <c r="AK4052" t="s">
        <v>329</v>
      </c>
      <c r="AL4052" t="s">
        <v>103</v>
      </c>
      <c r="AM4052" t="s">
        <v>103</v>
      </c>
      <c r="AN4052" t="s">
        <v>95</v>
      </c>
      <c r="AO4052" t="s">
        <v>103</v>
      </c>
      <c r="AP4052">
        <v>237</v>
      </c>
      <c r="AQ4052" t="s">
        <v>227</v>
      </c>
      <c r="AR4052" t="s">
        <v>615</v>
      </c>
      <c r="AS4052" t="s">
        <v>466</v>
      </c>
      <c r="AT4052" t="s">
        <v>60</v>
      </c>
      <c r="AU4052" t="s">
        <v>245</v>
      </c>
      <c r="AV4052" t="s">
        <v>122</v>
      </c>
      <c r="AW4052" t="s">
        <v>97</v>
      </c>
      <c r="AX4052" t="s">
        <v>95</v>
      </c>
      <c r="AY4052" t="s">
        <v>103</v>
      </c>
    </row>
    <row r="4053" spans="1:51" x14ac:dyDescent="0.3">
      <c r="A4053" t="s">
        <v>27</v>
      </c>
      <c r="B4053" t="s">
        <v>312</v>
      </c>
      <c r="C4053">
        <v>60</v>
      </c>
      <c r="D4053" t="s">
        <v>1375</v>
      </c>
      <c r="E4053" t="s">
        <v>468</v>
      </c>
      <c r="F4053" t="s">
        <v>97</v>
      </c>
      <c r="G4053" t="s">
        <v>68</v>
      </c>
      <c r="H4053" t="s">
        <v>208</v>
      </c>
      <c r="I4053" t="s">
        <v>190</v>
      </c>
      <c r="J4053" t="s">
        <v>103</v>
      </c>
      <c r="K4053" t="s">
        <v>506</v>
      </c>
      <c r="L4053" t="s">
        <v>97</v>
      </c>
      <c r="M4053">
        <v>60</v>
      </c>
      <c r="N4053" t="s">
        <v>184</v>
      </c>
      <c r="O4053" t="s">
        <v>103</v>
      </c>
      <c r="P4053" t="s">
        <v>33</v>
      </c>
      <c r="Q4053" t="s">
        <v>208</v>
      </c>
      <c r="R4053" t="s">
        <v>103</v>
      </c>
      <c r="S4053" t="s">
        <v>103</v>
      </c>
      <c r="T4053" t="s">
        <v>103</v>
      </c>
      <c r="U4053" t="s">
        <v>103</v>
      </c>
      <c r="V4053" t="s">
        <v>329</v>
      </c>
      <c r="W4053">
        <v>60</v>
      </c>
      <c r="X4053" t="s">
        <v>897</v>
      </c>
      <c r="Y4053" t="s">
        <v>128</v>
      </c>
      <c r="Z4053" t="s">
        <v>205</v>
      </c>
      <c r="AA4053" t="s">
        <v>128</v>
      </c>
      <c r="AB4053" t="s">
        <v>103</v>
      </c>
      <c r="AC4053" t="s">
        <v>103</v>
      </c>
      <c r="AD4053" t="s">
        <v>103</v>
      </c>
      <c r="AE4053" t="s">
        <v>103</v>
      </c>
      <c r="AF4053" t="s">
        <v>329</v>
      </c>
      <c r="AG4053">
        <v>60</v>
      </c>
      <c r="AH4053" t="s">
        <v>1481</v>
      </c>
      <c r="AI4053" t="s">
        <v>103</v>
      </c>
      <c r="AJ4053" t="s">
        <v>103</v>
      </c>
      <c r="AK4053" t="s">
        <v>208</v>
      </c>
      <c r="AL4053" t="s">
        <v>103</v>
      </c>
      <c r="AM4053" t="s">
        <v>103</v>
      </c>
      <c r="AN4053" t="s">
        <v>103</v>
      </c>
      <c r="AO4053" t="s">
        <v>103</v>
      </c>
      <c r="AP4053">
        <v>60</v>
      </c>
      <c r="AQ4053" t="s">
        <v>994</v>
      </c>
      <c r="AR4053" t="s">
        <v>186</v>
      </c>
      <c r="AS4053" t="s">
        <v>594</v>
      </c>
      <c r="AT4053" t="s">
        <v>282</v>
      </c>
      <c r="AU4053" t="s">
        <v>103</v>
      </c>
      <c r="AV4053" t="s">
        <v>103</v>
      </c>
      <c r="AW4053" t="s">
        <v>103</v>
      </c>
      <c r="AX4053" t="s">
        <v>103</v>
      </c>
      <c r="AY4053" t="s">
        <v>329</v>
      </c>
    </row>
    <row r="4054" spans="1:51" x14ac:dyDescent="0.3">
      <c r="A4054" t="s">
        <v>27</v>
      </c>
      <c r="B4054" t="s">
        <v>308</v>
      </c>
      <c r="C4054">
        <v>3</v>
      </c>
      <c r="D4054" t="s">
        <v>943</v>
      </c>
      <c r="E4054" t="s">
        <v>103</v>
      </c>
      <c r="F4054" t="s">
        <v>103</v>
      </c>
      <c r="G4054" t="s">
        <v>103</v>
      </c>
      <c r="H4054" t="s">
        <v>527</v>
      </c>
      <c r="I4054" t="s">
        <v>103</v>
      </c>
      <c r="J4054" t="s">
        <v>103</v>
      </c>
      <c r="K4054" t="s">
        <v>103</v>
      </c>
      <c r="L4054" t="s">
        <v>103</v>
      </c>
      <c r="M4054">
        <v>3</v>
      </c>
      <c r="N4054" t="s">
        <v>192</v>
      </c>
      <c r="O4054" t="s">
        <v>103</v>
      </c>
      <c r="P4054" t="s">
        <v>103</v>
      </c>
      <c r="Q4054" t="s">
        <v>103</v>
      </c>
      <c r="R4054" t="s">
        <v>103</v>
      </c>
      <c r="S4054" t="s">
        <v>103</v>
      </c>
      <c r="T4054" t="s">
        <v>103</v>
      </c>
      <c r="U4054" t="s">
        <v>103</v>
      </c>
      <c r="V4054" t="s">
        <v>103</v>
      </c>
      <c r="W4054">
        <v>3</v>
      </c>
      <c r="X4054" t="s">
        <v>192</v>
      </c>
      <c r="Y4054" t="s">
        <v>103</v>
      </c>
      <c r="Z4054" t="s">
        <v>103</v>
      </c>
      <c r="AA4054" t="s">
        <v>103</v>
      </c>
      <c r="AB4054" t="s">
        <v>103</v>
      </c>
      <c r="AC4054" t="s">
        <v>103</v>
      </c>
      <c r="AD4054" t="s">
        <v>103</v>
      </c>
      <c r="AE4054" t="s">
        <v>103</v>
      </c>
      <c r="AF4054" t="s">
        <v>103</v>
      </c>
      <c r="AG4054">
        <v>3</v>
      </c>
      <c r="AH4054" t="s">
        <v>192</v>
      </c>
      <c r="AI4054" t="s">
        <v>103</v>
      </c>
      <c r="AJ4054" t="s">
        <v>103</v>
      </c>
      <c r="AK4054" t="s">
        <v>103</v>
      </c>
      <c r="AL4054" t="s">
        <v>103</v>
      </c>
      <c r="AM4054" t="s">
        <v>103</v>
      </c>
      <c r="AN4054" t="s">
        <v>103</v>
      </c>
      <c r="AO4054" t="s">
        <v>103</v>
      </c>
      <c r="AP4054">
        <v>3</v>
      </c>
      <c r="AQ4054" t="s">
        <v>192</v>
      </c>
      <c r="AR4054" t="s">
        <v>103</v>
      </c>
      <c r="AS4054" t="s">
        <v>103</v>
      </c>
      <c r="AT4054" t="s">
        <v>103</v>
      </c>
      <c r="AU4054" t="s">
        <v>103</v>
      </c>
      <c r="AV4054" t="s">
        <v>103</v>
      </c>
      <c r="AW4054" t="s">
        <v>103</v>
      </c>
      <c r="AX4054" t="s">
        <v>103</v>
      </c>
      <c r="AY4054" t="s">
        <v>103</v>
      </c>
    </row>
    <row r="4055" spans="1:51" x14ac:dyDescent="0.3">
      <c r="A4055" t="s">
        <v>41</v>
      </c>
      <c r="B4055" t="s">
        <v>311</v>
      </c>
      <c r="C4055">
        <v>1541</v>
      </c>
      <c r="D4055" t="s">
        <v>663</v>
      </c>
      <c r="E4055" t="s">
        <v>107</v>
      </c>
      <c r="F4055" t="s">
        <v>62</v>
      </c>
      <c r="G4055" t="s">
        <v>517</v>
      </c>
      <c r="H4055" t="s">
        <v>662</v>
      </c>
      <c r="I4055" t="s">
        <v>281</v>
      </c>
      <c r="J4055" t="s">
        <v>107</v>
      </c>
      <c r="K4055" t="s">
        <v>756</v>
      </c>
      <c r="L4055" t="s">
        <v>66</v>
      </c>
      <c r="M4055">
        <v>1541</v>
      </c>
      <c r="N4055" t="s">
        <v>158</v>
      </c>
      <c r="O4055" t="s">
        <v>278</v>
      </c>
      <c r="P4055" t="s">
        <v>68</v>
      </c>
      <c r="Q4055" t="s">
        <v>110</v>
      </c>
      <c r="R4055" t="s">
        <v>345</v>
      </c>
      <c r="S4055" t="s">
        <v>66</v>
      </c>
      <c r="T4055" t="s">
        <v>91</v>
      </c>
      <c r="U4055" t="s">
        <v>116</v>
      </c>
      <c r="V4055" t="s">
        <v>103</v>
      </c>
      <c r="W4055">
        <v>1541</v>
      </c>
      <c r="X4055" t="s">
        <v>1371</v>
      </c>
      <c r="Y4055" t="s">
        <v>125</v>
      </c>
      <c r="Z4055" t="s">
        <v>232</v>
      </c>
      <c r="AA4055" t="s">
        <v>68</v>
      </c>
      <c r="AB4055" t="s">
        <v>105</v>
      </c>
      <c r="AC4055" t="s">
        <v>139</v>
      </c>
      <c r="AD4055" t="s">
        <v>103</v>
      </c>
      <c r="AE4055" t="s">
        <v>120</v>
      </c>
      <c r="AF4055" t="s">
        <v>91</v>
      </c>
      <c r="AG4055">
        <v>1541</v>
      </c>
      <c r="AH4055" t="s">
        <v>636</v>
      </c>
      <c r="AI4055" t="s">
        <v>194</v>
      </c>
      <c r="AJ4055" t="s">
        <v>105</v>
      </c>
      <c r="AK4055" t="s">
        <v>239</v>
      </c>
      <c r="AL4055" t="s">
        <v>120</v>
      </c>
      <c r="AM4055" t="s">
        <v>122</v>
      </c>
      <c r="AN4055" t="s">
        <v>97</v>
      </c>
      <c r="AO4055" t="s">
        <v>66</v>
      </c>
      <c r="AP4055">
        <v>1541</v>
      </c>
      <c r="AQ4055" t="s">
        <v>240</v>
      </c>
      <c r="AR4055" t="s">
        <v>68</v>
      </c>
      <c r="AS4055" t="s">
        <v>64</v>
      </c>
      <c r="AT4055" t="s">
        <v>216</v>
      </c>
      <c r="AU4055" t="s">
        <v>345</v>
      </c>
      <c r="AV4055" t="s">
        <v>122</v>
      </c>
      <c r="AW4055" t="s">
        <v>66</v>
      </c>
      <c r="AX4055" t="s">
        <v>91</v>
      </c>
      <c r="AY4055" t="s">
        <v>91</v>
      </c>
    </row>
    <row r="4056" spans="1:51" x14ac:dyDescent="0.3">
      <c r="A4056" t="s">
        <v>41</v>
      </c>
      <c r="B4056" t="s">
        <v>312</v>
      </c>
      <c r="C4056">
        <v>432</v>
      </c>
      <c r="D4056" t="s">
        <v>1293</v>
      </c>
      <c r="E4056" t="s">
        <v>186</v>
      </c>
      <c r="F4056" t="s">
        <v>558</v>
      </c>
      <c r="G4056" t="s">
        <v>117</v>
      </c>
      <c r="H4056" t="s">
        <v>99</v>
      </c>
      <c r="I4056" t="s">
        <v>190</v>
      </c>
      <c r="J4056" t="s">
        <v>208</v>
      </c>
      <c r="K4056" t="s">
        <v>570</v>
      </c>
      <c r="L4056" t="s">
        <v>468</v>
      </c>
      <c r="M4056">
        <v>432</v>
      </c>
      <c r="N4056" t="s">
        <v>1307</v>
      </c>
      <c r="O4056" t="s">
        <v>107</v>
      </c>
      <c r="P4056" t="s">
        <v>93</v>
      </c>
      <c r="Q4056" t="s">
        <v>110</v>
      </c>
      <c r="R4056" t="s">
        <v>103</v>
      </c>
      <c r="S4056" t="s">
        <v>66</v>
      </c>
      <c r="T4056" t="s">
        <v>97</v>
      </c>
      <c r="U4056" t="s">
        <v>103</v>
      </c>
      <c r="V4056" t="s">
        <v>91</v>
      </c>
      <c r="W4056">
        <v>432</v>
      </c>
      <c r="X4056" t="s">
        <v>828</v>
      </c>
      <c r="Y4056" t="s">
        <v>118</v>
      </c>
      <c r="Z4056" t="s">
        <v>438</v>
      </c>
      <c r="AA4056" t="s">
        <v>266</v>
      </c>
      <c r="AB4056" t="s">
        <v>66</v>
      </c>
      <c r="AC4056" t="s">
        <v>103</v>
      </c>
      <c r="AD4056" t="s">
        <v>91</v>
      </c>
      <c r="AE4056" t="s">
        <v>95</v>
      </c>
      <c r="AF4056" t="s">
        <v>91</v>
      </c>
      <c r="AG4056">
        <v>432</v>
      </c>
      <c r="AH4056" t="s">
        <v>880</v>
      </c>
      <c r="AI4056" t="s">
        <v>97</v>
      </c>
      <c r="AJ4056" t="s">
        <v>122</v>
      </c>
      <c r="AK4056" t="s">
        <v>66</v>
      </c>
      <c r="AL4056" t="s">
        <v>103</v>
      </c>
      <c r="AM4056" t="s">
        <v>103</v>
      </c>
      <c r="AN4056" t="s">
        <v>91</v>
      </c>
      <c r="AO4056" t="s">
        <v>194</v>
      </c>
      <c r="AP4056">
        <v>432</v>
      </c>
      <c r="AQ4056" t="s">
        <v>288</v>
      </c>
      <c r="AR4056" t="s">
        <v>194</v>
      </c>
      <c r="AS4056" t="s">
        <v>125</v>
      </c>
      <c r="AT4056" t="s">
        <v>97</v>
      </c>
      <c r="AU4056" t="s">
        <v>103</v>
      </c>
      <c r="AV4056" t="s">
        <v>103</v>
      </c>
      <c r="AW4056" t="s">
        <v>91</v>
      </c>
      <c r="AX4056" t="s">
        <v>97</v>
      </c>
      <c r="AY4056" t="s">
        <v>91</v>
      </c>
    </row>
    <row r="4057" spans="1:51" x14ac:dyDescent="0.3">
      <c r="A4057" t="s">
        <v>41</v>
      </c>
      <c r="B4057" t="s">
        <v>308</v>
      </c>
      <c r="C4057">
        <v>65</v>
      </c>
      <c r="D4057" t="s">
        <v>404</v>
      </c>
      <c r="E4057" t="s">
        <v>118</v>
      </c>
      <c r="F4057" t="s">
        <v>113</v>
      </c>
      <c r="G4057" t="s">
        <v>463</v>
      </c>
      <c r="H4057" t="s">
        <v>135</v>
      </c>
      <c r="I4057" t="s">
        <v>195</v>
      </c>
      <c r="J4057" t="s">
        <v>135</v>
      </c>
      <c r="K4057" t="s">
        <v>474</v>
      </c>
      <c r="L4057" t="s">
        <v>103</v>
      </c>
      <c r="M4057">
        <v>65</v>
      </c>
      <c r="N4057" t="s">
        <v>165</v>
      </c>
      <c r="O4057" t="s">
        <v>284</v>
      </c>
      <c r="P4057" t="s">
        <v>112</v>
      </c>
      <c r="Q4057" t="s">
        <v>217</v>
      </c>
      <c r="R4057" t="s">
        <v>103</v>
      </c>
      <c r="S4057" t="s">
        <v>103</v>
      </c>
      <c r="T4057" t="s">
        <v>103</v>
      </c>
      <c r="U4057" t="s">
        <v>103</v>
      </c>
      <c r="V4057" t="s">
        <v>103</v>
      </c>
      <c r="W4057">
        <v>65</v>
      </c>
      <c r="X4057" t="s">
        <v>774</v>
      </c>
      <c r="Y4057" t="s">
        <v>114</v>
      </c>
      <c r="Z4057" t="s">
        <v>214</v>
      </c>
      <c r="AA4057" t="s">
        <v>105</v>
      </c>
      <c r="AB4057" t="s">
        <v>201</v>
      </c>
      <c r="AC4057" t="s">
        <v>103</v>
      </c>
      <c r="AD4057" t="s">
        <v>103</v>
      </c>
      <c r="AE4057" t="s">
        <v>97</v>
      </c>
      <c r="AF4057" t="s">
        <v>103</v>
      </c>
      <c r="AG4057">
        <v>65</v>
      </c>
      <c r="AH4057" t="s">
        <v>597</v>
      </c>
      <c r="AI4057" t="s">
        <v>103</v>
      </c>
      <c r="AJ4057" t="s">
        <v>120</v>
      </c>
      <c r="AK4057" t="s">
        <v>103</v>
      </c>
      <c r="AL4057" t="s">
        <v>201</v>
      </c>
      <c r="AM4057" t="s">
        <v>103</v>
      </c>
      <c r="AN4057" t="s">
        <v>103</v>
      </c>
      <c r="AO4057" t="s">
        <v>103</v>
      </c>
      <c r="AP4057">
        <v>65</v>
      </c>
      <c r="AQ4057" t="s">
        <v>712</v>
      </c>
      <c r="AR4057" t="s">
        <v>116</v>
      </c>
      <c r="AS4057" t="s">
        <v>214</v>
      </c>
      <c r="AT4057" t="s">
        <v>591</v>
      </c>
      <c r="AU4057" t="s">
        <v>103</v>
      </c>
      <c r="AV4057" t="s">
        <v>103</v>
      </c>
      <c r="AW4057" t="s">
        <v>103</v>
      </c>
      <c r="AX4057" t="s">
        <v>64</v>
      </c>
      <c r="AY4057" t="s">
        <v>103</v>
      </c>
    </row>
    <row r="4059" spans="1:51" x14ac:dyDescent="0.3">
      <c r="A4059" t="s">
        <v>1636</v>
      </c>
    </row>
    <row r="4060" spans="1:51" x14ac:dyDescent="0.3">
      <c r="A4060" t="s">
        <v>36</v>
      </c>
      <c r="B4060" t="s">
        <v>197</v>
      </c>
      <c r="C4060" t="s">
        <v>1584</v>
      </c>
      <c r="D4060" t="s">
        <v>1585</v>
      </c>
      <c r="E4060" t="s">
        <v>1586</v>
      </c>
      <c r="F4060" t="s">
        <v>1587</v>
      </c>
      <c r="G4060" t="s">
        <v>1588</v>
      </c>
      <c r="H4060" t="s">
        <v>1589</v>
      </c>
      <c r="I4060" t="s">
        <v>1590</v>
      </c>
      <c r="J4060" t="s">
        <v>1591</v>
      </c>
      <c r="K4060" t="s">
        <v>1592</v>
      </c>
      <c r="L4060" t="s">
        <v>1593</v>
      </c>
      <c r="M4060" t="s">
        <v>1594</v>
      </c>
      <c r="N4060" t="s">
        <v>1595</v>
      </c>
      <c r="O4060" t="s">
        <v>1596</v>
      </c>
      <c r="P4060" t="s">
        <v>1597</v>
      </c>
      <c r="Q4060" t="s">
        <v>1599</v>
      </c>
      <c r="R4060" t="s">
        <v>1598</v>
      </c>
      <c r="S4060" t="s">
        <v>1600</v>
      </c>
      <c r="T4060" t="s">
        <v>1601</v>
      </c>
      <c r="U4060" t="s">
        <v>1602</v>
      </c>
      <c r="V4060" t="s">
        <v>1603</v>
      </c>
      <c r="W4060" t="s">
        <v>1604</v>
      </c>
      <c r="X4060" t="s">
        <v>1605</v>
      </c>
      <c r="Y4060" t="s">
        <v>1606</v>
      </c>
      <c r="Z4060" t="s">
        <v>1607</v>
      </c>
      <c r="AA4060" t="s">
        <v>1608</v>
      </c>
      <c r="AB4060" t="s">
        <v>1609</v>
      </c>
      <c r="AC4060" t="s">
        <v>1610</v>
      </c>
      <c r="AD4060" t="s">
        <v>1611</v>
      </c>
      <c r="AE4060" t="s">
        <v>1612</v>
      </c>
      <c r="AF4060" t="s">
        <v>1613</v>
      </c>
      <c r="AG4060" t="s">
        <v>1614</v>
      </c>
      <c r="AH4060" t="s">
        <v>1615</v>
      </c>
      <c r="AI4060" t="s">
        <v>1616</v>
      </c>
      <c r="AJ4060" t="s">
        <v>1618</v>
      </c>
      <c r="AK4060" t="s">
        <v>1619</v>
      </c>
      <c r="AL4060" t="s">
        <v>1617</v>
      </c>
      <c r="AM4060" t="s">
        <v>1620</v>
      </c>
      <c r="AN4060" t="s">
        <v>1621</v>
      </c>
      <c r="AO4060" t="s">
        <v>1622</v>
      </c>
      <c r="AP4060" t="s">
        <v>1623</v>
      </c>
      <c r="AQ4060" t="s">
        <v>1624</v>
      </c>
      <c r="AR4060" t="s">
        <v>1627</v>
      </c>
      <c r="AS4060" t="s">
        <v>1631</v>
      </c>
      <c r="AT4060" t="s">
        <v>1625</v>
      </c>
      <c r="AU4060" t="s">
        <v>1626</v>
      </c>
      <c r="AV4060" t="s">
        <v>1628</v>
      </c>
      <c r="AW4060" t="s">
        <v>1629</v>
      </c>
      <c r="AX4060" t="s">
        <v>1630</v>
      </c>
      <c r="AY4060" t="s">
        <v>1632</v>
      </c>
    </row>
    <row r="4061" spans="1:51" x14ac:dyDescent="0.3">
      <c r="A4061" t="s">
        <v>25</v>
      </c>
      <c r="B4061" t="s">
        <v>198</v>
      </c>
      <c r="C4061">
        <v>104</v>
      </c>
      <c r="D4061" t="s">
        <v>1215</v>
      </c>
      <c r="E4061" t="s">
        <v>266</v>
      </c>
      <c r="F4061" t="s">
        <v>511</v>
      </c>
      <c r="G4061" t="s">
        <v>137</v>
      </c>
      <c r="H4061" t="s">
        <v>102</v>
      </c>
      <c r="I4061" t="s">
        <v>208</v>
      </c>
      <c r="J4061" t="s">
        <v>70</v>
      </c>
      <c r="K4061" t="s">
        <v>654</v>
      </c>
      <c r="L4061" t="s">
        <v>103</v>
      </c>
      <c r="M4061">
        <v>104</v>
      </c>
      <c r="N4061" t="s">
        <v>774</v>
      </c>
      <c r="O4061" t="s">
        <v>93</v>
      </c>
      <c r="P4061" t="s">
        <v>130</v>
      </c>
      <c r="Q4061" t="s">
        <v>97</v>
      </c>
      <c r="R4061" t="s">
        <v>103</v>
      </c>
      <c r="S4061" t="s">
        <v>103</v>
      </c>
      <c r="T4061" t="s">
        <v>103</v>
      </c>
      <c r="U4061" t="s">
        <v>103</v>
      </c>
      <c r="V4061" t="s">
        <v>103</v>
      </c>
      <c r="W4061">
        <v>104</v>
      </c>
      <c r="X4061" t="s">
        <v>203</v>
      </c>
      <c r="Y4061" t="s">
        <v>208</v>
      </c>
      <c r="Z4061" t="s">
        <v>341</v>
      </c>
      <c r="AA4061" t="s">
        <v>493</v>
      </c>
      <c r="AB4061" t="s">
        <v>103</v>
      </c>
      <c r="AC4061" t="s">
        <v>103</v>
      </c>
      <c r="AD4061" t="s">
        <v>103</v>
      </c>
      <c r="AE4061" t="s">
        <v>103</v>
      </c>
      <c r="AF4061" t="s">
        <v>103</v>
      </c>
      <c r="AG4061">
        <v>104</v>
      </c>
      <c r="AH4061" t="s">
        <v>840</v>
      </c>
      <c r="AI4061" t="s">
        <v>468</v>
      </c>
      <c r="AJ4061" t="s">
        <v>98</v>
      </c>
      <c r="AK4061" t="s">
        <v>110</v>
      </c>
      <c r="AL4061" t="s">
        <v>103</v>
      </c>
      <c r="AM4061" t="s">
        <v>103</v>
      </c>
      <c r="AN4061" t="s">
        <v>103</v>
      </c>
      <c r="AO4061" t="s">
        <v>103</v>
      </c>
      <c r="AP4061">
        <v>104</v>
      </c>
      <c r="AQ4061" t="s">
        <v>879</v>
      </c>
      <c r="AR4061" t="s">
        <v>105</v>
      </c>
      <c r="AS4061" t="s">
        <v>98</v>
      </c>
      <c r="AT4061" t="s">
        <v>103</v>
      </c>
      <c r="AU4061" t="s">
        <v>103</v>
      </c>
      <c r="AV4061" t="s">
        <v>103</v>
      </c>
      <c r="AW4061" t="s">
        <v>103</v>
      </c>
      <c r="AX4061" t="s">
        <v>103</v>
      </c>
      <c r="AY4061" t="s">
        <v>103</v>
      </c>
    </row>
    <row r="4062" spans="1:51" x14ac:dyDescent="0.3">
      <c r="A4062" t="s">
        <v>25</v>
      </c>
      <c r="B4062" t="s">
        <v>199</v>
      </c>
      <c r="C4062">
        <v>310</v>
      </c>
      <c r="D4062" t="s">
        <v>370</v>
      </c>
      <c r="E4062" t="s">
        <v>113</v>
      </c>
      <c r="F4062" t="s">
        <v>104</v>
      </c>
      <c r="G4062" t="s">
        <v>254</v>
      </c>
      <c r="H4062" t="s">
        <v>278</v>
      </c>
      <c r="I4062" t="s">
        <v>113</v>
      </c>
      <c r="J4062" t="s">
        <v>468</v>
      </c>
      <c r="K4062" t="s">
        <v>754</v>
      </c>
      <c r="L4062" t="s">
        <v>95</v>
      </c>
      <c r="M4062">
        <v>310</v>
      </c>
      <c r="N4062" t="s">
        <v>1307</v>
      </c>
      <c r="O4062" t="s">
        <v>438</v>
      </c>
      <c r="P4062" t="s">
        <v>195</v>
      </c>
      <c r="Q4062" t="s">
        <v>91</v>
      </c>
      <c r="R4062" t="s">
        <v>194</v>
      </c>
      <c r="S4062" t="s">
        <v>116</v>
      </c>
      <c r="T4062" t="s">
        <v>122</v>
      </c>
      <c r="U4062" t="s">
        <v>103</v>
      </c>
      <c r="V4062" t="s">
        <v>103</v>
      </c>
      <c r="W4062">
        <v>310</v>
      </c>
      <c r="X4062" t="s">
        <v>616</v>
      </c>
      <c r="Y4062" t="s">
        <v>195</v>
      </c>
      <c r="Z4062" t="s">
        <v>266</v>
      </c>
      <c r="AA4062" t="s">
        <v>216</v>
      </c>
      <c r="AB4062" t="s">
        <v>282</v>
      </c>
      <c r="AC4062" t="s">
        <v>66</v>
      </c>
      <c r="AD4062" t="s">
        <v>103</v>
      </c>
      <c r="AE4062" t="s">
        <v>128</v>
      </c>
      <c r="AF4062" t="s">
        <v>103</v>
      </c>
      <c r="AG4062">
        <v>310</v>
      </c>
      <c r="AH4062" t="s">
        <v>71</v>
      </c>
      <c r="AI4062" t="s">
        <v>194</v>
      </c>
      <c r="AJ4062" t="s">
        <v>97</v>
      </c>
      <c r="AK4062" t="s">
        <v>95</v>
      </c>
      <c r="AL4062" t="s">
        <v>216</v>
      </c>
      <c r="AM4062" t="s">
        <v>122</v>
      </c>
      <c r="AN4062" t="s">
        <v>95</v>
      </c>
      <c r="AO4062" t="s">
        <v>103</v>
      </c>
      <c r="AP4062">
        <v>310</v>
      </c>
      <c r="AQ4062" t="s">
        <v>636</v>
      </c>
      <c r="AR4062" t="s">
        <v>66</v>
      </c>
      <c r="AS4062" t="s">
        <v>282</v>
      </c>
      <c r="AT4062" t="s">
        <v>105</v>
      </c>
      <c r="AU4062" t="s">
        <v>468</v>
      </c>
      <c r="AV4062" t="s">
        <v>468</v>
      </c>
      <c r="AW4062" t="s">
        <v>116</v>
      </c>
      <c r="AX4062" t="s">
        <v>122</v>
      </c>
      <c r="AY4062" t="s">
        <v>103</v>
      </c>
    </row>
    <row r="4063" spans="1:51" x14ac:dyDescent="0.3">
      <c r="A4063" t="s">
        <v>26</v>
      </c>
      <c r="B4063" t="s">
        <v>198</v>
      </c>
      <c r="C4063">
        <v>41</v>
      </c>
      <c r="D4063" t="s">
        <v>1322</v>
      </c>
      <c r="E4063" t="s">
        <v>95</v>
      </c>
      <c r="F4063" t="s">
        <v>103</v>
      </c>
      <c r="G4063" t="s">
        <v>135</v>
      </c>
      <c r="H4063" t="s">
        <v>103</v>
      </c>
      <c r="I4063" t="s">
        <v>128</v>
      </c>
      <c r="J4063" t="s">
        <v>615</v>
      </c>
      <c r="K4063" t="s">
        <v>890</v>
      </c>
      <c r="L4063" t="s">
        <v>103</v>
      </c>
      <c r="M4063">
        <v>41</v>
      </c>
      <c r="N4063" t="s">
        <v>192</v>
      </c>
      <c r="O4063" t="s">
        <v>103</v>
      </c>
      <c r="P4063" t="s">
        <v>103</v>
      </c>
      <c r="Q4063" t="s">
        <v>103</v>
      </c>
      <c r="R4063" t="s">
        <v>103</v>
      </c>
      <c r="S4063" t="s">
        <v>103</v>
      </c>
      <c r="T4063" t="s">
        <v>103</v>
      </c>
      <c r="U4063" t="s">
        <v>103</v>
      </c>
      <c r="V4063" t="s">
        <v>103</v>
      </c>
      <c r="W4063">
        <v>41</v>
      </c>
      <c r="X4063" t="s">
        <v>327</v>
      </c>
      <c r="Y4063" t="s">
        <v>122</v>
      </c>
      <c r="Z4063" t="s">
        <v>103</v>
      </c>
      <c r="AA4063" t="s">
        <v>103</v>
      </c>
      <c r="AB4063" t="s">
        <v>103</v>
      </c>
      <c r="AC4063" t="s">
        <v>103</v>
      </c>
      <c r="AD4063" t="s">
        <v>103</v>
      </c>
      <c r="AE4063" t="s">
        <v>103</v>
      </c>
      <c r="AF4063" t="s">
        <v>103</v>
      </c>
      <c r="AG4063">
        <v>41</v>
      </c>
      <c r="AH4063" t="s">
        <v>192</v>
      </c>
      <c r="AI4063" t="s">
        <v>103</v>
      </c>
      <c r="AJ4063" t="s">
        <v>103</v>
      </c>
      <c r="AK4063" t="s">
        <v>103</v>
      </c>
      <c r="AL4063" t="s">
        <v>103</v>
      </c>
      <c r="AM4063" t="s">
        <v>103</v>
      </c>
      <c r="AN4063" t="s">
        <v>103</v>
      </c>
      <c r="AO4063" t="s">
        <v>103</v>
      </c>
      <c r="AP4063">
        <v>41</v>
      </c>
      <c r="AQ4063" t="s">
        <v>192</v>
      </c>
      <c r="AR4063" t="s">
        <v>103</v>
      </c>
      <c r="AS4063" t="s">
        <v>103</v>
      </c>
      <c r="AT4063" t="s">
        <v>103</v>
      </c>
      <c r="AU4063" t="s">
        <v>103</v>
      </c>
      <c r="AV4063" t="s">
        <v>103</v>
      </c>
      <c r="AW4063" t="s">
        <v>103</v>
      </c>
      <c r="AX4063" t="s">
        <v>103</v>
      </c>
      <c r="AY4063" t="s">
        <v>103</v>
      </c>
    </row>
    <row r="4064" spans="1:51" x14ac:dyDescent="0.3">
      <c r="A4064" t="s">
        <v>26</v>
      </c>
      <c r="B4064" t="s">
        <v>199</v>
      </c>
      <c r="C4064">
        <v>436</v>
      </c>
      <c r="D4064" t="s">
        <v>34</v>
      </c>
      <c r="E4064" t="s">
        <v>329</v>
      </c>
      <c r="F4064" t="s">
        <v>99</v>
      </c>
      <c r="G4064" t="s">
        <v>494</v>
      </c>
      <c r="H4064" t="s">
        <v>511</v>
      </c>
      <c r="I4064" t="s">
        <v>205</v>
      </c>
      <c r="J4064" t="s">
        <v>60</v>
      </c>
      <c r="K4064" t="s">
        <v>544</v>
      </c>
      <c r="L4064" t="s">
        <v>97</v>
      </c>
      <c r="M4064">
        <v>436</v>
      </c>
      <c r="N4064" t="s">
        <v>288</v>
      </c>
      <c r="O4064" t="s">
        <v>217</v>
      </c>
      <c r="P4064" t="s">
        <v>239</v>
      </c>
      <c r="Q4064" t="s">
        <v>103</v>
      </c>
      <c r="R4064" t="s">
        <v>194</v>
      </c>
      <c r="S4064" t="s">
        <v>103</v>
      </c>
      <c r="T4064" t="s">
        <v>91</v>
      </c>
      <c r="U4064" t="s">
        <v>122</v>
      </c>
      <c r="V4064" t="s">
        <v>103</v>
      </c>
      <c r="W4064">
        <v>436</v>
      </c>
      <c r="X4064" t="s">
        <v>625</v>
      </c>
      <c r="Y4064" t="s">
        <v>122</v>
      </c>
      <c r="Z4064" t="s">
        <v>186</v>
      </c>
      <c r="AA4064" t="s">
        <v>208</v>
      </c>
      <c r="AB4064" t="s">
        <v>345</v>
      </c>
      <c r="AC4064" t="s">
        <v>103</v>
      </c>
      <c r="AD4064" t="s">
        <v>103</v>
      </c>
      <c r="AE4064" t="s">
        <v>103</v>
      </c>
      <c r="AF4064" t="s">
        <v>103</v>
      </c>
      <c r="AG4064">
        <v>436</v>
      </c>
      <c r="AH4064" t="s">
        <v>837</v>
      </c>
      <c r="AI4064" t="s">
        <v>66</v>
      </c>
      <c r="AJ4064" t="s">
        <v>194</v>
      </c>
      <c r="AK4064" t="s">
        <v>116</v>
      </c>
      <c r="AL4064" t="s">
        <v>139</v>
      </c>
      <c r="AM4064" t="s">
        <v>103</v>
      </c>
      <c r="AN4064" t="s">
        <v>122</v>
      </c>
      <c r="AO4064" t="s">
        <v>103</v>
      </c>
      <c r="AP4064">
        <v>436</v>
      </c>
      <c r="AQ4064" t="s">
        <v>803</v>
      </c>
      <c r="AR4064" t="s">
        <v>95</v>
      </c>
      <c r="AS4064" t="s">
        <v>103</v>
      </c>
      <c r="AT4064" t="s">
        <v>97</v>
      </c>
      <c r="AU4064" t="s">
        <v>245</v>
      </c>
      <c r="AV4064" t="s">
        <v>95</v>
      </c>
      <c r="AW4064" t="s">
        <v>103</v>
      </c>
      <c r="AX4064" t="s">
        <v>103</v>
      </c>
      <c r="AY4064" t="s">
        <v>66</v>
      </c>
    </row>
    <row r="4065" spans="1:51" x14ac:dyDescent="0.3">
      <c r="A4065" t="s">
        <v>29</v>
      </c>
      <c r="B4065" t="s">
        <v>198</v>
      </c>
      <c r="C4065">
        <v>170</v>
      </c>
      <c r="D4065" t="s">
        <v>484</v>
      </c>
      <c r="E4065" t="s">
        <v>493</v>
      </c>
      <c r="F4065" t="s">
        <v>135</v>
      </c>
      <c r="G4065" t="s">
        <v>162</v>
      </c>
      <c r="H4065" t="s">
        <v>112</v>
      </c>
      <c r="I4065" t="s">
        <v>201</v>
      </c>
      <c r="J4065" t="s">
        <v>190</v>
      </c>
      <c r="K4065" t="s">
        <v>683</v>
      </c>
      <c r="L4065" t="s">
        <v>139</v>
      </c>
      <c r="M4065">
        <v>170</v>
      </c>
      <c r="N4065" t="s">
        <v>53</v>
      </c>
      <c r="O4065" t="s">
        <v>94</v>
      </c>
      <c r="P4065" t="s">
        <v>270</v>
      </c>
      <c r="Q4065" t="s">
        <v>272</v>
      </c>
      <c r="R4065" t="s">
        <v>95</v>
      </c>
      <c r="S4065" t="s">
        <v>95</v>
      </c>
      <c r="T4065" t="s">
        <v>95</v>
      </c>
      <c r="U4065" t="s">
        <v>97</v>
      </c>
      <c r="V4065" t="s">
        <v>103</v>
      </c>
      <c r="W4065">
        <v>170</v>
      </c>
      <c r="X4065" t="s">
        <v>903</v>
      </c>
      <c r="Y4065" t="s">
        <v>68</v>
      </c>
      <c r="Z4065" t="s">
        <v>125</v>
      </c>
      <c r="AA4065" t="s">
        <v>186</v>
      </c>
      <c r="AB4065" t="s">
        <v>68</v>
      </c>
      <c r="AC4065" t="s">
        <v>105</v>
      </c>
      <c r="AD4065" t="s">
        <v>103</v>
      </c>
      <c r="AE4065" t="s">
        <v>120</v>
      </c>
      <c r="AF4065" t="s">
        <v>103</v>
      </c>
      <c r="AG4065">
        <v>170</v>
      </c>
      <c r="AH4065" t="s">
        <v>193</v>
      </c>
      <c r="AI4065" t="s">
        <v>216</v>
      </c>
      <c r="AJ4065" t="s">
        <v>103</v>
      </c>
      <c r="AK4065" t="s">
        <v>239</v>
      </c>
      <c r="AL4065" t="s">
        <v>64</v>
      </c>
      <c r="AM4065" t="s">
        <v>120</v>
      </c>
      <c r="AN4065" t="s">
        <v>345</v>
      </c>
      <c r="AO4065" t="s">
        <v>93</v>
      </c>
      <c r="AP4065">
        <v>170</v>
      </c>
      <c r="AQ4065" t="s">
        <v>974</v>
      </c>
      <c r="AR4065" t="s">
        <v>341</v>
      </c>
      <c r="AS4065" t="s">
        <v>66</v>
      </c>
      <c r="AT4065" t="s">
        <v>107</v>
      </c>
      <c r="AU4065" t="s">
        <v>186</v>
      </c>
      <c r="AV4065" t="s">
        <v>103</v>
      </c>
      <c r="AW4065" t="s">
        <v>95</v>
      </c>
      <c r="AX4065" t="s">
        <v>103</v>
      </c>
      <c r="AY4065" t="s">
        <v>103</v>
      </c>
    </row>
    <row r="4066" spans="1:51" x14ac:dyDescent="0.3">
      <c r="A4066" t="s">
        <v>29</v>
      </c>
      <c r="B4066" t="s">
        <v>199</v>
      </c>
      <c r="C4066">
        <v>360</v>
      </c>
      <c r="D4066" t="s">
        <v>906</v>
      </c>
      <c r="E4066" t="s">
        <v>140</v>
      </c>
      <c r="F4066" t="s">
        <v>146</v>
      </c>
      <c r="G4066" t="s">
        <v>106</v>
      </c>
      <c r="H4066" t="s">
        <v>254</v>
      </c>
      <c r="I4066" t="s">
        <v>206</v>
      </c>
      <c r="J4066" t="s">
        <v>128</v>
      </c>
      <c r="K4066" t="s">
        <v>756</v>
      </c>
      <c r="L4066" t="s">
        <v>103</v>
      </c>
      <c r="M4066">
        <v>360</v>
      </c>
      <c r="N4066" t="s">
        <v>612</v>
      </c>
      <c r="O4066" t="s">
        <v>90</v>
      </c>
      <c r="P4066" t="s">
        <v>217</v>
      </c>
      <c r="Q4066" t="s">
        <v>139</v>
      </c>
      <c r="R4066" t="s">
        <v>257</v>
      </c>
      <c r="S4066" t="s">
        <v>103</v>
      </c>
      <c r="T4066" t="s">
        <v>103</v>
      </c>
      <c r="U4066" t="s">
        <v>116</v>
      </c>
      <c r="V4066" t="s">
        <v>103</v>
      </c>
      <c r="W4066">
        <v>360</v>
      </c>
      <c r="X4066" t="s">
        <v>610</v>
      </c>
      <c r="Y4066" t="s">
        <v>94</v>
      </c>
      <c r="Z4066" t="s">
        <v>482</v>
      </c>
      <c r="AA4066" t="s">
        <v>102</v>
      </c>
      <c r="AB4066" t="s">
        <v>216</v>
      </c>
      <c r="AC4066" t="s">
        <v>139</v>
      </c>
      <c r="AD4066" t="s">
        <v>103</v>
      </c>
      <c r="AE4066" t="s">
        <v>116</v>
      </c>
      <c r="AF4066" t="s">
        <v>116</v>
      </c>
      <c r="AG4066">
        <v>360</v>
      </c>
      <c r="AH4066" t="s">
        <v>855</v>
      </c>
      <c r="AI4066" t="s">
        <v>245</v>
      </c>
      <c r="AJ4066" t="s">
        <v>329</v>
      </c>
      <c r="AK4066" t="s">
        <v>97</v>
      </c>
      <c r="AL4066" t="s">
        <v>110</v>
      </c>
      <c r="AM4066" t="s">
        <v>122</v>
      </c>
      <c r="AN4066" t="s">
        <v>103</v>
      </c>
      <c r="AO4066" t="s">
        <v>66</v>
      </c>
      <c r="AP4066">
        <v>360</v>
      </c>
      <c r="AQ4066" t="s">
        <v>153</v>
      </c>
      <c r="AR4066" t="s">
        <v>245</v>
      </c>
      <c r="AS4066" t="s">
        <v>103</v>
      </c>
      <c r="AT4066" t="s">
        <v>201</v>
      </c>
      <c r="AU4066" t="s">
        <v>201</v>
      </c>
      <c r="AV4066" t="s">
        <v>110</v>
      </c>
      <c r="AW4066" t="s">
        <v>97</v>
      </c>
      <c r="AX4066" t="s">
        <v>103</v>
      </c>
      <c r="AY4066" t="s">
        <v>103</v>
      </c>
    </row>
    <row r="4067" spans="1:51" x14ac:dyDescent="0.3">
      <c r="A4067" t="s">
        <v>28</v>
      </c>
      <c r="B4067" t="s">
        <v>198</v>
      </c>
      <c r="C4067">
        <v>70</v>
      </c>
      <c r="D4067" t="s">
        <v>1369</v>
      </c>
      <c r="E4067" t="s">
        <v>103</v>
      </c>
      <c r="F4067" t="s">
        <v>532</v>
      </c>
      <c r="G4067" t="s">
        <v>117</v>
      </c>
      <c r="H4067" t="s">
        <v>662</v>
      </c>
      <c r="I4067" t="s">
        <v>64</v>
      </c>
      <c r="J4067" t="s">
        <v>139</v>
      </c>
      <c r="K4067" t="s">
        <v>460</v>
      </c>
      <c r="L4067" t="s">
        <v>103</v>
      </c>
      <c r="M4067">
        <v>70</v>
      </c>
      <c r="N4067" t="s">
        <v>981</v>
      </c>
      <c r="O4067" t="s">
        <v>103</v>
      </c>
      <c r="P4067" t="s">
        <v>208</v>
      </c>
      <c r="Q4067" t="s">
        <v>103</v>
      </c>
      <c r="R4067" t="s">
        <v>239</v>
      </c>
      <c r="S4067" t="s">
        <v>103</v>
      </c>
      <c r="T4067" t="s">
        <v>98</v>
      </c>
      <c r="U4067" t="s">
        <v>103</v>
      </c>
      <c r="V4067" t="s">
        <v>103</v>
      </c>
      <c r="W4067">
        <v>70</v>
      </c>
      <c r="X4067" t="s">
        <v>1134</v>
      </c>
      <c r="Y4067" t="s">
        <v>118</v>
      </c>
      <c r="Z4067" t="s">
        <v>102</v>
      </c>
      <c r="AA4067" t="s">
        <v>68</v>
      </c>
      <c r="AB4067" t="s">
        <v>103</v>
      </c>
      <c r="AC4067" t="s">
        <v>103</v>
      </c>
      <c r="AD4067" t="s">
        <v>103</v>
      </c>
      <c r="AE4067" t="s">
        <v>103</v>
      </c>
      <c r="AF4067" t="s">
        <v>103</v>
      </c>
      <c r="AG4067">
        <v>70</v>
      </c>
      <c r="AH4067" t="s">
        <v>192</v>
      </c>
      <c r="AI4067" t="s">
        <v>103</v>
      </c>
      <c r="AJ4067" t="s">
        <v>103</v>
      </c>
      <c r="AK4067" t="s">
        <v>103</v>
      </c>
      <c r="AL4067" t="s">
        <v>103</v>
      </c>
      <c r="AM4067" t="s">
        <v>103</v>
      </c>
      <c r="AN4067" t="s">
        <v>103</v>
      </c>
      <c r="AO4067" t="s">
        <v>103</v>
      </c>
      <c r="AP4067">
        <v>70</v>
      </c>
      <c r="AQ4067" t="s">
        <v>597</v>
      </c>
      <c r="AR4067" t="s">
        <v>103</v>
      </c>
      <c r="AS4067" t="s">
        <v>103</v>
      </c>
      <c r="AT4067" t="s">
        <v>113</v>
      </c>
      <c r="AU4067" t="s">
        <v>139</v>
      </c>
      <c r="AV4067" t="s">
        <v>103</v>
      </c>
      <c r="AW4067" t="s">
        <v>103</v>
      </c>
      <c r="AX4067" t="s">
        <v>103</v>
      </c>
      <c r="AY4067" t="s">
        <v>103</v>
      </c>
    </row>
    <row r="4068" spans="1:51" x14ac:dyDescent="0.3">
      <c r="A4068" t="s">
        <v>28</v>
      </c>
      <c r="B4068" t="s">
        <v>199</v>
      </c>
      <c r="C4068">
        <v>247</v>
      </c>
      <c r="D4068" t="s">
        <v>790</v>
      </c>
      <c r="E4068" t="s">
        <v>216</v>
      </c>
      <c r="F4068" t="s">
        <v>217</v>
      </c>
      <c r="G4068" t="s">
        <v>558</v>
      </c>
      <c r="H4068" t="s">
        <v>511</v>
      </c>
      <c r="I4068" t="s">
        <v>266</v>
      </c>
      <c r="J4068" t="s">
        <v>102</v>
      </c>
      <c r="K4068" t="s">
        <v>224</v>
      </c>
      <c r="L4068" t="s">
        <v>103</v>
      </c>
      <c r="M4068">
        <v>247</v>
      </c>
      <c r="N4068" t="s">
        <v>624</v>
      </c>
      <c r="O4068" t="s">
        <v>93</v>
      </c>
      <c r="P4068" t="s">
        <v>493</v>
      </c>
      <c r="Q4068" t="s">
        <v>66</v>
      </c>
      <c r="R4068" t="s">
        <v>103</v>
      </c>
      <c r="S4068" t="s">
        <v>110</v>
      </c>
      <c r="T4068" t="s">
        <v>103</v>
      </c>
      <c r="U4068" t="s">
        <v>103</v>
      </c>
      <c r="V4068" t="s">
        <v>103</v>
      </c>
      <c r="W4068">
        <v>247</v>
      </c>
      <c r="X4068" t="s">
        <v>783</v>
      </c>
      <c r="Y4068" t="s">
        <v>468</v>
      </c>
      <c r="Z4068" t="s">
        <v>118</v>
      </c>
      <c r="AA4068" t="s">
        <v>270</v>
      </c>
      <c r="AB4068" t="s">
        <v>438</v>
      </c>
      <c r="AC4068" t="s">
        <v>95</v>
      </c>
      <c r="AD4068" t="s">
        <v>97</v>
      </c>
      <c r="AE4068" t="s">
        <v>97</v>
      </c>
      <c r="AF4068" t="s">
        <v>103</v>
      </c>
      <c r="AG4068">
        <v>247</v>
      </c>
      <c r="AH4068" t="s">
        <v>65</v>
      </c>
      <c r="AI4068" t="s">
        <v>66</v>
      </c>
      <c r="AJ4068" t="s">
        <v>97</v>
      </c>
      <c r="AK4068" t="s">
        <v>103</v>
      </c>
      <c r="AL4068" t="s">
        <v>194</v>
      </c>
      <c r="AM4068" t="s">
        <v>116</v>
      </c>
      <c r="AN4068" t="s">
        <v>97</v>
      </c>
      <c r="AO4068" t="s">
        <v>103</v>
      </c>
      <c r="AP4068">
        <v>247</v>
      </c>
      <c r="AQ4068" t="s">
        <v>871</v>
      </c>
      <c r="AR4068" t="s">
        <v>195</v>
      </c>
      <c r="AS4068" t="s">
        <v>97</v>
      </c>
      <c r="AT4068" t="s">
        <v>103</v>
      </c>
      <c r="AU4068" t="s">
        <v>438</v>
      </c>
      <c r="AV4068" t="s">
        <v>66</v>
      </c>
      <c r="AW4068" t="s">
        <v>103</v>
      </c>
      <c r="AX4068" t="s">
        <v>110</v>
      </c>
      <c r="AY4068" t="s">
        <v>103</v>
      </c>
    </row>
    <row r="4069" spans="1:51" x14ac:dyDescent="0.3">
      <c r="A4069" t="s">
        <v>27</v>
      </c>
      <c r="B4069" t="s">
        <v>198</v>
      </c>
      <c r="C4069">
        <v>136</v>
      </c>
      <c r="D4069" t="s">
        <v>741</v>
      </c>
      <c r="E4069" t="s">
        <v>91</v>
      </c>
      <c r="F4069" t="s">
        <v>120</v>
      </c>
      <c r="G4069" t="s">
        <v>186</v>
      </c>
      <c r="H4069" t="s">
        <v>110</v>
      </c>
      <c r="I4069" t="s">
        <v>341</v>
      </c>
      <c r="J4069" t="s">
        <v>97</v>
      </c>
      <c r="K4069" t="s">
        <v>472</v>
      </c>
      <c r="L4069" t="s">
        <v>122</v>
      </c>
      <c r="M4069">
        <v>136</v>
      </c>
      <c r="N4069" t="s">
        <v>712</v>
      </c>
      <c r="O4069" t="s">
        <v>266</v>
      </c>
      <c r="P4069" t="s">
        <v>531</v>
      </c>
      <c r="Q4069" t="s">
        <v>239</v>
      </c>
      <c r="R4069" t="s">
        <v>95</v>
      </c>
      <c r="S4069" t="s">
        <v>95</v>
      </c>
      <c r="T4069" t="s">
        <v>103</v>
      </c>
      <c r="U4069" t="s">
        <v>103</v>
      </c>
      <c r="V4069" t="s">
        <v>103</v>
      </c>
      <c r="W4069">
        <v>136</v>
      </c>
      <c r="X4069" t="s">
        <v>760</v>
      </c>
      <c r="Y4069" t="s">
        <v>591</v>
      </c>
      <c r="Z4069" t="s">
        <v>591</v>
      </c>
      <c r="AA4069" t="s">
        <v>100</v>
      </c>
      <c r="AB4069" t="s">
        <v>139</v>
      </c>
      <c r="AC4069" t="s">
        <v>110</v>
      </c>
      <c r="AD4069" t="s">
        <v>103</v>
      </c>
      <c r="AE4069" t="s">
        <v>97</v>
      </c>
      <c r="AF4069" t="s">
        <v>103</v>
      </c>
      <c r="AG4069">
        <v>136</v>
      </c>
      <c r="AH4069" t="s">
        <v>289</v>
      </c>
      <c r="AI4069" t="s">
        <v>103</v>
      </c>
      <c r="AJ4069" t="s">
        <v>110</v>
      </c>
      <c r="AK4069" t="s">
        <v>103</v>
      </c>
      <c r="AL4069" t="s">
        <v>114</v>
      </c>
      <c r="AM4069" t="s">
        <v>103</v>
      </c>
      <c r="AN4069" t="s">
        <v>103</v>
      </c>
      <c r="AO4069" t="s">
        <v>103</v>
      </c>
      <c r="AP4069">
        <v>136</v>
      </c>
      <c r="AQ4069" t="s">
        <v>733</v>
      </c>
      <c r="AR4069" t="s">
        <v>494</v>
      </c>
      <c r="AS4069" t="s">
        <v>468</v>
      </c>
      <c r="AT4069" t="s">
        <v>272</v>
      </c>
      <c r="AU4069" t="s">
        <v>466</v>
      </c>
      <c r="AV4069" t="s">
        <v>216</v>
      </c>
      <c r="AW4069" t="s">
        <v>103</v>
      </c>
      <c r="AX4069" t="s">
        <v>139</v>
      </c>
      <c r="AY4069" t="s">
        <v>103</v>
      </c>
    </row>
    <row r="4070" spans="1:51" x14ac:dyDescent="0.3">
      <c r="A4070" t="s">
        <v>27</v>
      </c>
      <c r="B4070" t="s">
        <v>199</v>
      </c>
      <c r="C4070">
        <v>164</v>
      </c>
      <c r="D4070" t="s">
        <v>1369</v>
      </c>
      <c r="E4070" t="s">
        <v>281</v>
      </c>
      <c r="F4070" t="s">
        <v>186</v>
      </c>
      <c r="G4070" t="s">
        <v>214</v>
      </c>
      <c r="H4070" t="s">
        <v>194</v>
      </c>
      <c r="I4070" t="s">
        <v>282</v>
      </c>
      <c r="J4070" t="s">
        <v>120</v>
      </c>
      <c r="K4070" t="s">
        <v>524</v>
      </c>
      <c r="L4070" t="s">
        <v>116</v>
      </c>
      <c r="M4070">
        <v>164</v>
      </c>
      <c r="N4070" t="s">
        <v>598</v>
      </c>
      <c r="O4070" t="s">
        <v>194</v>
      </c>
      <c r="P4070" t="s">
        <v>214</v>
      </c>
      <c r="Q4070" t="s">
        <v>120</v>
      </c>
      <c r="R4070" t="s">
        <v>110</v>
      </c>
      <c r="S4070" t="s">
        <v>103</v>
      </c>
      <c r="T4070" t="s">
        <v>103</v>
      </c>
      <c r="U4070" t="s">
        <v>103</v>
      </c>
      <c r="V4070" t="s">
        <v>95</v>
      </c>
      <c r="W4070">
        <v>164</v>
      </c>
      <c r="X4070" t="s">
        <v>806</v>
      </c>
      <c r="Y4070" t="s">
        <v>438</v>
      </c>
      <c r="Z4070" t="s">
        <v>100</v>
      </c>
      <c r="AA4070" t="s">
        <v>615</v>
      </c>
      <c r="AB4070" t="s">
        <v>341</v>
      </c>
      <c r="AC4070" t="s">
        <v>103</v>
      </c>
      <c r="AD4070" t="s">
        <v>103</v>
      </c>
      <c r="AE4070" t="s">
        <v>468</v>
      </c>
      <c r="AF4070" t="s">
        <v>95</v>
      </c>
      <c r="AG4070">
        <v>164</v>
      </c>
      <c r="AH4070" t="s">
        <v>841</v>
      </c>
      <c r="AI4070" t="s">
        <v>103</v>
      </c>
      <c r="AJ4070" t="s">
        <v>266</v>
      </c>
      <c r="AK4070" t="s">
        <v>103</v>
      </c>
      <c r="AL4070" t="s">
        <v>98</v>
      </c>
      <c r="AM4070" t="s">
        <v>103</v>
      </c>
      <c r="AN4070" t="s">
        <v>282</v>
      </c>
      <c r="AO4070" t="s">
        <v>103</v>
      </c>
      <c r="AP4070">
        <v>164</v>
      </c>
      <c r="AQ4070" t="s">
        <v>806</v>
      </c>
      <c r="AR4070" t="s">
        <v>214</v>
      </c>
      <c r="AS4070" t="s">
        <v>103</v>
      </c>
      <c r="AT4070" t="s">
        <v>558</v>
      </c>
      <c r="AU4070" t="s">
        <v>466</v>
      </c>
      <c r="AV4070" t="s">
        <v>194</v>
      </c>
      <c r="AW4070" t="s">
        <v>95</v>
      </c>
      <c r="AX4070" t="s">
        <v>103</v>
      </c>
      <c r="AY4070" t="s">
        <v>95</v>
      </c>
    </row>
    <row r="4071" spans="1:51" x14ac:dyDescent="0.3">
      <c r="A4071" t="s">
        <v>41</v>
      </c>
      <c r="B4071" t="s">
        <v>198</v>
      </c>
      <c r="C4071">
        <v>521</v>
      </c>
      <c r="D4071" t="s">
        <v>1422</v>
      </c>
      <c r="E4071" t="s">
        <v>64</v>
      </c>
      <c r="F4071" t="s">
        <v>100</v>
      </c>
      <c r="G4071" t="s">
        <v>536</v>
      </c>
      <c r="H4071" t="s">
        <v>532</v>
      </c>
      <c r="I4071" t="s">
        <v>102</v>
      </c>
      <c r="J4071" t="s">
        <v>133</v>
      </c>
      <c r="K4071" t="s">
        <v>651</v>
      </c>
      <c r="L4071" t="s">
        <v>120</v>
      </c>
      <c r="M4071">
        <v>521</v>
      </c>
      <c r="N4071" t="s">
        <v>1357</v>
      </c>
      <c r="O4071" t="s">
        <v>615</v>
      </c>
      <c r="P4071" t="s">
        <v>214</v>
      </c>
      <c r="Q4071" t="s">
        <v>93</v>
      </c>
      <c r="R4071" t="s">
        <v>120</v>
      </c>
      <c r="S4071" t="s">
        <v>97</v>
      </c>
      <c r="T4071" t="s">
        <v>97</v>
      </c>
      <c r="U4071" t="s">
        <v>116</v>
      </c>
      <c r="V4071" t="s">
        <v>103</v>
      </c>
      <c r="W4071">
        <v>521</v>
      </c>
      <c r="X4071" t="s">
        <v>994</v>
      </c>
      <c r="Y4071" t="s">
        <v>64</v>
      </c>
      <c r="Z4071" t="s">
        <v>68</v>
      </c>
      <c r="AA4071" t="s">
        <v>186</v>
      </c>
      <c r="AB4071" t="s">
        <v>208</v>
      </c>
      <c r="AC4071" t="s">
        <v>468</v>
      </c>
      <c r="AD4071" t="s">
        <v>103</v>
      </c>
      <c r="AE4071" t="s">
        <v>122</v>
      </c>
      <c r="AF4071" t="s">
        <v>103</v>
      </c>
      <c r="AG4071">
        <v>521</v>
      </c>
      <c r="AH4071" t="s">
        <v>1501</v>
      </c>
      <c r="AI4071" t="s">
        <v>468</v>
      </c>
      <c r="AJ4071" t="s">
        <v>116</v>
      </c>
      <c r="AK4071" t="s">
        <v>468</v>
      </c>
      <c r="AL4071" t="s">
        <v>329</v>
      </c>
      <c r="AM4071" t="s">
        <v>122</v>
      </c>
      <c r="AN4071" t="s">
        <v>95</v>
      </c>
      <c r="AO4071" t="s">
        <v>110</v>
      </c>
      <c r="AP4071">
        <v>521</v>
      </c>
      <c r="AQ4071" t="s">
        <v>863</v>
      </c>
      <c r="AR4071" t="s">
        <v>93</v>
      </c>
      <c r="AS4071" t="s">
        <v>122</v>
      </c>
      <c r="AT4071" t="s">
        <v>68</v>
      </c>
      <c r="AU4071" t="s">
        <v>272</v>
      </c>
      <c r="AV4071" t="s">
        <v>66</v>
      </c>
      <c r="AW4071" t="s">
        <v>122</v>
      </c>
      <c r="AX4071" t="s">
        <v>91</v>
      </c>
      <c r="AY4071" t="s">
        <v>103</v>
      </c>
    </row>
    <row r="4072" spans="1:51" x14ac:dyDescent="0.3">
      <c r="A4072" t="s">
        <v>41</v>
      </c>
      <c r="B4072" t="s">
        <v>199</v>
      </c>
      <c r="C4072">
        <v>1517</v>
      </c>
      <c r="D4072" t="s">
        <v>1637</v>
      </c>
      <c r="E4072" t="s">
        <v>532</v>
      </c>
      <c r="F4072" t="s">
        <v>191</v>
      </c>
      <c r="G4072" t="s">
        <v>123</v>
      </c>
      <c r="H4072" t="s">
        <v>60</v>
      </c>
      <c r="I4072" t="s">
        <v>206</v>
      </c>
      <c r="J4072" t="s">
        <v>102</v>
      </c>
      <c r="K4072" t="s">
        <v>485</v>
      </c>
      <c r="L4072" t="s">
        <v>116</v>
      </c>
      <c r="M4072">
        <v>1517</v>
      </c>
      <c r="N4072" t="s">
        <v>63</v>
      </c>
      <c r="O4072" t="s">
        <v>278</v>
      </c>
      <c r="P4072" t="s">
        <v>257</v>
      </c>
      <c r="Q4072" t="s">
        <v>122</v>
      </c>
      <c r="R4072" t="s">
        <v>245</v>
      </c>
      <c r="S4072" t="s">
        <v>91</v>
      </c>
      <c r="T4072" t="s">
        <v>91</v>
      </c>
      <c r="U4072" t="s">
        <v>116</v>
      </c>
      <c r="V4072" t="s">
        <v>103</v>
      </c>
      <c r="W4072">
        <v>1517</v>
      </c>
      <c r="X4072" t="s">
        <v>721</v>
      </c>
      <c r="Y4072" t="s">
        <v>125</v>
      </c>
      <c r="Z4072" t="s">
        <v>452</v>
      </c>
      <c r="AA4072" t="s">
        <v>266</v>
      </c>
      <c r="AB4072" t="s">
        <v>110</v>
      </c>
      <c r="AC4072" t="s">
        <v>122</v>
      </c>
      <c r="AD4072" t="s">
        <v>103</v>
      </c>
      <c r="AE4072" t="s">
        <v>95</v>
      </c>
      <c r="AF4072" t="s">
        <v>91</v>
      </c>
      <c r="AG4072">
        <v>1517</v>
      </c>
      <c r="AH4072" t="s">
        <v>850</v>
      </c>
      <c r="AI4072" t="s">
        <v>345</v>
      </c>
      <c r="AJ4072" t="s">
        <v>239</v>
      </c>
      <c r="AK4072" t="s">
        <v>97</v>
      </c>
      <c r="AL4072" t="s">
        <v>468</v>
      </c>
      <c r="AM4072" t="s">
        <v>116</v>
      </c>
      <c r="AN4072" t="s">
        <v>116</v>
      </c>
      <c r="AO4072" t="s">
        <v>91</v>
      </c>
      <c r="AP4072">
        <v>1517</v>
      </c>
      <c r="AQ4072" t="s">
        <v>827</v>
      </c>
      <c r="AR4072" t="s">
        <v>194</v>
      </c>
      <c r="AS4072" t="s">
        <v>66</v>
      </c>
      <c r="AT4072" t="s">
        <v>257</v>
      </c>
      <c r="AU4072" t="s">
        <v>195</v>
      </c>
      <c r="AV4072" t="s">
        <v>345</v>
      </c>
      <c r="AW4072" t="s">
        <v>116</v>
      </c>
      <c r="AX4072" t="s">
        <v>66</v>
      </c>
      <c r="AY4072" t="s">
        <v>91</v>
      </c>
    </row>
    <row r="4074" spans="1:51" x14ac:dyDescent="0.3">
      <c r="A4074" t="s">
        <v>1638</v>
      </c>
    </row>
    <row r="4075" spans="1:51" x14ac:dyDescent="0.3">
      <c r="A4075" t="s">
        <v>36</v>
      </c>
      <c r="B4075" t="s">
        <v>763</v>
      </c>
      <c r="C4075" t="s">
        <v>1584</v>
      </c>
      <c r="D4075" t="s">
        <v>1585</v>
      </c>
      <c r="E4075" t="s">
        <v>1587</v>
      </c>
      <c r="F4075" t="s">
        <v>1588</v>
      </c>
      <c r="G4075" t="s">
        <v>1589</v>
      </c>
      <c r="H4075" t="s">
        <v>1590</v>
      </c>
      <c r="I4075" t="s">
        <v>1592</v>
      </c>
      <c r="J4075" t="s">
        <v>1593</v>
      </c>
      <c r="K4075" t="s">
        <v>1586</v>
      </c>
      <c r="L4075" t="s">
        <v>1591</v>
      </c>
      <c r="M4075" t="s">
        <v>1594</v>
      </c>
      <c r="N4075" t="s">
        <v>1595</v>
      </c>
      <c r="O4075" t="s">
        <v>1596</v>
      </c>
      <c r="P4075" t="s">
        <v>1600</v>
      </c>
      <c r="Q4075" t="s">
        <v>1597</v>
      </c>
      <c r="R4075" t="s">
        <v>1598</v>
      </c>
      <c r="S4075" t="s">
        <v>1599</v>
      </c>
      <c r="T4075" t="s">
        <v>1601</v>
      </c>
      <c r="U4075" t="s">
        <v>1602</v>
      </c>
      <c r="V4075" t="s">
        <v>1603</v>
      </c>
      <c r="W4075" t="s">
        <v>1604</v>
      </c>
      <c r="X4075" t="s">
        <v>1605</v>
      </c>
      <c r="Y4075" t="s">
        <v>1607</v>
      </c>
      <c r="Z4075" t="s">
        <v>1612</v>
      </c>
      <c r="AA4075" t="s">
        <v>1606</v>
      </c>
      <c r="AB4075" t="s">
        <v>1608</v>
      </c>
      <c r="AC4075" t="s">
        <v>1609</v>
      </c>
      <c r="AD4075" t="s">
        <v>1610</v>
      </c>
      <c r="AE4075" t="s">
        <v>1611</v>
      </c>
      <c r="AF4075" t="s">
        <v>1613</v>
      </c>
      <c r="AG4075" t="s">
        <v>1614</v>
      </c>
      <c r="AH4075" t="s">
        <v>1615</v>
      </c>
      <c r="AI4075" t="s">
        <v>1616</v>
      </c>
      <c r="AJ4075" t="s">
        <v>1617</v>
      </c>
      <c r="AK4075" t="s">
        <v>1618</v>
      </c>
      <c r="AL4075" t="s">
        <v>1619</v>
      </c>
      <c r="AM4075" t="s">
        <v>1620</v>
      </c>
      <c r="AN4075" t="s">
        <v>1621</v>
      </c>
      <c r="AO4075" t="s">
        <v>1622</v>
      </c>
      <c r="AP4075" t="s">
        <v>1623</v>
      </c>
      <c r="AQ4075" t="s">
        <v>1624</v>
      </c>
      <c r="AR4075" t="s">
        <v>1629</v>
      </c>
      <c r="AS4075" t="s">
        <v>1625</v>
      </c>
      <c r="AT4075" t="s">
        <v>1626</v>
      </c>
      <c r="AU4075" t="s">
        <v>1627</v>
      </c>
      <c r="AV4075" t="s">
        <v>1628</v>
      </c>
      <c r="AW4075" t="s">
        <v>1630</v>
      </c>
      <c r="AX4075" t="s">
        <v>1631</v>
      </c>
      <c r="AY4075" t="s">
        <v>1632</v>
      </c>
    </row>
    <row r="4076" spans="1:51" x14ac:dyDescent="0.3">
      <c r="A4076" t="s">
        <v>25</v>
      </c>
      <c r="B4076" t="s">
        <v>764</v>
      </c>
      <c r="C4076">
        <v>31</v>
      </c>
      <c r="D4076" t="s">
        <v>791</v>
      </c>
      <c r="E4076" t="s">
        <v>206</v>
      </c>
      <c r="F4076" t="s">
        <v>114</v>
      </c>
      <c r="G4076" t="s">
        <v>148</v>
      </c>
      <c r="H4076" t="s">
        <v>217</v>
      </c>
      <c r="I4076" t="s">
        <v>50</v>
      </c>
      <c r="J4076" t="s">
        <v>195</v>
      </c>
      <c r="K4076" t="s">
        <v>103</v>
      </c>
      <c r="L4076" t="s">
        <v>103</v>
      </c>
      <c r="M4076">
        <v>31</v>
      </c>
      <c r="N4076" t="s">
        <v>827</v>
      </c>
      <c r="O4076" t="s">
        <v>662</v>
      </c>
      <c r="P4076" t="s">
        <v>68</v>
      </c>
      <c r="Q4076" t="s">
        <v>103</v>
      </c>
      <c r="R4076" t="s">
        <v>103</v>
      </c>
      <c r="S4076" t="s">
        <v>103</v>
      </c>
      <c r="T4076" t="s">
        <v>103</v>
      </c>
      <c r="U4076" t="s">
        <v>103</v>
      </c>
      <c r="V4076" t="s">
        <v>103</v>
      </c>
      <c r="W4076">
        <v>31</v>
      </c>
      <c r="X4076" t="s">
        <v>710</v>
      </c>
      <c r="Y4076" t="s">
        <v>33</v>
      </c>
      <c r="Z4076" t="s">
        <v>68</v>
      </c>
      <c r="AA4076" t="s">
        <v>103</v>
      </c>
      <c r="AB4076" t="s">
        <v>103</v>
      </c>
      <c r="AC4076" t="s">
        <v>103</v>
      </c>
      <c r="AD4076" t="s">
        <v>103</v>
      </c>
      <c r="AE4076" t="s">
        <v>103</v>
      </c>
      <c r="AF4076" t="s">
        <v>103</v>
      </c>
      <c r="AG4076">
        <v>31</v>
      </c>
      <c r="AH4076" t="s">
        <v>192</v>
      </c>
      <c r="AI4076" t="s">
        <v>103</v>
      </c>
      <c r="AJ4076" t="s">
        <v>103</v>
      </c>
      <c r="AK4076" t="s">
        <v>103</v>
      </c>
      <c r="AL4076" t="s">
        <v>103</v>
      </c>
      <c r="AM4076" t="s">
        <v>103</v>
      </c>
      <c r="AN4076" t="s">
        <v>103</v>
      </c>
      <c r="AO4076" t="s">
        <v>103</v>
      </c>
      <c r="AP4076">
        <v>31</v>
      </c>
      <c r="AQ4076" t="s">
        <v>69</v>
      </c>
      <c r="AR4076" t="s">
        <v>68</v>
      </c>
      <c r="AS4076" t="s">
        <v>103</v>
      </c>
      <c r="AT4076" t="s">
        <v>103</v>
      </c>
      <c r="AU4076" t="s">
        <v>103</v>
      </c>
      <c r="AV4076" t="s">
        <v>103</v>
      </c>
      <c r="AW4076" t="s">
        <v>103</v>
      </c>
      <c r="AX4076" t="s">
        <v>103</v>
      </c>
      <c r="AY4076" t="s">
        <v>103</v>
      </c>
    </row>
    <row r="4077" spans="1:51" x14ac:dyDescent="0.3">
      <c r="A4077" t="s">
        <v>25</v>
      </c>
      <c r="B4077" t="s">
        <v>765</v>
      </c>
      <c r="C4077">
        <v>280</v>
      </c>
      <c r="D4077" t="s">
        <v>1041</v>
      </c>
      <c r="E4077" t="s">
        <v>191</v>
      </c>
      <c r="F4077" t="s">
        <v>693</v>
      </c>
      <c r="G4077" t="s">
        <v>438</v>
      </c>
      <c r="H4077" t="s">
        <v>438</v>
      </c>
      <c r="I4077" t="s">
        <v>250</v>
      </c>
      <c r="J4077" t="s">
        <v>97</v>
      </c>
      <c r="K4077" t="s">
        <v>113</v>
      </c>
      <c r="L4077" t="s">
        <v>266</v>
      </c>
      <c r="M4077">
        <v>280</v>
      </c>
      <c r="N4077" t="s">
        <v>614</v>
      </c>
      <c r="O4077" t="s">
        <v>64</v>
      </c>
      <c r="P4077" t="s">
        <v>103</v>
      </c>
      <c r="Q4077" t="s">
        <v>94</v>
      </c>
      <c r="R4077" t="s">
        <v>97</v>
      </c>
      <c r="S4077" t="s">
        <v>116</v>
      </c>
      <c r="T4077" t="s">
        <v>97</v>
      </c>
      <c r="U4077" t="s">
        <v>103</v>
      </c>
      <c r="V4077" t="s">
        <v>103</v>
      </c>
      <c r="W4077">
        <v>280</v>
      </c>
      <c r="X4077" t="s">
        <v>759</v>
      </c>
      <c r="Y4077" t="s">
        <v>341</v>
      </c>
      <c r="Z4077" t="s">
        <v>93</v>
      </c>
      <c r="AA4077" t="s">
        <v>118</v>
      </c>
      <c r="AB4077" t="s">
        <v>93</v>
      </c>
      <c r="AC4077" t="s">
        <v>468</v>
      </c>
      <c r="AD4077" t="s">
        <v>116</v>
      </c>
      <c r="AE4077" t="s">
        <v>103</v>
      </c>
      <c r="AF4077" t="s">
        <v>103</v>
      </c>
      <c r="AG4077">
        <v>280</v>
      </c>
      <c r="AH4077" t="s">
        <v>611</v>
      </c>
      <c r="AI4077" t="s">
        <v>282</v>
      </c>
      <c r="AJ4077" t="s">
        <v>245</v>
      </c>
      <c r="AK4077" t="s">
        <v>116</v>
      </c>
      <c r="AL4077" t="s">
        <v>194</v>
      </c>
      <c r="AM4077" t="s">
        <v>97</v>
      </c>
      <c r="AN4077" t="s">
        <v>139</v>
      </c>
      <c r="AO4077" t="s">
        <v>103</v>
      </c>
      <c r="AP4077">
        <v>280</v>
      </c>
      <c r="AQ4077" t="s">
        <v>864</v>
      </c>
      <c r="AR4077" t="s">
        <v>103</v>
      </c>
      <c r="AS4077" t="s">
        <v>194</v>
      </c>
      <c r="AT4077" t="s">
        <v>110</v>
      </c>
      <c r="AU4077" t="s">
        <v>98</v>
      </c>
      <c r="AV4077" t="s">
        <v>95</v>
      </c>
      <c r="AW4077" t="s">
        <v>97</v>
      </c>
      <c r="AX4077" t="s">
        <v>282</v>
      </c>
      <c r="AY4077" t="s">
        <v>103</v>
      </c>
    </row>
    <row r="4078" spans="1:51" x14ac:dyDescent="0.3">
      <c r="A4078" t="s">
        <v>25</v>
      </c>
      <c r="B4078" t="s">
        <v>767</v>
      </c>
      <c r="C4078">
        <v>103</v>
      </c>
      <c r="D4078" t="s">
        <v>1006</v>
      </c>
      <c r="E4078" t="s">
        <v>175</v>
      </c>
      <c r="F4078" t="s">
        <v>549</v>
      </c>
      <c r="G4078" t="s">
        <v>531</v>
      </c>
      <c r="H4078" t="s">
        <v>70</v>
      </c>
      <c r="I4078" t="s">
        <v>519</v>
      </c>
      <c r="J4078" t="s">
        <v>103</v>
      </c>
      <c r="K4078" t="s">
        <v>107</v>
      </c>
      <c r="L4078" t="s">
        <v>139</v>
      </c>
      <c r="M4078">
        <v>103</v>
      </c>
      <c r="N4078" t="s">
        <v>1134</v>
      </c>
      <c r="O4078" t="s">
        <v>438</v>
      </c>
      <c r="P4078" t="s">
        <v>103</v>
      </c>
      <c r="Q4078" t="s">
        <v>195</v>
      </c>
      <c r="R4078" t="s">
        <v>266</v>
      </c>
      <c r="S4078" t="s">
        <v>103</v>
      </c>
      <c r="T4078" t="s">
        <v>103</v>
      </c>
      <c r="U4078" t="s">
        <v>103</v>
      </c>
      <c r="V4078" t="s">
        <v>103</v>
      </c>
      <c r="W4078">
        <v>103</v>
      </c>
      <c r="X4078" t="s">
        <v>759</v>
      </c>
      <c r="Y4078" t="s">
        <v>438</v>
      </c>
      <c r="Z4078" t="s">
        <v>122</v>
      </c>
      <c r="AA4078" t="s">
        <v>201</v>
      </c>
      <c r="AB4078" t="s">
        <v>329</v>
      </c>
      <c r="AC4078" t="s">
        <v>103</v>
      </c>
      <c r="AD4078" t="s">
        <v>103</v>
      </c>
      <c r="AE4078" t="s">
        <v>103</v>
      </c>
      <c r="AF4078" t="s">
        <v>103</v>
      </c>
      <c r="AG4078">
        <v>103</v>
      </c>
      <c r="AH4078" t="s">
        <v>981</v>
      </c>
      <c r="AI4078" t="s">
        <v>118</v>
      </c>
      <c r="AJ4078" t="s">
        <v>122</v>
      </c>
      <c r="AK4078" t="s">
        <v>245</v>
      </c>
      <c r="AL4078" t="s">
        <v>103</v>
      </c>
      <c r="AM4078" t="s">
        <v>103</v>
      </c>
      <c r="AN4078" t="s">
        <v>103</v>
      </c>
      <c r="AO4078" t="s">
        <v>103</v>
      </c>
      <c r="AP4078">
        <v>103</v>
      </c>
      <c r="AQ4078" t="s">
        <v>781</v>
      </c>
      <c r="AR4078" t="s">
        <v>103</v>
      </c>
      <c r="AS4078" t="s">
        <v>93</v>
      </c>
      <c r="AT4078" t="s">
        <v>103</v>
      </c>
      <c r="AU4078" t="s">
        <v>103</v>
      </c>
      <c r="AV4078" t="s">
        <v>245</v>
      </c>
      <c r="AW4078" t="s">
        <v>103</v>
      </c>
      <c r="AX4078" t="s">
        <v>345</v>
      </c>
      <c r="AY4078" t="s">
        <v>103</v>
      </c>
    </row>
    <row r="4079" spans="1:51" x14ac:dyDescent="0.3">
      <c r="A4079" t="s">
        <v>26</v>
      </c>
      <c r="B4079" t="s">
        <v>764</v>
      </c>
      <c r="C4079">
        <v>58</v>
      </c>
      <c r="D4079" t="s">
        <v>363</v>
      </c>
      <c r="E4079" t="s">
        <v>62</v>
      </c>
      <c r="F4079" t="s">
        <v>272</v>
      </c>
      <c r="G4079" t="s">
        <v>601</v>
      </c>
      <c r="H4079" t="s">
        <v>104</v>
      </c>
      <c r="I4079" t="s">
        <v>232</v>
      </c>
      <c r="J4079" t="s">
        <v>103</v>
      </c>
      <c r="K4079" t="s">
        <v>128</v>
      </c>
      <c r="L4079" t="s">
        <v>206</v>
      </c>
      <c r="M4079">
        <v>58</v>
      </c>
      <c r="N4079" t="s">
        <v>322</v>
      </c>
      <c r="O4079" t="s">
        <v>105</v>
      </c>
      <c r="P4079" t="s">
        <v>103</v>
      </c>
      <c r="Q4079" t="s">
        <v>103</v>
      </c>
      <c r="R4079" t="s">
        <v>103</v>
      </c>
      <c r="S4079" t="s">
        <v>103</v>
      </c>
      <c r="T4079" t="s">
        <v>103</v>
      </c>
      <c r="U4079" t="s">
        <v>103</v>
      </c>
      <c r="V4079" t="s">
        <v>103</v>
      </c>
      <c r="W4079">
        <v>58</v>
      </c>
      <c r="X4079" t="s">
        <v>841</v>
      </c>
      <c r="Y4079" t="s">
        <v>110</v>
      </c>
      <c r="Z4079" t="s">
        <v>103</v>
      </c>
      <c r="AA4079" t="s">
        <v>103</v>
      </c>
      <c r="AB4079" t="s">
        <v>239</v>
      </c>
      <c r="AC4079" t="s">
        <v>245</v>
      </c>
      <c r="AD4079" t="s">
        <v>103</v>
      </c>
      <c r="AE4079" t="s">
        <v>103</v>
      </c>
      <c r="AF4079" t="s">
        <v>103</v>
      </c>
      <c r="AG4079">
        <v>58</v>
      </c>
      <c r="AH4079" t="s">
        <v>192</v>
      </c>
      <c r="AI4079" t="s">
        <v>103</v>
      </c>
      <c r="AJ4079" t="s">
        <v>103</v>
      </c>
      <c r="AK4079" t="s">
        <v>103</v>
      </c>
      <c r="AL4079" t="s">
        <v>103</v>
      </c>
      <c r="AM4079" t="s">
        <v>103</v>
      </c>
      <c r="AN4079" t="s">
        <v>103</v>
      </c>
      <c r="AO4079" t="s">
        <v>103</v>
      </c>
      <c r="AP4079">
        <v>58</v>
      </c>
      <c r="AQ4079" t="s">
        <v>841</v>
      </c>
      <c r="AR4079" t="s">
        <v>103</v>
      </c>
      <c r="AS4079" t="s">
        <v>103</v>
      </c>
      <c r="AT4079" t="s">
        <v>110</v>
      </c>
      <c r="AU4079" t="s">
        <v>239</v>
      </c>
      <c r="AV4079" t="s">
        <v>245</v>
      </c>
      <c r="AW4079" t="s">
        <v>103</v>
      </c>
      <c r="AX4079" t="s">
        <v>103</v>
      </c>
      <c r="AY4079" t="s">
        <v>103</v>
      </c>
    </row>
    <row r="4080" spans="1:51" x14ac:dyDescent="0.3">
      <c r="A4080" t="s">
        <v>26</v>
      </c>
      <c r="B4080" t="s">
        <v>765</v>
      </c>
      <c r="C4080">
        <v>278</v>
      </c>
      <c r="D4080" t="s">
        <v>413</v>
      </c>
      <c r="E4080" t="s">
        <v>169</v>
      </c>
      <c r="F4080" t="s">
        <v>601</v>
      </c>
      <c r="G4080" t="s">
        <v>133</v>
      </c>
      <c r="H4080" t="s">
        <v>101</v>
      </c>
      <c r="I4080" t="s">
        <v>150</v>
      </c>
      <c r="J4080" t="s">
        <v>95</v>
      </c>
      <c r="K4080" t="s">
        <v>341</v>
      </c>
      <c r="L4080" t="s">
        <v>100</v>
      </c>
      <c r="M4080">
        <v>278</v>
      </c>
      <c r="N4080" t="s">
        <v>289</v>
      </c>
      <c r="O4080" t="s">
        <v>270</v>
      </c>
      <c r="P4080" t="s">
        <v>103</v>
      </c>
      <c r="Q4080" t="s">
        <v>122</v>
      </c>
      <c r="R4080" t="s">
        <v>245</v>
      </c>
      <c r="S4080" t="s">
        <v>103</v>
      </c>
      <c r="T4080" t="s">
        <v>66</v>
      </c>
      <c r="U4080" t="s">
        <v>103</v>
      </c>
      <c r="V4080" t="s">
        <v>103</v>
      </c>
      <c r="W4080">
        <v>278</v>
      </c>
      <c r="X4080" t="s">
        <v>710</v>
      </c>
      <c r="Y4080" t="s">
        <v>214</v>
      </c>
      <c r="Z4080" t="s">
        <v>103</v>
      </c>
      <c r="AA4080" t="s">
        <v>103</v>
      </c>
      <c r="AB4080" t="s">
        <v>341</v>
      </c>
      <c r="AC4080" t="s">
        <v>110</v>
      </c>
      <c r="AD4080" t="s">
        <v>103</v>
      </c>
      <c r="AE4080" t="s">
        <v>103</v>
      </c>
      <c r="AF4080" t="s">
        <v>103</v>
      </c>
      <c r="AG4080">
        <v>278</v>
      </c>
      <c r="AH4080" t="s">
        <v>328</v>
      </c>
      <c r="AI4080" t="s">
        <v>122</v>
      </c>
      <c r="AJ4080" t="s">
        <v>103</v>
      </c>
      <c r="AK4080" t="s">
        <v>98</v>
      </c>
      <c r="AL4080" t="s">
        <v>120</v>
      </c>
      <c r="AM4080" t="s">
        <v>103</v>
      </c>
      <c r="AN4080" t="s">
        <v>66</v>
      </c>
      <c r="AO4080" t="s">
        <v>103</v>
      </c>
      <c r="AP4080">
        <v>278</v>
      </c>
      <c r="AQ4080" t="s">
        <v>1173</v>
      </c>
      <c r="AR4080" t="s">
        <v>103</v>
      </c>
      <c r="AS4080" t="s">
        <v>122</v>
      </c>
      <c r="AT4080" t="s">
        <v>257</v>
      </c>
      <c r="AU4080" t="s">
        <v>91</v>
      </c>
      <c r="AV4080" t="s">
        <v>95</v>
      </c>
      <c r="AW4080" t="s">
        <v>103</v>
      </c>
      <c r="AX4080" t="s">
        <v>103</v>
      </c>
      <c r="AY4080" t="s">
        <v>122</v>
      </c>
    </row>
    <row r="4081" spans="1:51" x14ac:dyDescent="0.3">
      <c r="A4081" t="s">
        <v>26</v>
      </c>
      <c r="B4081" t="s">
        <v>767</v>
      </c>
      <c r="C4081">
        <v>141</v>
      </c>
      <c r="D4081" t="s">
        <v>358</v>
      </c>
      <c r="E4081" t="s">
        <v>284</v>
      </c>
      <c r="F4081" t="s">
        <v>607</v>
      </c>
      <c r="G4081" t="s">
        <v>127</v>
      </c>
      <c r="H4081" t="s">
        <v>127</v>
      </c>
      <c r="I4081" t="s">
        <v>544</v>
      </c>
      <c r="J4081" t="s">
        <v>103</v>
      </c>
      <c r="K4081" t="s">
        <v>128</v>
      </c>
      <c r="L4081" t="s">
        <v>466</v>
      </c>
      <c r="M4081">
        <v>141</v>
      </c>
      <c r="N4081" t="s">
        <v>871</v>
      </c>
      <c r="O4081" t="s">
        <v>341</v>
      </c>
      <c r="P4081" t="s">
        <v>103</v>
      </c>
      <c r="Q4081" t="s">
        <v>107</v>
      </c>
      <c r="R4081" t="s">
        <v>282</v>
      </c>
      <c r="S4081" t="s">
        <v>103</v>
      </c>
      <c r="T4081" t="s">
        <v>103</v>
      </c>
      <c r="U4081" t="s">
        <v>110</v>
      </c>
      <c r="V4081" t="s">
        <v>103</v>
      </c>
      <c r="W4081">
        <v>141</v>
      </c>
      <c r="X4081" t="s">
        <v>61</v>
      </c>
      <c r="Y4081" t="s">
        <v>125</v>
      </c>
      <c r="Z4081" t="s">
        <v>103</v>
      </c>
      <c r="AA4081" t="s">
        <v>239</v>
      </c>
      <c r="AB4081" t="s">
        <v>329</v>
      </c>
      <c r="AC4081" t="s">
        <v>103</v>
      </c>
      <c r="AD4081" t="s">
        <v>103</v>
      </c>
      <c r="AE4081" t="s">
        <v>103</v>
      </c>
      <c r="AF4081" t="s">
        <v>103</v>
      </c>
      <c r="AG4081">
        <v>141</v>
      </c>
      <c r="AH4081" t="s">
        <v>864</v>
      </c>
      <c r="AI4081" t="s">
        <v>103</v>
      </c>
      <c r="AJ4081" t="s">
        <v>217</v>
      </c>
      <c r="AK4081" t="s">
        <v>128</v>
      </c>
      <c r="AL4081" t="s">
        <v>103</v>
      </c>
      <c r="AM4081" t="s">
        <v>103</v>
      </c>
      <c r="AN4081" t="s">
        <v>139</v>
      </c>
      <c r="AO4081" t="s">
        <v>103</v>
      </c>
      <c r="AP4081">
        <v>141</v>
      </c>
      <c r="AQ4081" t="s">
        <v>1176</v>
      </c>
      <c r="AR4081" t="s">
        <v>103</v>
      </c>
      <c r="AS4081" t="s">
        <v>95</v>
      </c>
      <c r="AT4081" t="s">
        <v>103</v>
      </c>
      <c r="AU4081" t="s">
        <v>110</v>
      </c>
      <c r="AV4081" t="s">
        <v>103</v>
      </c>
      <c r="AW4081" t="s">
        <v>103</v>
      </c>
      <c r="AX4081" t="s">
        <v>103</v>
      </c>
      <c r="AY4081" t="s">
        <v>103</v>
      </c>
    </row>
    <row r="4082" spans="1:51" s="3" customFormat="1" x14ac:dyDescent="0.3">
      <c r="A4082" s="3" t="s">
        <v>29</v>
      </c>
      <c r="B4082" s="3" t="s">
        <v>764</v>
      </c>
      <c r="C4082" s="3">
        <v>11</v>
      </c>
      <c r="D4082" s="3" t="s">
        <v>389</v>
      </c>
      <c r="E4082" s="3" t="s">
        <v>103</v>
      </c>
      <c r="F4082" s="3" t="s">
        <v>115</v>
      </c>
      <c r="G4082" s="3" t="s">
        <v>140</v>
      </c>
      <c r="H4082" s="3" t="s">
        <v>62</v>
      </c>
      <c r="I4082" s="3" t="s">
        <v>186</v>
      </c>
      <c r="J4082" s="3" t="s">
        <v>103</v>
      </c>
      <c r="K4082" s="3" t="s">
        <v>117</v>
      </c>
      <c r="L4082" s="3" t="s">
        <v>103</v>
      </c>
      <c r="M4082" s="3">
        <v>11</v>
      </c>
      <c r="N4082" s="3" t="s">
        <v>243</v>
      </c>
      <c r="O4082" s="3" t="s">
        <v>103</v>
      </c>
      <c r="P4082" s="3" t="s">
        <v>103</v>
      </c>
      <c r="Q4082" s="3" t="s">
        <v>578</v>
      </c>
      <c r="R4082" s="3" t="s">
        <v>103</v>
      </c>
      <c r="S4082" s="3" t="s">
        <v>103</v>
      </c>
      <c r="T4082" s="3" t="s">
        <v>103</v>
      </c>
      <c r="U4082" s="3" t="s">
        <v>103</v>
      </c>
      <c r="V4082" s="3" t="s">
        <v>103</v>
      </c>
      <c r="W4082" s="3">
        <v>11</v>
      </c>
      <c r="X4082" s="3" t="s">
        <v>243</v>
      </c>
      <c r="Y4082" s="3" t="s">
        <v>103</v>
      </c>
      <c r="Z4082" s="3" t="s">
        <v>103</v>
      </c>
      <c r="AA4082" s="3" t="s">
        <v>103</v>
      </c>
      <c r="AB4082" s="3" t="s">
        <v>578</v>
      </c>
      <c r="AC4082" s="3" t="s">
        <v>103</v>
      </c>
      <c r="AD4082" s="3" t="s">
        <v>103</v>
      </c>
      <c r="AE4082" s="3" t="s">
        <v>103</v>
      </c>
      <c r="AF4082" s="3" t="s">
        <v>103</v>
      </c>
      <c r="AG4082" s="3">
        <v>11</v>
      </c>
      <c r="AH4082" s="3" t="s">
        <v>192</v>
      </c>
      <c r="AI4082" s="3" t="s">
        <v>103</v>
      </c>
      <c r="AJ4082" s="3" t="s">
        <v>103</v>
      </c>
      <c r="AK4082" s="3" t="s">
        <v>103</v>
      </c>
      <c r="AL4082" s="3" t="s">
        <v>103</v>
      </c>
      <c r="AM4082" s="3" t="s">
        <v>103</v>
      </c>
      <c r="AN4082" s="3" t="s">
        <v>103</v>
      </c>
      <c r="AO4082" s="3" t="s">
        <v>103</v>
      </c>
      <c r="AP4082" s="3">
        <v>11</v>
      </c>
      <c r="AQ4082" s="3" t="s">
        <v>830</v>
      </c>
      <c r="AR4082" s="3" t="s">
        <v>103</v>
      </c>
      <c r="AS4082" s="3" t="s">
        <v>732</v>
      </c>
      <c r="AT4082" s="3" t="s">
        <v>62</v>
      </c>
      <c r="AU4082" s="3" t="s">
        <v>103</v>
      </c>
      <c r="AV4082" s="3" t="s">
        <v>103</v>
      </c>
      <c r="AW4082" s="3" t="s">
        <v>103</v>
      </c>
      <c r="AX4082" s="3" t="s">
        <v>103</v>
      </c>
      <c r="AY4082" s="3" t="s">
        <v>103</v>
      </c>
    </row>
    <row r="4083" spans="1:51" x14ac:dyDescent="0.3">
      <c r="A4083" t="s">
        <v>29</v>
      </c>
      <c r="B4083" t="s">
        <v>765</v>
      </c>
      <c r="C4083">
        <v>365</v>
      </c>
      <c r="D4083" t="s">
        <v>1203</v>
      </c>
      <c r="E4083" t="s">
        <v>117</v>
      </c>
      <c r="F4083" t="s">
        <v>918</v>
      </c>
      <c r="G4083" t="s">
        <v>224</v>
      </c>
      <c r="H4083" t="s">
        <v>232</v>
      </c>
      <c r="I4083" t="s">
        <v>1203</v>
      </c>
      <c r="J4083" t="s">
        <v>122</v>
      </c>
      <c r="K4083" t="s">
        <v>32</v>
      </c>
      <c r="L4083" t="s">
        <v>128</v>
      </c>
      <c r="M4083">
        <v>365</v>
      </c>
      <c r="N4083" t="s">
        <v>630</v>
      </c>
      <c r="O4083" t="s">
        <v>224</v>
      </c>
      <c r="P4083" t="s">
        <v>116</v>
      </c>
      <c r="Q4083" t="s">
        <v>118</v>
      </c>
      <c r="R4083" t="s">
        <v>345</v>
      </c>
      <c r="S4083" t="s">
        <v>128</v>
      </c>
      <c r="T4083" t="s">
        <v>116</v>
      </c>
      <c r="U4083" t="s">
        <v>116</v>
      </c>
      <c r="V4083" t="s">
        <v>103</v>
      </c>
      <c r="W4083">
        <v>365</v>
      </c>
      <c r="X4083" t="s">
        <v>204</v>
      </c>
      <c r="Y4083" t="s">
        <v>460</v>
      </c>
      <c r="Z4083" t="s">
        <v>120</v>
      </c>
      <c r="AA4083" t="s">
        <v>94</v>
      </c>
      <c r="AB4083" t="s">
        <v>68</v>
      </c>
      <c r="AC4083" t="s">
        <v>257</v>
      </c>
      <c r="AD4083" t="s">
        <v>216</v>
      </c>
      <c r="AE4083" t="s">
        <v>103</v>
      </c>
      <c r="AF4083" t="s">
        <v>116</v>
      </c>
      <c r="AG4083">
        <v>365</v>
      </c>
      <c r="AH4083" t="s">
        <v>61</v>
      </c>
      <c r="AI4083" t="s">
        <v>239</v>
      </c>
      <c r="AJ4083" t="s">
        <v>93</v>
      </c>
      <c r="AK4083" t="s">
        <v>345</v>
      </c>
      <c r="AL4083" t="s">
        <v>122</v>
      </c>
      <c r="AM4083" t="s">
        <v>95</v>
      </c>
      <c r="AN4083" t="s">
        <v>97</v>
      </c>
      <c r="AO4083" t="s">
        <v>95</v>
      </c>
      <c r="AP4083">
        <v>365</v>
      </c>
      <c r="AQ4083" t="s">
        <v>149</v>
      </c>
      <c r="AR4083" t="s">
        <v>98</v>
      </c>
      <c r="AS4083" t="s">
        <v>113</v>
      </c>
      <c r="AT4083" t="s">
        <v>615</v>
      </c>
      <c r="AU4083" t="s">
        <v>105</v>
      </c>
      <c r="AV4083" t="s">
        <v>345</v>
      </c>
      <c r="AW4083" t="s">
        <v>103</v>
      </c>
      <c r="AX4083" t="s">
        <v>91</v>
      </c>
      <c r="AY4083" t="s">
        <v>103</v>
      </c>
    </row>
    <row r="4084" spans="1:51" x14ac:dyDescent="0.3">
      <c r="A4084" t="s">
        <v>29</v>
      </c>
      <c r="B4084" t="s">
        <v>767</v>
      </c>
      <c r="C4084">
        <v>154</v>
      </c>
      <c r="D4084" t="s">
        <v>480</v>
      </c>
      <c r="E4084" t="s">
        <v>601</v>
      </c>
      <c r="F4084" t="s">
        <v>1083</v>
      </c>
      <c r="G4084" t="s">
        <v>466</v>
      </c>
      <c r="H4084" t="s">
        <v>113</v>
      </c>
      <c r="I4084" t="s">
        <v>750</v>
      </c>
      <c r="J4084" t="s">
        <v>103</v>
      </c>
      <c r="K4084" t="s">
        <v>100</v>
      </c>
      <c r="L4084" t="s">
        <v>60</v>
      </c>
      <c r="M4084">
        <v>154</v>
      </c>
      <c r="N4084" t="s">
        <v>1357</v>
      </c>
      <c r="O4084" t="s">
        <v>94</v>
      </c>
      <c r="P4084" t="s">
        <v>103</v>
      </c>
      <c r="Q4084" t="s">
        <v>217</v>
      </c>
      <c r="R4084" t="s">
        <v>114</v>
      </c>
      <c r="S4084" t="s">
        <v>103</v>
      </c>
      <c r="T4084" t="s">
        <v>103</v>
      </c>
      <c r="U4084" t="s">
        <v>97</v>
      </c>
      <c r="V4084" t="s">
        <v>103</v>
      </c>
      <c r="W4084">
        <v>154</v>
      </c>
      <c r="X4084" t="s">
        <v>330</v>
      </c>
      <c r="Y4084" t="s">
        <v>737</v>
      </c>
      <c r="Z4084" t="s">
        <v>103</v>
      </c>
      <c r="AA4084" t="s">
        <v>438</v>
      </c>
      <c r="AB4084" t="s">
        <v>113</v>
      </c>
      <c r="AC4084" t="s">
        <v>468</v>
      </c>
      <c r="AD4084" t="s">
        <v>103</v>
      </c>
      <c r="AE4084" t="s">
        <v>103</v>
      </c>
      <c r="AF4084" t="s">
        <v>103</v>
      </c>
      <c r="AG4084">
        <v>154</v>
      </c>
      <c r="AH4084" t="s">
        <v>598</v>
      </c>
      <c r="AI4084" t="s">
        <v>93</v>
      </c>
      <c r="AJ4084" t="s">
        <v>194</v>
      </c>
      <c r="AK4084" t="s">
        <v>128</v>
      </c>
      <c r="AL4084" t="s">
        <v>245</v>
      </c>
      <c r="AM4084" t="s">
        <v>103</v>
      </c>
      <c r="AN4084" t="s">
        <v>103</v>
      </c>
      <c r="AO4084" t="s">
        <v>194</v>
      </c>
      <c r="AP4084">
        <v>154</v>
      </c>
      <c r="AQ4084" t="s">
        <v>1310</v>
      </c>
      <c r="AR4084" t="s">
        <v>103</v>
      </c>
      <c r="AS4084" t="s">
        <v>438</v>
      </c>
      <c r="AT4084" t="s">
        <v>272</v>
      </c>
      <c r="AU4084" t="s">
        <v>105</v>
      </c>
      <c r="AV4084" t="s">
        <v>98</v>
      </c>
      <c r="AW4084" t="s">
        <v>103</v>
      </c>
      <c r="AX4084" t="s">
        <v>103</v>
      </c>
      <c r="AY4084" t="s">
        <v>103</v>
      </c>
    </row>
    <row r="4085" spans="1:51" s="3" customFormat="1" x14ac:dyDescent="0.3">
      <c r="A4085" s="3" t="s">
        <v>28</v>
      </c>
      <c r="B4085" s="3" t="s">
        <v>764</v>
      </c>
      <c r="C4085" s="3">
        <v>20</v>
      </c>
      <c r="D4085" s="3" t="s">
        <v>1016</v>
      </c>
      <c r="E4085" s="3" t="s">
        <v>103</v>
      </c>
      <c r="F4085" s="3" t="s">
        <v>103</v>
      </c>
      <c r="G4085" s="3" t="s">
        <v>467</v>
      </c>
      <c r="H4085" s="3" t="s">
        <v>190</v>
      </c>
      <c r="I4085" s="3" t="s">
        <v>131</v>
      </c>
      <c r="J4085" s="3" t="s">
        <v>103</v>
      </c>
      <c r="K4085" s="3" t="s">
        <v>103</v>
      </c>
      <c r="L4085" s="3" t="s">
        <v>103</v>
      </c>
      <c r="M4085" s="3">
        <v>20</v>
      </c>
      <c r="N4085" s="3" t="s">
        <v>803</v>
      </c>
      <c r="O4085" s="3" t="s">
        <v>103</v>
      </c>
      <c r="P4085" s="3" t="s">
        <v>103</v>
      </c>
      <c r="Q4085" s="3" t="s">
        <v>114</v>
      </c>
      <c r="R4085" s="3" t="s">
        <v>103</v>
      </c>
      <c r="S4085" s="3" t="s">
        <v>103</v>
      </c>
      <c r="T4085" s="3" t="s">
        <v>103</v>
      </c>
      <c r="U4085" s="3" t="s">
        <v>103</v>
      </c>
      <c r="V4085" s="3" t="s">
        <v>103</v>
      </c>
      <c r="W4085" s="3">
        <v>20</v>
      </c>
      <c r="X4085" s="3" t="s">
        <v>827</v>
      </c>
      <c r="Y4085" s="3" t="s">
        <v>118</v>
      </c>
      <c r="Z4085" s="3" t="s">
        <v>103</v>
      </c>
      <c r="AA4085" s="3" t="s">
        <v>103</v>
      </c>
      <c r="AB4085" s="3" t="s">
        <v>594</v>
      </c>
      <c r="AC4085" s="3" t="s">
        <v>103</v>
      </c>
      <c r="AD4085" s="3" t="s">
        <v>103</v>
      </c>
      <c r="AE4085" s="3" t="s">
        <v>103</v>
      </c>
      <c r="AF4085" s="3" t="s">
        <v>103</v>
      </c>
      <c r="AG4085" s="3">
        <v>20</v>
      </c>
      <c r="AH4085" s="3" t="s">
        <v>192</v>
      </c>
      <c r="AI4085" s="3" t="s">
        <v>103</v>
      </c>
      <c r="AJ4085" s="3" t="s">
        <v>103</v>
      </c>
      <c r="AK4085" s="3" t="s">
        <v>103</v>
      </c>
      <c r="AL4085" s="3" t="s">
        <v>103</v>
      </c>
      <c r="AM4085" s="3" t="s">
        <v>103</v>
      </c>
      <c r="AN4085" s="3" t="s">
        <v>103</v>
      </c>
      <c r="AO4085" s="3" t="s">
        <v>103</v>
      </c>
      <c r="AP4085" s="3">
        <v>20</v>
      </c>
      <c r="AQ4085" s="3" t="s">
        <v>633</v>
      </c>
      <c r="AR4085" s="3" t="s">
        <v>103</v>
      </c>
      <c r="AS4085" s="3" t="s">
        <v>103</v>
      </c>
      <c r="AT4085" s="3" t="s">
        <v>114</v>
      </c>
      <c r="AU4085" s="3" t="s">
        <v>257</v>
      </c>
      <c r="AV4085" s="3" t="s">
        <v>103</v>
      </c>
      <c r="AW4085" s="3" t="s">
        <v>103</v>
      </c>
      <c r="AX4085" s="3" t="s">
        <v>103</v>
      </c>
      <c r="AY4085" s="3" t="s">
        <v>103</v>
      </c>
    </row>
    <row r="4086" spans="1:51" x14ac:dyDescent="0.3">
      <c r="A4086" t="s">
        <v>28</v>
      </c>
      <c r="B4086" t="s">
        <v>765</v>
      </c>
      <c r="C4086">
        <v>260</v>
      </c>
      <c r="D4086" t="s">
        <v>381</v>
      </c>
      <c r="E4086" t="s">
        <v>118</v>
      </c>
      <c r="F4086" t="s">
        <v>224</v>
      </c>
      <c r="G4086" t="s">
        <v>607</v>
      </c>
      <c r="H4086" t="s">
        <v>266</v>
      </c>
      <c r="I4086" t="s">
        <v>100</v>
      </c>
      <c r="J4086" t="s">
        <v>103</v>
      </c>
      <c r="K4086" t="s">
        <v>239</v>
      </c>
      <c r="L4086" t="s">
        <v>64</v>
      </c>
      <c r="M4086">
        <v>260</v>
      </c>
      <c r="N4086" t="s">
        <v>1501</v>
      </c>
      <c r="O4086" t="s">
        <v>216</v>
      </c>
      <c r="P4086" t="s">
        <v>194</v>
      </c>
      <c r="Q4086" t="s">
        <v>438</v>
      </c>
      <c r="R4086" t="s">
        <v>122</v>
      </c>
      <c r="S4086" t="s">
        <v>66</v>
      </c>
      <c r="T4086" t="s">
        <v>116</v>
      </c>
      <c r="U4086" t="s">
        <v>103</v>
      </c>
      <c r="V4086" t="s">
        <v>103</v>
      </c>
      <c r="W4086">
        <v>260</v>
      </c>
      <c r="X4086" t="s">
        <v>749</v>
      </c>
      <c r="Y4086" t="s">
        <v>195</v>
      </c>
      <c r="Z4086" t="s">
        <v>97</v>
      </c>
      <c r="AA4086" t="s">
        <v>341</v>
      </c>
      <c r="AB4086" t="s">
        <v>266</v>
      </c>
      <c r="AC4086" t="s">
        <v>257</v>
      </c>
      <c r="AD4086" t="s">
        <v>120</v>
      </c>
      <c r="AE4086" t="s">
        <v>122</v>
      </c>
      <c r="AF4086" t="s">
        <v>103</v>
      </c>
      <c r="AG4086">
        <v>260</v>
      </c>
      <c r="AH4086" t="s">
        <v>1478</v>
      </c>
      <c r="AI4086" t="s">
        <v>66</v>
      </c>
      <c r="AJ4086" t="s">
        <v>95</v>
      </c>
      <c r="AK4086" t="s">
        <v>97</v>
      </c>
      <c r="AL4086" t="s">
        <v>103</v>
      </c>
      <c r="AM4086" t="s">
        <v>103</v>
      </c>
      <c r="AN4086" t="s">
        <v>103</v>
      </c>
      <c r="AO4086" t="s">
        <v>103</v>
      </c>
      <c r="AP4086">
        <v>260</v>
      </c>
      <c r="AQ4086" t="s">
        <v>869</v>
      </c>
      <c r="AR4086" t="s">
        <v>103</v>
      </c>
      <c r="AS4086" t="s">
        <v>345</v>
      </c>
      <c r="AT4086" t="s">
        <v>64</v>
      </c>
      <c r="AU4086" t="s">
        <v>329</v>
      </c>
      <c r="AV4086" t="s">
        <v>66</v>
      </c>
      <c r="AW4086" t="s">
        <v>194</v>
      </c>
      <c r="AX4086" t="s">
        <v>103</v>
      </c>
      <c r="AY4086" t="s">
        <v>103</v>
      </c>
    </row>
    <row r="4087" spans="1:51" x14ac:dyDescent="0.3">
      <c r="A4087" t="s">
        <v>28</v>
      </c>
      <c r="B4087" t="s">
        <v>767</v>
      </c>
      <c r="C4087">
        <v>37</v>
      </c>
      <c r="D4087" t="s">
        <v>403</v>
      </c>
      <c r="E4087" t="s">
        <v>117</v>
      </c>
      <c r="F4087" t="s">
        <v>103</v>
      </c>
      <c r="G4087" t="s">
        <v>494</v>
      </c>
      <c r="H4087" t="s">
        <v>103</v>
      </c>
      <c r="I4087" t="s">
        <v>254</v>
      </c>
      <c r="J4087" t="s">
        <v>103</v>
      </c>
      <c r="K4087" t="s">
        <v>103</v>
      </c>
      <c r="L4087" t="s">
        <v>281</v>
      </c>
      <c r="M4087">
        <v>37</v>
      </c>
      <c r="N4087" t="s">
        <v>611</v>
      </c>
      <c r="O4087" t="s">
        <v>467</v>
      </c>
      <c r="P4087" t="s">
        <v>103</v>
      </c>
      <c r="Q4087" t="s">
        <v>128</v>
      </c>
      <c r="R4087" t="s">
        <v>103</v>
      </c>
      <c r="S4087" t="s">
        <v>103</v>
      </c>
      <c r="T4087" t="s">
        <v>103</v>
      </c>
      <c r="U4087" t="s">
        <v>103</v>
      </c>
      <c r="V4087" t="s">
        <v>103</v>
      </c>
      <c r="W4087">
        <v>37</v>
      </c>
      <c r="X4087" t="s">
        <v>1501</v>
      </c>
      <c r="Y4087" t="s">
        <v>103</v>
      </c>
      <c r="Z4087" t="s">
        <v>103</v>
      </c>
      <c r="AA4087" t="s">
        <v>103</v>
      </c>
      <c r="AB4087" t="s">
        <v>341</v>
      </c>
      <c r="AC4087" t="s">
        <v>70</v>
      </c>
      <c r="AD4087" t="s">
        <v>103</v>
      </c>
      <c r="AE4087" t="s">
        <v>103</v>
      </c>
      <c r="AF4087" t="s">
        <v>103</v>
      </c>
      <c r="AG4087">
        <v>37</v>
      </c>
      <c r="AH4087" t="s">
        <v>863</v>
      </c>
      <c r="AI4087" t="s">
        <v>103</v>
      </c>
      <c r="AJ4087" t="s">
        <v>186</v>
      </c>
      <c r="AK4087" t="s">
        <v>103</v>
      </c>
      <c r="AL4087" t="s">
        <v>103</v>
      </c>
      <c r="AM4087" t="s">
        <v>329</v>
      </c>
      <c r="AN4087" t="s">
        <v>438</v>
      </c>
      <c r="AO4087" t="s">
        <v>103</v>
      </c>
      <c r="AP4087">
        <v>37</v>
      </c>
      <c r="AQ4087" t="s">
        <v>159</v>
      </c>
      <c r="AR4087" t="s">
        <v>103</v>
      </c>
      <c r="AS4087" t="s">
        <v>341</v>
      </c>
      <c r="AT4087" t="s">
        <v>341</v>
      </c>
      <c r="AU4087" t="s">
        <v>438</v>
      </c>
      <c r="AV4087" t="s">
        <v>103</v>
      </c>
      <c r="AW4087" t="s">
        <v>103</v>
      </c>
      <c r="AX4087" t="s">
        <v>438</v>
      </c>
      <c r="AY4087" t="s">
        <v>103</v>
      </c>
    </row>
    <row r="4088" spans="1:51" s="3" customFormat="1" x14ac:dyDescent="0.3">
      <c r="A4088" s="3" t="s">
        <v>27</v>
      </c>
      <c r="B4088" s="3" t="s">
        <v>764</v>
      </c>
      <c r="C4088" s="3">
        <v>29</v>
      </c>
      <c r="D4088" s="3" t="s">
        <v>1181</v>
      </c>
      <c r="E4088" s="3" t="s">
        <v>103</v>
      </c>
      <c r="F4088" s="3" t="s">
        <v>452</v>
      </c>
      <c r="G4088" s="3" t="s">
        <v>103</v>
      </c>
      <c r="H4088" s="3" t="s">
        <v>103</v>
      </c>
      <c r="I4088" s="3" t="s">
        <v>48</v>
      </c>
      <c r="J4088" s="3" t="s">
        <v>103</v>
      </c>
      <c r="K4088" s="3" t="s">
        <v>110</v>
      </c>
      <c r="L4088" s="3" t="s">
        <v>103</v>
      </c>
      <c r="M4088" s="3">
        <v>29</v>
      </c>
      <c r="N4088" s="3" t="s">
        <v>855</v>
      </c>
      <c r="O4088" s="3" t="s">
        <v>103</v>
      </c>
      <c r="P4088" s="3" t="s">
        <v>103</v>
      </c>
      <c r="Q4088" s="3" t="s">
        <v>103</v>
      </c>
      <c r="R4088" s="3" t="s">
        <v>94</v>
      </c>
      <c r="S4088" s="3" t="s">
        <v>103</v>
      </c>
      <c r="T4088" s="3" t="s">
        <v>103</v>
      </c>
      <c r="U4088" s="3" t="s">
        <v>103</v>
      </c>
      <c r="V4088" s="3" t="s">
        <v>103</v>
      </c>
      <c r="W4088" s="3">
        <v>29</v>
      </c>
      <c r="X4088" s="3" t="s">
        <v>806</v>
      </c>
      <c r="Y4088" s="3" t="s">
        <v>94</v>
      </c>
      <c r="Z4088" s="3" t="s">
        <v>103</v>
      </c>
      <c r="AA4088" s="3" t="s">
        <v>272</v>
      </c>
      <c r="AB4088" s="3" t="s">
        <v>140</v>
      </c>
      <c r="AC4088" s="3" t="s">
        <v>103</v>
      </c>
      <c r="AD4088" s="3" t="s">
        <v>68</v>
      </c>
      <c r="AE4088" s="3" t="s">
        <v>103</v>
      </c>
      <c r="AF4088" s="3" t="s">
        <v>103</v>
      </c>
      <c r="AG4088" s="3">
        <v>29</v>
      </c>
      <c r="AH4088" s="3" t="s">
        <v>192</v>
      </c>
      <c r="AI4088" s="3" t="s">
        <v>103</v>
      </c>
      <c r="AJ4088" s="3" t="s">
        <v>103</v>
      </c>
      <c r="AK4088" s="3" t="s">
        <v>103</v>
      </c>
      <c r="AL4088" s="3" t="s">
        <v>103</v>
      </c>
      <c r="AM4088" s="3" t="s">
        <v>103</v>
      </c>
      <c r="AN4088" s="3" t="s">
        <v>103</v>
      </c>
      <c r="AO4088" s="3" t="s">
        <v>103</v>
      </c>
      <c r="AP4088" s="3">
        <v>29</v>
      </c>
      <c r="AQ4088" s="3" t="s">
        <v>1171</v>
      </c>
      <c r="AR4088" s="3" t="s">
        <v>272</v>
      </c>
      <c r="AS4088" s="3" t="s">
        <v>272</v>
      </c>
      <c r="AT4088" s="3" t="s">
        <v>191</v>
      </c>
      <c r="AU4088" s="3" t="s">
        <v>103</v>
      </c>
      <c r="AV4088" s="3" t="s">
        <v>140</v>
      </c>
      <c r="AW4088" s="3" t="s">
        <v>103</v>
      </c>
      <c r="AX4088" s="3" t="s">
        <v>103</v>
      </c>
      <c r="AY4088" s="3" t="s">
        <v>103</v>
      </c>
    </row>
    <row r="4089" spans="1:51" x14ac:dyDescent="0.3">
      <c r="A4089" t="s">
        <v>27</v>
      </c>
      <c r="B4089" t="s">
        <v>765</v>
      </c>
      <c r="C4089">
        <v>209</v>
      </c>
      <c r="D4089" t="s">
        <v>944</v>
      </c>
      <c r="E4089" t="s">
        <v>245</v>
      </c>
      <c r="F4089" t="s">
        <v>558</v>
      </c>
      <c r="G4089" t="s">
        <v>282</v>
      </c>
      <c r="H4089" t="s">
        <v>468</v>
      </c>
      <c r="I4089" t="s">
        <v>734</v>
      </c>
      <c r="J4089" t="s">
        <v>120</v>
      </c>
      <c r="K4089" t="s">
        <v>116</v>
      </c>
      <c r="L4089" t="s">
        <v>98</v>
      </c>
      <c r="M4089">
        <v>209</v>
      </c>
      <c r="N4089" t="s">
        <v>616</v>
      </c>
      <c r="O4089" t="s">
        <v>345</v>
      </c>
      <c r="P4089" t="s">
        <v>97</v>
      </c>
      <c r="Q4089" t="s">
        <v>60</v>
      </c>
      <c r="R4089" t="s">
        <v>120</v>
      </c>
      <c r="S4089" t="s">
        <v>282</v>
      </c>
      <c r="T4089" t="s">
        <v>103</v>
      </c>
      <c r="U4089" t="s">
        <v>103</v>
      </c>
      <c r="V4089" t="s">
        <v>97</v>
      </c>
      <c r="W4089">
        <v>209</v>
      </c>
      <c r="X4089" t="s">
        <v>156</v>
      </c>
      <c r="Y4089" t="s">
        <v>466</v>
      </c>
      <c r="Z4089" t="s">
        <v>110</v>
      </c>
      <c r="AA4089" t="s">
        <v>102</v>
      </c>
      <c r="AB4089" t="s">
        <v>531</v>
      </c>
      <c r="AC4089" t="s">
        <v>239</v>
      </c>
      <c r="AD4089" t="s">
        <v>103</v>
      </c>
      <c r="AE4089" t="s">
        <v>103</v>
      </c>
      <c r="AF4089" t="s">
        <v>97</v>
      </c>
      <c r="AG4089">
        <v>209</v>
      </c>
      <c r="AH4089" t="s">
        <v>71</v>
      </c>
      <c r="AI4089" t="s">
        <v>103</v>
      </c>
      <c r="AJ4089" t="s">
        <v>270</v>
      </c>
      <c r="AK4089" t="s">
        <v>216</v>
      </c>
      <c r="AL4089" t="s">
        <v>103</v>
      </c>
      <c r="AM4089" t="s">
        <v>103</v>
      </c>
      <c r="AN4089" t="s">
        <v>139</v>
      </c>
      <c r="AO4089" t="s">
        <v>103</v>
      </c>
      <c r="AP4089">
        <v>209</v>
      </c>
      <c r="AQ4089" t="s">
        <v>884</v>
      </c>
      <c r="AR4089" t="s">
        <v>103</v>
      </c>
      <c r="AS4089" t="s">
        <v>532</v>
      </c>
      <c r="AT4089" t="s">
        <v>594</v>
      </c>
      <c r="AU4089" t="s">
        <v>127</v>
      </c>
      <c r="AV4089" t="s">
        <v>345</v>
      </c>
      <c r="AW4089" t="s">
        <v>120</v>
      </c>
      <c r="AX4089" t="s">
        <v>122</v>
      </c>
      <c r="AY4089" t="s">
        <v>97</v>
      </c>
    </row>
    <row r="4090" spans="1:51" x14ac:dyDescent="0.3">
      <c r="A4090" t="s">
        <v>27</v>
      </c>
      <c r="B4090" t="s">
        <v>767</v>
      </c>
      <c r="C4090">
        <v>62</v>
      </c>
      <c r="D4090" t="s">
        <v>502</v>
      </c>
      <c r="E4090" t="s">
        <v>70</v>
      </c>
      <c r="F4090" t="s">
        <v>103</v>
      </c>
      <c r="G4090" t="s">
        <v>64</v>
      </c>
      <c r="H4090" t="s">
        <v>64</v>
      </c>
      <c r="I4090" t="s">
        <v>516</v>
      </c>
      <c r="J4090" t="s">
        <v>103</v>
      </c>
      <c r="K4090" t="s">
        <v>652</v>
      </c>
      <c r="L4090" t="s">
        <v>103</v>
      </c>
      <c r="M4090">
        <v>62</v>
      </c>
      <c r="N4090" t="s">
        <v>759</v>
      </c>
      <c r="O4090" t="s">
        <v>112</v>
      </c>
      <c r="P4090" t="s">
        <v>103</v>
      </c>
      <c r="Q4090" t="s">
        <v>272</v>
      </c>
      <c r="R4090" t="s">
        <v>103</v>
      </c>
      <c r="S4090" t="s">
        <v>216</v>
      </c>
      <c r="T4090" t="s">
        <v>103</v>
      </c>
      <c r="U4090" t="s">
        <v>103</v>
      </c>
      <c r="V4090" t="s">
        <v>103</v>
      </c>
      <c r="W4090">
        <v>62</v>
      </c>
      <c r="X4090" t="s">
        <v>720</v>
      </c>
      <c r="Y4090" t="s">
        <v>532</v>
      </c>
      <c r="Z4090" t="s">
        <v>103</v>
      </c>
      <c r="AA4090" t="s">
        <v>113</v>
      </c>
      <c r="AB4090" t="s">
        <v>70</v>
      </c>
      <c r="AC4090" t="s">
        <v>216</v>
      </c>
      <c r="AD4090" t="s">
        <v>110</v>
      </c>
      <c r="AE4090" t="s">
        <v>103</v>
      </c>
      <c r="AF4090" t="s">
        <v>103</v>
      </c>
      <c r="AG4090">
        <v>62</v>
      </c>
      <c r="AH4090" t="s">
        <v>849</v>
      </c>
      <c r="AI4090" t="s">
        <v>103</v>
      </c>
      <c r="AJ4090" t="s">
        <v>216</v>
      </c>
      <c r="AK4090" t="s">
        <v>107</v>
      </c>
      <c r="AL4090" t="s">
        <v>103</v>
      </c>
      <c r="AM4090" t="s">
        <v>103</v>
      </c>
      <c r="AN4090" t="s">
        <v>103</v>
      </c>
      <c r="AO4090" t="s">
        <v>103</v>
      </c>
      <c r="AP4090">
        <v>62</v>
      </c>
      <c r="AQ4090" t="s">
        <v>1131</v>
      </c>
      <c r="AR4090" t="s">
        <v>103</v>
      </c>
      <c r="AS4090" t="s">
        <v>281</v>
      </c>
      <c r="AT4090" t="s">
        <v>201</v>
      </c>
      <c r="AU4090" t="s">
        <v>201</v>
      </c>
      <c r="AV4090" t="s">
        <v>103</v>
      </c>
      <c r="AW4090" t="s">
        <v>103</v>
      </c>
      <c r="AX4090" t="s">
        <v>110</v>
      </c>
      <c r="AY4090" t="s">
        <v>103</v>
      </c>
    </row>
    <row r="4091" spans="1:51" x14ac:dyDescent="0.3">
      <c r="A4091" t="s">
        <v>41</v>
      </c>
      <c r="B4091" t="s">
        <v>764</v>
      </c>
      <c r="C4091">
        <v>149</v>
      </c>
      <c r="D4091" t="s">
        <v>1394</v>
      </c>
      <c r="E4091" t="s">
        <v>251</v>
      </c>
      <c r="F4091" t="s">
        <v>615</v>
      </c>
      <c r="G4091" t="s">
        <v>571</v>
      </c>
      <c r="H4091" t="s">
        <v>205</v>
      </c>
      <c r="I4091" t="s">
        <v>652</v>
      </c>
      <c r="J4091" t="s">
        <v>120</v>
      </c>
      <c r="K4091" t="s">
        <v>266</v>
      </c>
      <c r="L4091" t="s">
        <v>195</v>
      </c>
      <c r="M4091">
        <v>149</v>
      </c>
      <c r="N4091" t="s">
        <v>864</v>
      </c>
      <c r="O4091" t="s">
        <v>329</v>
      </c>
      <c r="P4091" t="s">
        <v>95</v>
      </c>
      <c r="Q4091" t="s">
        <v>118</v>
      </c>
      <c r="R4091" t="s">
        <v>97</v>
      </c>
      <c r="S4091" t="s">
        <v>103</v>
      </c>
      <c r="T4091" t="s">
        <v>103</v>
      </c>
      <c r="U4091" t="s">
        <v>103</v>
      </c>
      <c r="V4091" t="s">
        <v>103</v>
      </c>
      <c r="W4091">
        <v>149</v>
      </c>
      <c r="X4091" t="s">
        <v>738</v>
      </c>
      <c r="Y4091" t="s">
        <v>118</v>
      </c>
      <c r="Z4091" t="s">
        <v>95</v>
      </c>
      <c r="AA4091" t="s">
        <v>116</v>
      </c>
      <c r="AB4091" t="s">
        <v>114</v>
      </c>
      <c r="AC4091" t="s">
        <v>98</v>
      </c>
      <c r="AD4091" t="s">
        <v>66</v>
      </c>
      <c r="AE4091" t="s">
        <v>103</v>
      </c>
      <c r="AF4091" t="s">
        <v>103</v>
      </c>
      <c r="AG4091">
        <v>149</v>
      </c>
      <c r="AH4091" t="s">
        <v>192</v>
      </c>
      <c r="AI4091" t="s">
        <v>103</v>
      </c>
      <c r="AJ4091" t="s">
        <v>103</v>
      </c>
      <c r="AK4091" t="s">
        <v>103</v>
      </c>
      <c r="AL4091" t="s">
        <v>103</v>
      </c>
      <c r="AM4091" t="s">
        <v>103</v>
      </c>
      <c r="AN4091" t="s">
        <v>103</v>
      </c>
      <c r="AO4091" t="s">
        <v>103</v>
      </c>
      <c r="AP4091">
        <v>149</v>
      </c>
      <c r="AQ4091" t="s">
        <v>1310</v>
      </c>
      <c r="AR4091" t="s">
        <v>98</v>
      </c>
      <c r="AS4091" t="s">
        <v>270</v>
      </c>
      <c r="AT4091" t="s">
        <v>195</v>
      </c>
      <c r="AU4091" t="s">
        <v>98</v>
      </c>
      <c r="AV4091" t="s">
        <v>110</v>
      </c>
      <c r="AW4091" t="s">
        <v>103</v>
      </c>
      <c r="AX4091" t="s">
        <v>103</v>
      </c>
      <c r="AY4091" t="s">
        <v>103</v>
      </c>
    </row>
    <row r="4092" spans="1:51" x14ac:dyDescent="0.3">
      <c r="A4092" t="s">
        <v>41</v>
      </c>
      <c r="B4092" t="s">
        <v>765</v>
      </c>
      <c r="C4092">
        <v>1392</v>
      </c>
      <c r="D4092" t="s">
        <v>367</v>
      </c>
      <c r="E4092" t="s">
        <v>191</v>
      </c>
      <c r="F4092" t="s">
        <v>890</v>
      </c>
      <c r="G4092" t="s">
        <v>94</v>
      </c>
      <c r="H4092" t="s">
        <v>281</v>
      </c>
      <c r="I4092" t="s">
        <v>646</v>
      </c>
      <c r="J4092" t="s">
        <v>97</v>
      </c>
      <c r="K4092" t="s">
        <v>493</v>
      </c>
      <c r="L4092" t="s">
        <v>102</v>
      </c>
      <c r="M4092">
        <v>1392</v>
      </c>
      <c r="N4092" t="s">
        <v>158</v>
      </c>
      <c r="O4092" t="s">
        <v>133</v>
      </c>
      <c r="P4092" t="s">
        <v>116</v>
      </c>
      <c r="Q4092" t="s">
        <v>195</v>
      </c>
      <c r="R4092" t="s">
        <v>282</v>
      </c>
      <c r="S4092" t="s">
        <v>468</v>
      </c>
      <c r="T4092" t="s">
        <v>116</v>
      </c>
      <c r="U4092" t="s">
        <v>91</v>
      </c>
      <c r="V4092" t="s">
        <v>103</v>
      </c>
      <c r="W4092">
        <v>1392</v>
      </c>
      <c r="X4092" t="s">
        <v>1371</v>
      </c>
      <c r="Y4092" t="s">
        <v>70</v>
      </c>
      <c r="Z4092" t="s">
        <v>139</v>
      </c>
      <c r="AA4092" t="s">
        <v>188</v>
      </c>
      <c r="AB4092" t="s">
        <v>64</v>
      </c>
      <c r="AC4092" t="s">
        <v>208</v>
      </c>
      <c r="AD4092" t="s">
        <v>98</v>
      </c>
      <c r="AE4092" t="s">
        <v>103</v>
      </c>
      <c r="AF4092" t="s">
        <v>66</v>
      </c>
      <c r="AG4092">
        <v>1392</v>
      </c>
      <c r="AH4092" t="s">
        <v>71</v>
      </c>
      <c r="AI4092" t="s">
        <v>282</v>
      </c>
      <c r="AJ4092" t="s">
        <v>216</v>
      </c>
      <c r="AK4092" t="s">
        <v>98</v>
      </c>
      <c r="AL4092" t="s">
        <v>120</v>
      </c>
      <c r="AM4092" t="s">
        <v>122</v>
      </c>
      <c r="AN4092" t="s">
        <v>97</v>
      </c>
      <c r="AO4092" t="s">
        <v>116</v>
      </c>
      <c r="AP4092">
        <v>1392</v>
      </c>
      <c r="AQ4092" t="s">
        <v>863</v>
      </c>
      <c r="AR4092" t="s">
        <v>122</v>
      </c>
      <c r="AS4092" t="s">
        <v>266</v>
      </c>
      <c r="AT4092" t="s">
        <v>102</v>
      </c>
      <c r="AU4092" t="s">
        <v>239</v>
      </c>
      <c r="AV4092" t="s">
        <v>98</v>
      </c>
      <c r="AW4092" t="s">
        <v>66</v>
      </c>
      <c r="AX4092" t="s">
        <v>116</v>
      </c>
      <c r="AY4092" t="s">
        <v>91</v>
      </c>
    </row>
    <row r="4093" spans="1:51" x14ac:dyDescent="0.3">
      <c r="A4093" t="s">
        <v>41</v>
      </c>
      <c r="B4093" t="s">
        <v>767</v>
      </c>
      <c r="C4093">
        <v>497</v>
      </c>
      <c r="D4093" t="s">
        <v>427</v>
      </c>
      <c r="E4093" t="s">
        <v>549</v>
      </c>
      <c r="F4093" t="s">
        <v>162</v>
      </c>
      <c r="G4093" t="s">
        <v>251</v>
      </c>
      <c r="H4093" t="s">
        <v>281</v>
      </c>
      <c r="I4093" t="s">
        <v>925</v>
      </c>
      <c r="J4093" t="s">
        <v>103</v>
      </c>
      <c r="K4093" t="s">
        <v>112</v>
      </c>
      <c r="L4093" t="s">
        <v>133</v>
      </c>
      <c r="M4093">
        <v>497</v>
      </c>
      <c r="N4093" t="s">
        <v>974</v>
      </c>
      <c r="O4093" t="s">
        <v>615</v>
      </c>
      <c r="P4093" t="s">
        <v>103</v>
      </c>
      <c r="Q4093" t="s">
        <v>68</v>
      </c>
      <c r="R4093" t="s">
        <v>266</v>
      </c>
      <c r="S4093" t="s">
        <v>91</v>
      </c>
      <c r="T4093" t="s">
        <v>103</v>
      </c>
      <c r="U4093" t="s">
        <v>120</v>
      </c>
      <c r="V4093" t="s">
        <v>103</v>
      </c>
      <c r="W4093">
        <v>497</v>
      </c>
      <c r="X4093" t="s">
        <v>176</v>
      </c>
      <c r="Y4093" t="s">
        <v>206</v>
      </c>
      <c r="Z4093" t="s">
        <v>91</v>
      </c>
      <c r="AA4093" t="s">
        <v>68</v>
      </c>
      <c r="AB4093" t="s">
        <v>467</v>
      </c>
      <c r="AC4093" t="s">
        <v>139</v>
      </c>
      <c r="AD4093" t="s">
        <v>91</v>
      </c>
      <c r="AE4093" t="s">
        <v>103</v>
      </c>
      <c r="AF4093" t="s">
        <v>103</v>
      </c>
      <c r="AG4093">
        <v>497</v>
      </c>
      <c r="AH4093" t="s">
        <v>1501</v>
      </c>
      <c r="AI4093" t="s">
        <v>216</v>
      </c>
      <c r="AJ4093" t="s">
        <v>239</v>
      </c>
      <c r="AK4093" t="s">
        <v>93</v>
      </c>
      <c r="AL4093" t="s">
        <v>98</v>
      </c>
      <c r="AM4093" t="s">
        <v>103</v>
      </c>
      <c r="AN4093" t="s">
        <v>116</v>
      </c>
      <c r="AO4093" t="s">
        <v>95</v>
      </c>
      <c r="AP4093">
        <v>497</v>
      </c>
      <c r="AQ4093" t="s">
        <v>882</v>
      </c>
      <c r="AR4093" t="s">
        <v>103</v>
      </c>
      <c r="AS4093" t="s">
        <v>257</v>
      </c>
      <c r="AT4093" t="s">
        <v>341</v>
      </c>
      <c r="AU4093" t="s">
        <v>239</v>
      </c>
      <c r="AV4093" t="s">
        <v>95</v>
      </c>
      <c r="AW4093" t="s">
        <v>103</v>
      </c>
      <c r="AX4093" t="s">
        <v>116</v>
      </c>
      <c r="AY4093" t="s">
        <v>103</v>
      </c>
    </row>
    <row r="4095" spans="1:51" x14ac:dyDescent="0.3">
      <c r="A4095" t="s">
        <v>1639</v>
      </c>
    </row>
    <row r="4096" spans="1:51" x14ac:dyDescent="0.3">
      <c r="A4096" t="s">
        <v>36</v>
      </c>
      <c r="B4096" t="s">
        <v>24</v>
      </c>
      <c r="C4096" t="s">
        <v>1640</v>
      </c>
      <c r="D4096" t="s">
        <v>1641</v>
      </c>
      <c r="E4096" t="s">
        <v>1642</v>
      </c>
    </row>
    <row r="4097" spans="1:6" x14ac:dyDescent="0.3">
      <c r="A4097" t="s">
        <v>25</v>
      </c>
      <c r="B4097">
        <v>407</v>
      </c>
      <c r="C4097" t="s">
        <v>215</v>
      </c>
      <c r="D4097" t="s">
        <v>494</v>
      </c>
      <c r="E4097" t="s">
        <v>188</v>
      </c>
    </row>
    <row r="4098" spans="1:6" x14ac:dyDescent="0.3">
      <c r="A4098" t="s">
        <v>26</v>
      </c>
      <c r="B4098">
        <v>477</v>
      </c>
      <c r="C4098" t="s">
        <v>1027</v>
      </c>
      <c r="D4098" t="s">
        <v>284</v>
      </c>
      <c r="E4098" t="s">
        <v>245</v>
      </c>
    </row>
    <row r="4099" spans="1:6" x14ac:dyDescent="0.3">
      <c r="A4099" t="s">
        <v>29</v>
      </c>
      <c r="B4099">
        <v>528</v>
      </c>
      <c r="C4099" t="s">
        <v>158</v>
      </c>
      <c r="D4099" t="s">
        <v>482</v>
      </c>
      <c r="E4099" t="s">
        <v>128</v>
      </c>
    </row>
    <row r="4100" spans="1:6" x14ac:dyDescent="0.3">
      <c r="A4100" t="s">
        <v>28</v>
      </c>
      <c r="B4100">
        <v>301</v>
      </c>
      <c r="C4100" t="s">
        <v>863</v>
      </c>
      <c r="D4100" t="s">
        <v>124</v>
      </c>
      <c r="E4100" t="s">
        <v>128</v>
      </c>
    </row>
    <row r="4101" spans="1:6" x14ac:dyDescent="0.3">
      <c r="A4101" t="s">
        <v>27</v>
      </c>
      <c r="B4101">
        <v>293</v>
      </c>
      <c r="C4101" t="s">
        <v>71</v>
      </c>
      <c r="D4101" t="s">
        <v>284</v>
      </c>
      <c r="E4101" t="s">
        <v>66</v>
      </c>
    </row>
    <row r="4102" spans="1:6" x14ac:dyDescent="0.3">
      <c r="A4102" t="s">
        <v>41</v>
      </c>
      <c r="B4102">
        <v>2006</v>
      </c>
      <c r="C4102" t="s">
        <v>818</v>
      </c>
      <c r="D4102" t="s">
        <v>100</v>
      </c>
      <c r="E4102" t="s">
        <v>128</v>
      </c>
    </row>
    <row r="4104" spans="1:6" x14ac:dyDescent="0.3">
      <c r="A4104" t="s">
        <v>1643</v>
      </c>
    </row>
    <row r="4105" spans="1:6" x14ac:dyDescent="0.3">
      <c r="A4105" t="s">
        <v>36</v>
      </c>
      <c r="B4105" t="s">
        <v>307</v>
      </c>
      <c r="C4105" t="s">
        <v>24</v>
      </c>
      <c r="D4105" t="s">
        <v>1640</v>
      </c>
      <c r="E4105" t="s">
        <v>1641</v>
      </c>
      <c r="F4105" t="s">
        <v>1642</v>
      </c>
    </row>
    <row r="4106" spans="1:6" x14ac:dyDescent="0.3">
      <c r="A4106" t="s">
        <v>25</v>
      </c>
      <c r="B4106" t="s">
        <v>291</v>
      </c>
      <c r="C4106">
        <v>153</v>
      </c>
      <c r="D4106" t="s">
        <v>744</v>
      </c>
      <c r="E4106" t="s">
        <v>601</v>
      </c>
      <c r="F4106" t="s">
        <v>195</v>
      </c>
    </row>
    <row r="4107" spans="1:6" x14ac:dyDescent="0.3">
      <c r="A4107" t="s">
        <v>25</v>
      </c>
      <c r="B4107" t="s">
        <v>292</v>
      </c>
      <c r="C4107">
        <v>250</v>
      </c>
      <c r="D4107" t="s">
        <v>771</v>
      </c>
      <c r="E4107" t="s">
        <v>140</v>
      </c>
      <c r="F4107" t="s">
        <v>113</v>
      </c>
    </row>
    <row r="4108" spans="1:6" x14ac:dyDescent="0.3">
      <c r="A4108" t="s">
        <v>25</v>
      </c>
      <c r="B4108" t="s">
        <v>308</v>
      </c>
      <c r="C4108">
        <v>4</v>
      </c>
      <c r="D4108" t="s">
        <v>192</v>
      </c>
      <c r="E4108" t="s">
        <v>103</v>
      </c>
      <c r="F4108" t="s">
        <v>103</v>
      </c>
    </row>
    <row r="4109" spans="1:6" x14ac:dyDescent="0.3">
      <c r="A4109" t="s">
        <v>26</v>
      </c>
      <c r="B4109" t="s">
        <v>291</v>
      </c>
      <c r="C4109">
        <v>122</v>
      </c>
      <c r="D4109" t="s">
        <v>744</v>
      </c>
      <c r="E4109" t="s">
        <v>108</v>
      </c>
      <c r="F4109" t="s">
        <v>114</v>
      </c>
    </row>
    <row r="4110" spans="1:6" x14ac:dyDescent="0.3">
      <c r="A4110" t="s">
        <v>26</v>
      </c>
      <c r="B4110" t="s">
        <v>292</v>
      </c>
      <c r="C4110">
        <v>352</v>
      </c>
      <c r="D4110" t="s">
        <v>850</v>
      </c>
      <c r="E4110" t="s">
        <v>591</v>
      </c>
      <c r="F4110" t="s">
        <v>98</v>
      </c>
    </row>
    <row r="4111" spans="1:6" x14ac:dyDescent="0.3">
      <c r="A4111" t="s">
        <v>26</v>
      </c>
      <c r="B4111" t="s">
        <v>308</v>
      </c>
      <c r="C4111">
        <v>3</v>
      </c>
      <c r="D4111" t="s">
        <v>192</v>
      </c>
      <c r="E4111" t="s">
        <v>103</v>
      </c>
      <c r="F4111" t="s">
        <v>103</v>
      </c>
    </row>
    <row r="4112" spans="1:6" x14ac:dyDescent="0.3">
      <c r="A4112" t="s">
        <v>29</v>
      </c>
      <c r="B4112" t="s">
        <v>291</v>
      </c>
      <c r="C4112">
        <v>204</v>
      </c>
      <c r="D4112" t="s">
        <v>176</v>
      </c>
      <c r="E4112" t="s">
        <v>463</v>
      </c>
      <c r="F4112" t="s">
        <v>341</v>
      </c>
    </row>
    <row r="4113" spans="1:6" x14ac:dyDescent="0.3">
      <c r="A4113" t="s">
        <v>29</v>
      </c>
      <c r="B4113" t="s">
        <v>292</v>
      </c>
      <c r="C4113">
        <v>324</v>
      </c>
      <c r="D4113" t="s">
        <v>889</v>
      </c>
      <c r="E4113" t="s">
        <v>126</v>
      </c>
      <c r="F4113" t="s">
        <v>217</v>
      </c>
    </row>
    <row r="4114" spans="1:6" x14ac:dyDescent="0.3">
      <c r="A4114" t="s">
        <v>28</v>
      </c>
      <c r="B4114" t="s">
        <v>291</v>
      </c>
      <c r="C4114">
        <v>111</v>
      </c>
      <c r="D4114" t="s">
        <v>622</v>
      </c>
      <c r="E4114" t="s">
        <v>148</v>
      </c>
      <c r="F4114" t="s">
        <v>68</v>
      </c>
    </row>
    <row r="4115" spans="1:6" x14ac:dyDescent="0.3">
      <c r="A4115" t="s">
        <v>28</v>
      </c>
      <c r="B4115" t="s">
        <v>292</v>
      </c>
      <c r="C4115">
        <v>178</v>
      </c>
      <c r="D4115" t="s">
        <v>611</v>
      </c>
      <c r="E4115" t="s">
        <v>186</v>
      </c>
      <c r="F4115" t="s">
        <v>216</v>
      </c>
    </row>
    <row r="4116" spans="1:6" x14ac:dyDescent="0.3">
      <c r="A4116" t="s">
        <v>28</v>
      </c>
      <c r="B4116" t="s">
        <v>308</v>
      </c>
      <c r="C4116">
        <v>12</v>
      </c>
      <c r="D4116" t="s">
        <v>859</v>
      </c>
      <c r="E4116" t="s">
        <v>103</v>
      </c>
      <c r="F4116" t="s">
        <v>112</v>
      </c>
    </row>
    <row r="4117" spans="1:6" x14ac:dyDescent="0.3">
      <c r="A4117" t="s">
        <v>27</v>
      </c>
      <c r="B4117" t="s">
        <v>291</v>
      </c>
      <c r="C4117">
        <v>92</v>
      </c>
      <c r="D4117" t="s">
        <v>288</v>
      </c>
      <c r="E4117" t="s">
        <v>281</v>
      </c>
      <c r="F4117" t="s">
        <v>139</v>
      </c>
    </row>
    <row r="4118" spans="1:6" x14ac:dyDescent="0.3">
      <c r="A4118" t="s">
        <v>27</v>
      </c>
      <c r="B4118" t="s">
        <v>292</v>
      </c>
      <c r="C4118">
        <v>194</v>
      </c>
      <c r="D4118" t="s">
        <v>289</v>
      </c>
      <c r="E4118" t="s">
        <v>281</v>
      </c>
      <c r="F4118" t="s">
        <v>103</v>
      </c>
    </row>
    <row r="4119" spans="1:6" x14ac:dyDescent="0.3">
      <c r="A4119" t="s">
        <v>27</v>
      </c>
      <c r="B4119" t="s">
        <v>308</v>
      </c>
      <c r="C4119">
        <v>7</v>
      </c>
      <c r="D4119" t="s">
        <v>192</v>
      </c>
      <c r="E4119" t="s">
        <v>103</v>
      </c>
      <c r="F4119" t="s">
        <v>103</v>
      </c>
    </row>
    <row r="4120" spans="1:6" x14ac:dyDescent="0.3">
      <c r="A4120" t="s">
        <v>41</v>
      </c>
      <c r="B4120" t="s">
        <v>291</v>
      </c>
      <c r="C4120">
        <v>682</v>
      </c>
      <c r="D4120" t="s">
        <v>187</v>
      </c>
      <c r="E4120" t="s">
        <v>652</v>
      </c>
      <c r="F4120" t="s">
        <v>257</v>
      </c>
    </row>
    <row r="4121" spans="1:6" x14ac:dyDescent="0.3">
      <c r="A4121" t="s">
        <v>41</v>
      </c>
      <c r="B4121" t="s">
        <v>292</v>
      </c>
      <c r="C4121">
        <v>1298</v>
      </c>
      <c r="D4121" t="s">
        <v>871</v>
      </c>
      <c r="E4121" t="s">
        <v>466</v>
      </c>
      <c r="F4121" t="s">
        <v>93</v>
      </c>
    </row>
    <row r="4122" spans="1:6" x14ac:dyDescent="0.3">
      <c r="A4122" t="s">
        <v>41</v>
      </c>
      <c r="B4122" t="s">
        <v>308</v>
      </c>
      <c r="C4122">
        <v>26</v>
      </c>
      <c r="D4122" t="s">
        <v>340</v>
      </c>
      <c r="E4122" t="s">
        <v>103</v>
      </c>
      <c r="F4122" t="s">
        <v>216</v>
      </c>
    </row>
    <row r="4124" spans="1:6" x14ac:dyDescent="0.3">
      <c r="A4124" t="s">
        <v>1644</v>
      </c>
    </row>
    <row r="4125" spans="1:6" x14ac:dyDescent="0.3">
      <c r="A4125" t="s">
        <v>36</v>
      </c>
      <c r="B4125" t="s">
        <v>310</v>
      </c>
      <c r="C4125" t="s">
        <v>24</v>
      </c>
      <c r="D4125" t="s">
        <v>1640</v>
      </c>
      <c r="E4125" t="s">
        <v>1641</v>
      </c>
      <c r="F4125" t="s">
        <v>1642</v>
      </c>
    </row>
    <row r="4126" spans="1:6" x14ac:dyDescent="0.3">
      <c r="A4126" t="s">
        <v>25</v>
      </c>
      <c r="B4126" t="s">
        <v>311</v>
      </c>
      <c r="C4126">
        <v>318</v>
      </c>
      <c r="D4126" t="s">
        <v>241</v>
      </c>
      <c r="E4126" t="s">
        <v>101</v>
      </c>
      <c r="F4126" t="s">
        <v>113</v>
      </c>
    </row>
    <row r="4127" spans="1:6" x14ac:dyDescent="0.3">
      <c r="A4127" t="s">
        <v>25</v>
      </c>
      <c r="B4127" t="s">
        <v>312</v>
      </c>
      <c r="C4127">
        <v>79</v>
      </c>
      <c r="D4127" t="s">
        <v>771</v>
      </c>
      <c r="E4127" t="s">
        <v>137</v>
      </c>
      <c r="F4127" t="s">
        <v>341</v>
      </c>
    </row>
    <row r="4128" spans="1:6" x14ac:dyDescent="0.3">
      <c r="A4128" t="s">
        <v>25</v>
      </c>
      <c r="B4128" t="s">
        <v>308</v>
      </c>
      <c r="C4128">
        <v>10</v>
      </c>
      <c r="D4128" t="s">
        <v>1310</v>
      </c>
      <c r="E4128" t="s">
        <v>247</v>
      </c>
      <c r="F4128" t="s">
        <v>103</v>
      </c>
    </row>
    <row r="4129" spans="1:6" x14ac:dyDescent="0.3">
      <c r="A4129" t="s">
        <v>26</v>
      </c>
      <c r="B4129" t="s">
        <v>311</v>
      </c>
      <c r="C4129">
        <v>343</v>
      </c>
      <c r="D4129" t="s">
        <v>1355</v>
      </c>
      <c r="E4129" t="s">
        <v>33</v>
      </c>
      <c r="F4129" t="s">
        <v>341</v>
      </c>
    </row>
    <row r="4130" spans="1:6" x14ac:dyDescent="0.3">
      <c r="A4130" t="s">
        <v>26</v>
      </c>
      <c r="B4130" t="s">
        <v>312</v>
      </c>
      <c r="C4130">
        <v>96</v>
      </c>
      <c r="D4130" t="s">
        <v>1167</v>
      </c>
      <c r="E4130" t="s">
        <v>281</v>
      </c>
      <c r="F4130" t="s">
        <v>239</v>
      </c>
    </row>
    <row r="4131" spans="1:6" x14ac:dyDescent="0.3">
      <c r="A4131" t="s">
        <v>26</v>
      </c>
      <c r="B4131" t="s">
        <v>308</v>
      </c>
      <c r="C4131">
        <v>38</v>
      </c>
      <c r="D4131" t="s">
        <v>781</v>
      </c>
      <c r="E4131" t="s">
        <v>284</v>
      </c>
      <c r="F4131" t="s">
        <v>103</v>
      </c>
    </row>
    <row r="4132" spans="1:6" x14ac:dyDescent="0.3">
      <c r="A4132" t="s">
        <v>29</v>
      </c>
      <c r="B4132" t="s">
        <v>311</v>
      </c>
      <c r="C4132">
        <v>413</v>
      </c>
      <c r="D4132" t="s">
        <v>176</v>
      </c>
      <c r="E4132" t="s">
        <v>543</v>
      </c>
      <c r="F4132" t="s">
        <v>270</v>
      </c>
    </row>
    <row r="4133" spans="1:6" x14ac:dyDescent="0.3">
      <c r="A4133" t="s">
        <v>29</v>
      </c>
      <c r="B4133" t="s">
        <v>312</v>
      </c>
      <c r="C4133">
        <v>102</v>
      </c>
      <c r="D4133" t="s">
        <v>896</v>
      </c>
      <c r="E4133" t="s">
        <v>133</v>
      </c>
      <c r="F4133" t="s">
        <v>103</v>
      </c>
    </row>
    <row r="4134" spans="1:6" x14ac:dyDescent="0.3">
      <c r="A4134" t="s">
        <v>29</v>
      </c>
      <c r="B4134" t="s">
        <v>308</v>
      </c>
      <c r="C4134">
        <v>13</v>
      </c>
      <c r="D4134" t="s">
        <v>192</v>
      </c>
      <c r="E4134" t="s">
        <v>103</v>
      </c>
      <c r="F4134" t="s">
        <v>103</v>
      </c>
    </row>
    <row r="4135" spans="1:6" x14ac:dyDescent="0.3">
      <c r="A4135" t="s">
        <v>28</v>
      </c>
      <c r="B4135" t="s">
        <v>311</v>
      </c>
      <c r="C4135">
        <v>215</v>
      </c>
      <c r="D4135" t="s">
        <v>863</v>
      </c>
      <c r="E4135" t="s">
        <v>101</v>
      </c>
      <c r="F4135" t="s">
        <v>257</v>
      </c>
    </row>
    <row r="4136" spans="1:6" x14ac:dyDescent="0.3">
      <c r="A4136" t="s">
        <v>28</v>
      </c>
      <c r="B4136" t="s">
        <v>312</v>
      </c>
      <c r="C4136">
        <v>86</v>
      </c>
      <c r="D4136" t="s">
        <v>193</v>
      </c>
      <c r="E4136" t="s">
        <v>205</v>
      </c>
      <c r="F4136" t="s">
        <v>245</v>
      </c>
    </row>
    <row r="4137" spans="1:6" x14ac:dyDescent="0.3">
      <c r="A4137" t="s">
        <v>27</v>
      </c>
      <c r="B4137" t="s">
        <v>311</v>
      </c>
      <c r="C4137">
        <v>232</v>
      </c>
      <c r="D4137" t="s">
        <v>287</v>
      </c>
      <c r="E4137" t="s">
        <v>188</v>
      </c>
      <c r="F4137" t="s">
        <v>116</v>
      </c>
    </row>
    <row r="4138" spans="1:6" x14ac:dyDescent="0.3">
      <c r="A4138" t="s">
        <v>27</v>
      </c>
      <c r="B4138" t="s">
        <v>312</v>
      </c>
      <c r="C4138">
        <v>58</v>
      </c>
      <c r="D4138" t="s">
        <v>783</v>
      </c>
      <c r="E4138" t="s">
        <v>481</v>
      </c>
      <c r="F4138" t="s">
        <v>103</v>
      </c>
    </row>
    <row r="4139" spans="1:6" x14ac:dyDescent="0.3">
      <c r="A4139" t="s">
        <v>27</v>
      </c>
      <c r="B4139" t="s">
        <v>308</v>
      </c>
      <c r="C4139">
        <v>3</v>
      </c>
      <c r="D4139" t="s">
        <v>192</v>
      </c>
      <c r="E4139" t="s">
        <v>103</v>
      </c>
      <c r="F4139" t="s">
        <v>103</v>
      </c>
    </row>
    <row r="4140" spans="1:6" x14ac:dyDescent="0.3">
      <c r="A4140" t="s">
        <v>41</v>
      </c>
      <c r="B4140" t="s">
        <v>311</v>
      </c>
      <c r="C4140">
        <v>1521</v>
      </c>
      <c r="D4140" t="s">
        <v>159</v>
      </c>
      <c r="E4140" t="s">
        <v>108</v>
      </c>
      <c r="F4140" t="s">
        <v>64</v>
      </c>
    </row>
    <row r="4141" spans="1:6" x14ac:dyDescent="0.3">
      <c r="A4141" t="s">
        <v>41</v>
      </c>
      <c r="B4141" t="s">
        <v>312</v>
      </c>
      <c r="C4141">
        <v>421</v>
      </c>
      <c r="D4141" t="s">
        <v>207</v>
      </c>
      <c r="E4141" t="s">
        <v>251</v>
      </c>
      <c r="F4141" t="s">
        <v>139</v>
      </c>
    </row>
    <row r="4142" spans="1:6" x14ac:dyDescent="0.3">
      <c r="A4142" t="s">
        <v>41</v>
      </c>
      <c r="B4142" t="s">
        <v>308</v>
      </c>
      <c r="C4142">
        <v>64</v>
      </c>
      <c r="D4142" t="s">
        <v>861</v>
      </c>
      <c r="E4142" t="s">
        <v>113</v>
      </c>
      <c r="F4142" t="s">
        <v>103</v>
      </c>
    </row>
    <row r="4144" spans="1:6" x14ac:dyDescent="0.3">
      <c r="A4144" t="s">
        <v>1645</v>
      </c>
    </row>
    <row r="4145" spans="1:6" x14ac:dyDescent="0.3">
      <c r="A4145" t="s">
        <v>36</v>
      </c>
      <c r="B4145" t="s">
        <v>197</v>
      </c>
      <c r="C4145" t="s">
        <v>24</v>
      </c>
      <c r="D4145" t="s">
        <v>1640</v>
      </c>
      <c r="E4145" t="s">
        <v>1641</v>
      </c>
      <c r="F4145" t="s">
        <v>1642</v>
      </c>
    </row>
    <row r="4146" spans="1:6" x14ac:dyDescent="0.3">
      <c r="A4146" t="s">
        <v>25</v>
      </c>
      <c r="B4146" t="s">
        <v>198</v>
      </c>
      <c r="C4146">
        <v>102</v>
      </c>
      <c r="D4146" t="s">
        <v>710</v>
      </c>
      <c r="E4146" t="s">
        <v>107</v>
      </c>
      <c r="F4146" t="s">
        <v>114</v>
      </c>
    </row>
    <row r="4147" spans="1:6" x14ac:dyDescent="0.3">
      <c r="A4147" t="s">
        <v>25</v>
      </c>
      <c r="B4147" t="s">
        <v>199</v>
      </c>
      <c r="C4147">
        <v>305</v>
      </c>
      <c r="D4147" t="s">
        <v>246</v>
      </c>
      <c r="E4147" t="s">
        <v>737</v>
      </c>
      <c r="F4147" t="s">
        <v>493</v>
      </c>
    </row>
    <row r="4148" spans="1:6" x14ac:dyDescent="0.3">
      <c r="A4148" t="s">
        <v>26</v>
      </c>
      <c r="B4148" t="s">
        <v>198</v>
      </c>
      <c r="C4148">
        <v>41</v>
      </c>
      <c r="D4148" t="s">
        <v>988</v>
      </c>
      <c r="E4148" t="s">
        <v>467</v>
      </c>
      <c r="F4148" t="s">
        <v>103</v>
      </c>
    </row>
    <row r="4149" spans="1:6" x14ac:dyDescent="0.3">
      <c r="A4149" t="s">
        <v>26</v>
      </c>
      <c r="B4149" t="s">
        <v>199</v>
      </c>
      <c r="C4149">
        <v>436</v>
      </c>
      <c r="D4149" t="s">
        <v>1355</v>
      </c>
      <c r="E4149" t="s">
        <v>278</v>
      </c>
      <c r="F4149" t="s">
        <v>245</v>
      </c>
    </row>
    <row r="4150" spans="1:6" x14ac:dyDescent="0.3">
      <c r="A4150" t="s">
        <v>29</v>
      </c>
      <c r="B4150" t="s">
        <v>198</v>
      </c>
      <c r="C4150">
        <v>169</v>
      </c>
      <c r="D4150" t="s">
        <v>871</v>
      </c>
      <c r="E4150" t="s">
        <v>494</v>
      </c>
      <c r="F4150" t="s">
        <v>468</v>
      </c>
    </row>
    <row r="4151" spans="1:6" x14ac:dyDescent="0.3">
      <c r="A4151" t="s">
        <v>29</v>
      </c>
      <c r="B4151" t="s">
        <v>199</v>
      </c>
      <c r="C4151">
        <v>359</v>
      </c>
      <c r="D4151" t="s">
        <v>149</v>
      </c>
      <c r="E4151" t="s">
        <v>459</v>
      </c>
      <c r="F4151" t="s">
        <v>270</v>
      </c>
    </row>
    <row r="4152" spans="1:6" x14ac:dyDescent="0.3">
      <c r="A4152" t="s">
        <v>28</v>
      </c>
      <c r="B4152" t="s">
        <v>198</v>
      </c>
      <c r="C4152">
        <v>66</v>
      </c>
      <c r="D4152" t="s">
        <v>859</v>
      </c>
      <c r="E4152" t="s">
        <v>112</v>
      </c>
      <c r="F4152" t="s">
        <v>103</v>
      </c>
    </row>
    <row r="4153" spans="1:6" x14ac:dyDescent="0.3">
      <c r="A4153" t="s">
        <v>28</v>
      </c>
      <c r="B4153" t="s">
        <v>199</v>
      </c>
      <c r="C4153">
        <v>235</v>
      </c>
      <c r="D4153" t="s">
        <v>776</v>
      </c>
      <c r="E4153" t="s">
        <v>108</v>
      </c>
      <c r="F4153" t="s">
        <v>68</v>
      </c>
    </row>
    <row r="4154" spans="1:6" x14ac:dyDescent="0.3">
      <c r="A4154" t="s">
        <v>27</v>
      </c>
      <c r="B4154" t="s">
        <v>198</v>
      </c>
      <c r="C4154">
        <v>135</v>
      </c>
      <c r="D4154" t="s">
        <v>213</v>
      </c>
      <c r="E4154" t="s">
        <v>214</v>
      </c>
      <c r="F4154" t="s">
        <v>103</v>
      </c>
    </row>
    <row r="4155" spans="1:6" x14ac:dyDescent="0.3">
      <c r="A4155" t="s">
        <v>27</v>
      </c>
      <c r="B4155" t="s">
        <v>199</v>
      </c>
      <c r="C4155">
        <v>158</v>
      </c>
      <c r="D4155" t="s">
        <v>864</v>
      </c>
      <c r="E4155" t="s">
        <v>70</v>
      </c>
      <c r="F4155" t="s">
        <v>122</v>
      </c>
    </row>
    <row r="4156" spans="1:6" x14ac:dyDescent="0.3">
      <c r="A4156" t="s">
        <v>41</v>
      </c>
      <c r="B4156" t="s">
        <v>198</v>
      </c>
      <c r="C4156">
        <v>513</v>
      </c>
      <c r="D4156" t="s">
        <v>203</v>
      </c>
      <c r="E4156" t="s">
        <v>466</v>
      </c>
      <c r="F4156" t="s">
        <v>110</v>
      </c>
    </row>
    <row r="4157" spans="1:6" x14ac:dyDescent="0.3">
      <c r="A4157" t="s">
        <v>41</v>
      </c>
      <c r="B4157" t="s">
        <v>199</v>
      </c>
      <c r="C4157">
        <v>1493</v>
      </c>
      <c r="D4157" t="s">
        <v>614</v>
      </c>
      <c r="E4157" t="s">
        <v>108</v>
      </c>
      <c r="F4157" t="s">
        <v>217</v>
      </c>
    </row>
    <row r="4159" spans="1:6" x14ac:dyDescent="0.3">
      <c r="A4159" t="s">
        <v>1646</v>
      </c>
    </row>
    <row r="4160" spans="1:6" x14ac:dyDescent="0.3">
      <c r="A4160" t="s">
        <v>36</v>
      </c>
      <c r="B4160" t="s">
        <v>1647</v>
      </c>
      <c r="C4160" t="s">
        <v>24</v>
      </c>
      <c r="D4160" t="s">
        <v>1640</v>
      </c>
      <c r="E4160" t="s">
        <v>1641</v>
      </c>
      <c r="F4160" t="s">
        <v>1642</v>
      </c>
    </row>
    <row r="4161" spans="1:6" x14ac:dyDescent="0.3">
      <c r="A4161" t="s">
        <v>25</v>
      </c>
      <c r="B4161" t="s">
        <v>1648</v>
      </c>
      <c r="C4161">
        <v>142</v>
      </c>
      <c r="D4161" t="s">
        <v>616</v>
      </c>
      <c r="E4161" t="s">
        <v>511</v>
      </c>
      <c r="F4161" t="s">
        <v>114</v>
      </c>
    </row>
    <row r="4162" spans="1:6" x14ac:dyDescent="0.3">
      <c r="A4162" t="s">
        <v>25</v>
      </c>
      <c r="B4162" t="s">
        <v>1649</v>
      </c>
      <c r="C4162">
        <v>265</v>
      </c>
      <c r="D4162" t="s">
        <v>742</v>
      </c>
      <c r="E4162" t="s">
        <v>575</v>
      </c>
      <c r="F4162" t="s">
        <v>493</v>
      </c>
    </row>
    <row r="4163" spans="1:6" x14ac:dyDescent="0.3">
      <c r="A4163" t="s">
        <v>26</v>
      </c>
      <c r="B4163" t="s">
        <v>1648</v>
      </c>
      <c r="C4163">
        <v>153</v>
      </c>
      <c r="D4163" t="s">
        <v>1173</v>
      </c>
      <c r="E4163" t="s">
        <v>68</v>
      </c>
      <c r="F4163" t="s">
        <v>345</v>
      </c>
    </row>
    <row r="4164" spans="1:6" x14ac:dyDescent="0.3">
      <c r="A4164" t="s">
        <v>26</v>
      </c>
      <c r="B4164" t="s">
        <v>1649</v>
      </c>
      <c r="C4164">
        <v>324</v>
      </c>
      <c r="D4164" t="s">
        <v>283</v>
      </c>
      <c r="E4164" t="s">
        <v>452</v>
      </c>
      <c r="F4164" t="s">
        <v>341</v>
      </c>
    </row>
    <row r="4165" spans="1:6" x14ac:dyDescent="0.3">
      <c r="A4165" t="s">
        <v>29</v>
      </c>
      <c r="B4165" t="s">
        <v>1648</v>
      </c>
      <c r="C4165">
        <v>252</v>
      </c>
      <c r="D4165" t="s">
        <v>280</v>
      </c>
      <c r="E4165" t="s">
        <v>108</v>
      </c>
      <c r="F4165" t="s">
        <v>282</v>
      </c>
    </row>
    <row r="4166" spans="1:6" x14ac:dyDescent="0.3">
      <c r="A4166" t="s">
        <v>29</v>
      </c>
      <c r="B4166" t="s">
        <v>1649</v>
      </c>
      <c r="C4166">
        <v>276</v>
      </c>
      <c r="D4166" t="s">
        <v>617</v>
      </c>
      <c r="E4166" t="s">
        <v>543</v>
      </c>
      <c r="F4166" t="s">
        <v>125</v>
      </c>
    </row>
    <row r="4167" spans="1:6" x14ac:dyDescent="0.3">
      <c r="A4167" t="s">
        <v>28</v>
      </c>
      <c r="B4167" t="s">
        <v>1648</v>
      </c>
      <c r="C4167">
        <v>73</v>
      </c>
      <c r="D4167" t="s">
        <v>289</v>
      </c>
      <c r="E4167" t="s">
        <v>341</v>
      </c>
      <c r="F4167" t="s">
        <v>272</v>
      </c>
    </row>
    <row r="4168" spans="1:6" x14ac:dyDescent="0.3">
      <c r="A4168" t="s">
        <v>28</v>
      </c>
      <c r="B4168" t="s">
        <v>1649</v>
      </c>
      <c r="C4168">
        <v>228</v>
      </c>
      <c r="D4168" t="s">
        <v>771</v>
      </c>
      <c r="E4168" t="s">
        <v>254</v>
      </c>
      <c r="F4168" t="s">
        <v>329</v>
      </c>
    </row>
    <row r="4169" spans="1:6" x14ac:dyDescent="0.3">
      <c r="A4169" t="s">
        <v>27</v>
      </c>
      <c r="B4169" t="s">
        <v>1648</v>
      </c>
      <c r="C4169">
        <v>63</v>
      </c>
      <c r="D4169" t="s">
        <v>803</v>
      </c>
      <c r="E4169" t="s">
        <v>114</v>
      </c>
      <c r="F4169" t="s">
        <v>103</v>
      </c>
    </row>
    <row r="4170" spans="1:6" x14ac:dyDescent="0.3">
      <c r="A4170" t="s">
        <v>27</v>
      </c>
      <c r="B4170" t="s">
        <v>1649</v>
      </c>
      <c r="C4170">
        <v>230</v>
      </c>
      <c r="D4170" t="s">
        <v>752</v>
      </c>
      <c r="E4170" t="s">
        <v>133</v>
      </c>
      <c r="F4170" t="s">
        <v>116</v>
      </c>
    </row>
    <row r="4171" spans="1:6" x14ac:dyDescent="0.3">
      <c r="A4171" t="s">
        <v>41</v>
      </c>
      <c r="B4171" t="s">
        <v>1648</v>
      </c>
      <c r="C4171">
        <v>683</v>
      </c>
      <c r="D4171" t="s">
        <v>710</v>
      </c>
      <c r="E4171" t="s">
        <v>251</v>
      </c>
      <c r="F4171" t="s">
        <v>239</v>
      </c>
    </row>
    <row r="4172" spans="1:6" x14ac:dyDescent="0.3">
      <c r="A4172" t="s">
        <v>41</v>
      </c>
      <c r="B4172" t="s">
        <v>1649</v>
      </c>
      <c r="C4172">
        <v>1323</v>
      </c>
      <c r="D4172" t="s">
        <v>974</v>
      </c>
      <c r="E4172" t="s">
        <v>90</v>
      </c>
      <c r="F4172" t="s">
        <v>270</v>
      </c>
    </row>
    <row r="4174" spans="1:6" x14ac:dyDescent="0.3">
      <c r="A4174" t="s">
        <v>1650</v>
      </c>
    </row>
    <row r="4175" spans="1:6" x14ac:dyDescent="0.3">
      <c r="A4175" t="s">
        <v>36</v>
      </c>
      <c r="B4175" t="s">
        <v>24</v>
      </c>
      <c r="C4175" t="s">
        <v>1651</v>
      </c>
      <c r="D4175" t="s">
        <v>1652</v>
      </c>
    </row>
    <row r="4176" spans="1:6" x14ac:dyDescent="0.3">
      <c r="A4176" t="s">
        <v>25</v>
      </c>
      <c r="B4176">
        <v>413</v>
      </c>
      <c r="C4176" t="s">
        <v>128</v>
      </c>
      <c r="D4176" t="s">
        <v>852</v>
      </c>
    </row>
    <row r="4177" spans="1:5" x14ac:dyDescent="0.3">
      <c r="A4177" t="s">
        <v>26</v>
      </c>
      <c r="B4177">
        <v>475</v>
      </c>
      <c r="C4177" t="s">
        <v>98</v>
      </c>
      <c r="D4177" t="s">
        <v>950</v>
      </c>
    </row>
    <row r="4178" spans="1:5" x14ac:dyDescent="0.3">
      <c r="A4178" t="s">
        <v>29</v>
      </c>
      <c r="B4178">
        <v>528</v>
      </c>
      <c r="C4178" t="s">
        <v>195</v>
      </c>
      <c r="D4178" t="s">
        <v>837</v>
      </c>
    </row>
    <row r="4179" spans="1:5" x14ac:dyDescent="0.3">
      <c r="A4179" t="s">
        <v>28</v>
      </c>
      <c r="B4179">
        <v>317</v>
      </c>
      <c r="C4179" t="s">
        <v>208</v>
      </c>
      <c r="D4179" t="s">
        <v>1481</v>
      </c>
    </row>
    <row r="4180" spans="1:5" x14ac:dyDescent="0.3">
      <c r="A4180" t="s">
        <v>27</v>
      </c>
      <c r="B4180">
        <v>298</v>
      </c>
      <c r="C4180" t="s">
        <v>493</v>
      </c>
      <c r="D4180" t="s">
        <v>286</v>
      </c>
    </row>
    <row r="4181" spans="1:5" x14ac:dyDescent="0.3">
      <c r="A4181" t="s">
        <v>41</v>
      </c>
      <c r="B4181">
        <v>2031</v>
      </c>
      <c r="C4181" t="s">
        <v>128</v>
      </c>
      <c r="D4181" t="s">
        <v>852</v>
      </c>
    </row>
    <row r="4183" spans="1:5" x14ac:dyDescent="0.3">
      <c r="A4183" t="s">
        <v>1653</v>
      </c>
    </row>
    <row r="4184" spans="1:5" x14ac:dyDescent="0.3">
      <c r="A4184" t="s">
        <v>36</v>
      </c>
      <c r="B4184" t="s">
        <v>307</v>
      </c>
      <c r="C4184" t="s">
        <v>24</v>
      </c>
      <c r="D4184" t="s">
        <v>1651</v>
      </c>
      <c r="E4184" t="s">
        <v>1652</v>
      </c>
    </row>
    <row r="4185" spans="1:5" x14ac:dyDescent="0.3">
      <c r="A4185" t="s">
        <v>25</v>
      </c>
      <c r="B4185" t="s">
        <v>291</v>
      </c>
      <c r="C4185">
        <v>156</v>
      </c>
      <c r="D4185" t="s">
        <v>278</v>
      </c>
      <c r="E4185" t="s">
        <v>597</v>
      </c>
    </row>
    <row r="4186" spans="1:5" x14ac:dyDescent="0.3">
      <c r="A4186" t="s">
        <v>25</v>
      </c>
      <c r="B4186" t="s">
        <v>292</v>
      </c>
      <c r="C4186">
        <v>253</v>
      </c>
      <c r="D4186" t="s">
        <v>120</v>
      </c>
      <c r="E4186" t="s">
        <v>343</v>
      </c>
    </row>
    <row r="4187" spans="1:5" x14ac:dyDescent="0.3">
      <c r="A4187" t="s">
        <v>25</v>
      </c>
      <c r="B4187" t="s">
        <v>308</v>
      </c>
      <c r="C4187">
        <v>4</v>
      </c>
      <c r="D4187" t="s">
        <v>103</v>
      </c>
      <c r="E4187" t="s">
        <v>192</v>
      </c>
    </row>
    <row r="4188" spans="1:5" x14ac:dyDescent="0.3">
      <c r="A4188" t="s">
        <v>26</v>
      </c>
      <c r="B4188" t="s">
        <v>291</v>
      </c>
      <c r="C4188">
        <v>121</v>
      </c>
      <c r="D4188" t="s">
        <v>105</v>
      </c>
      <c r="E4188" t="s">
        <v>322</v>
      </c>
    </row>
    <row r="4189" spans="1:5" x14ac:dyDescent="0.3">
      <c r="A4189" t="s">
        <v>26</v>
      </c>
      <c r="B4189" t="s">
        <v>292</v>
      </c>
      <c r="C4189">
        <v>351</v>
      </c>
      <c r="D4189" t="s">
        <v>97</v>
      </c>
      <c r="E4189" t="s">
        <v>321</v>
      </c>
    </row>
    <row r="4190" spans="1:5" x14ac:dyDescent="0.3">
      <c r="A4190" t="s">
        <v>26</v>
      </c>
      <c r="B4190" t="s">
        <v>308</v>
      </c>
      <c r="C4190">
        <v>3</v>
      </c>
      <c r="D4190" t="s">
        <v>103</v>
      </c>
      <c r="E4190" t="s">
        <v>192</v>
      </c>
    </row>
    <row r="4191" spans="1:5" x14ac:dyDescent="0.3">
      <c r="A4191" t="s">
        <v>29</v>
      </c>
      <c r="B4191" t="s">
        <v>291</v>
      </c>
      <c r="C4191">
        <v>204</v>
      </c>
      <c r="D4191" t="s">
        <v>201</v>
      </c>
      <c r="E4191" t="s">
        <v>200</v>
      </c>
    </row>
    <row r="4192" spans="1:5" x14ac:dyDescent="0.3">
      <c r="A4192" t="s">
        <v>29</v>
      </c>
      <c r="B4192" t="s">
        <v>292</v>
      </c>
      <c r="C4192">
        <v>324</v>
      </c>
      <c r="D4192" t="s">
        <v>93</v>
      </c>
      <c r="E4192" t="s">
        <v>1176</v>
      </c>
    </row>
    <row r="4193" spans="1:5" x14ac:dyDescent="0.3">
      <c r="A4193" t="s">
        <v>28</v>
      </c>
      <c r="B4193" t="s">
        <v>291</v>
      </c>
      <c r="C4193">
        <v>114</v>
      </c>
      <c r="D4193" t="s">
        <v>341</v>
      </c>
      <c r="E4193" t="s">
        <v>342</v>
      </c>
    </row>
    <row r="4194" spans="1:5" x14ac:dyDescent="0.3">
      <c r="A4194" t="s">
        <v>28</v>
      </c>
      <c r="B4194" t="s">
        <v>292</v>
      </c>
      <c r="C4194">
        <v>191</v>
      </c>
      <c r="D4194" t="s">
        <v>93</v>
      </c>
      <c r="E4194" t="s">
        <v>1176</v>
      </c>
    </row>
    <row r="4195" spans="1:5" x14ac:dyDescent="0.3">
      <c r="A4195" t="s">
        <v>28</v>
      </c>
      <c r="B4195" t="s">
        <v>308</v>
      </c>
      <c r="C4195">
        <v>12</v>
      </c>
      <c r="D4195" t="s">
        <v>103</v>
      </c>
      <c r="E4195" t="s">
        <v>192</v>
      </c>
    </row>
    <row r="4196" spans="1:5" x14ac:dyDescent="0.3">
      <c r="A4196" t="s">
        <v>27</v>
      </c>
      <c r="B4196" t="s">
        <v>291</v>
      </c>
      <c r="C4196">
        <v>94</v>
      </c>
      <c r="D4196" t="s">
        <v>214</v>
      </c>
      <c r="E4196" t="s">
        <v>213</v>
      </c>
    </row>
    <row r="4197" spans="1:5" x14ac:dyDescent="0.3">
      <c r="A4197" t="s">
        <v>27</v>
      </c>
      <c r="B4197" t="s">
        <v>292</v>
      </c>
      <c r="C4197">
        <v>197</v>
      </c>
      <c r="D4197" t="s">
        <v>270</v>
      </c>
      <c r="E4197" t="s">
        <v>332</v>
      </c>
    </row>
    <row r="4198" spans="1:5" x14ac:dyDescent="0.3">
      <c r="A4198" t="s">
        <v>27</v>
      </c>
      <c r="B4198" t="s">
        <v>308</v>
      </c>
      <c r="C4198">
        <v>7</v>
      </c>
      <c r="D4198" t="s">
        <v>469</v>
      </c>
      <c r="E4198" t="s">
        <v>725</v>
      </c>
    </row>
    <row r="4199" spans="1:5" x14ac:dyDescent="0.3">
      <c r="A4199" t="s">
        <v>41</v>
      </c>
      <c r="B4199" t="s">
        <v>291</v>
      </c>
      <c r="C4199">
        <v>689</v>
      </c>
      <c r="D4199" t="s">
        <v>591</v>
      </c>
      <c r="E4199" t="s">
        <v>287</v>
      </c>
    </row>
    <row r="4200" spans="1:5" x14ac:dyDescent="0.3">
      <c r="A4200" t="s">
        <v>41</v>
      </c>
      <c r="B4200" t="s">
        <v>292</v>
      </c>
      <c r="C4200">
        <v>1316</v>
      </c>
      <c r="D4200" t="s">
        <v>239</v>
      </c>
      <c r="E4200" t="s">
        <v>335</v>
      </c>
    </row>
    <row r="4201" spans="1:5" x14ac:dyDescent="0.3">
      <c r="A4201" t="s">
        <v>41</v>
      </c>
      <c r="B4201" t="s">
        <v>308</v>
      </c>
      <c r="C4201">
        <v>26</v>
      </c>
      <c r="D4201" t="s">
        <v>195</v>
      </c>
      <c r="E4201" t="s">
        <v>837</v>
      </c>
    </row>
    <row r="4203" spans="1:5" x14ac:dyDescent="0.3">
      <c r="A4203" t="s">
        <v>1654</v>
      </c>
    </row>
    <row r="4204" spans="1:5" x14ac:dyDescent="0.3">
      <c r="A4204" t="s">
        <v>36</v>
      </c>
      <c r="B4204" t="s">
        <v>310</v>
      </c>
      <c r="C4204" t="s">
        <v>24</v>
      </c>
      <c r="D4204" t="s">
        <v>1651</v>
      </c>
      <c r="E4204" t="s">
        <v>1652</v>
      </c>
    </row>
    <row r="4205" spans="1:5" x14ac:dyDescent="0.3">
      <c r="A4205" t="s">
        <v>25</v>
      </c>
      <c r="B4205" t="s">
        <v>311</v>
      </c>
      <c r="C4205">
        <v>323</v>
      </c>
      <c r="D4205" t="s">
        <v>93</v>
      </c>
      <c r="E4205" t="s">
        <v>1176</v>
      </c>
    </row>
    <row r="4206" spans="1:5" x14ac:dyDescent="0.3">
      <c r="A4206" t="s">
        <v>25</v>
      </c>
      <c r="B4206" t="s">
        <v>312</v>
      </c>
      <c r="C4206">
        <v>80</v>
      </c>
      <c r="D4206" t="s">
        <v>120</v>
      </c>
      <c r="E4206" t="s">
        <v>343</v>
      </c>
    </row>
    <row r="4207" spans="1:5" x14ac:dyDescent="0.3">
      <c r="A4207" t="s">
        <v>25</v>
      </c>
      <c r="B4207" t="s">
        <v>308</v>
      </c>
      <c r="C4207">
        <v>10</v>
      </c>
      <c r="D4207" t="s">
        <v>131</v>
      </c>
      <c r="E4207" t="s">
        <v>984</v>
      </c>
    </row>
    <row r="4208" spans="1:5" x14ac:dyDescent="0.3">
      <c r="A4208" t="s">
        <v>26</v>
      </c>
      <c r="B4208" t="s">
        <v>311</v>
      </c>
      <c r="C4208">
        <v>341</v>
      </c>
      <c r="D4208" t="s">
        <v>120</v>
      </c>
      <c r="E4208" t="s">
        <v>343</v>
      </c>
    </row>
    <row r="4209" spans="1:5" x14ac:dyDescent="0.3">
      <c r="A4209" t="s">
        <v>26</v>
      </c>
      <c r="B4209" t="s">
        <v>312</v>
      </c>
      <c r="C4209">
        <v>96</v>
      </c>
      <c r="D4209" t="s">
        <v>468</v>
      </c>
      <c r="E4209" t="s">
        <v>954</v>
      </c>
    </row>
    <row r="4210" spans="1:5" x14ac:dyDescent="0.3">
      <c r="A4210" t="s">
        <v>26</v>
      </c>
      <c r="B4210" t="s">
        <v>308</v>
      </c>
      <c r="C4210">
        <v>38</v>
      </c>
      <c r="D4210" t="s">
        <v>257</v>
      </c>
      <c r="E4210" t="s">
        <v>880</v>
      </c>
    </row>
    <row r="4211" spans="1:5" x14ac:dyDescent="0.3">
      <c r="A4211" t="s">
        <v>29</v>
      </c>
      <c r="B4211" t="s">
        <v>311</v>
      </c>
      <c r="C4211">
        <v>412</v>
      </c>
      <c r="D4211" t="s">
        <v>102</v>
      </c>
      <c r="E4211" t="s">
        <v>867</v>
      </c>
    </row>
    <row r="4212" spans="1:5" x14ac:dyDescent="0.3">
      <c r="A4212" t="s">
        <v>29</v>
      </c>
      <c r="B4212" t="s">
        <v>312</v>
      </c>
      <c r="C4212">
        <v>103</v>
      </c>
      <c r="D4212" t="s">
        <v>91</v>
      </c>
      <c r="E4212" t="s">
        <v>337</v>
      </c>
    </row>
    <row r="4213" spans="1:5" x14ac:dyDescent="0.3">
      <c r="A4213" t="s">
        <v>29</v>
      </c>
      <c r="B4213" t="s">
        <v>308</v>
      </c>
      <c r="C4213">
        <v>13</v>
      </c>
      <c r="D4213" t="s">
        <v>99</v>
      </c>
      <c r="E4213" t="s">
        <v>632</v>
      </c>
    </row>
    <row r="4214" spans="1:5" x14ac:dyDescent="0.3">
      <c r="A4214" t="s">
        <v>28</v>
      </c>
      <c r="B4214" t="s">
        <v>311</v>
      </c>
      <c r="C4214">
        <v>223</v>
      </c>
      <c r="D4214" t="s">
        <v>341</v>
      </c>
      <c r="E4214" t="s">
        <v>342</v>
      </c>
    </row>
    <row r="4215" spans="1:5" x14ac:dyDescent="0.3">
      <c r="A4215" t="s">
        <v>28</v>
      </c>
      <c r="B4215" t="s">
        <v>312</v>
      </c>
      <c r="C4215">
        <v>93</v>
      </c>
      <c r="D4215" t="s">
        <v>128</v>
      </c>
      <c r="E4215" t="s">
        <v>852</v>
      </c>
    </row>
    <row r="4216" spans="1:5" x14ac:dyDescent="0.3">
      <c r="A4216" t="s">
        <v>28</v>
      </c>
      <c r="B4216" t="s">
        <v>308</v>
      </c>
      <c r="C4216">
        <v>1</v>
      </c>
      <c r="D4216" t="s">
        <v>103</v>
      </c>
      <c r="E4216" t="s">
        <v>192</v>
      </c>
    </row>
    <row r="4217" spans="1:5" x14ac:dyDescent="0.3">
      <c r="A4217" t="s">
        <v>27</v>
      </c>
      <c r="B4217" t="s">
        <v>311</v>
      </c>
      <c r="C4217">
        <v>236</v>
      </c>
      <c r="D4217" t="s">
        <v>125</v>
      </c>
      <c r="E4217" t="s">
        <v>1633</v>
      </c>
    </row>
    <row r="4218" spans="1:5" x14ac:dyDescent="0.3">
      <c r="A4218" t="s">
        <v>27</v>
      </c>
      <c r="B4218" t="s">
        <v>312</v>
      </c>
      <c r="C4218">
        <v>59</v>
      </c>
      <c r="D4218" t="s">
        <v>113</v>
      </c>
      <c r="E4218" t="s">
        <v>861</v>
      </c>
    </row>
    <row r="4219" spans="1:5" x14ac:dyDescent="0.3">
      <c r="A4219" t="s">
        <v>27</v>
      </c>
      <c r="B4219" t="s">
        <v>308</v>
      </c>
      <c r="C4219">
        <v>3</v>
      </c>
      <c r="D4219" t="s">
        <v>103</v>
      </c>
      <c r="E4219" t="s">
        <v>192</v>
      </c>
    </row>
    <row r="4220" spans="1:5" x14ac:dyDescent="0.3">
      <c r="A4220" t="s">
        <v>41</v>
      </c>
      <c r="B4220" t="s">
        <v>311</v>
      </c>
      <c r="C4220">
        <v>1535</v>
      </c>
      <c r="D4220" t="s">
        <v>257</v>
      </c>
      <c r="E4220" t="s">
        <v>880</v>
      </c>
    </row>
    <row r="4221" spans="1:5" x14ac:dyDescent="0.3">
      <c r="A4221" t="s">
        <v>41</v>
      </c>
      <c r="B4221" t="s">
        <v>312</v>
      </c>
      <c r="C4221">
        <v>431</v>
      </c>
      <c r="D4221" t="s">
        <v>139</v>
      </c>
      <c r="E4221" t="s">
        <v>325</v>
      </c>
    </row>
    <row r="4222" spans="1:5" x14ac:dyDescent="0.3">
      <c r="A4222" t="s">
        <v>41</v>
      </c>
      <c r="B4222" t="s">
        <v>308</v>
      </c>
      <c r="C4222">
        <v>65</v>
      </c>
      <c r="D4222" t="s">
        <v>466</v>
      </c>
      <c r="E4222" t="s">
        <v>636</v>
      </c>
    </row>
    <row r="4224" spans="1:5" x14ac:dyDescent="0.3">
      <c r="A4224" t="s">
        <v>1655</v>
      </c>
    </row>
    <row r="4225" spans="1:5" x14ac:dyDescent="0.3">
      <c r="A4225" t="s">
        <v>36</v>
      </c>
      <c r="B4225" t="s">
        <v>197</v>
      </c>
      <c r="C4225" t="s">
        <v>24</v>
      </c>
      <c r="D4225" t="s">
        <v>1651</v>
      </c>
      <c r="E4225" t="s">
        <v>1652</v>
      </c>
    </row>
    <row r="4226" spans="1:5" x14ac:dyDescent="0.3">
      <c r="A4226" t="s">
        <v>25</v>
      </c>
      <c r="B4226" t="s">
        <v>198</v>
      </c>
      <c r="C4226">
        <v>104</v>
      </c>
      <c r="D4226" t="s">
        <v>139</v>
      </c>
      <c r="E4226" t="s">
        <v>325</v>
      </c>
    </row>
    <row r="4227" spans="1:5" x14ac:dyDescent="0.3">
      <c r="A4227" t="s">
        <v>25</v>
      </c>
      <c r="B4227" t="s">
        <v>199</v>
      </c>
      <c r="C4227">
        <v>309</v>
      </c>
      <c r="D4227" t="s">
        <v>266</v>
      </c>
      <c r="E4227" t="s">
        <v>879</v>
      </c>
    </row>
    <row r="4228" spans="1:5" x14ac:dyDescent="0.3">
      <c r="A4228" t="s">
        <v>26</v>
      </c>
      <c r="B4228" t="s">
        <v>198</v>
      </c>
      <c r="C4228">
        <v>41</v>
      </c>
      <c r="D4228" t="s">
        <v>103</v>
      </c>
      <c r="E4228" t="s">
        <v>192</v>
      </c>
    </row>
    <row r="4229" spans="1:5" x14ac:dyDescent="0.3">
      <c r="A4229" t="s">
        <v>26</v>
      </c>
      <c r="B4229" t="s">
        <v>199</v>
      </c>
      <c r="C4229">
        <v>434</v>
      </c>
      <c r="D4229" t="s">
        <v>98</v>
      </c>
      <c r="E4229" t="s">
        <v>950</v>
      </c>
    </row>
    <row r="4230" spans="1:5" x14ac:dyDescent="0.3">
      <c r="A4230" t="s">
        <v>29</v>
      </c>
      <c r="B4230" t="s">
        <v>198</v>
      </c>
      <c r="C4230">
        <v>168</v>
      </c>
      <c r="D4230" t="s">
        <v>194</v>
      </c>
      <c r="E4230" t="s">
        <v>326</v>
      </c>
    </row>
    <row r="4231" spans="1:5" x14ac:dyDescent="0.3">
      <c r="A4231" t="s">
        <v>29</v>
      </c>
      <c r="B4231" t="s">
        <v>199</v>
      </c>
      <c r="C4231">
        <v>360</v>
      </c>
      <c r="D4231" t="s">
        <v>188</v>
      </c>
      <c r="E4231" t="s">
        <v>833</v>
      </c>
    </row>
    <row r="4232" spans="1:5" x14ac:dyDescent="0.3">
      <c r="A4232" t="s">
        <v>28</v>
      </c>
      <c r="B4232" t="s">
        <v>198</v>
      </c>
      <c r="C4232">
        <v>70</v>
      </c>
      <c r="D4232" t="s">
        <v>103</v>
      </c>
      <c r="E4232" t="s">
        <v>192</v>
      </c>
    </row>
    <row r="4233" spans="1:5" x14ac:dyDescent="0.3">
      <c r="A4233" t="s">
        <v>28</v>
      </c>
      <c r="B4233" t="s">
        <v>199</v>
      </c>
      <c r="C4233">
        <v>247</v>
      </c>
      <c r="D4233" t="s">
        <v>217</v>
      </c>
      <c r="E4233" t="s">
        <v>768</v>
      </c>
    </row>
    <row r="4234" spans="1:5" x14ac:dyDescent="0.3">
      <c r="A4234" t="s">
        <v>27</v>
      </c>
      <c r="B4234" t="s">
        <v>198</v>
      </c>
      <c r="C4234">
        <v>135</v>
      </c>
      <c r="D4234" t="s">
        <v>102</v>
      </c>
      <c r="E4234" t="s">
        <v>867</v>
      </c>
    </row>
    <row r="4235" spans="1:5" x14ac:dyDescent="0.3">
      <c r="A4235" t="s">
        <v>27</v>
      </c>
      <c r="B4235" t="s">
        <v>199</v>
      </c>
      <c r="C4235">
        <v>163</v>
      </c>
      <c r="D4235" t="s">
        <v>114</v>
      </c>
      <c r="E4235" t="s">
        <v>803</v>
      </c>
    </row>
    <row r="4236" spans="1:5" x14ac:dyDescent="0.3">
      <c r="A4236" t="s">
        <v>41</v>
      </c>
      <c r="B4236" t="s">
        <v>198</v>
      </c>
      <c r="C4236">
        <v>518</v>
      </c>
      <c r="D4236" t="s">
        <v>194</v>
      </c>
      <c r="E4236" t="s">
        <v>326</v>
      </c>
    </row>
    <row r="4237" spans="1:5" x14ac:dyDescent="0.3">
      <c r="A4237" t="s">
        <v>41</v>
      </c>
      <c r="B4237" t="s">
        <v>199</v>
      </c>
      <c r="C4237">
        <v>1513</v>
      </c>
      <c r="D4237" t="s">
        <v>266</v>
      </c>
      <c r="E4237" t="s">
        <v>879</v>
      </c>
    </row>
    <row r="4239" spans="1:5" x14ac:dyDescent="0.3">
      <c r="A4239" t="s">
        <v>1656</v>
      </c>
    </row>
    <row r="4240" spans="1:5" x14ac:dyDescent="0.3">
      <c r="A4240" t="s">
        <v>36</v>
      </c>
      <c r="B4240" t="s">
        <v>1647</v>
      </c>
      <c r="C4240" t="s">
        <v>24</v>
      </c>
      <c r="D4240" t="s">
        <v>1651</v>
      </c>
      <c r="E4240" t="s">
        <v>1652</v>
      </c>
    </row>
    <row r="4241" spans="1:5" x14ac:dyDescent="0.3">
      <c r="A4241" t="s">
        <v>25</v>
      </c>
      <c r="B4241" t="s">
        <v>1648</v>
      </c>
      <c r="C4241">
        <v>143</v>
      </c>
      <c r="D4241" t="s">
        <v>266</v>
      </c>
      <c r="E4241" t="s">
        <v>879</v>
      </c>
    </row>
    <row r="4242" spans="1:5" x14ac:dyDescent="0.3">
      <c r="A4242" t="s">
        <v>25</v>
      </c>
      <c r="B4242" t="s">
        <v>1649</v>
      </c>
      <c r="C4242">
        <v>270</v>
      </c>
      <c r="D4242" t="s">
        <v>329</v>
      </c>
      <c r="E4242" t="s">
        <v>328</v>
      </c>
    </row>
    <row r="4243" spans="1:5" x14ac:dyDescent="0.3">
      <c r="A4243" t="s">
        <v>26</v>
      </c>
      <c r="B4243" t="s">
        <v>1648</v>
      </c>
      <c r="C4243">
        <v>151</v>
      </c>
      <c r="D4243" t="s">
        <v>103</v>
      </c>
      <c r="E4243" t="s">
        <v>192</v>
      </c>
    </row>
    <row r="4244" spans="1:5" x14ac:dyDescent="0.3">
      <c r="A4244" t="s">
        <v>26</v>
      </c>
      <c r="B4244" t="s">
        <v>1649</v>
      </c>
      <c r="C4244">
        <v>324</v>
      </c>
      <c r="D4244" t="s">
        <v>194</v>
      </c>
      <c r="E4244" t="s">
        <v>326</v>
      </c>
    </row>
    <row r="4245" spans="1:5" x14ac:dyDescent="0.3">
      <c r="A4245" t="s">
        <v>29</v>
      </c>
      <c r="B4245" t="s">
        <v>1648</v>
      </c>
      <c r="C4245">
        <v>251</v>
      </c>
      <c r="D4245" t="s">
        <v>128</v>
      </c>
      <c r="E4245" t="s">
        <v>852</v>
      </c>
    </row>
    <row r="4246" spans="1:5" x14ac:dyDescent="0.3">
      <c r="A4246" t="s">
        <v>29</v>
      </c>
      <c r="B4246" t="s">
        <v>1649</v>
      </c>
      <c r="C4246">
        <v>277</v>
      </c>
      <c r="D4246" t="s">
        <v>493</v>
      </c>
      <c r="E4246" t="s">
        <v>286</v>
      </c>
    </row>
    <row r="4247" spans="1:5" x14ac:dyDescent="0.3">
      <c r="A4247" t="s">
        <v>28</v>
      </c>
      <c r="B4247" t="s">
        <v>1648</v>
      </c>
      <c r="C4247">
        <v>77</v>
      </c>
      <c r="D4247" t="s">
        <v>105</v>
      </c>
      <c r="E4247" t="s">
        <v>322</v>
      </c>
    </row>
    <row r="4248" spans="1:5" x14ac:dyDescent="0.3">
      <c r="A4248" t="s">
        <v>28</v>
      </c>
      <c r="B4248" t="s">
        <v>1649</v>
      </c>
      <c r="C4248">
        <v>240</v>
      </c>
      <c r="D4248" t="s">
        <v>329</v>
      </c>
      <c r="E4248" t="s">
        <v>328</v>
      </c>
    </row>
    <row r="4249" spans="1:5" x14ac:dyDescent="0.3">
      <c r="A4249" t="s">
        <v>27</v>
      </c>
      <c r="B4249" t="s">
        <v>1648</v>
      </c>
      <c r="C4249">
        <v>64</v>
      </c>
      <c r="D4249" t="s">
        <v>128</v>
      </c>
      <c r="E4249" t="s">
        <v>852</v>
      </c>
    </row>
    <row r="4250" spans="1:5" x14ac:dyDescent="0.3">
      <c r="A4250" t="s">
        <v>27</v>
      </c>
      <c r="B4250" t="s">
        <v>1649</v>
      </c>
      <c r="C4250">
        <v>234</v>
      </c>
      <c r="D4250" t="s">
        <v>107</v>
      </c>
      <c r="E4250" t="s">
        <v>1173</v>
      </c>
    </row>
    <row r="4251" spans="1:5" x14ac:dyDescent="0.3">
      <c r="A4251" t="s">
        <v>41</v>
      </c>
      <c r="B4251" t="s">
        <v>1648</v>
      </c>
      <c r="C4251">
        <v>686</v>
      </c>
      <c r="D4251" t="s">
        <v>341</v>
      </c>
      <c r="E4251" t="s">
        <v>342</v>
      </c>
    </row>
    <row r="4252" spans="1:5" x14ac:dyDescent="0.3">
      <c r="A4252" t="s">
        <v>41</v>
      </c>
      <c r="B4252" t="s">
        <v>1649</v>
      </c>
      <c r="C4252">
        <v>1345</v>
      </c>
      <c r="D4252" t="s">
        <v>217</v>
      </c>
      <c r="E4252" t="s">
        <v>768</v>
      </c>
    </row>
    <row r="4254" spans="1:5" x14ac:dyDescent="0.3">
      <c r="A4254" t="s">
        <v>1657</v>
      </c>
    </row>
    <row r="4255" spans="1:5" x14ac:dyDescent="0.3">
      <c r="A4255" t="s">
        <v>36</v>
      </c>
      <c r="B4255" t="s">
        <v>24</v>
      </c>
      <c r="C4255" t="s">
        <v>58</v>
      </c>
      <c r="D4255" t="s">
        <v>59</v>
      </c>
    </row>
    <row r="4256" spans="1:5" s="3" customFormat="1" x14ac:dyDescent="0.3">
      <c r="A4256" s="3" t="s">
        <v>25</v>
      </c>
      <c r="B4256" s="3">
        <v>9</v>
      </c>
      <c r="C4256" s="3" t="s">
        <v>875</v>
      </c>
      <c r="D4256" s="3" t="s">
        <v>252</v>
      </c>
    </row>
    <row r="4257" spans="1:4" s="3" customFormat="1" x14ac:dyDescent="0.3">
      <c r="A4257" s="3" t="s">
        <v>26</v>
      </c>
      <c r="B4257" s="3">
        <v>11</v>
      </c>
      <c r="C4257" s="3" t="s">
        <v>374</v>
      </c>
      <c r="D4257" s="3" t="s">
        <v>375</v>
      </c>
    </row>
    <row r="4258" spans="1:4" s="3" customFormat="1" x14ac:dyDescent="0.3">
      <c r="A4258" s="3" t="s">
        <v>29</v>
      </c>
      <c r="B4258" s="3">
        <v>18</v>
      </c>
      <c r="C4258" s="3" t="s">
        <v>542</v>
      </c>
      <c r="D4258" s="3" t="s">
        <v>1094</v>
      </c>
    </row>
    <row r="4259" spans="1:4" s="3" customFormat="1" x14ac:dyDescent="0.3">
      <c r="A4259" s="3" t="s">
        <v>28</v>
      </c>
      <c r="B4259" s="3">
        <v>7</v>
      </c>
      <c r="C4259" s="3" t="s">
        <v>1327</v>
      </c>
      <c r="D4259" s="3" t="s">
        <v>427</v>
      </c>
    </row>
    <row r="4260" spans="1:4" s="3" customFormat="1" x14ac:dyDescent="0.3">
      <c r="A4260" s="3" t="s">
        <v>27</v>
      </c>
      <c r="B4260" s="3">
        <v>5</v>
      </c>
      <c r="C4260" s="3" t="s">
        <v>1021</v>
      </c>
      <c r="D4260" s="3" t="s">
        <v>1295</v>
      </c>
    </row>
    <row r="4261" spans="1:4" x14ac:dyDescent="0.3">
      <c r="A4261" t="s">
        <v>41</v>
      </c>
      <c r="B4261">
        <v>50</v>
      </c>
      <c r="C4261" t="s">
        <v>655</v>
      </c>
      <c r="D4261" t="s">
        <v>835</v>
      </c>
    </row>
    <row r="4263" spans="1:4" x14ac:dyDescent="0.3">
      <c r="A4263" t="s">
        <v>1658</v>
      </c>
    </row>
    <row r="4264" spans="1:4" x14ac:dyDescent="0.3">
      <c r="A4264" t="s">
        <v>36</v>
      </c>
      <c r="B4264" t="s">
        <v>24</v>
      </c>
      <c r="C4264" t="s">
        <v>58</v>
      </c>
      <c r="D4264" t="s">
        <v>59</v>
      </c>
    </row>
    <row r="4265" spans="1:4" s="3" customFormat="1" x14ac:dyDescent="0.3">
      <c r="A4265" s="3" t="s">
        <v>25</v>
      </c>
      <c r="B4265" s="3">
        <v>7</v>
      </c>
      <c r="C4265" s="3" t="s">
        <v>1422</v>
      </c>
      <c r="D4265" s="3" t="s">
        <v>1221</v>
      </c>
    </row>
    <row r="4266" spans="1:4" s="3" customFormat="1" x14ac:dyDescent="0.3">
      <c r="A4266" s="3" t="s">
        <v>26</v>
      </c>
      <c r="B4266" s="3">
        <v>6</v>
      </c>
      <c r="C4266" s="3" t="s">
        <v>1443</v>
      </c>
      <c r="D4266" s="3" t="s">
        <v>1223</v>
      </c>
    </row>
    <row r="4267" spans="1:4" s="3" customFormat="1" x14ac:dyDescent="0.3">
      <c r="A4267" s="3" t="s">
        <v>29</v>
      </c>
      <c r="B4267" s="3">
        <v>13</v>
      </c>
      <c r="C4267" s="3" t="s">
        <v>1215</v>
      </c>
      <c r="D4267" s="3" t="s">
        <v>1260</v>
      </c>
    </row>
    <row r="4268" spans="1:4" s="3" customFormat="1" x14ac:dyDescent="0.3">
      <c r="A4268" s="3" t="s">
        <v>28</v>
      </c>
      <c r="B4268" s="3">
        <v>3</v>
      </c>
      <c r="C4268" s="3" t="s">
        <v>189</v>
      </c>
      <c r="D4268" s="3" t="s">
        <v>807</v>
      </c>
    </row>
    <row r="4269" spans="1:4" s="3" customFormat="1" x14ac:dyDescent="0.3">
      <c r="A4269" s="3" t="s">
        <v>27</v>
      </c>
      <c r="B4269" s="3">
        <v>2</v>
      </c>
      <c r="C4269" s="3" t="s">
        <v>192</v>
      </c>
      <c r="D4269" s="3" t="s">
        <v>103</v>
      </c>
    </row>
    <row r="4270" spans="1:4" x14ac:dyDescent="0.3">
      <c r="A4270" t="s">
        <v>41</v>
      </c>
      <c r="B4270">
        <v>31</v>
      </c>
      <c r="C4270" t="s">
        <v>798</v>
      </c>
      <c r="D4270" t="s">
        <v>359</v>
      </c>
    </row>
    <row r="4272" spans="1:4" x14ac:dyDescent="0.3">
      <c r="A4272" t="s">
        <v>1659</v>
      </c>
    </row>
    <row r="4273" spans="1:17" x14ac:dyDescent="0.3">
      <c r="A4273" t="s">
        <v>36</v>
      </c>
      <c r="B4273" t="s">
        <v>24</v>
      </c>
      <c r="C4273" t="s">
        <v>1660</v>
      </c>
      <c r="D4273" t="s">
        <v>1661</v>
      </c>
      <c r="E4273" t="s">
        <v>1662</v>
      </c>
      <c r="F4273" t="s">
        <v>1663</v>
      </c>
      <c r="G4273" t="s">
        <v>1664</v>
      </c>
      <c r="H4273" t="s">
        <v>1665</v>
      </c>
      <c r="I4273" t="s">
        <v>1666</v>
      </c>
      <c r="J4273" t="s">
        <v>1667</v>
      </c>
      <c r="K4273" t="s">
        <v>1668</v>
      </c>
      <c r="L4273" t="s">
        <v>1669</v>
      </c>
      <c r="M4273" t="s">
        <v>1670</v>
      </c>
      <c r="N4273" t="s">
        <v>1671</v>
      </c>
      <c r="O4273" t="s">
        <v>183</v>
      </c>
      <c r="P4273" t="s">
        <v>181</v>
      </c>
    </row>
    <row r="4274" spans="1:17" x14ac:dyDescent="0.3">
      <c r="A4274" t="s">
        <v>25</v>
      </c>
      <c r="B4274">
        <v>414</v>
      </c>
      <c r="C4274" t="s">
        <v>754</v>
      </c>
      <c r="D4274" t="s">
        <v>532</v>
      </c>
      <c r="E4274" t="s">
        <v>133</v>
      </c>
      <c r="F4274" t="s">
        <v>139</v>
      </c>
      <c r="G4274" t="s">
        <v>103</v>
      </c>
      <c r="H4274" t="s">
        <v>532</v>
      </c>
      <c r="I4274" t="s">
        <v>430</v>
      </c>
      <c r="J4274" t="s">
        <v>103</v>
      </c>
      <c r="K4274" t="s">
        <v>282</v>
      </c>
      <c r="L4274" t="s">
        <v>91</v>
      </c>
      <c r="M4274" t="s">
        <v>1633</v>
      </c>
      <c r="N4274" t="s">
        <v>103</v>
      </c>
      <c r="O4274" t="s">
        <v>66</v>
      </c>
      <c r="P4274" t="s">
        <v>91</v>
      </c>
    </row>
    <row r="4275" spans="1:17" x14ac:dyDescent="0.3">
      <c r="A4275" t="s">
        <v>26</v>
      </c>
      <c r="B4275">
        <v>477</v>
      </c>
      <c r="C4275" t="s">
        <v>648</v>
      </c>
      <c r="D4275" t="s">
        <v>157</v>
      </c>
      <c r="E4275" t="s">
        <v>693</v>
      </c>
      <c r="F4275" t="s">
        <v>103</v>
      </c>
      <c r="G4275" t="s">
        <v>122</v>
      </c>
      <c r="H4275" t="s">
        <v>70</v>
      </c>
      <c r="I4275" t="s">
        <v>873</v>
      </c>
      <c r="J4275" t="s">
        <v>103</v>
      </c>
      <c r="K4275" t="s">
        <v>128</v>
      </c>
      <c r="L4275" t="s">
        <v>467</v>
      </c>
      <c r="M4275" t="s">
        <v>840</v>
      </c>
      <c r="N4275" t="s">
        <v>116</v>
      </c>
      <c r="O4275" t="s">
        <v>116</v>
      </c>
      <c r="P4275" t="s">
        <v>122</v>
      </c>
    </row>
    <row r="4276" spans="1:17" x14ac:dyDescent="0.3">
      <c r="A4276" t="s">
        <v>29</v>
      </c>
      <c r="B4276">
        <v>530</v>
      </c>
      <c r="C4276" t="s">
        <v>479</v>
      </c>
      <c r="D4276" t="s">
        <v>70</v>
      </c>
      <c r="E4276" t="s">
        <v>94</v>
      </c>
      <c r="F4276" t="s">
        <v>120</v>
      </c>
      <c r="G4276" t="s">
        <v>66</v>
      </c>
      <c r="H4276" t="s">
        <v>94</v>
      </c>
      <c r="I4276" t="s">
        <v>359</v>
      </c>
      <c r="J4276" t="s">
        <v>103</v>
      </c>
      <c r="K4276" t="s">
        <v>122</v>
      </c>
      <c r="L4276" t="s">
        <v>463</v>
      </c>
      <c r="M4276" t="s">
        <v>889</v>
      </c>
      <c r="N4276" t="s">
        <v>91</v>
      </c>
      <c r="O4276" t="s">
        <v>139</v>
      </c>
      <c r="P4276" t="s">
        <v>91</v>
      </c>
    </row>
    <row r="4277" spans="1:17" x14ac:dyDescent="0.3">
      <c r="A4277" t="s">
        <v>28</v>
      </c>
      <c r="B4277">
        <v>317</v>
      </c>
      <c r="C4277" t="s">
        <v>135</v>
      </c>
      <c r="D4277" t="s">
        <v>195</v>
      </c>
      <c r="E4277" t="s">
        <v>232</v>
      </c>
      <c r="F4277" t="s">
        <v>103</v>
      </c>
      <c r="G4277" t="s">
        <v>103</v>
      </c>
      <c r="H4277" t="s">
        <v>68</v>
      </c>
      <c r="I4277" t="s">
        <v>299</v>
      </c>
      <c r="J4277" t="s">
        <v>103</v>
      </c>
      <c r="K4277" t="s">
        <v>103</v>
      </c>
      <c r="L4277" t="s">
        <v>629</v>
      </c>
      <c r="M4277" t="s">
        <v>1359</v>
      </c>
      <c r="N4277" t="s">
        <v>122</v>
      </c>
      <c r="O4277" t="s">
        <v>120</v>
      </c>
      <c r="P4277" t="s">
        <v>98</v>
      </c>
    </row>
    <row r="4278" spans="1:17" x14ac:dyDescent="0.3">
      <c r="A4278" t="s">
        <v>27</v>
      </c>
      <c r="B4278">
        <v>300</v>
      </c>
      <c r="C4278" t="s">
        <v>1203</v>
      </c>
      <c r="D4278" t="s">
        <v>186</v>
      </c>
      <c r="E4278" t="s">
        <v>245</v>
      </c>
      <c r="F4278" t="s">
        <v>103</v>
      </c>
      <c r="G4278" t="s">
        <v>103</v>
      </c>
      <c r="H4278" t="s">
        <v>95</v>
      </c>
      <c r="I4278" t="s">
        <v>430</v>
      </c>
      <c r="J4278" t="s">
        <v>103</v>
      </c>
      <c r="K4278" t="s">
        <v>95</v>
      </c>
      <c r="L4278" t="s">
        <v>64</v>
      </c>
      <c r="M4278" t="s">
        <v>772</v>
      </c>
      <c r="N4278" t="s">
        <v>103</v>
      </c>
      <c r="O4278" t="s">
        <v>239</v>
      </c>
      <c r="P4278" t="s">
        <v>103</v>
      </c>
    </row>
    <row r="4279" spans="1:17" x14ac:dyDescent="0.3">
      <c r="A4279" t="s">
        <v>41</v>
      </c>
      <c r="B4279">
        <v>2038</v>
      </c>
      <c r="C4279" t="s">
        <v>706</v>
      </c>
      <c r="D4279" t="s">
        <v>251</v>
      </c>
      <c r="E4279" t="s">
        <v>190</v>
      </c>
      <c r="F4279" t="s">
        <v>122</v>
      </c>
      <c r="G4279" t="s">
        <v>66</v>
      </c>
      <c r="H4279" t="s">
        <v>70</v>
      </c>
      <c r="I4279" t="s">
        <v>993</v>
      </c>
      <c r="J4279" t="s">
        <v>103</v>
      </c>
      <c r="K4279" t="s">
        <v>282</v>
      </c>
      <c r="L4279" t="s">
        <v>190</v>
      </c>
      <c r="M4279" t="s">
        <v>1509</v>
      </c>
      <c r="N4279" t="s">
        <v>91</v>
      </c>
      <c r="O4279" t="s">
        <v>120</v>
      </c>
      <c r="P4279" t="s">
        <v>66</v>
      </c>
    </row>
    <row r="4281" spans="1:17" x14ac:dyDescent="0.3">
      <c r="A4281" t="s">
        <v>1672</v>
      </c>
    </row>
    <row r="4282" spans="1:17" x14ac:dyDescent="0.3">
      <c r="A4282" t="s">
        <v>36</v>
      </c>
      <c r="B4282" t="s">
        <v>307</v>
      </c>
      <c r="C4282" t="s">
        <v>24</v>
      </c>
      <c r="D4282" t="s">
        <v>1660</v>
      </c>
      <c r="E4282" t="s">
        <v>1661</v>
      </c>
      <c r="F4282" t="s">
        <v>1662</v>
      </c>
      <c r="G4282" t="s">
        <v>1663</v>
      </c>
      <c r="H4282" t="s">
        <v>1664</v>
      </c>
      <c r="I4282" t="s">
        <v>1665</v>
      </c>
      <c r="J4282" t="s">
        <v>1666</v>
      </c>
      <c r="K4282" t="s">
        <v>1667</v>
      </c>
      <c r="L4282" t="s">
        <v>1668</v>
      </c>
      <c r="M4282" t="s">
        <v>1669</v>
      </c>
      <c r="N4282" t="s">
        <v>1670</v>
      </c>
      <c r="O4282" t="s">
        <v>1671</v>
      </c>
      <c r="P4282" t="s">
        <v>183</v>
      </c>
      <c r="Q4282" t="s">
        <v>181</v>
      </c>
    </row>
    <row r="4283" spans="1:17" x14ac:dyDescent="0.3">
      <c r="A4283" t="s">
        <v>25</v>
      </c>
      <c r="B4283" t="s">
        <v>291</v>
      </c>
      <c r="C4283">
        <v>156</v>
      </c>
      <c r="D4283" t="s">
        <v>681</v>
      </c>
      <c r="E4283" t="s">
        <v>186</v>
      </c>
      <c r="F4283" t="s">
        <v>113</v>
      </c>
      <c r="G4283" t="s">
        <v>97</v>
      </c>
      <c r="H4283" t="s">
        <v>103</v>
      </c>
      <c r="I4283" t="s">
        <v>216</v>
      </c>
      <c r="J4283" t="s">
        <v>1281</v>
      </c>
      <c r="K4283" t="s">
        <v>103</v>
      </c>
      <c r="L4283" t="s">
        <v>120</v>
      </c>
      <c r="M4283" t="s">
        <v>103</v>
      </c>
      <c r="N4283" t="s">
        <v>852</v>
      </c>
      <c r="O4283" t="s">
        <v>103</v>
      </c>
      <c r="P4283" t="s">
        <v>103</v>
      </c>
      <c r="Q4283" t="s">
        <v>103</v>
      </c>
    </row>
    <row r="4284" spans="1:17" x14ac:dyDescent="0.3">
      <c r="A4284" t="s">
        <v>25</v>
      </c>
      <c r="B4284" t="s">
        <v>292</v>
      </c>
      <c r="C4284">
        <v>254</v>
      </c>
      <c r="D4284" t="s">
        <v>565</v>
      </c>
      <c r="E4284" t="s">
        <v>33</v>
      </c>
      <c r="F4284" t="s">
        <v>466</v>
      </c>
      <c r="G4284" t="s">
        <v>282</v>
      </c>
      <c r="H4284" t="s">
        <v>103</v>
      </c>
      <c r="I4284" t="s">
        <v>94</v>
      </c>
      <c r="J4284" t="s">
        <v>1087</v>
      </c>
      <c r="K4284" t="s">
        <v>103</v>
      </c>
      <c r="L4284" t="s">
        <v>194</v>
      </c>
      <c r="M4284" t="s">
        <v>66</v>
      </c>
      <c r="N4284" t="s">
        <v>981</v>
      </c>
      <c r="O4284" t="s">
        <v>103</v>
      </c>
      <c r="P4284" t="s">
        <v>116</v>
      </c>
      <c r="Q4284" t="s">
        <v>66</v>
      </c>
    </row>
    <row r="4285" spans="1:17" x14ac:dyDescent="0.3">
      <c r="A4285" t="s">
        <v>25</v>
      </c>
      <c r="B4285" t="s">
        <v>308</v>
      </c>
      <c r="C4285">
        <v>4</v>
      </c>
      <c r="D4285" t="s">
        <v>240</v>
      </c>
      <c r="E4285" t="s">
        <v>103</v>
      </c>
      <c r="F4285" t="s">
        <v>103</v>
      </c>
      <c r="G4285" t="s">
        <v>103</v>
      </c>
      <c r="H4285" t="s">
        <v>103</v>
      </c>
      <c r="I4285" t="s">
        <v>103</v>
      </c>
      <c r="J4285" t="s">
        <v>297</v>
      </c>
      <c r="K4285" t="s">
        <v>103</v>
      </c>
      <c r="L4285" t="s">
        <v>103</v>
      </c>
      <c r="M4285" t="s">
        <v>103</v>
      </c>
      <c r="N4285" t="s">
        <v>192</v>
      </c>
      <c r="O4285" t="s">
        <v>103</v>
      </c>
      <c r="P4285" t="s">
        <v>103</v>
      </c>
      <c r="Q4285" t="s">
        <v>103</v>
      </c>
    </row>
    <row r="4286" spans="1:17" x14ac:dyDescent="0.3">
      <c r="A4286" t="s">
        <v>26</v>
      </c>
      <c r="B4286" t="s">
        <v>291</v>
      </c>
      <c r="C4286">
        <v>122</v>
      </c>
      <c r="D4286" t="s">
        <v>825</v>
      </c>
      <c r="E4286" t="s">
        <v>591</v>
      </c>
      <c r="F4286" t="s">
        <v>242</v>
      </c>
      <c r="G4286" t="s">
        <v>103</v>
      </c>
      <c r="H4286" t="s">
        <v>282</v>
      </c>
      <c r="I4286" t="s">
        <v>245</v>
      </c>
      <c r="J4286" t="s">
        <v>377</v>
      </c>
      <c r="K4286" t="s">
        <v>103</v>
      </c>
      <c r="L4286" t="s">
        <v>103</v>
      </c>
      <c r="M4286" t="s">
        <v>329</v>
      </c>
      <c r="N4286" t="s">
        <v>880</v>
      </c>
      <c r="O4286" t="s">
        <v>103</v>
      </c>
      <c r="P4286" t="s">
        <v>103</v>
      </c>
      <c r="Q4286" t="s">
        <v>103</v>
      </c>
    </row>
    <row r="4287" spans="1:17" x14ac:dyDescent="0.3">
      <c r="A4287" t="s">
        <v>26</v>
      </c>
      <c r="B4287" t="s">
        <v>292</v>
      </c>
      <c r="C4287">
        <v>352</v>
      </c>
      <c r="D4287" t="s">
        <v>1203</v>
      </c>
      <c r="E4287" t="s">
        <v>750</v>
      </c>
      <c r="F4287" t="s">
        <v>652</v>
      </c>
      <c r="G4287" t="s">
        <v>103</v>
      </c>
      <c r="H4287" t="s">
        <v>116</v>
      </c>
      <c r="I4287" t="s">
        <v>594</v>
      </c>
      <c r="J4287" t="s">
        <v>427</v>
      </c>
      <c r="K4287" t="s">
        <v>103</v>
      </c>
      <c r="L4287" t="s">
        <v>272</v>
      </c>
      <c r="M4287" t="s">
        <v>493</v>
      </c>
      <c r="N4287" t="s">
        <v>286</v>
      </c>
      <c r="O4287" t="s">
        <v>97</v>
      </c>
      <c r="P4287" t="s">
        <v>122</v>
      </c>
      <c r="Q4287" t="s">
        <v>120</v>
      </c>
    </row>
    <row r="4288" spans="1:17" x14ac:dyDescent="0.3">
      <c r="A4288" t="s">
        <v>26</v>
      </c>
      <c r="B4288" t="s">
        <v>308</v>
      </c>
      <c r="C4288">
        <v>3</v>
      </c>
      <c r="D4288" t="s">
        <v>103</v>
      </c>
      <c r="E4288" t="s">
        <v>103</v>
      </c>
      <c r="F4288" t="s">
        <v>103</v>
      </c>
      <c r="G4288" t="s">
        <v>103</v>
      </c>
      <c r="H4288" t="s">
        <v>103</v>
      </c>
      <c r="I4288" t="s">
        <v>921</v>
      </c>
      <c r="J4288" t="s">
        <v>103</v>
      </c>
      <c r="K4288" t="s">
        <v>103</v>
      </c>
      <c r="L4288" t="s">
        <v>103</v>
      </c>
      <c r="M4288" t="s">
        <v>103</v>
      </c>
      <c r="N4288" t="s">
        <v>192</v>
      </c>
      <c r="O4288" t="s">
        <v>103</v>
      </c>
      <c r="P4288" t="s">
        <v>103</v>
      </c>
      <c r="Q4288" t="s">
        <v>103</v>
      </c>
    </row>
    <row r="4289" spans="1:17" x14ac:dyDescent="0.3">
      <c r="A4289" t="s">
        <v>29</v>
      </c>
      <c r="B4289" t="s">
        <v>291</v>
      </c>
      <c r="C4289">
        <v>205</v>
      </c>
      <c r="D4289" t="s">
        <v>131</v>
      </c>
      <c r="E4289" t="s">
        <v>188</v>
      </c>
      <c r="F4289" t="s">
        <v>615</v>
      </c>
      <c r="G4289" t="s">
        <v>103</v>
      </c>
      <c r="H4289" t="s">
        <v>103</v>
      </c>
      <c r="I4289" t="s">
        <v>98</v>
      </c>
      <c r="J4289" t="s">
        <v>406</v>
      </c>
      <c r="K4289" t="s">
        <v>103</v>
      </c>
      <c r="L4289" t="s">
        <v>103</v>
      </c>
      <c r="M4289" t="s">
        <v>162</v>
      </c>
      <c r="N4289" t="s">
        <v>771</v>
      </c>
      <c r="O4289" t="s">
        <v>103</v>
      </c>
      <c r="P4289" t="s">
        <v>103</v>
      </c>
      <c r="Q4289" t="s">
        <v>116</v>
      </c>
    </row>
    <row r="4290" spans="1:17" x14ac:dyDescent="0.3">
      <c r="A4290" t="s">
        <v>29</v>
      </c>
      <c r="B4290" t="s">
        <v>292</v>
      </c>
      <c r="C4290">
        <v>325</v>
      </c>
      <c r="D4290" t="s">
        <v>754</v>
      </c>
      <c r="E4290" t="s">
        <v>466</v>
      </c>
      <c r="F4290" t="s">
        <v>100</v>
      </c>
      <c r="G4290" t="s">
        <v>98</v>
      </c>
      <c r="H4290" t="s">
        <v>116</v>
      </c>
      <c r="I4290" t="s">
        <v>459</v>
      </c>
      <c r="J4290" t="s">
        <v>393</v>
      </c>
      <c r="K4290" t="s">
        <v>103</v>
      </c>
      <c r="L4290" t="s">
        <v>120</v>
      </c>
      <c r="M4290" t="s">
        <v>649</v>
      </c>
      <c r="N4290" t="s">
        <v>147</v>
      </c>
      <c r="O4290" t="s">
        <v>91</v>
      </c>
      <c r="P4290" t="s">
        <v>194</v>
      </c>
      <c r="Q4290" t="s">
        <v>103</v>
      </c>
    </row>
    <row r="4291" spans="1:17" x14ac:dyDescent="0.3">
      <c r="A4291" t="s">
        <v>28</v>
      </c>
      <c r="B4291" t="s">
        <v>291</v>
      </c>
      <c r="C4291">
        <v>114</v>
      </c>
      <c r="D4291" t="s">
        <v>662</v>
      </c>
      <c r="E4291" t="s">
        <v>107</v>
      </c>
      <c r="F4291" t="s">
        <v>118</v>
      </c>
      <c r="G4291" t="s">
        <v>103</v>
      </c>
      <c r="H4291" t="s">
        <v>103</v>
      </c>
      <c r="I4291" t="s">
        <v>217</v>
      </c>
      <c r="J4291" t="s">
        <v>826</v>
      </c>
      <c r="K4291" t="s">
        <v>103</v>
      </c>
      <c r="L4291" t="s">
        <v>103</v>
      </c>
      <c r="M4291" t="s">
        <v>575</v>
      </c>
      <c r="N4291" t="s">
        <v>1040</v>
      </c>
      <c r="O4291" t="s">
        <v>98</v>
      </c>
      <c r="P4291" t="s">
        <v>103</v>
      </c>
      <c r="Q4291" t="s">
        <v>345</v>
      </c>
    </row>
    <row r="4292" spans="1:17" x14ac:dyDescent="0.3">
      <c r="A4292" t="s">
        <v>28</v>
      </c>
      <c r="B4292" t="s">
        <v>292</v>
      </c>
      <c r="C4292">
        <v>191</v>
      </c>
      <c r="D4292" t="s">
        <v>130</v>
      </c>
      <c r="E4292" t="s">
        <v>341</v>
      </c>
      <c r="F4292" t="s">
        <v>571</v>
      </c>
      <c r="G4292" t="s">
        <v>103</v>
      </c>
      <c r="H4292" t="s">
        <v>103</v>
      </c>
      <c r="I4292" t="s">
        <v>102</v>
      </c>
      <c r="J4292" t="s">
        <v>539</v>
      </c>
      <c r="K4292" t="s">
        <v>103</v>
      </c>
      <c r="L4292" t="s">
        <v>103</v>
      </c>
      <c r="M4292" t="s">
        <v>269</v>
      </c>
      <c r="N4292" t="s">
        <v>1012</v>
      </c>
      <c r="O4292" t="s">
        <v>103</v>
      </c>
      <c r="P4292" t="s">
        <v>282</v>
      </c>
      <c r="Q4292" t="s">
        <v>97</v>
      </c>
    </row>
    <row r="4293" spans="1:17" x14ac:dyDescent="0.3">
      <c r="A4293" t="s">
        <v>28</v>
      </c>
      <c r="B4293" t="s">
        <v>308</v>
      </c>
      <c r="C4293">
        <v>12</v>
      </c>
      <c r="D4293" t="s">
        <v>482</v>
      </c>
      <c r="E4293" t="s">
        <v>466</v>
      </c>
      <c r="F4293" t="s">
        <v>103</v>
      </c>
      <c r="G4293" t="s">
        <v>103</v>
      </c>
      <c r="H4293" t="s">
        <v>103</v>
      </c>
      <c r="I4293" t="s">
        <v>103</v>
      </c>
      <c r="J4293" t="s">
        <v>264</v>
      </c>
      <c r="K4293" t="s">
        <v>103</v>
      </c>
      <c r="L4293" t="s">
        <v>103</v>
      </c>
      <c r="M4293" t="s">
        <v>575</v>
      </c>
      <c r="N4293" t="s">
        <v>1153</v>
      </c>
      <c r="O4293" t="s">
        <v>103</v>
      </c>
      <c r="P4293" t="s">
        <v>103</v>
      </c>
      <c r="Q4293" t="s">
        <v>70</v>
      </c>
    </row>
    <row r="4294" spans="1:17" x14ac:dyDescent="0.3">
      <c r="A4294" t="s">
        <v>27</v>
      </c>
      <c r="B4294" t="s">
        <v>291</v>
      </c>
      <c r="C4294">
        <v>95</v>
      </c>
      <c r="D4294" t="s">
        <v>890</v>
      </c>
      <c r="E4294" t="s">
        <v>493</v>
      </c>
      <c r="F4294" t="s">
        <v>103</v>
      </c>
      <c r="G4294" t="s">
        <v>103</v>
      </c>
      <c r="H4294" t="s">
        <v>103</v>
      </c>
      <c r="I4294" t="s">
        <v>103</v>
      </c>
      <c r="J4294" t="s">
        <v>758</v>
      </c>
      <c r="K4294" t="s">
        <v>103</v>
      </c>
      <c r="L4294" t="s">
        <v>103</v>
      </c>
      <c r="M4294" t="s">
        <v>114</v>
      </c>
      <c r="N4294" t="s">
        <v>613</v>
      </c>
      <c r="O4294" t="s">
        <v>103</v>
      </c>
      <c r="P4294" t="s">
        <v>64</v>
      </c>
      <c r="Q4294" t="s">
        <v>103</v>
      </c>
    </row>
    <row r="4295" spans="1:17" x14ac:dyDescent="0.3">
      <c r="A4295" t="s">
        <v>27</v>
      </c>
      <c r="B4295" t="s">
        <v>292</v>
      </c>
      <c r="C4295">
        <v>198</v>
      </c>
      <c r="D4295" t="s">
        <v>604</v>
      </c>
      <c r="E4295" t="s">
        <v>532</v>
      </c>
      <c r="F4295" t="s">
        <v>257</v>
      </c>
      <c r="G4295" t="s">
        <v>103</v>
      </c>
      <c r="H4295" t="s">
        <v>103</v>
      </c>
      <c r="I4295" t="s">
        <v>282</v>
      </c>
      <c r="J4295" t="s">
        <v>358</v>
      </c>
      <c r="K4295" t="s">
        <v>103</v>
      </c>
      <c r="L4295" t="s">
        <v>282</v>
      </c>
      <c r="M4295" t="s">
        <v>118</v>
      </c>
      <c r="N4295" t="s">
        <v>149</v>
      </c>
      <c r="O4295" t="s">
        <v>103</v>
      </c>
      <c r="P4295" t="s">
        <v>345</v>
      </c>
      <c r="Q4295" t="s">
        <v>103</v>
      </c>
    </row>
    <row r="4296" spans="1:17" x14ac:dyDescent="0.3">
      <c r="A4296" t="s">
        <v>27</v>
      </c>
      <c r="B4296" t="s">
        <v>308</v>
      </c>
      <c r="C4296">
        <v>7</v>
      </c>
      <c r="D4296" t="s">
        <v>392</v>
      </c>
      <c r="E4296" t="s">
        <v>103</v>
      </c>
      <c r="F4296" t="s">
        <v>103</v>
      </c>
      <c r="G4296" t="s">
        <v>103</v>
      </c>
      <c r="H4296" t="s">
        <v>103</v>
      </c>
      <c r="I4296" t="s">
        <v>103</v>
      </c>
      <c r="J4296" t="s">
        <v>54</v>
      </c>
      <c r="K4296" t="s">
        <v>103</v>
      </c>
      <c r="L4296" t="s">
        <v>103</v>
      </c>
      <c r="M4296" t="s">
        <v>103</v>
      </c>
      <c r="N4296" t="s">
        <v>192</v>
      </c>
      <c r="O4296" t="s">
        <v>103</v>
      </c>
      <c r="P4296" t="s">
        <v>103</v>
      </c>
      <c r="Q4296" t="s">
        <v>103</v>
      </c>
    </row>
    <row r="4297" spans="1:17" x14ac:dyDescent="0.3">
      <c r="A4297" t="s">
        <v>41</v>
      </c>
      <c r="B4297" t="s">
        <v>291</v>
      </c>
      <c r="C4297">
        <v>692</v>
      </c>
      <c r="D4297" t="s">
        <v>807</v>
      </c>
      <c r="E4297" t="s">
        <v>114</v>
      </c>
      <c r="F4297" t="s">
        <v>32</v>
      </c>
      <c r="G4297" t="s">
        <v>91</v>
      </c>
      <c r="H4297" t="s">
        <v>66</v>
      </c>
      <c r="I4297" t="s">
        <v>468</v>
      </c>
      <c r="J4297" t="s">
        <v>831</v>
      </c>
      <c r="K4297" t="s">
        <v>103</v>
      </c>
      <c r="L4297" t="s">
        <v>91</v>
      </c>
      <c r="M4297" t="s">
        <v>90</v>
      </c>
      <c r="N4297" t="s">
        <v>1177</v>
      </c>
      <c r="O4297" t="s">
        <v>103</v>
      </c>
      <c r="P4297" t="s">
        <v>91</v>
      </c>
      <c r="Q4297" t="s">
        <v>66</v>
      </c>
    </row>
    <row r="4298" spans="1:17" x14ac:dyDescent="0.3">
      <c r="A4298" t="s">
        <v>41</v>
      </c>
      <c r="B4298" t="s">
        <v>292</v>
      </c>
      <c r="C4298">
        <v>1320</v>
      </c>
      <c r="D4298" t="s">
        <v>398</v>
      </c>
      <c r="E4298" t="s">
        <v>108</v>
      </c>
      <c r="F4298" t="s">
        <v>126</v>
      </c>
      <c r="G4298" t="s">
        <v>120</v>
      </c>
      <c r="H4298" t="s">
        <v>66</v>
      </c>
      <c r="I4298" t="s">
        <v>100</v>
      </c>
      <c r="J4298" t="s">
        <v>1212</v>
      </c>
      <c r="K4298" t="s">
        <v>103</v>
      </c>
      <c r="L4298" t="s">
        <v>239</v>
      </c>
      <c r="M4298" t="s">
        <v>206</v>
      </c>
      <c r="N4298" t="s">
        <v>710</v>
      </c>
      <c r="O4298" t="s">
        <v>66</v>
      </c>
      <c r="P4298" t="s">
        <v>98</v>
      </c>
      <c r="Q4298" t="s">
        <v>66</v>
      </c>
    </row>
    <row r="4299" spans="1:17" x14ac:dyDescent="0.3">
      <c r="A4299" t="s">
        <v>41</v>
      </c>
      <c r="B4299" t="s">
        <v>308</v>
      </c>
      <c r="C4299">
        <v>26</v>
      </c>
      <c r="D4299" t="s">
        <v>492</v>
      </c>
      <c r="E4299" t="s">
        <v>105</v>
      </c>
      <c r="F4299" t="s">
        <v>103</v>
      </c>
      <c r="G4299" t="s">
        <v>103</v>
      </c>
      <c r="H4299" t="s">
        <v>103</v>
      </c>
      <c r="I4299" t="s">
        <v>140</v>
      </c>
      <c r="J4299" t="s">
        <v>155</v>
      </c>
      <c r="K4299" t="s">
        <v>103</v>
      </c>
      <c r="L4299" t="s">
        <v>103</v>
      </c>
      <c r="M4299" t="s">
        <v>93</v>
      </c>
      <c r="N4299" t="s">
        <v>864</v>
      </c>
      <c r="O4299" t="s">
        <v>103</v>
      </c>
      <c r="P4299" t="s">
        <v>103</v>
      </c>
      <c r="Q4299" t="s">
        <v>239</v>
      </c>
    </row>
    <row r="4301" spans="1:17" x14ac:dyDescent="0.3">
      <c r="A4301" t="s">
        <v>1673</v>
      </c>
    </row>
    <row r="4302" spans="1:17" x14ac:dyDescent="0.3">
      <c r="A4302" t="s">
        <v>36</v>
      </c>
      <c r="B4302" t="s">
        <v>310</v>
      </c>
      <c r="C4302" t="s">
        <v>24</v>
      </c>
      <c r="D4302" t="s">
        <v>1660</v>
      </c>
      <c r="E4302" t="s">
        <v>1661</v>
      </c>
      <c r="F4302" t="s">
        <v>1662</v>
      </c>
      <c r="G4302" t="s">
        <v>1663</v>
      </c>
      <c r="H4302" t="s">
        <v>1664</v>
      </c>
      <c r="I4302" t="s">
        <v>1665</v>
      </c>
      <c r="J4302" t="s">
        <v>1666</v>
      </c>
      <c r="K4302" t="s">
        <v>1667</v>
      </c>
      <c r="L4302" t="s">
        <v>1668</v>
      </c>
      <c r="M4302" t="s">
        <v>1669</v>
      </c>
      <c r="N4302" t="s">
        <v>1670</v>
      </c>
      <c r="O4302" t="s">
        <v>1671</v>
      </c>
      <c r="P4302" t="s">
        <v>183</v>
      </c>
      <c r="Q4302" t="s">
        <v>181</v>
      </c>
    </row>
    <row r="4303" spans="1:17" x14ac:dyDescent="0.3">
      <c r="A4303" t="s">
        <v>25</v>
      </c>
      <c r="B4303" t="s">
        <v>311</v>
      </c>
      <c r="C4303">
        <v>324</v>
      </c>
      <c r="D4303" t="s">
        <v>658</v>
      </c>
      <c r="E4303" t="s">
        <v>33</v>
      </c>
      <c r="F4303" t="s">
        <v>133</v>
      </c>
      <c r="G4303" t="s">
        <v>120</v>
      </c>
      <c r="H4303" t="s">
        <v>103</v>
      </c>
      <c r="I4303" t="s">
        <v>532</v>
      </c>
      <c r="J4303" t="s">
        <v>1240</v>
      </c>
      <c r="K4303" t="s">
        <v>103</v>
      </c>
      <c r="L4303" t="s">
        <v>194</v>
      </c>
      <c r="M4303" t="s">
        <v>66</v>
      </c>
      <c r="N4303" t="s">
        <v>840</v>
      </c>
      <c r="O4303" t="s">
        <v>103</v>
      </c>
      <c r="P4303" t="s">
        <v>66</v>
      </c>
      <c r="Q4303" t="s">
        <v>103</v>
      </c>
    </row>
    <row r="4304" spans="1:17" x14ac:dyDescent="0.3">
      <c r="A4304" t="s">
        <v>25</v>
      </c>
      <c r="B4304" t="s">
        <v>312</v>
      </c>
      <c r="C4304">
        <v>80</v>
      </c>
      <c r="D4304" t="s">
        <v>457</v>
      </c>
      <c r="E4304" t="s">
        <v>102</v>
      </c>
      <c r="F4304" t="s">
        <v>107</v>
      </c>
      <c r="G4304" t="s">
        <v>341</v>
      </c>
      <c r="H4304" t="s">
        <v>103</v>
      </c>
      <c r="I4304" t="s">
        <v>188</v>
      </c>
      <c r="J4304" t="s">
        <v>1047</v>
      </c>
      <c r="K4304" t="s">
        <v>103</v>
      </c>
      <c r="L4304" t="s">
        <v>103</v>
      </c>
      <c r="M4304" t="s">
        <v>103</v>
      </c>
      <c r="N4304" t="s">
        <v>597</v>
      </c>
      <c r="O4304" t="s">
        <v>103</v>
      </c>
      <c r="P4304" t="s">
        <v>103</v>
      </c>
      <c r="Q4304" t="s">
        <v>97</v>
      </c>
    </row>
    <row r="4305" spans="1:17" x14ac:dyDescent="0.3">
      <c r="A4305" t="s">
        <v>25</v>
      </c>
      <c r="B4305" t="s">
        <v>308</v>
      </c>
      <c r="C4305">
        <v>10</v>
      </c>
      <c r="D4305" t="s">
        <v>930</v>
      </c>
      <c r="E4305" t="s">
        <v>103</v>
      </c>
      <c r="F4305" t="s">
        <v>167</v>
      </c>
      <c r="G4305" t="s">
        <v>103</v>
      </c>
      <c r="H4305" t="s">
        <v>103</v>
      </c>
      <c r="I4305" t="s">
        <v>649</v>
      </c>
      <c r="J4305" t="s">
        <v>1215</v>
      </c>
      <c r="K4305" t="s">
        <v>103</v>
      </c>
      <c r="L4305" t="s">
        <v>103</v>
      </c>
      <c r="M4305" t="s">
        <v>103</v>
      </c>
      <c r="N4305" t="s">
        <v>192</v>
      </c>
      <c r="O4305" t="s">
        <v>103</v>
      </c>
      <c r="P4305" t="s">
        <v>103</v>
      </c>
      <c r="Q4305" t="s">
        <v>103</v>
      </c>
    </row>
    <row r="4306" spans="1:17" x14ac:dyDescent="0.3">
      <c r="A4306" t="s">
        <v>26</v>
      </c>
      <c r="B4306" t="s">
        <v>311</v>
      </c>
      <c r="C4306">
        <v>343</v>
      </c>
      <c r="D4306" t="s">
        <v>875</v>
      </c>
      <c r="E4306" t="s">
        <v>191</v>
      </c>
      <c r="F4306" t="s">
        <v>137</v>
      </c>
      <c r="G4306" t="s">
        <v>103</v>
      </c>
      <c r="H4306" t="s">
        <v>120</v>
      </c>
      <c r="I4306" t="s">
        <v>511</v>
      </c>
      <c r="J4306" t="s">
        <v>1231</v>
      </c>
      <c r="K4306" t="s">
        <v>103</v>
      </c>
      <c r="L4306" t="s">
        <v>272</v>
      </c>
      <c r="M4306" t="s">
        <v>102</v>
      </c>
      <c r="N4306" t="s">
        <v>339</v>
      </c>
      <c r="O4306" t="s">
        <v>97</v>
      </c>
      <c r="P4306" t="s">
        <v>103</v>
      </c>
      <c r="Q4306" t="s">
        <v>116</v>
      </c>
    </row>
    <row r="4307" spans="1:17" x14ac:dyDescent="0.3">
      <c r="A4307" t="s">
        <v>26</v>
      </c>
      <c r="B4307" t="s">
        <v>312</v>
      </c>
      <c r="C4307">
        <v>96</v>
      </c>
      <c r="D4307" t="s">
        <v>702</v>
      </c>
      <c r="E4307" t="s">
        <v>680</v>
      </c>
      <c r="F4307" t="s">
        <v>108</v>
      </c>
      <c r="G4307" t="s">
        <v>103</v>
      </c>
      <c r="H4307" t="s">
        <v>103</v>
      </c>
      <c r="I4307" t="s">
        <v>194</v>
      </c>
      <c r="J4307" t="s">
        <v>496</v>
      </c>
      <c r="K4307" t="s">
        <v>103</v>
      </c>
      <c r="L4307" t="s">
        <v>103</v>
      </c>
      <c r="M4307" t="s">
        <v>266</v>
      </c>
      <c r="N4307" t="s">
        <v>200</v>
      </c>
      <c r="O4307" t="s">
        <v>103</v>
      </c>
      <c r="P4307" t="s">
        <v>239</v>
      </c>
      <c r="Q4307" t="s">
        <v>282</v>
      </c>
    </row>
    <row r="4308" spans="1:17" x14ac:dyDescent="0.3">
      <c r="A4308" t="s">
        <v>26</v>
      </c>
      <c r="B4308" t="s">
        <v>308</v>
      </c>
      <c r="C4308">
        <v>38</v>
      </c>
      <c r="D4308" t="s">
        <v>385</v>
      </c>
      <c r="E4308" t="s">
        <v>813</v>
      </c>
      <c r="F4308" t="s">
        <v>578</v>
      </c>
      <c r="G4308" t="s">
        <v>103</v>
      </c>
      <c r="H4308" t="s">
        <v>103</v>
      </c>
      <c r="I4308" t="s">
        <v>103</v>
      </c>
      <c r="J4308" t="s">
        <v>1028</v>
      </c>
      <c r="K4308" t="s">
        <v>103</v>
      </c>
      <c r="L4308" t="s">
        <v>103</v>
      </c>
      <c r="M4308" t="s">
        <v>257</v>
      </c>
      <c r="N4308" t="s">
        <v>184</v>
      </c>
      <c r="O4308" t="s">
        <v>103</v>
      </c>
      <c r="P4308" t="s">
        <v>103</v>
      </c>
      <c r="Q4308" t="s">
        <v>103</v>
      </c>
    </row>
    <row r="4309" spans="1:17" x14ac:dyDescent="0.3">
      <c r="A4309" t="s">
        <v>29</v>
      </c>
      <c r="B4309" t="s">
        <v>311</v>
      </c>
      <c r="C4309">
        <v>414</v>
      </c>
      <c r="D4309" t="s">
        <v>580</v>
      </c>
      <c r="E4309" t="s">
        <v>32</v>
      </c>
      <c r="F4309" t="s">
        <v>452</v>
      </c>
      <c r="G4309" t="s">
        <v>122</v>
      </c>
      <c r="H4309" t="s">
        <v>66</v>
      </c>
      <c r="I4309" t="s">
        <v>205</v>
      </c>
      <c r="J4309" t="s">
        <v>928</v>
      </c>
      <c r="K4309" t="s">
        <v>103</v>
      </c>
      <c r="L4309" t="s">
        <v>97</v>
      </c>
      <c r="M4309" t="s">
        <v>164</v>
      </c>
      <c r="N4309" t="s">
        <v>889</v>
      </c>
      <c r="O4309" t="s">
        <v>91</v>
      </c>
      <c r="P4309" t="s">
        <v>120</v>
      </c>
      <c r="Q4309" t="s">
        <v>103</v>
      </c>
    </row>
    <row r="4310" spans="1:17" x14ac:dyDescent="0.3">
      <c r="A4310" t="s">
        <v>29</v>
      </c>
      <c r="B4310" t="s">
        <v>312</v>
      </c>
      <c r="C4310">
        <v>103</v>
      </c>
      <c r="D4310" t="s">
        <v>727</v>
      </c>
      <c r="E4310" t="s">
        <v>511</v>
      </c>
      <c r="F4310" t="s">
        <v>242</v>
      </c>
      <c r="G4310" t="s">
        <v>468</v>
      </c>
      <c r="H4310" t="s">
        <v>103</v>
      </c>
      <c r="I4310" t="s">
        <v>91</v>
      </c>
      <c r="J4310" t="s">
        <v>676</v>
      </c>
      <c r="K4310" t="s">
        <v>103</v>
      </c>
      <c r="L4310" t="s">
        <v>103</v>
      </c>
      <c r="M4310" t="s">
        <v>133</v>
      </c>
      <c r="N4310" t="s">
        <v>828</v>
      </c>
      <c r="O4310" t="s">
        <v>103</v>
      </c>
      <c r="P4310" t="s">
        <v>245</v>
      </c>
      <c r="Q4310" t="s">
        <v>95</v>
      </c>
    </row>
    <row r="4311" spans="1:17" x14ac:dyDescent="0.3">
      <c r="A4311" t="s">
        <v>29</v>
      </c>
      <c r="B4311" t="s">
        <v>308</v>
      </c>
      <c r="C4311">
        <v>13</v>
      </c>
      <c r="D4311" t="s">
        <v>234</v>
      </c>
      <c r="E4311" t="s">
        <v>99</v>
      </c>
      <c r="F4311" t="s">
        <v>254</v>
      </c>
      <c r="G4311" t="s">
        <v>103</v>
      </c>
      <c r="H4311" t="s">
        <v>103</v>
      </c>
      <c r="I4311" t="s">
        <v>103</v>
      </c>
      <c r="J4311" t="s">
        <v>1555</v>
      </c>
      <c r="K4311" t="s">
        <v>103</v>
      </c>
      <c r="L4311" t="s">
        <v>103</v>
      </c>
      <c r="M4311" t="s">
        <v>468</v>
      </c>
      <c r="N4311" t="s">
        <v>1308</v>
      </c>
      <c r="O4311" t="s">
        <v>103</v>
      </c>
      <c r="P4311" t="s">
        <v>103</v>
      </c>
      <c r="Q4311" t="s">
        <v>103</v>
      </c>
    </row>
    <row r="4312" spans="1:17" x14ac:dyDescent="0.3">
      <c r="A4312" t="s">
        <v>28</v>
      </c>
      <c r="B4312" t="s">
        <v>311</v>
      </c>
      <c r="C4312">
        <v>223</v>
      </c>
      <c r="D4312" t="s">
        <v>136</v>
      </c>
      <c r="E4312" t="s">
        <v>591</v>
      </c>
      <c r="F4312" t="s">
        <v>531</v>
      </c>
      <c r="G4312" t="s">
        <v>103</v>
      </c>
      <c r="H4312" t="s">
        <v>103</v>
      </c>
      <c r="I4312" t="s">
        <v>128</v>
      </c>
      <c r="J4312" t="s">
        <v>1356</v>
      </c>
      <c r="K4312" t="s">
        <v>103</v>
      </c>
      <c r="L4312" t="s">
        <v>103</v>
      </c>
      <c r="M4312" t="s">
        <v>460</v>
      </c>
      <c r="N4312" t="s">
        <v>753</v>
      </c>
      <c r="O4312" t="s">
        <v>97</v>
      </c>
      <c r="P4312" t="s">
        <v>103</v>
      </c>
      <c r="Q4312" t="s">
        <v>103</v>
      </c>
    </row>
    <row r="4313" spans="1:17" x14ac:dyDescent="0.3">
      <c r="A4313" t="s">
        <v>28</v>
      </c>
      <c r="B4313" t="s">
        <v>312</v>
      </c>
      <c r="C4313">
        <v>93</v>
      </c>
      <c r="D4313" t="s">
        <v>140</v>
      </c>
      <c r="E4313" t="s">
        <v>103</v>
      </c>
      <c r="F4313" t="s">
        <v>284</v>
      </c>
      <c r="G4313" t="s">
        <v>103</v>
      </c>
      <c r="H4313" t="s">
        <v>103</v>
      </c>
      <c r="I4313" t="s">
        <v>278</v>
      </c>
      <c r="J4313" t="s">
        <v>727</v>
      </c>
      <c r="K4313" t="s">
        <v>103</v>
      </c>
      <c r="L4313" t="s">
        <v>103</v>
      </c>
      <c r="M4313" t="s">
        <v>275</v>
      </c>
      <c r="N4313" t="s">
        <v>428</v>
      </c>
      <c r="O4313" t="s">
        <v>103</v>
      </c>
      <c r="P4313" t="s">
        <v>93</v>
      </c>
      <c r="Q4313" t="s">
        <v>438</v>
      </c>
    </row>
    <row r="4314" spans="1:17" x14ac:dyDescent="0.3">
      <c r="A4314" t="s">
        <v>28</v>
      </c>
      <c r="B4314" t="s">
        <v>308</v>
      </c>
      <c r="C4314">
        <v>1</v>
      </c>
      <c r="D4314" t="s">
        <v>103</v>
      </c>
      <c r="E4314" t="s">
        <v>103</v>
      </c>
      <c r="F4314" t="s">
        <v>103</v>
      </c>
      <c r="G4314" t="s">
        <v>103</v>
      </c>
      <c r="H4314" t="s">
        <v>103</v>
      </c>
      <c r="I4314" t="s">
        <v>103</v>
      </c>
      <c r="J4314" t="s">
        <v>103</v>
      </c>
      <c r="K4314" t="s">
        <v>103</v>
      </c>
      <c r="L4314" t="s">
        <v>103</v>
      </c>
      <c r="M4314" t="s">
        <v>103</v>
      </c>
      <c r="N4314" t="s">
        <v>192</v>
      </c>
      <c r="O4314" t="s">
        <v>103</v>
      </c>
      <c r="P4314" t="s">
        <v>103</v>
      </c>
      <c r="Q4314" t="s">
        <v>103</v>
      </c>
    </row>
    <row r="4315" spans="1:17" x14ac:dyDescent="0.3">
      <c r="A4315" t="s">
        <v>27</v>
      </c>
      <c r="B4315" t="s">
        <v>311</v>
      </c>
      <c r="C4315">
        <v>237</v>
      </c>
      <c r="D4315" t="s">
        <v>574</v>
      </c>
      <c r="E4315" t="s">
        <v>615</v>
      </c>
      <c r="F4315" t="s">
        <v>468</v>
      </c>
      <c r="G4315" t="s">
        <v>103</v>
      </c>
      <c r="H4315" t="s">
        <v>103</v>
      </c>
      <c r="I4315" t="s">
        <v>139</v>
      </c>
      <c r="J4315" t="s">
        <v>1048</v>
      </c>
      <c r="K4315" t="s">
        <v>103</v>
      </c>
      <c r="L4315" t="s">
        <v>139</v>
      </c>
      <c r="M4315" t="s">
        <v>195</v>
      </c>
      <c r="N4315" t="s">
        <v>246</v>
      </c>
      <c r="O4315" t="s">
        <v>103</v>
      </c>
      <c r="P4315" t="s">
        <v>110</v>
      </c>
      <c r="Q4315" t="s">
        <v>103</v>
      </c>
    </row>
    <row r="4316" spans="1:17" x14ac:dyDescent="0.3">
      <c r="A4316" t="s">
        <v>27</v>
      </c>
      <c r="B4316" t="s">
        <v>312</v>
      </c>
      <c r="C4316">
        <v>60</v>
      </c>
      <c r="D4316" t="s">
        <v>484</v>
      </c>
      <c r="E4316" t="s">
        <v>329</v>
      </c>
      <c r="F4316" t="s">
        <v>329</v>
      </c>
      <c r="G4316" t="s">
        <v>103</v>
      </c>
      <c r="H4316" t="s">
        <v>103</v>
      </c>
      <c r="I4316" t="s">
        <v>103</v>
      </c>
      <c r="J4316" t="s">
        <v>1278</v>
      </c>
      <c r="K4316" t="s">
        <v>103</v>
      </c>
      <c r="L4316" t="s">
        <v>103</v>
      </c>
      <c r="M4316" t="s">
        <v>216</v>
      </c>
      <c r="N4316" t="s">
        <v>749</v>
      </c>
      <c r="O4316" t="s">
        <v>103</v>
      </c>
      <c r="P4316" t="s">
        <v>329</v>
      </c>
      <c r="Q4316" t="s">
        <v>103</v>
      </c>
    </row>
    <row r="4317" spans="1:17" x14ac:dyDescent="0.3">
      <c r="A4317" t="s">
        <v>27</v>
      </c>
      <c r="B4317" t="s">
        <v>308</v>
      </c>
      <c r="C4317">
        <v>3</v>
      </c>
      <c r="D4317" t="s">
        <v>407</v>
      </c>
      <c r="E4317" t="s">
        <v>103</v>
      </c>
      <c r="F4317" t="s">
        <v>527</v>
      </c>
      <c r="G4317" t="s">
        <v>103</v>
      </c>
      <c r="H4317" t="s">
        <v>103</v>
      </c>
      <c r="I4317" t="s">
        <v>119</v>
      </c>
      <c r="J4317" t="s">
        <v>103</v>
      </c>
      <c r="K4317" t="s">
        <v>103</v>
      </c>
      <c r="L4317" t="s">
        <v>103</v>
      </c>
      <c r="M4317" t="s">
        <v>103</v>
      </c>
      <c r="N4317" t="s">
        <v>407</v>
      </c>
      <c r="O4317" t="s">
        <v>103</v>
      </c>
      <c r="P4317" t="s">
        <v>103</v>
      </c>
      <c r="Q4317" t="s">
        <v>103</v>
      </c>
    </row>
    <row r="4318" spans="1:17" x14ac:dyDescent="0.3">
      <c r="A4318" t="s">
        <v>41</v>
      </c>
      <c r="B4318" t="s">
        <v>311</v>
      </c>
      <c r="C4318">
        <v>1541</v>
      </c>
      <c r="D4318" t="s">
        <v>1083</v>
      </c>
      <c r="E4318" t="s">
        <v>206</v>
      </c>
      <c r="F4318" t="s">
        <v>594</v>
      </c>
      <c r="G4318" t="s">
        <v>116</v>
      </c>
      <c r="H4318" t="s">
        <v>116</v>
      </c>
      <c r="I4318" t="s">
        <v>94</v>
      </c>
      <c r="J4318" t="s">
        <v>1242</v>
      </c>
      <c r="K4318" t="s">
        <v>103</v>
      </c>
      <c r="L4318" t="s">
        <v>194</v>
      </c>
      <c r="M4318" t="s">
        <v>100</v>
      </c>
      <c r="N4318" t="s">
        <v>625</v>
      </c>
      <c r="O4318" t="s">
        <v>66</v>
      </c>
      <c r="P4318" t="s">
        <v>122</v>
      </c>
      <c r="Q4318" t="s">
        <v>91</v>
      </c>
    </row>
    <row r="4319" spans="1:17" x14ac:dyDescent="0.3">
      <c r="A4319" t="s">
        <v>41</v>
      </c>
      <c r="B4319" t="s">
        <v>312</v>
      </c>
      <c r="C4319">
        <v>432</v>
      </c>
      <c r="D4319" t="s">
        <v>697</v>
      </c>
      <c r="E4319" t="s">
        <v>737</v>
      </c>
      <c r="F4319" t="s">
        <v>607</v>
      </c>
      <c r="G4319" t="s">
        <v>98</v>
      </c>
      <c r="H4319" t="s">
        <v>103</v>
      </c>
      <c r="I4319" t="s">
        <v>110</v>
      </c>
      <c r="J4319" t="s">
        <v>873</v>
      </c>
      <c r="K4319" t="s">
        <v>103</v>
      </c>
      <c r="L4319" t="s">
        <v>103</v>
      </c>
      <c r="M4319" t="s">
        <v>107</v>
      </c>
      <c r="N4319" t="s">
        <v>184</v>
      </c>
      <c r="O4319" t="s">
        <v>103</v>
      </c>
      <c r="P4319" t="s">
        <v>110</v>
      </c>
      <c r="Q4319" t="s">
        <v>98</v>
      </c>
    </row>
    <row r="4320" spans="1:17" x14ac:dyDescent="0.3">
      <c r="A4320" t="s">
        <v>41</v>
      </c>
      <c r="B4320" t="s">
        <v>308</v>
      </c>
      <c r="C4320">
        <v>65</v>
      </c>
      <c r="D4320" t="s">
        <v>1293</v>
      </c>
      <c r="E4320" t="s">
        <v>135</v>
      </c>
      <c r="F4320" t="s">
        <v>516</v>
      </c>
      <c r="G4320" t="s">
        <v>103</v>
      </c>
      <c r="H4320" t="s">
        <v>103</v>
      </c>
      <c r="I4320" t="s">
        <v>245</v>
      </c>
      <c r="J4320" t="s">
        <v>443</v>
      </c>
      <c r="K4320" t="s">
        <v>103</v>
      </c>
      <c r="L4320" t="s">
        <v>103</v>
      </c>
      <c r="M4320" t="s">
        <v>105</v>
      </c>
      <c r="N4320" t="s">
        <v>193</v>
      </c>
      <c r="O4320" t="s">
        <v>103</v>
      </c>
      <c r="P4320" t="s">
        <v>103</v>
      </c>
      <c r="Q4320" t="s">
        <v>103</v>
      </c>
    </row>
    <row r="4322" spans="1:17" x14ac:dyDescent="0.3">
      <c r="A4322" t="s">
        <v>1674</v>
      </c>
    </row>
    <row r="4323" spans="1:17" x14ac:dyDescent="0.3">
      <c r="A4323" t="s">
        <v>36</v>
      </c>
      <c r="B4323" t="s">
        <v>197</v>
      </c>
      <c r="C4323" t="s">
        <v>24</v>
      </c>
      <c r="D4323" t="s">
        <v>1660</v>
      </c>
      <c r="E4323" t="s">
        <v>1661</v>
      </c>
      <c r="F4323" t="s">
        <v>1662</v>
      </c>
      <c r="G4323" t="s">
        <v>1663</v>
      </c>
      <c r="H4323" t="s">
        <v>1664</v>
      </c>
      <c r="I4323" t="s">
        <v>1665</v>
      </c>
      <c r="J4323" t="s">
        <v>1666</v>
      </c>
      <c r="K4323" t="s">
        <v>1667</v>
      </c>
      <c r="L4323" t="s">
        <v>1668</v>
      </c>
      <c r="M4323" t="s">
        <v>1669</v>
      </c>
      <c r="N4323" t="s">
        <v>1670</v>
      </c>
      <c r="O4323" t="s">
        <v>1671</v>
      </c>
      <c r="P4323" t="s">
        <v>183</v>
      </c>
      <c r="Q4323" t="s">
        <v>181</v>
      </c>
    </row>
    <row r="4324" spans="1:17" x14ac:dyDescent="0.3">
      <c r="A4324" t="s">
        <v>25</v>
      </c>
      <c r="B4324" t="s">
        <v>198</v>
      </c>
      <c r="C4324">
        <v>104</v>
      </c>
      <c r="D4324" t="s">
        <v>478</v>
      </c>
      <c r="E4324" t="s">
        <v>97</v>
      </c>
      <c r="F4324" t="s">
        <v>70</v>
      </c>
      <c r="G4324" t="s">
        <v>468</v>
      </c>
      <c r="H4324" t="s">
        <v>103</v>
      </c>
      <c r="I4324" t="s">
        <v>188</v>
      </c>
      <c r="J4324" t="s">
        <v>593</v>
      </c>
      <c r="K4324" t="s">
        <v>103</v>
      </c>
      <c r="L4324" t="s">
        <v>122</v>
      </c>
      <c r="M4324" t="s">
        <v>120</v>
      </c>
      <c r="N4324" t="s">
        <v>852</v>
      </c>
      <c r="O4324" t="s">
        <v>103</v>
      </c>
      <c r="P4324" t="s">
        <v>103</v>
      </c>
      <c r="Q4324" t="s">
        <v>122</v>
      </c>
    </row>
    <row r="4325" spans="1:17" x14ac:dyDescent="0.3">
      <c r="A4325" t="s">
        <v>25</v>
      </c>
      <c r="B4325" t="s">
        <v>199</v>
      </c>
      <c r="C4325">
        <v>310</v>
      </c>
      <c r="D4325" t="s">
        <v>825</v>
      </c>
      <c r="E4325" t="s">
        <v>662</v>
      </c>
      <c r="F4325" t="s">
        <v>133</v>
      </c>
      <c r="G4325" t="s">
        <v>95</v>
      </c>
      <c r="H4325" t="s">
        <v>103</v>
      </c>
      <c r="I4325" t="s">
        <v>214</v>
      </c>
      <c r="J4325" t="s">
        <v>371</v>
      </c>
      <c r="K4325" t="s">
        <v>103</v>
      </c>
      <c r="L4325" t="s">
        <v>468</v>
      </c>
      <c r="M4325" t="s">
        <v>103</v>
      </c>
      <c r="N4325" t="s">
        <v>287</v>
      </c>
      <c r="O4325" t="s">
        <v>103</v>
      </c>
      <c r="P4325" t="s">
        <v>66</v>
      </c>
      <c r="Q4325" t="s">
        <v>103</v>
      </c>
    </row>
    <row r="4326" spans="1:17" x14ac:dyDescent="0.3">
      <c r="A4326" t="s">
        <v>26</v>
      </c>
      <c r="B4326" t="s">
        <v>198</v>
      </c>
      <c r="C4326">
        <v>41</v>
      </c>
      <c r="D4326" t="s">
        <v>262</v>
      </c>
      <c r="E4326" t="s">
        <v>101</v>
      </c>
      <c r="F4326" t="s">
        <v>32</v>
      </c>
      <c r="G4326" t="s">
        <v>103</v>
      </c>
      <c r="H4326" t="s">
        <v>103</v>
      </c>
      <c r="I4326" t="s">
        <v>494</v>
      </c>
      <c r="J4326" t="s">
        <v>1558</v>
      </c>
      <c r="K4326" t="s">
        <v>103</v>
      </c>
      <c r="L4326" t="s">
        <v>467</v>
      </c>
      <c r="M4326" t="s">
        <v>103</v>
      </c>
      <c r="N4326" t="s">
        <v>192</v>
      </c>
      <c r="O4326" t="s">
        <v>103</v>
      </c>
      <c r="P4326" t="s">
        <v>103</v>
      </c>
      <c r="Q4326" t="s">
        <v>103</v>
      </c>
    </row>
    <row r="4327" spans="1:17" x14ac:dyDescent="0.3">
      <c r="A4327" t="s">
        <v>26</v>
      </c>
      <c r="B4327" t="s">
        <v>199</v>
      </c>
      <c r="C4327">
        <v>436</v>
      </c>
      <c r="D4327" t="s">
        <v>1008</v>
      </c>
      <c r="E4327" t="s">
        <v>244</v>
      </c>
      <c r="F4327" t="s">
        <v>649</v>
      </c>
      <c r="G4327" t="s">
        <v>103</v>
      </c>
      <c r="H4327" t="s">
        <v>97</v>
      </c>
      <c r="I4327" t="s">
        <v>278</v>
      </c>
      <c r="J4327" t="s">
        <v>350</v>
      </c>
      <c r="K4327" t="s">
        <v>103</v>
      </c>
      <c r="L4327" t="s">
        <v>128</v>
      </c>
      <c r="M4327" t="s">
        <v>102</v>
      </c>
      <c r="N4327" t="s">
        <v>867</v>
      </c>
      <c r="O4327" t="s">
        <v>122</v>
      </c>
      <c r="P4327" t="s">
        <v>116</v>
      </c>
      <c r="Q4327" t="s">
        <v>122</v>
      </c>
    </row>
    <row r="4328" spans="1:17" x14ac:dyDescent="0.3">
      <c r="A4328" t="s">
        <v>29</v>
      </c>
      <c r="B4328" t="s">
        <v>198</v>
      </c>
      <c r="C4328">
        <v>170</v>
      </c>
      <c r="D4328" t="s">
        <v>521</v>
      </c>
      <c r="E4328" t="s">
        <v>201</v>
      </c>
      <c r="F4328" t="s">
        <v>124</v>
      </c>
      <c r="G4328" t="s">
        <v>97</v>
      </c>
      <c r="H4328" t="s">
        <v>103</v>
      </c>
      <c r="I4328" t="s">
        <v>467</v>
      </c>
      <c r="J4328" t="s">
        <v>1049</v>
      </c>
      <c r="K4328" t="s">
        <v>103</v>
      </c>
      <c r="L4328" t="s">
        <v>95</v>
      </c>
      <c r="M4328" t="s">
        <v>32</v>
      </c>
      <c r="N4328" t="s">
        <v>203</v>
      </c>
      <c r="O4328" t="s">
        <v>103</v>
      </c>
      <c r="P4328" t="s">
        <v>208</v>
      </c>
      <c r="Q4328" t="s">
        <v>122</v>
      </c>
    </row>
    <row r="4329" spans="1:17" x14ac:dyDescent="0.3">
      <c r="A4329" t="s">
        <v>29</v>
      </c>
      <c r="B4329" t="s">
        <v>199</v>
      </c>
      <c r="C4329">
        <v>360</v>
      </c>
      <c r="D4329" t="s">
        <v>927</v>
      </c>
      <c r="E4329" t="s">
        <v>558</v>
      </c>
      <c r="F4329" t="s">
        <v>452</v>
      </c>
      <c r="G4329" t="s">
        <v>120</v>
      </c>
      <c r="H4329" t="s">
        <v>116</v>
      </c>
      <c r="I4329" t="s">
        <v>126</v>
      </c>
      <c r="J4329" t="s">
        <v>1215</v>
      </c>
      <c r="K4329" t="s">
        <v>103</v>
      </c>
      <c r="L4329" t="s">
        <v>116</v>
      </c>
      <c r="M4329" t="s">
        <v>516</v>
      </c>
      <c r="N4329" t="s">
        <v>783</v>
      </c>
      <c r="O4329" t="s">
        <v>91</v>
      </c>
      <c r="P4329" t="s">
        <v>116</v>
      </c>
      <c r="Q4329" t="s">
        <v>103</v>
      </c>
    </row>
    <row r="4330" spans="1:17" x14ac:dyDescent="0.3">
      <c r="A4330" t="s">
        <v>28</v>
      </c>
      <c r="B4330" t="s">
        <v>198</v>
      </c>
      <c r="C4330">
        <v>70</v>
      </c>
      <c r="D4330" t="s">
        <v>113</v>
      </c>
      <c r="E4330" t="s">
        <v>195</v>
      </c>
      <c r="F4330" t="s">
        <v>244</v>
      </c>
      <c r="G4330" t="s">
        <v>103</v>
      </c>
      <c r="H4330" t="s">
        <v>103</v>
      </c>
      <c r="I4330" t="s">
        <v>103</v>
      </c>
      <c r="J4330" t="s">
        <v>694</v>
      </c>
      <c r="K4330" t="s">
        <v>103</v>
      </c>
      <c r="L4330" t="s">
        <v>103</v>
      </c>
      <c r="M4330" t="s">
        <v>468</v>
      </c>
      <c r="N4330" t="s">
        <v>1281</v>
      </c>
      <c r="O4330" t="s">
        <v>103</v>
      </c>
      <c r="P4330" t="s">
        <v>128</v>
      </c>
      <c r="Q4330" t="s">
        <v>139</v>
      </c>
    </row>
    <row r="4331" spans="1:17" x14ac:dyDescent="0.3">
      <c r="A4331" t="s">
        <v>28</v>
      </c>
      <c r="B4331" t="s">
        <v>199</v>
      </c>
      <c r="C4331">
        <v>247</v>
      </c>
      <c r="D4331" t="s">
        <v>481</v>
      </c>
      <c r="E4331" t="s">
        <v>195</v>
      </c>
      <c r="F4331" t="s">
        <v>114</v>
      </c>
      <c r="G4331" t="s">
        <v>103</v>
      </c>
      <c r="H4331" t="s">
        <v>103</v>
      </c>
      <c r="I4331" t="s">
        <v>591</v>
      </c>
      <c r="J4331" t="s">
        <v>361</v>
      </c>
      <c r="K4331" t="s">
        <v>103</v>
      </c>
      <c r="L4331" t="s">
        <v>103</v>
      </c>
      <c r="M4331" t="s">
        <v>544</v>
      </c>
      <c r="N4331" t="s">
        <v>1675</v>
      </c>
      <c r="O4331" t="s">
        <v>97</v>
      </c>
      <c r="P4331" t="s">
        <v>103</v>
      </c>
      <c r="Q4331" t="s">
        <v>98</v>
      </c>
    </row>
    <row r="4332" spans="1:17" x14ac:dyDescent="0.3">
      <c r="A4332" t="s">
        <v>27</v>
      </c>
      <c r="B4332" t="s">
        <v>198</v>
      </c>
      <c r="C4332">
        <v>136</v>
      </c>
      <c r="D4332" t="s">
        <v>574</v>
      </c>
      <c r="E4332" t="s">
        <v>33</v>
      </c>
      <c r="F4332" t="s">
        <v>64</v>
      </c>
      <c r="G4332" t="s">
        <v>103</v>
      </c>
      <c r="H4332" t="s">
        <v>103</v>
      </c>
      <c r="I4332" t="s">
        <v>139</v>
      </c>
      <c r="J4332" t="s">
        <v>1252</v>
      </c>
      <c r="K4332" t="s">
        <v>103</v>
      </c>
      <c r="L4332" t="s">
        <v>110</v>
      </c>
      <c r="M4332" t="s">
        <v>105</v>
      </c>
      <c r="N4332" t="s">
        <v>725</v>
      </c>
      <c r="O4332" t="s">
        <v>103</v>
      </c>
      <c r="P4332" t="s">
        <v>272</v>
      </c>
      <c r="Q4332" t="s">
        <v>103</v>
      </c>
    </row>
    <row r="4333" spans="1:17" x14ac:dyDescent="0.3">
      <c r="A4333" t="s">
        <v>27</v>
      </c>
      <c r="B4333" t="s">
        <v>199</v>
      </c>
      <c r="C4333">
        <v>164</v>
      </c>
      <c r="D4333" t="s">
        <v>261</v>
      </c>
      <c r="E4333" t="s">
        <v>438</v>
      </c>
      <c r="F4333" t="s">
        <v>95</v>
      </c>
      <c r="G4333" t="s">
        <v>103</v>
      </c>
      <c r="H4333" t="s">
        <v>103</v>
      </c>
      <c r="I4333" t="s">
        <v>120</v>
      </c>
      <c r="J4333" t="s">
        <v>1676</v>
      </c>
      <c r="K4333" t="s">
        <v>103</v>
      </c>
      <c r="L4333" t="s">
        <v>103</v>
      </c>
      <c r="M4333" t="s">
        <v>493</v>
      </c>
      <c r="N4333" t="s">
        <v>885</v>
      </c>
      <c r="O4333" t="s">
        <v>103</v>
      </c>
      <c r="P4333" t="s">
        <v>103</v>
      </c>
      <c r="Q4333" t="s">
        <v>103</v>
      </c>
    </row>
    <row r="4334" spans="1:17" x14ac:dyDescent="0.3">
      <c r="A4334" t="s">
        <v>41</v>
      </c>
      <c r="B4334" t="s">
        <v>198</v>
      </c>
      <c r="C4334">
        <v>521</v>
      </c>
      <c r="D4334" t="s">
        <v>474</v>
      </c>
      <c r="E4334" t="s">
        <v>188</v>
      </c>
      <c r="F4334" t="s">
        <v>140</v>
      </c>
      <c r="G4334" t="s">
        <v>97</v>
      </c>
      <c r="H4334" t="s">
        <v>103</v>
      </c>
      <c r="I4334" t="s">
        <v>272</v>
      </c>
      <c r="J4334" t="s">
        <v>487</v>
      </c>
      <c r="K4334" t="s">
        <v>103</v>
      </c>
      <c r="L4334" t="s">
        <v>139</v>
      </c>
      <c r="M4334" t="s">
        <v>467</v>
      </c>
      <c r="N4334" t="s">
        <v>283</v>
      </c>
      <c r="O4334" t="s">
        <v>103</v>
      </c>
      <c r="P4334" t="s">
        <v>245</v>
      </c>
      <c r="Q4334" t="s">
        <v>122</v>
      </c>
    </row>
    <row r="4335" spans="1:17" x14ac:dyDescent="0.3">
      <c r="A4335" t="s">
        <v>41</v>
      </c>
      <c r="B4335" t="s">
        <v>199</v>
      </c>
      <c r="C4335">
        <v>1517</v>
      </c>
      <c r="D4335" t="s">
        <v>754</v>
      </c>
      <c r="E4335" t="s">
        <v>124</v>
      </c>
      <c r="F4335" t="s">
        <v>190</v>
      </c>
      <c r="G4335" t="s">
        <v>122</v>
      </c>
      <c r="H4335" t="s">
        <v>116</v>
      </c>
      <c r="I4335" t="s">
        <v>452</v>
      </c>
      <c r="J4335" t="s">
        <v>993</v>
      </c>
      <c r="K4335" t="s">
        <v>103</v>
      </c>
      <c r="L4335" t="s">
        <v>282</v>
      </c>
      <c r="M4335" t="s">
        <v>575</v>
      </c>
      <c r="N4335" t="s">
        <v>1509</v>
      </c>
      <c r="O4335" t="s">
        <v>66</v>
      </c>
      <c r="P4335" t="s">
        <v>116</v>
      </c>
      <c r="Q4335" t="s">
        <v>66</v>
      </c>
    </row>
    <row r="4337" spans="1:17" x14ac:dyDescent="0.3">
      <c r="A4337" t="s">
        <v>1677</v>
      </c>
    </row>
    <row r="4338" spans="1:17" x14ac:dyDescent="0.3">
      <c r="A4338" t="s">
        <v>36</v>
      </c>
      <c r="B4338" t="s">
        <v>1233</v>
      </c>
      <c r="C4338" t="s">
        <v>24</v>
      </c>
      <c r="D4338" t="s">
        <v>1660</v>
      </c>
      <c r="E4338" t="s">
        <v>1661</v>
      </c>
      <c r="F4338" t="s">
        <v>1662</v>
      </c>
      <c r="G4338" t="s">
        <v>1663</v>
      </c>
      <c r="H4338" t="s">
        <v>1664</v>
      </c>
      <c r="I4338" t="s">
        <v>1665</v>
      </c>
      <c r="J4338" t="s">
        <v>1666</v>
      </c>
      <c r="K4338" t="s">
        <v>1667</v>
      </c>
      <c r="L4338" t="s">
        <v>1668</v>
      </c>
      <c r="M4338" t="s">
        <v>1669</v>
      </c>
      <c r="N4338" t="s">
        <v>1670</v>
      </c>
      <c r="O4338" t="s">
        <v>1671</v>
      </c>
      <c r="P4338" t="s">
        <v>183</v>
      </c>
      <c r="Q4338" t="s">
        <v>181</v>
      </c>
    </row>
    <row r="4339" spans="1:17" x14ac:dyDescent="0.3">
      <c r="A4339" t="s">
        <v>25</v>
      </c>
      <c r="B4339" t="s">
        <v>1234</v>
      </c>
      <c r="C4339">
        <v>257</v>
      </c>
      <c r="D4339" t="s">
        <v>461</v>
      </c>
      <c r="E4339" t="s">
        <v>232</v>
      </c>
      <c r="F4339" t="s">
        <v>466</v>
      </c>
      <c r="G4339" t="s">
        <v>95</v>
      </c>
      <c r="H4339" t="s">
        <v>103</v>
      </c>
      <c r="I4339" t="s">
        <v>531</v>
      </c>
      <c r="J4339" t="s">
        <v>810</v>
      </c>
      <c r="K4339" t="s">
        <v>103</v>
      </c>
      <c r="L4339" t="s">
        <v>95</v>
      </c>
      <c r="M4339" t="s">
        <v>66</v>
      </c>
      <c r="N4339" t="s">
        <v>837</v>
      </c>
      <c r="O4339" t="s">
        <v>103</v>
      </c>
      <c r="P4339" t="s">
        <v>116</v>
      </c>
      <c r="Q4339" t="s">
        <v>91</v>
      </c>
    </row>
    <row r="4340" spans="1:17" s="3" customFormat="1" x14ac:dyDescent="0.3">
      <c r="A4340" s="3" t="s">
        <v>25</v>
      </c>
      <c r="B4340" s="3" t="s">
        <v>1235</v>
      </c>
      <c r="C4340" s="3">
        <v>25</v>
      </c>
      <c r="D4340" s="3" t="s">
        <v>1401</v>
      </c>
      <c r="E4340" s="3" t="s">
        <v>112</v>
      </c>
      <c r="F4340" s="3" t="s">
        <v>681</v>
      </c>
      <c r="G4340" s="3" t="s">
        <v>103</v>
      </c>
      <c r="H4340" s="3" t="s">
        <v>103</v>
      </c>
      <c r="I4340" s="3" t="s">
        <v>103</v>
      </c>
      <c r="J4340" s="3" t="s">
        <v>757</v>
      </c>
      <c r="K4340" s="3" t="s">
        <v>103</v>
      </c>
      <c r="L4340" s="3" t="s">
        <v>103</v>
      </c>
      <c r="M4340" s="3" t="s">
        <v>103</v>
      </c>
      <c r="N4340" s="3" t="s">
        <v>192</v>
      </c>
      <c r="O4340" s="3" t="s">
        <v>103</v>
      </c>
      <c r="P4340" s="3" t="s">
        <v>103</v>
      </c>
      <c r="Q4340" s="3" t="s">
        <v>103</v>
      </c>
    </row>
    <row r="4341" spans="1:17" x14ac:dyDescent="0.3">
      <c r="A4341" t="s">
        <v>25</v>
      </c>
      <c r="B4341" t="s">
        <v>1237</v>
      </c>
      <c r="C4341">
        <v>132</v>
      </c>
      <c r="D4341" t="s">
        <v>463</v>
      </c>
      <c r="E4341" t="s">
        <v>216</v>
      </c>
      <c r="F4341" t="s">
        <v>95</v>
      </c>
      <c r="G4341" t="s">
        <v>345</v>
      </c>
      <c r="H4341" t="s">
        <v>103</v>
      </c>
      <c r="I4341" t="s">
        <v>93</v>
      </c>
      <c r="J4341" t="s">
        <v>785</v>
      </c>
      <c r="K4341" t="s">
        <v>103</v>
      </c>
      <c r="L4341" t="s">
        <v>208</v>
      </c>
      <c r="M4341" t="s">
        <v>103</v>
      </c>
      <c r="N4341" t="s">
        <v>752</v>
      </c>
      <c r="O4341" t="s">
        <v>103</v>
      </c>
      <c r="P4341" t="s">
        <v>103</v>
      </c>
      <c r="Q4341" t="s">
        <v>103</v>
      </c>
    </row>
    <row r="4342" spans="1:17" x14ac:dyDescent="0.3">
      <c r="A4342" t="s">
        <v>26</v>
      </c>
      <c r="B4342" t="s">
        <v>1234</v>
      </c>
      <c r="C4342">
        <v>296</v>
      </c>
      <c r="D4342" t="s">
        <v>1207</v>
      </c>
      <c r="E4342" t="s">
        <v>175</v>
      </c>
      <c r="F4342" t="s">
        <v>459</v>
      </c>
      <c r="G4342" t="s">
        <v>103</v>
      </c>
      <c r="H4342" t="s">
        <v>116</v>
      </c>
      <c r="I4342" t="s">
        <v>466</v>
      </c>
      <c r="J4342" t="s">
        <v>929</v>
      </c>
      <c r="K4342" t="s">
        <v>103</v>
      </c>
      <c r="L4342" t="s">
        <v>194</v>
      </c>
      <c r="M4342" t="s">
        <v>105</v>
      </c>
      <c r="N4342" t="s">
        <v>880</v>
      </c>
      <c r="O4342" t="s">
        <v>103</v>
      </c>
      <c r="P4342" t="s">
        <v>103</v>
      </c>
      <c r="Q4342" t="s">
        <v>103</v>
      </c>
    </row>
    <row r="4343" spans="1:17" x14ac:dyDescent="0.3">
      <c r="A4343" t="s">
        <v>26</v>
      </c>
      <c r="B4343" t="s">
        <v>1235</v>
      </c>
      <c r="C4343">
        <v>37</v>
      </c>
      <c r="D4343" t="s">
        <v>520</v>
      </c>
      <c r="E4343" t="s">
        <v>164</v>
      </c>
      <c r="F4343" t="s">
        <v>275</v>
      </c>
      <c r="G4343" t="s">
        <v>103</v>
      </c>
      <c r="H4343" t="s">
        <v>103</v>
      </c>
      <c r="I4343" t="s">
        <v>467</v>
      </c>
      <c r="J4343" t="s">
        <v>529</v>
      </c>
      <c r="K4343" t="s">
        <v>103</v>
      </c>
      <c r="L4343" t="s">
        <v>543</v>
      </c>
      <c r="M4343" t="s">
        <v>518</v>
      </c>
      <c r="N4343" t="s">
        <v>192</v>
      </c>
      <c r="O4343" t="s">
        <v>103</v>
      </c>
      <c r="P4343" t="s">
        <v>103</v>
      </c>
      <c r="Q4343" t="s">
        <v>103</v>
      </c>
    </row>
    <row r="4344" spans="1:17" x14ac:dyDescent="0.3">
      <c r="A4344" t="s">
        <v>26</v>
      </c>
      <c r="B4344" t="s">
        <v>1237</v>
      </c>
      <c r="C4344">
        <v>144</v>
      </c>
      <c r="D4344" t="s">
        <v>734</v>
      </c>
      <c r="E4344" t="s">
        <v>124</v>
      </c>
      <c r="F4344" t="s">
        <v>190</v>
      </c>
      <c r="G4344" t="s">
        <v>103</v>
      </c>
      <c r="H4344" t="s">
        <v>98</v>
      </c>
      <c r="I4344" t="s">
        <v>493</v>
      </c>
      <c r="J4344" t="s">
        <v>354</v>
      </c>
      <c r="K4344" t="s">
        <v>103</v>
      </c>
      <c r="L4344" t="s">
        <v>93</v>
      </c>
      <c r="M4344" t="s">
        <v>270</v>
      </c>
      <c r="N4344" t="s">
        <v>636</v>
      </c>
      <c r="O4344" t="s">
        <v>468</v>
      </c>
      <c r="P4344" t="s">
        <v>282</v>
      </c>
      <c r="Q4344" t="s">
        <v>110</v>
      </c>
    </row>
    <row r="4345" spans="1:17" x14ac:dyDescent="0.3">
      <c r="A4345" t="s">
        <v>29</v>
      </c>
      <c r="B4345" t="s">
        <v>1234</v>
      </c>
      <c r="C4345">
        <v>372</v>
      </c>
      <c r="D4345" t="s">
        <v>651</v>
      </c>
      <c r="E4345" t="s">
        <v>94</v>
      </c>
      <c r="F4345" t="s">
        <v>60</v>
      </c>
      <c r="G4345" t="s">
        <v>139</v>
      </c>
      <c r="H4345" t="s">
        <v>103</v>
      </c>
      <c r="I4345" t="s">
        <v>108</v>
      </c>
      <c r="J4345" t="s">
        <v>676</v>
      </c>
      <c r="K4345" t="s">
        <v>103</v>
      </c>
      <c r="L4345" t="s">
        <v>120</v>
      </c>
      <c r="M4345" t="s">
        <v>481</v>
      </c>
      <c r="N4345" t="s">
        <v>193</v>
      </c>
      <c r="O4345" t="s">
        <v>91</v>
      </c>
      <c r="P4345" t="s">
        <v>95</v>
      </c>
      <c r="Q4345" t="s">
        <v>103</v>
      </c>
    </row>
    <row r="4346" spans="1:17" x14ac:dyDescent="0.3">
      <c r="A4346" t="s">
        <v>29</v>
      </c>
      <c r="B4346" t="s">
        <v>1235</v>
      </c>
      <c r="C4346">
        <v>38</v>
      </c>
      <c r="D4346" t="s">
        <v>506</v>
      </c>
      <c r="E4346" t="s">
        <v>206</v>
      </c>
      <c r="F4346" t="s">
        <v>470</v>
      </c>
      <c r="G4346" t="s">
        <v>103</v>
      </c>
      <c r="H4346" t="s">
        <v>103</v>
      </c>
      <c r="I4346" t="s">
        <v>466</v>
      </c>
      <c r="J4346" t="s">
        <v>367</v>
      </c>
      <c r="K4346" t="s">
        <v>103</v>
      </c>
      <c r="L4346" t="s">
        <v>103</v>
      </c>
      <c r="M4346" t="s">
        <v>687</v>
      </c>
      <c r="N4346" t="s">
        <v>332</v>
      </c>
      <c r="O4346" t="s">
        <v>103</v>
      </c>
      <c r="P4346" t="s">
        <v>270</v>
      </c>
      <c r="Q4346" t="s">
        <v>103</v>
      </c>
    </row>
    <row r="4347" spans="1:17" x14ac:dyDescent="0.3">
      <c r="A4347" t="s">
        <v>29</v>
      </c>
      <c r="B4347" t="s">
        <v>1237</v>
      </c>
      <c r="C4347">
        <v>120</v>
      </c>
      <c r="D4347" t="s">
        <v>257</v>
      </c>
      <c r="E4347" t="s">
        <v>110</v>
      </c>
      <c r="F4347" t="s">
        <v>98</v>
      </c>
      <c r="G4347" t="s">
        <v>103</v>
      </c>
      <c r="H4347" t="s">
        <v>98</v>
      </c>
      <c r="I4347" t="s">
        <v>245</v>
      </c>
      <c r="J4347" t="s">
        <v>294</v>
      </c>
      <c r="K4347" t="s">
        <v>103</v>
      </c>
      <c r="L4347" t="s">
        <v>103</v>
      </c>
      <c r="M4347" t="s">
        <v>254</v>
      </c>
      <c r="N4347" t="s">
        <v>721</v>
      </c>
      <c r="O4347" t="s">
        <v>103</v>
      </c>
      <c r="P4347" t="s">
        <v>120</v>
      </c>
      <c r="Q4347" t="s">
        <v>120</v>
      </c>
    </row>
    <row r="4348" spans="1:17" x14ac:dyDescent="0.3">
      <c r="A4348" t="s">
        <v>28</v>
      </c>
      <c r="B4348" t="s">
        <v>1234</v>
      </c>
      <c r="C4348">
        <v>126</v>
      </c>
      <c r="D4348" t="s">
        <v>682</v>
      </c>
      <c r="E4348" t="s">
        <v>125</v>
      </c>
      <c r="F4348" t="s">
        <v>62</v>
      </c>
      <c r="G4348" t="s">
        <v>103</v>
      </c>
      <c r="H4348" t="s">
        <v>103</v>
      </c>
      <c r="I4348" t="s">
        <v>493</v>
      </c>
      <c r="J4348" t="s">
        <v>293</v>
      </c>
      <c r="K4348" t="s">
        <v>103</v>
      </c>
      <c r="L4348" t="s">
        <v>103</v>
      </c>
      <c r="M4348" t="s">
        <v>438</v>
      </c>
      <c r="N4348" t="s">
        <v>772</v>
      </c>
      <c r="O4348" t="s">
        <v>103</v>
      </c>
      <c r="P4348" t="s">
        <v>103</v>
      </c>
      <c r="Q4348" t="s">
        <v>95</v>
      </c>
    </row>
    <row r="4349" spans="1:17" s="3" customFormat="1" x14ac:dyDescent="0.3">
      <c r="A4349" s="3" t="s">
        <v>28</v>
      </c>
      <c r="B4349" s="3" t="s">
        <v>1235</v>
      </c>
      <c r="C4349" s="3">
        <v>17</v>
      </c>
      <c r="D4349" s="3" t="s">
        <v>438</v>
      </c>
      <c r="E4349" s="3" t="s">
        <v>99</v>
      </c>
      <c r="F4349" s="3" t="s">
        <v>62</v>
      </c>
      <c r="G4349" s="3" t="s">
        <v>103</v>
      </c>
      <c r="H4349" s="3" t="s">
        <v>103</v>
      </c>
      <c r="I4349" s="3" t="s">
        <v>103</v>
      </c>
      <c r="J4349" s="3" t="s">
        <v>1219</v>
      </c>
      <c r="K4349" s="3" t="s">
        <v>103</v>
      </c>
      <c r="L4349" s="3" t="s">
        <v>103</v>
      </c>
      <c r="M4349" s="3" t="s">
        <v>106</v>
      </c>
      <c r="N4349" s="3" t="s">
        <v>867</v>
      </c>
      <c r="O4349" s="3" t="s">
        <v>103</v>
      </c>
      <c r="P4349" s="3" t="s">
        <v>103</v>
      </c>
      <c r="Q4349" s="3" t="s">
        <v>102</v>
      </c>
    </row>
    <row r="4350" spans="1:17" x14ac:dyDescent="0.3">
      <c r="A4350" t="s">
        <v>28</v>
      </c>
      <c r="B4350" t="s">
        <v>1237</v>
      </c>
      <c r="C4350">
        <v>174</v>
      </c>
      <c r="D4350" t="s">
        <v>466</v>
      </c>
      <c r="E4350" t="s">
        <v>341</v>
      </c>
      <c r="F4350" t="s">
        <v>118</v>
      </c>
      <c r="G4350" t="s">
        <v>103</v>
      </c>
      <c r="H4350" t="s">
        <v>103</v>
      </c>
      <c r="I4350" t="s">
        <v>270</v>
      </c>
      <c r="J4350" t="s">
        <v>661</v>
      </c>
      <c r="K4350" t="s">
        <v>103</v>
      </c>
      <c r="L4350" t="s">
        <v>103</v>
      </c>
      <c r="M4350" t="s">
        <v>148</v>
      </c>
      <c r="N4350" t="s">
        <v>381</v>
      </c>
      <c r="O4350" t="s">
        <v>120</v>
      </c>
      <c r="P4350" t="s">
        <v>282</v>
      </c>
      <c r="Q4350" t="s">
        <v>95</v>
      </c>
    </row>
    <row r="4351" spans="1:17" x14ac:dyDescent="0.3">
      <c r="A4351" t="s">
        <v>27</v>
      </c>
      <c r="B4351" t="s">
        <v>1234</v>
      </c>
      <c r="C4351">
        <v>149</v>
      </c>
      <c r="D4351" t="s">
        <v>1200</v>
      </c>
      <c r="E4351" t="s">
        <v>206</v>
      </c>
      <c r="F4351" t="s">
        <v>217</v>
      </c>
      <c r="G4351" t="s">
        <v>103</v>
      </c>
      <c r="H4351" t="s">
        <v>103</v>
      </c>
      <c r="I4351" t="s">
        <v>120</v>
      </c>
      <c r="J4351" t="s">
        <v>1556</v>
      </c>
      <c r="K4351" t="s">
        <v>103</v>
      </c>
      <c r="L4351" t="s">
        <v>95</v>
      </c>
      <c r="M4351" t="s">
        <v>438</v>
      </c>
      <c r="N4351" t="s">
        <v>170</v>
      </c>
      <c r="O4351" t="s">
        <v>103</v>
      </c>
      <c r="P4351" t="s">
        <v>97</v>
      </c>
      <c r="Q4351" t="s">
        <v>103</v>
      </c>
    </row>
    <row r="4352" spans="1:17" s="3" customFormat="1" x14ac:dyDescent="0.3">
      <c r="A4352" s="3" t="s">
        <v>27</v>
      </c>
      <c r="B4352" s="3" t="s">
        <v>1235</v>
      </c>
      <c r="C4352" s="3">
        <v>10</v>
      </c>
      <c r="D4352" s="3" t="s">
        <v>398</v>
      </c>
      <c r="E4352" s="3" t="s">
        <v>99</v>
      </c>
      <c r="F4352" s="3" t="s">
        <v>205</v>
      </c>
      <c r="G4352" s="3" t="s">
        <v>103</v>
      </c>
      <c r="H4352" s="3" t="s">
        <v>103</v>
      </c>
      <c r="I4352" s="3" t="s">
        <v>103</v>
      </c>
      <c r="J4352" s="3" t="s">
        <v>1216</v>
      </c>
      <c r="K4352" s="3" t="s">
        <v>103</v>
      </c>
      <c r="L4352" s="3" t="s">
        <v>103</v>
      </c>
      <c r="M4352" s="3" t="s">
        <v>103</v>
      </c>
      <c r="N4352" s="3" t="s">
        <v>192</v>
      </c>
      <c r="O4352" s="3" t="s">
        <v>103</v>
      </c>
      <c r="P4352" s="3" t="s">
        <v>571</v>
      </c>
      <c r="Q4352" s="3" t="s">
        <v>103</v>
      </c>
    </row>
    <row r="4353" spans="1:17" x14ac:dyDescent="0.3">
      <c r="A4353" t="s">
        <v>27</v>
      </c>
      <c r="B4353" t="s">
        <v>1237</v>
      </c>
      <c r="C4353">
        <v>141</v>
      </c>
      <c r="D4353" t="s">
        <v>680</v>
      </c>
      <c r="E4353" t="s">
        <v>194</v>
      </c>
      <c r="F4353" t="s">
        <v>103</v>
      </c>
      <c r="G4353" t="s">
        <v>103</v>
      </c>
      <c r="H4353" t="s">
        <v>103</v>
      </c>
      <c r="I4353" t="s">
        <v>98</v>
      </c>
      <c r="J4353" t="s">
        <v>434</v>
      </c>
      <c r="K4353" t="s">
        <v>103</v>
      </c>
      <c r="L4353" t="s">
        <v>95</v>
      </c>
      <c r="M4353" t="s">
        <v>93</v>
      </c>
      <c r="N4353" t="s">
        <v>1308</v>
      </c>
      <c r="O4353" t="s">
        <v>103</v>
      </c>
      <c r="P4353" t="s">
        <v>93</v>
      </c>
      <c r="Q4353" t="s">
        <v>103</v>
      </c>
    </row>
    <row r="4354" spans="1:17" x14ac:dyDescent="0.3">
      <c r="A4354" t="s">
        <v>41</v>
      </c>
      <c r="B4354" t="s">
        <v>1234</v>
      </c>
      <c r="C4354">
        <v>1200</v>
      </c>
      <c r="D4354" t="s">
        <v>1082</v>
      </c>
      <c r="E4354" t="s">
        <v>126</v>
      </c>
      <c r="F4354" t="s">
        <v>100</v>
      </c>
      <c r="G4354" t="s">
        <v>97</v>
      </c>
      <c r="H4354" t="s">
        <v>91</v>
      </c>
      <c r="I4354" t="s">
        <v>190</v>
      </c>
      <c r="J4354" t="s">
        <v>1579</v>
      </c>
      <c r="K4354" t="s">
        <v>103</v>
      </c>
      <c r="L4354" t="s">
        <v>95</v>
      </c>
      <c r="M4354" t="s">
        <v>140</v>
      </c>
      <c r="N4354" t="s">
        <v>1484</v>
      </c>
      <c r="O4354" t="s">
        <v>103</v>
      </c>
      <c r="P4354" t="s">
        <v>122</v>
      </c>
      <c r="Q4354" t="s">
        <v>103</v>
      </c>
    </row>
    <row r="4355" spans="1:17" x14ac:dyDescent="0.3">
      <c r="A4355" t="s">
        <v>41</v>
      </c>
      <c r="B4355" t="s">
        <v>1235</v>
      </c>
      <c r="C4355">
        <v>127</v>
      </c>
      <c r="D4355" t="s">
        <v>553</v>
      </c>
      <c r="E4355" t="s">
        <v>205</v>
      </c>
      <c r="F4355" t="s">
        <v>682</v>
      </c>
      <c r="G4355" t="s">
        <v>103</v>
      </c>
      <c r="H4355" t="s">
        <v>103</v>
      </c>
      <c r="I4355" t="s">
        <v>114</v>
      </c>
      <c r="J4355" t="s">
        <v>462</v>
      </c>
      <c r="K4355" t="s">
        <v>103</v>
      </c>
      <c r="L4355" t="s">
        <v>195</v>
      </c>
      <c r="M4355" t="s">
        <v>700</v>
      </c>
      <c r="N4355" t="s">
        <v>335</v>
      </c>
      <c r="O4355" t="s">
        <v>103</v>
      </c>
      <c r="P4355" t="s">
        <v>216</v>
      </c>
      <c r="Q4355" t="s">
        <v>91</v>
      </c>
    </row>
    <row r="4356" spans="1:17" x14ac:dyDescent="0.3">
      <c r="A4356" t="s">
        <v>41</v>
      </c>
      <c r="B4356" t="s">
        <v>1237</v>
      </c>
      <c r="C4356">
        <v>711</v>
      </c>
      <c r="D4356" t="s">
        <v>693</v>
      </c>
      <c r="E4356" t="s">
        <v>195</v>
      </c>
      <c r="F4356" t="s">
        <v>118</v>
      </c>
      <c r="G4356" t="s">
        <v>66</v>
      </c>
      <c r="H4356" t="s">
        <v>97</v>
      </c>
      <c r="I4356" t="s">
        <v>118</v>
      </c>
      <c r="J4356" t="s">
        <v>430</v>
      </c>
      <c r="K4356" t="s">
        <v>103</v>
      </c>
      <c r="L4356" t="s">
        <v>282</v>
      </c>
      <c r="M4356" t="s">
        <v>70</v>
      </c>
      <c r="N4356" t="s">
        <v>153</v>
      </c>
      <c r="O4356" t="s">
        <v>122</v>
      </c>
      <c r="P4356" t="s">
        <v>95</v>
      </c>
      <c r="Q4356" t="s">
        <v>120</v>
      </c>
    </row>
    <row r="4358" spans="1:17" x14ac:dyDescent="0.3">
      <c r="A4358" t="s">
        <v>1678</v>
      </c>
    </row>
    <row r="4359" spans="1:17" x14ac:dyDescent="0.3">
      <c r="A4359" t="s">
        <v>36</v>
      </c>
      <c r="B4359" t="s">
        <v>763</v>
      </c>
      <c r="C4359" t="s">
        <v>24</v>
      </c>
      <c r="D4359" t="s">
        <v>1660</v>
      </c>
      <c r="E4359" t="s">
        <v>1661</v>
      </c>
      <c r="F4359" t="s">
        <v>1662</v>
      </c>
      <c r="G4359" t="s">
        <v>1663</v>
      </c>
      <c r="H4359" t="s">
        <v>1664</v>
      </c>
      <c r="I4359" t="s">
        <v>1665</v>
      </c>
      <c r="J4359" t="s">
        <v>1666</v>
      </c>
      <c r="K4359" t="s">
        <v>1667</v>
      </c>
      <c r="L4359" t="s">
        <v>1668</v>
      </c>
      <c r="M4359" t="s">
        <v>1669</v>
      </c>
      <c r="N4359" t="s">
        <v>1670</v>
      </c>
      <c r="O4359" t="s">
        <v>1671</v>
      </c>
      <c r="P4359" t="s">
        <v>183</v>
      </c>
      <c r="Q4359" t="s">
        <v>181</v>
      </c>
    </row>
    <row r="4360" spans="1:17" x14ac:dyDescent="0.3">
      <c r="A4360" t="s">
        <v>25</v>
      </c>
      <c r="B4360" t="s">
        <v>764</v>
      </c>
      <c r="C4360">
        <v>31</v>
      </c>
      <c r="D4360" t="s">
        <v>1400</v>
      </c>
      <c r="E4360" t="s">
        <v>483</v>
      </c>
      <c r="F4360" t="s">
        <v>122</v>
      </c>
      <c r="G4360" t="s">
        <v>494</v>
      </c>
      <c r="H4360" t="s">
        <v>103</v>
      </c>
      <c r="I4360" t="s">
        <v>103</v>
      </c>
      <c r="J4360" t="s">
        <v>575</v>
      </c>
      <c r="K4360" t="s">
        <v>103</v>
      </c>
      <c r="L4360" t="s">
        <v>493</v>
      </c>
      <c r="M4360" t="s">
        <v>103</v>
      </c>
      <c r="N4360" t="s">
        <v>739</v>
      </c>
      <c r="O4360" t="s">
        <v>103</v>
      </c>
      <c r="P4360" t="s">
        <v>103</v>
      </c>
      <c r="Q4360" t="s">
        <v>103</v>
      </c>
    </row>
    <row r="4361" spans="1:17" x14ac:dyDescent="0.3">
      <c r="A4361" t="s">
        <v>25</v>
      </c>
      <c r="B4361" t="s">
        <v>765</v>
      </c>
      <c r="C4361">
        <v>280</v>
      </c>
      <c r="D4361" t="s">
        <v>139</v>
      </c>
      <c r="E4361" t="s">
        <v>103</v>
      </c>
      <c r="F4361" t="s">
        <v>97</v>
      </c>
      <c r="G4361" t="s">
        <v>103</v>
      </c>
      <c r="H4361" t="s">
        <v>103</v>
      </c>
      <c r="I4361" t="s">
        <v>278</v>
      </c>
      <c r="J4361" t="s">
        <v>1679</v>
      </c>
      <c r="K4361" t="s">
        <v>103</v>
      </c>
      <c r="L4361" t="s">
        <v>139</v>
      </c>
      <c r="M4361" t="s">
        <v>66</v>
      </c>
      <c r="N4361" t="s">
        <v>879</v>
      </c>
      <c r="O4361" t="s">
        <v>103</v>
      </c>
      <c r="P4361" t="s">
        <v>103</v>
      </c>
      <c r="Q4361" t="s">
        <v>91</v>
      </c>
    </row>
    <row r="4362" spans="1:17" x14ac:dyDescent="0.3">
      <c r="A4362" t="s">
        <v>25</v>
      </c>
      <c r="B4362" t="s">
        <v>767</v>
      </c>
      <c r="C4362">
        <v>103</v>
      </c>
      <c r="D4362" t="s">
        <v>1679</v>
      </c>
      <c r="E4362" t="s">
        <v>115</v>
      </c>
      <c r="F4362" t="s">
        <v>479</v>
      </c>
      <c r="G4362" t="s">
        <v>282</v>
      </c>
      <c r="H4362" t="s">
        <v>103</v>
      </c>
      <c r="I4362" t="s">
        <v>107</v>
      </c>
      <c r="J4362" t="s">
        <v>692</v>
      </c>
      <c r="K4362" t="s">
        <v>103</v>
      </c>
      <c r="L4362" t="s">
        <v>282</v>
      </c>
      <c r="M4362" t="s">
        <v>103</v>
      </c>
      <c r="N4362" t="s">
        <v>1481</v>
      </c>
      <c r="O4362" t="s">
        <v>103</v>
      </c>
      <c r="P4362" t="s">
        <v>95</v>
      </c>
      <c r="Q4362" t="s">
        <v>103</v>
      </c>
    </row>
    <row r="4363" spans="1:17" x14ac:dyDescent="0.3">
      <c r="A4363" t="s">
        <v>26</v>
      </c>
      <c r="B4363" t="s">
        <v>764</v>
      </c>
      <c r="C4363">
        <v>58</v>
      </c>
      <c r="D4363" t="s">
        <v>1058</v>
      </c>
      <c r="E4363" t="s">
        <v>1090</v>
      </c>
      <c r="F4363" t="s">
        <v>557</v>
      </c>
      <c r="G4363" t="s">
        <v>103</v>
      </c>
      <c r="H4363" t="s">
        <v>105</v>
      </c>
      <c r="I4363" t="s">
        <v>114</v>
      </c>
      <c r="J4363" t="s">
        <v>102</v>
      </c>
      <c r="K4363" t="s">
        <v>103</v>
      </c>
      <c r="L4363" t="s">
        <v>467</v>
      </c>
      <c r="M4363" t="s">
        <v>64</v>
      </c>
      <c r="N4363" t="s">
        <v>61</v>
      </c>
      <c r="O4363" t="s">
        <v>103</v>
      </c>
      <c r="P4363" t="s">
        <v>208</v>
      </c>
      <c r="Q4363" t="s">
        <v>103</v>
      </c>
    </row>
    <row r="4364" spans="1:17" x14ac:dyDescent="0.3">
      <c r="A4364" t="s">
        <v>26</v>
      </c>
      <c r="B4364" t="s">
        <v>765</v>
      </c>
      <c r="C4364">
        <v>278</v>
      </c>
      <c r="D4364" t="s">
        <v>468</v>
      </c>
      <c r="E4364" t="s">
        <v>122</v>
      </c>
      <c r="F4364" t="s">
        <v>216</v>
      </c>
      <c r="G4364" t="s">
        <v>103</v>
      </c>
      <c r="H4364" t="s">
        <v>116</v>
      </c>
      <c r="I4364" t="s">
        <v>214</v>
      </c>
      <c r="J4364" t="s">
        <v>378</v>
      </c>
      <c r="K4364" t="s">
        <v>103</v>
      </c>
      <c r="L4364" t="s">
        <v>270</v>
      </c>
      <c r="M4364" t="s">
        <v>493</v>
      </c>
      <c r="N4364" t="s">
        <v>988</v>
      </c>
      <c r="O4364" t="s">
        <v>120</v>
      </c>
      <c r="P4364" t="s">
        <v>103</v>
      </c>
      <c r="Q4364" t="s">
        <v>95</v>
      </c>
    </row>
    <row r="4365" spans="1:17" x14ac:dyDescent="0.3">
      <c r="A4365" t="s">
        <v>26</v>
      </c>
      <c r="B4365" t="s">
        <v>767</v>
      </c>
      <c r="C4365">
        <v>141</v>
      </c>
      <c r="D4365" t="s">
        <v>372</v>
      </c>
      <c r="E4365" t="s">
        <v>565</v>
      </c>
      <c r="F4365" t="s">
        <v>48</v>
      </c>
      <c r="G4365" t="s">
        <v>103</v>
      </c>
      <c r="H4365" t="s">
        <v>103</v>
      </c>
      <c r="I4365" t="s">
        <v>60</v>
      </c>
      <c r="J4365" t="s">
        <v>698</v>
      </c>
      <c r="K4365" t="s">
        <v>103</v>
      </c>
      <c r="L4365" t="s">
        <v>139</v>
      </c>
      <c r="M4365" t="s">
        <v>266</v>
      </c>
      <c r="N4365" t="s">
        <v>1471</v>
      </c>
      <c r="O4365" t="s">
        <v>103</v>
      </c>
      <c r="P4365" t="s">
        <v>103</v>
      </c>
      <c r="Q4365" t="s">
        <v>103</v>
      </c>
    </row>
    <row r="4366" spans="1:17" s="3" customFormat="1" x14ac:dyDescent="0.3">
      <c r="A4366" s="3" t="s">
        <v>29</v>
      </c>
      <c r="B4366" s="3" t="s">
        <v>764</v>
      </c>
      <c r="C4366" s="3">
        <v>11</v>
      </c>
      <c r="D4366" s="3" t="s">
        <v>1066</v>
      </c>
      <c r="E4366" s="3" t="s">
        <v>136</v>
      </c>
      <c r="F4366" s="3" t="s">
        <v>367</v>
      </c>
      <c r="G4366" s="3" t="s">
        <v>103</v>
      </c>
      <c r="H4366" s="3" t="s">
        <v>103</v>
      </c>
      <c r="I4366" s="3" t="s">
        <v>103</v>
      </c>
      <c r="J4366" s="3" t="s">
        <v>278</v>
      </c>
      <c r="K4366" s="3" t="s">
        <v>103</v>
      </c>
      <c r="L4366" s="3" t="s">
        <v>103</v>
      </c>
      <c r="M4366" s="3" t="s">
        <v>1211</v>
      </c>
      <c r="N4366" s="3" t="s">
        <v>462</v>
      </c>
      <c r="O4366" s="3" t="s">
        <v>103</v>
      </c>
      <c r="P4366" s="3" t="s">
        <v>103</v>
      </c>
      <c r="Q4366" s="3" t="s">
        <v>103</v>
      </c>
    </row>
    <row r="4367" spans="1:17" x14ac:dyDescent="0.3">
      <c r="A4367" t="s">
        <v>29</v>
      </c>
      <c r="B4367" t="s">
        <v>765</v>
      </c>
      <c r="C4367">
        <v>365</v>
      </c>
      <c r="D4367" t="s">
        <v>103</v>
      </c>
      <c r="E4367" t="s">
        <v>122</v>
      </c>
      <c r="F4367" t="s">
        <v>103</v>
      </c>
      <c r="G4367" t="s">
        <v>103</v>
      </c>
      <c r="H4367" t="s">
        <v>116</v>
      </c>
      <c r="I4367" t="s">
        <v>133</v>
      </c>
      <c r="J4367" t="s">
        <v>1009</v>
      </c>
      <c r="K4367" t="s">
        <v>103</v>
      </c>
      <c r="L4367" t="s">
        <v>120</v>
      </c>
      <c r="M4367" t="s">
        <v>700</v>
      </c>
      <c r="N4367" t="s">
        <v>818</v>
      </c>
      <c r="O4367" t="s">
        <v>91</v>
      </c>
      <c r="P4367" t="s">
        <v>468</v>
      </c>
      <c r="Q4367" t="s">
        <v>66</v>
      </c>
    </row>
    <row r="4368" spans="1:17" x14ac:dyDescent="0.3">
      <c r="A4368" t="s">
        <v>29</v>
      </c>
      <c r="B4368" t="s">
        <v>767</v>
      </c>
      <c r="C4368">
        <v>154</v>
      </c>
      <c r="D4368" t="s">
        <v>229</v>
      </c>
      <c r="E4368" t="s">
        <v>570</v>
      </c>
      <c r="F4368" t="s">
        <v>548</v>
      </c>
      <c r="G4368" t="s">
        <v>341</v>
      </c>
      <c r="H4368" t="s">
        <v>103</v>
      </c>
      <c r="I4368" t="s">
        <v>482</v>
      </c>
      <c r="J4368" t="s">
        <v>522</v>
      </c>
      <c r="K4368" t="s">
        <v>103</v>
      </c>
      <c r="L4368" t="s">
        <v>103</v>
      </c>
      <c r="M4368" t="s">
        <v>575</v>
      </c>
      <c r="N4368" t="s">
        <v>1307</v>
      </c>
      <c r="O4368" t="s">
        <v>103</v>
      </c>
      <c r="P4368" t="s">
        <v>103</v>
      </c>
      <c r="Q4368" t="s">
        <v>103</v>
      </c>
    </row>
    <row r="4369" spans="1:17" s="3" customFormat="1" x14ac:dyDescent="0.3">
      <c r="A4369" s="3" t="s">
        <v>28</v>
      </c>
      <c r="B4369" s="3" t="s">
        <v>764</v>
      </c>
      <c r="C4369" s="3">
        <v>20</v>
      </c>
      <c r="D4369" s="3" t="s">
        <v>381</v>
      </c>
      <c r="E4369" s="3" t="s">
        <v>148</v>
      </c>
      <c r="F4369" s="3" t="s">
        <v>472</v>
      </c>
      <c r="G4369" s="3" t="s">
        <v>103</v>
      </c>
      <c r="H4369" s="3" t="s">
        <v>103</v>
      </c>
      <c r="I4369" s="3" t="s">
        <v>103</v>
      </c>
      <c r="J4369" s="3" t="s">
        <v>118</v>
      </c>
      <c r="K4369" s="3" t="s">
        <v>103</v>
      </c>
      <c r="L4369" s="3" t="s">
        <v>103</v>
      </c>
      <c r="M4369" s="3" t="s">
        <v>272</v>
      </c>
      <c r="N4369" s="3" t="s">
        <v>1675</v>
      </c>
      <c r="O4369" s="3" t="s">
        <v>103</v>
      </c>
      <c r="P4369" s="3" t="s">
        <v>103</v>
      </c>
      <c r="Q4369" s="3" t="s">
        <v>103</v>
      </c>
    </row>
    <row r="4370" spans="1:17" x14ac:dyDescent="0.3">
      <c r="A4370" t="s">
        <v>28</v>
      </c>
      <c r="B4370" t="s">
        <v>765</v>
      </c>
      <c r="C4370">
        <v>260</v>
      </c>
      <c r="D4370" t="s">
        <v>103</v>
      </c>
      <c r="E4370" t="s">
        <v>116</v>
      </c>
      <c r="F4370" t="s">
        <v>239</v>
      </c>
      <c r="G4370" t="s">
        <v>103</v>
      </c>
      <c r="H4370" t="s">
        <v>103</v>
      </c>
      <c r="I4370" t="s">
        <v>438</v>
      </c>
      <c r="J4370" t="s">
        <v>1396</v>
      </c>
      <c r="K4370" t="s">
        <v>103</v>
      </c>
      <c r="L4370" t="s">
        <v>103</v>
      </c>
      <c r="M4370" t="s">
        <v>136</v>
      </c>
      <c r="N4370" t="s">
        <v>1281</v>
      </c>
      <c r="O4370" t="s">
        <v>122</v>
      </c>
      <c r="P4370" t="s">
        <v>95</v>
      </c>
      <c r="Q4370" t="s">
        <v>345</v>
      </c>
    </row>
    <row r="4371" spans="1:17" x14ac:dyDescent="0.3">
      <c r="A4371" t="s">
        <v>28</v>
      </c>
      <c r="B4371" t="s">
        <v>767</v>
      </c>
      <c r="C4371">
        <v>37</v>
      </c>
      <c r="D4371" t="s">
        <v>396</v>
      </c>
      <c r="E4371" t="s">
        <v>807</v>
      </c>
      <c r="F4371" t="s">
        <v>1204</v>
      </c>
      <c r="G4371" t="s">
        <v>103</v>
      </c>
      <c r="H4371" t="s">
        <v>103</v>
      </c>
      <c r="I4371" t="s">
        <v>118</v>
      </c>
      <c r="J4371" t="s">
        <v>365</v>
      </c>
      <c r="K4371" t="s">
        <v>103</v>
      </c>
      <c r="L4371" t="s">
        <v>103</v>
      </c>
      <c r="M4371" t="s">
        <v>105</v>
      </c>
      <c r="N4371" t="s">
        <v>988</v>
      </c>
      <c r="O4371" t="s">
        <v>103</v>
      </c>
      <c r="P4371" t="s">
        <v>103</v>
      </c>
      <c r="Q4371" t="s">
        <v>103</v>
      </c>
    </row>
    <row r="4372" spans="1:17" s="3" customFormat="1" x14ac:dyDescent="0.3">
      <c r="A4372" s="3" t="s">
        <v>27</v>
      </c>
      <c r="B4372" s="3" t="s">
        <v>764</v>
      </c>
      <c r="C4372" s="3">
        <v>29</v>
      </c>
      <c r="D4372" s="3" t="s">
        <v>870</v>
      </c>
      <c r="E4372" s="3" t="s">
        <v>281</v>
      </c>
      <c r="F4372" s="3" t="s">
        <v>272</v>
      </c>
      <c r="G4372" s="3" t="s">
        <v>103</v>
      </c>
      <c r="H4372" s="3" t="s">
        <v>103</v>
      </c>
      <c r="I4372" s="3" t="s">
        <v>103</v>
      </c>
      <c r="J4372" s="3" t="s">
        <v>155</v>
      </c>
      <c r="K4372" s="3" t="s">
        <v>103</v>
      </c>
      <c r="L4372" s="3" t="s">
        <v>103</v>
      </c>
      <c r="M4372" s="3" t="s">
        <v>103</v>
      </c>
      <c r="N4372" s="3" t="s">
        <v>1423</v>
      </c>
      <c r="O4372" s="3" t="s">
        <v>103</v>
      </c>
      <c r="P4372" s="3" t="s">
        <v>103</v>
      </c>
      <c r="Q4372" s="3" t="s">
        <v>103</v>
      </c>
    </row>
    <row r="4373" spans="1:17" x14ac:dyDescent="0.3">
      <c r="A4373" t="s">
        <v>27</v>
      </c>
      <c r="B4373" t="s">
        <v>765</v>
      </c>
      <c r="C4373">
        <v>209</v>
      </c>
      <c r="D4373" t="s">
        <v>120</v>
      </c>
      <c r="E4373" t="s">
        <v>103</v>
      </c>
      <c r="F4373" t="s">
        <v>120</v>
      </c>
      <c r="G4373" t="s">
        <v>103</v>
      </c>
      <c r="H4373" t="s">
        <v>103</v>
      </c>
      <c r="I4373" t="s">
        <v>345</v>
      </c>
      <c r="J4373" t="s">
        <v>1181</v>
      </c>
      <c r="K4373" t="s">
        <v>103</v>
      </c>
      <c r="L4373" t="s">
        <v>345</v>
      </c>
      <c r="M4373" t="s">
        <v>114</v>
      </c>
      <c r="N4373" t="s">
        <v>759</v>
      </c>
      <c r="O4373" t="s">
        <v>103</v>
      </c>
      <c r="P4373" t="s">
        <v>105</v>
      </c>
      <c r="Q4373" t="s">
        <v>103</v>
      </c>
    </row>
    <row r="4374" spans="1:17" x14ac:dyDescent="0.3">
      <c r="A4374" t="s">
        <v>27</v>
      </c>
      <c r="B4374" t="s">
        <v>767</v>
      </c>
      <c r="C4374">
        <v>62</v>
      </c>
      <c r="D4374" t="s">
        <v>1680</v>
      </c>
      <c r="E4374" t="s">
        <v>518</v>
      </c>
      <c r="F4374" t="s">
        <v>186</v>
      </c>
      <c r="G4374" t="s">
        <v>103</v>
      </c>
      <c r="H4374" t="s">
        <v>103</v>
      </c>
      <c r="I4374" t="s">
        <v>103</v>
      </c>
      <c r="J4374" t="s">
        <v>1041</v>
      </c>
      <c r="K4374" t="s">
        <v>103</v>
      </c>
      <c r="L4374" t="s">
        <v>103</v>
      </c>
      <c r="M4374" t="s">
        <v>98</v>
      </c>
      <c r="N4374" t="s">
        <v>158</v>
      </c>
      <c r="O4374" t="s">
        <v>103</v>
      </c>
      <c r="P4374" t="s">
        <v>110</v>
      </c>
      <c r="Q4374" t="s">
        <v>103</v>
      </c>
    </row>
    <row r="4375" spans="1:17" x14ac:dyDescent="0.3">
      <c r="A4375" t="s">
        <v>41</v>
      </c>
      <c r="B4375" t="s">
        <v>764</v>
      </c>
      <c r="C4375">
        <v>149</v>
      </c>
      <c r="D4375" t="s">
        <v>379</v>
      </c>
      <c r="E4375" t="s">
        <v>789</v>
      </c>
      <c r="F4375" t="s">
        <v>472</v>
      </c>
      <c r="G4375" t="s">
        <v>216</v>
      </c>
      <c r="H4375" t="s">
        <v>98</v>
      </c>
      <c r="I4375" t="s">
        <v>208</v>
      </c>
      <c r="J4375" t="s">
        <v>232</v>
      </c>
      <c r="K4375" t="s">
        <v>103</v>
      </c>
      <c r="L4375" t="s">
        <v>257</v>
      </c>
      <c r="M4375" t="s">
        <v>531</v>
      </c>
      <c r="N4375" t="s">
        <v>1135</v>
      </c>
      <c r="O4375" t="s">
        <v>103</v>
      </c>
      <c r="P4375" t="s">
        <v>282</v>
      </c>
      <c r="Q4375" t="s">
        <v>103</v>
      </c>
    </row>
    <row r="4376" spans="1:17" x14ac:dyDescent="0.3">
      <c r="A4376" t="s">
        <v>41</v>
      </c>
      <c r="B4376" t="s">
        <v>765</v>
      </c>
      <c r="C4376">
        <v>1392</v>
      </c>
      <c r="D4376" t="s">
        <v>122</v>
      </c>
      <c r="E4376" t="s">
        <v>116</v>
      </c>
      <c r="F4376" t="s">
        <v>120</v>
      </c>
      <c r="G4376" t="s">
        <v>103</v>
      </c>
      <c r="H4376" t="s">
        <v>66</v>
      </c>
      <c r="I4376" t="s">
        <v>33</v>
      </c>
      <c r="J4376" t="s">
        <v>1328</v>
      </c>
      <c r="K4376" t="s">
        <v>103</v>
      </c>
      <c r="L4376" t="s">
        <v>345</v>
      </c>
      <c r="M4376" t="s">
        <v>127</v>
      </c>
      <c r="N4376" t="s">
        <v>710</v>
      </c>
      <c r="O4376" t="s">
        <v>66</v>
      </c>
      <c r="P4376" t="s">
        <v>95</v>
      </c>
      <c r="Q4376" t="s">
        <v>116</v>
      </c>
    </row>
    <row r="4377" spans="1:17" x14ac:dyDescent="0.3">
      <c r="A4377" t="s">
        <v>41</v>
      </c>
      <c r="B4377" t="s">
        <v>767</v>
      </c>
      <c r="C4377">
        <v>497</v>
      </c>
      <c r="D4377" t="s">
        <v>1243</v>
      </c>
      <c r="E4377" t="s">
        <v>483</v>
      </c>
      <c r="F4377" t="s">
        <v>56</v>
      </c>
      <c r="G4377" t="s">
        <v>345</v>
      </c>
      <c r="H4377" t="s">
        <v>103</v>
      </c>
      <c r="I4377" t="s">
        <v>460</v>
      </c>
      <c r="J4377" t="s">
        <v>670</v>
      </c>
      <c r="K4377" t="s">
        <v>103</v>
      </c>
      <c r="L4377" t="s">
        <v>122</v>
      </c>
      <c r="M4377" t="s">
        <v>214</v>
      </c>
      <c r="N4377" t="s">
        <v>752</v>
      </c>
      <c r="O4377" t="s">
        <v>103</v>
      </c>
      <c r="P4377" t="s">
        <v>66</v>
      </c>
      <c r="Q4377" t="s">
        <v>103</v>
      </c>
    </row>
    <row r="4379" spans="1:17" x14ac:dyDescent="0.3">
      <c r="A4379" t="s">
        <v>1681</v>
      </c>
    </row>
    <row r="4380" spans="1:17" x14ac:dyDescent="0.3">
      <c r="A4380" t="s">
        <v>36</v>
      </c>
      <c r="B4380" t="s">
        <v>210</v>
      </c>
      <c r="C4380" t="s">
        <v>24</v>
      </c>
      <c r="D4380" t="s">
        <v>1660</v>
      </c>
      <c r="E4380" t="s">
        <v>1661</v>
      </c>
      <c r="F4380" t="s">
        <v>1662</v>
      </c>
      <c r="G4380" t="s">
        <v>1663</v>
      </c>
      <c r="H4380" t="s">
        <v>1664</v>
      </c>
      <c r="I4380" t="s">
        <v>1665</v>
      </c>
      <c r="J4380" t="s">
        <v>1666</v>
      </c>
      <c r="K4380" t="s">
        <v>1667</v>
      </c>
      <c r="L4380" t="s">
        <v>1668</v>
      </c>
      <c r="M4380" t="s">
        <v>1669</v>
      </c>
      <c r="N4380" t="s">
        <v>1670</v>
      </c>
      <c r="O4380" t="s">
        <v>1671</v>
      </c>
      <c r="P4380" t="s">
        <v>183</v>
      </c>
      <c r="Q4380" t="s">
        <v>181</v>
      </c>
    </row>
    <row r="4381" spans="1:17" x14ac:dyDescent="0.3">
      <c r="A4381" t="s">
        <v>25</v>
      </c>
      <c r="B4381" t="s">
        <v>211</v>
      </c>
      <c r="C4381">
        <v>414</v>
      </c>
      <c r="D4381" t="s">
        <v>754</v>
      </c>
      <c r="E4381" t="s">
        <v>532</v>
      </c>
      <c r="F4381" t="s">
        <v>133</v>
      </c>
      <c r="G4381" t="s">
        <v>139</v>
      </c>
      <c r="H4381" t="s">
        <v>103</v>
      </c>
      <c r="I4381" t="s">
        <v>532</v>
      </c>
      <c r="J4381" t="s">
        <v>430</v>
      </c>
      <c r="K4381" t="s">
        <v>103</v>
      </c>
      <c r="L4381" t="s">
        <v>282</v>
      </c>
      <c r="M4381" t="s">
        <v>91</v>
      </c>
      <c r="N4381" t="s">
        <v>1633</v>
      </c>
      <c r="O4381" t="s">
        <v>103</v>
      </c>
      <c r="P4381" t="s">
        <v>66</v>
      </c>
      <c r="Q4381" t="s">
        <v>91</v>
      </c>
    </row>
    <row r="4382" spans="1:17" x14ac:dyDescent="0.3">
      <c r="A4382" t="s">
        <v>26</v>
      </c>
      <c r="B4382" t="s">
        <v>211</v>
      </c>
      <c r="C4382">
        <v>223</v>
      </c>
      <c r="D4382" t="s">
        <v>1097</v>
      </c>
      <c r="E4382" t="s">
        <v>162</v>
      </c>
      <c r="F4382" t="s">
        <v>135</v>
      </c>
      <c r="G4382" t="s">
        <v>103</v>
      </c>
      <c r="H4382" t="s">
        <v>103</v>
      </c>
      <c r="I4382" t="s">
        <v>217</v>
      </c>
      <c r="J4382" t="s">
        <v>1356</v>
      </c>
      <c r="K4382" t="s">
        <v>103</v>
      </c>
      <c r="L4382" t="s">
        <v>93</v>
      </c>
      <c r="M4382" t="s">
        <v>239</v>
      </c>
      <c r="N4382" t="s">
        <v>633</v>
      </c>
      <c r="O4382" t="s">
        <v>95</v>
      </c>
      <c r="P4382" t="s">
        <v>120</v>
      </c>
      <c r="Q4382" t="s">
        <v>98</v>
      </c>
    </row>
    <row r="4383" spans="1:17" x14ac:dyDescent="0.3">
      <c r="A4383" t="s">
        <v>26</v>
      </c>
      <c r="B4383" t="s">
        <v>212</v>
      </c>
      <c r="C4383">
        <v>254</v>
      </c>
      <c r="D4383" t="s">
        <v>30</v>
      </c>
      <c r="E4383" t="s">
        <v>629</v>
      </c>
      <c r="F4383" t="s">
        <v>482</v>
      </c>
      <c r="G4383" t="s">
        <v>103</v>
      </c>
      <c r="H4383" t="s">
        <v>139</v>
      </c>
      <c r="I4383" t="s">
        <v>575</v>
      </c>
      <c r="J4383" t="s">
        <v>1065</v>
      </c>
      <c r="K4383" t="s">
        <v>103</v>
      </c>
      <c r="L4383" t="s">
        <v>257</v>
      </c>
      <c r="M4383" t="s">
        <v>33</v>
      </c>
      <c r="N4383" t="s">
        <v>334</v>
      </c>
      <c r="O4383" t="s">
        <v>103</v>
      </c>
      <c r="P4383" t="s">
        <v>103</v>
      </c>
      <c r="Q4383" t="s">
        <v>103</v>
      </c>
    </row>
    <row r="4384" spans="1:17" x14ac:dyDescent="0.3">
      <c r="A4384" t="s">
        <v>29</v>
      </c>
      <c r="B4384" t="s">
        <v>211</v>
      </c>
      <c r="C4384">
        <v>530</v>
      </c>
      <c r="D4384" t="s">
        <v>479</v>
      </c>
      <c r="E4384" t="s">
        <v>70</v>
      </c>
      <c r="F4384" t="s">
        <v>94</v>
      </c>
      <c r="G4384" t="s">
        <v>120</v>
      </c>
      <c r="H4384" t="s">
        <v>66</v>
      </c>
      <c r="I4384" t="s">
        <v>94</v>
      </c>
      <c r="J4384" t="s">
        <v>359</v>
      </c>
      <c r="K4384" t="s">
        <v>103</v>
      </c>
      <c r="L4384" t="s">
        <v>122</v>
      </c>
      <c r="M4384" t="s">
        <v>463</v>
      </c>
      <c r="N4384" t="s">
        <v>889</v>
      </c>
      <c r="O4384" t="s">
        <v>91</v>
      </c>
      <c r="P4384" t="s">
        <v>139</v>
      </c>
      <c r="Q4384" t="s">
        <v>91</v>
      </c>
    </row>
    <row r="4385" spans="1:17" x14ac:dyDescent="0.3">
      <c r="A4385" t="s">
        <v>28</v>
      </c>
      <c r="B4385" t="s">
        <v>211</v>
      </c>
      <c r="C4385">
        <v>277</v>
      </c>
      <c r="D4385" t="s">
        <v>890</v>
      </c>
      <c r="E4385" t="s">
        <v>467</v>
      </c>
      <c r="F4385" t="s">
        <v>206</v>
      </c>
      <c r="G4385" t="s">
        <v>103</v>
      </c>
      <c r="H4385" t="s">
        <v>103</v>
      </c>
      <c r="I4385" t="s">
        <v>438</v>
      </c>
      <c r="J4385" t="s">
        <v>297</v>
      </c>
      <c r="K4385" t="s">
        <v>103</v>
      </c>
      <c r="L4385" t="s">
        <v>103</v>
      </c>
      <c r="M4385" t="s">
        <v>107</v>
      </c>
      <c r="N4385" t="s">
        <v>202</v>
      </c>
      <c r="O4385" t="s">
        <v>103</v>
      </c>
      <c r="P4385" t="s">
        <v>120</v>
      </c>
      <c r="Q4385" t="s">
        <v>282</v>
      </c>
    </row>
    <row r="4386" spans="1:17" x14ac:dyDescent="0.3">
      <c r="A4386" t="s">
        <v>28</v>
      </c>
      <c r="B4386" t="s">
        <v>212</v>
      </c>
      <c r="C4386">
        <v>40</v>
      </c>
      <c r="D4386" t="s">
        <v>113</v>
      </c>
      <c r="E4386" t="s">
        <v>103</v>
      </c>
      <c r="F4386" t="s">
        <v>281</v>
      </c>
      <c r="G4386" t="s">
        <v>103</v>
      </c>
      <c r="H4386" t="s">
        <v>103</v>
      </c>
      <c r="I4386" t="s">
        <v>103</v>
      </c>
      <c r="J4386" t="s">
        <v>665</v>
      </c>
      <c r="K4386" t="s">
        <v>103</v>
      </c>
      <c r="L4386" t="s">
        <v>103</v>
      </c>
      <c r="M4386" t="s">
        <v>1238</v>
      </c>
      <c r="N4386" t="s">
        <v>671</v>
      </c>
      <c r="O4386" t="s">
        <v>438</v>
      </c>
      <c r="P4386" t="s">
        <v>103</v>
      </c>
      <c r="Q4386" t="s">
        <v>103</v>
      </c>
    </row>
    <row r="4387" spans="1:17" x14ac:dyDescent="0.3">
      <c r="A4387" t="s">
        <v>27</v>
      </c>
      <c r="B4387" t="s">
        <v>211</v>
      </c>
      <c r="C4387">
        <v>270</v>
      </c>
      <c r="D4387" t="s">
        <v>250</v>
      </c>
      <c r="E4387" t="s">
        <v>113</v>
      </c>
      <c r="F4387" t="s">
        <v>105</v>
      </c>
      <c r="G4387" t="s">
        <v>103</v>
      </c>
      <c r="H4387" t="s">
        <v>103</v>
      </c>
      <c r="I4387" t="s">
        <v>122</v>
      </c>
      <c r="J4387" t="s">
        <v>298</v>
      </c>
      <c r="K4387" t="s">
        <v>103</v>
      </c>
      <c r="L4387" t="s">
        <v>95</v>
      </c>
      <c r="M4387" t="s">
        <v>270</v>
      </c>
      <c r="N4387" t="s">
        <v>1310</v>
      </c>
      <c r="O4387" t="s">
        <v>103</v>
      </c>
      <c r="P4387" t="s">
        <v>216</v>
      </c>
      <c r="Q4387" t="s">
        <v>103</v>
      </c>
    </row>
    <row r="4388" spans="1:17" s="3" customFormat="1" x14ac:dyDescent="0.3">
      <c r="A4388" s="3" t="s">
        <v>27</v>
      </c>
      <c r="B4388" s="3" t="s">
        <v>212</v>
      </c>
      <c r="C4388" s="3">
        <v>30</v>
      </c>
      <c r="D4388" s="3" t="s">
        <v>500</v>
      </c>
      <c r="E4388" s="3" t="s">
        <v>110</v>
      </c>
      <c r="F4388" s="3" t="s">
        <v>103</v>
      </c>
      <c r="G4388" s="3" t="s">
        <v>103</v>
      </c>
      <c r="H4388" s="3" t="s">
        <v>103</v>
      </c>
      <c r="I4388" s="3" t="s">
        <v>466</v>
      </c>
      <c r="J4388" s="3" t="s">
        <v>1014</v>
      </c>
      <c r="K4388" s="3" t="s">
        <v>103</v>
      </c>
      <c r="L4388" s="3" t="s">
        <v>103</v>
      </c>
      <c r="M4388" s="3" t="s">
        <v>103</v>
      </c>
      <c r="N4388" s="3" t="s">
        <v>1088</v>
      </c>
      <c r="O4388" s="3" t="s">
        <v>103</v>
      </c>
      <c r="P4388" s="3" t="s">
        <v>103</v>
      </c>
      <c r="Q4388" s="3" t="s">
        <v>103</v>
      </c>
    </row>
    <row r="4389" spans="1:17" x14ac:dyDescent="0.3">
      <c r="A4389" t="s">
        <v>41</v>
      </c>
      <c r="B4389" t="s">
        <v>211</v>
      </c>
      <c r="C4389">
        <v>1714</v>
      </c>
      <c r="D4389" t="s">
        <v>522</v>
      </c>
      <c r="E4389" t="s">
        <v>531</v>
      </c>
      <c r="F4389" t="s">
        <v>94</v>
      </c>
      <c r="G4389" t="s">
        <v>97</v>
      </c>
      <c r="H4389" t="s">
        <v>91</v>
      </c>
      <c r="I4389" t="s">
        <v>284</v>
      </c>
      <c r="J4389" t="s">
        <v>387</v>
      </c>
      <c r="K4389" t="s">
        <v>103</v>
      </c>
      <c r="L4389" t="s">
        <v>139</v>
      </c>
      <c r="M4389" t="s">
        <v>190</v>
      </c>
      <c r="N4389" t="s">
        <v>1307</v>
      </c>
      <c r="O4389" t="s">
        <v>91</v>
      </c>
      <c r="P4389" t="s">
        <v>95</v>
      </c>
      <c r="Q4389" t="s">
        <v>116</v>
      </c>
    </row>
    <row r="4390" spans="1:17" x14ac:dyDescent="0.3">
      <c r="A4390" t="s">
        <v>41</v>
      </c>
      <c r="B4390" t="s">
        <v>212</v>
      </c>
      <c r="C4390">
        <v>324</v>
      </c>
      <c r="D4390" t="s">
        <v>727</v>
      </c>
      <c r="E4390" t="s">
        <v>254</v>
      </c>
      <c r="F4390" t="s">
        <v>254</v>
      </c>
      <c r="G4390" t="s">
        <v>103</v>
      </c>
      <c r="H4390" t="s">
        <v>139</v>
      </c>
      <c r="I4390" t="s">
        <v>124</v>
      </c>
      <c r="J4390" t="s">
        <v>1006</v>
      </c>
      <c r="K4390" t="s">
        <v>103</v>
      </c>
      <c r="L4390" t="s">
        <v>128</v>
      </c>
      <c r="M4390" t="s">
        <v>140</v>
      </c>
      <c r="N4390" t="s">
        <v>279</v>
      </c>
      <c r="O4390" t="s">
        <v>91</v>
      </c>
      <c r="P4390" t="s">
        <v>103</v>
      </c>
      <c r="Q4390" t="s">
        <v>103</v>
      </c>
    </row>
    <row r="4392" spans="1:17" x14ac:dyDescent="0.3">
      <c r="A4392" t="s">
        <v>1682</v>
      </c>
    </row>
    <row r="4393" spans="1:17" x14ac:dyDescent="0.3">
      <c r="A4393" t="s">
        <v>36</v>
      </c>
      <c r="B4393" t="s">
        <v>1683</v>
      </c>
      <c r="C4393" t="s">
        <v>24</v>
      </c>
      <c r="D4393" t="s">
        <v>1660</v>
      </c>
      <c r="E4393" t="s">
        <v>1661</v>
      </c>
      <c r="F4393" t="s">
        <v>1662</v>
      </c>
      <c r="G4393" t="s">
        <v>1663</v>
      </c>
      <c r="H4393" t="s">
        <v>1664</v>
      </c>
      <c r="I4393" t="s">
        <v>1665</v>
      </c>
      <c r="J4393" t="s">
        <v>1666</v>
      </c>
      <c r="K4393" t="s">
        <v>1667</v>
      </c>
      <c r="L4393" t="s">
        <v>1668</v>
      </c>
      <c r="M4393" t="s">
        <v>1669</v>
      </c>
      <c r="N4393" t="s">
        <v>1670</v>
      </c>
      <c r="O4393" t="s">
        <v>1671</v>
      </c>
      <c r="P4393" t="s">
        <v>183</v>
      </c>
      <c r="Q4393" t="s">
        <v>181</v>
      </c>
    </row>
    <row r="4394" spans="1:17" x14ac:dyDescent="0.3">
      <c r="A4394" t="s">
        <v>25</v>
      </c>
      <c r="B4394" t="s">
        <v>1684</v>
      </c>
      <c r="C4394">
        <v>74</v>
      </c>
      <c r="D4394" t="s">
        <v>486</v>
      </c>
      <c r="E4394" t="s">
        <v>737</v>
      </c>
      <c r="F4394" t="s">
        <v>94</v>
      </c>
      <c r="G4394" t="s">
        <v>103</v>
      </c>
      <c r="H4394" t="s">
        <v>103</v>
      </c>
      <c r="I4394" t="s">
        <v>532</v>
      </c>
      <c r="J4394" t="s">
        <v>1009</v>
      </c>
      <c r="K4394" t="s">
        <v>103</v>
      </c>
      <c r="L4394" t="s">
        <v>97</v>
      </c>
      <c r="M4394" t="s">
        <v>103</v>
      </c>
      <c r="N4394" t="s">
        <v>203</v>
      </c>
      <c r="O4394" t="s">
        <v>103</v>
      </c>
      <c r="P4394" t="s">
        <v>103</v>
      </c>
      <c r="Q4394" t="s">
        <v>97</v>
      </c>
    </row>
    <row r="4395" spans="1:17" x14ac:dyDescent="0.3">
      <c r="A4395" t="s">
        <v>25</v>
      </c>
      <c r="B4395" t="s">
        <v>1685</v>
      </c>
      <c r="C4395">
        <v>340</v>
      </c>
      <c r="D4395" t="s">
        <v>875</v>
      </c>
      <c r="E4395" t="s">
        <v>493</v>
      </c>
      <c r="F4395" t="s">
        <v>281</v>
      </c>
      <c r="G4395" t="s">
        <v>282</v>
      </c>
      <c r="H4395" t="s">
        <v>103</v>
      </c>
      <c r="I4395" t="s">
        <v>532</v>
      </c>
      <c r="J4395" t="s">
        <v>628</v>
      </c>
      <c r="K4395" t="s">
        <v>103</v>
      </c>
      <c r="L4395" t="s">
        <v>345</v>
      </c>
      <c r="M4395" t="s">
        <v>66</v>
      </c>
      <c r="N4395" t="s">
        <v>65</v>
      </c>
      <c r="O4395" t="s">
        <v>103</v>
      </c>
      <c r="P4395" t="s">
        <v>66</v>
      </c>
      <c r="Q4395" t="s">
        <v>103</v>
      </c>
    </row>
    <row r="4396" spans="1:17" x14ac:dyDescent="0.3">
      <c r="A4396" t="s">
        <v>26</v>
      </c>
      <c r="B4396" t="s">
        <v>1684</v>
      </c>
      <c r="C4396">
        <v>72</v>
      </c>
      <c r="D4396" t="s">
        <v>501</v>
      </c>
      <c r="E4396" t="s">
        <v>142</v>
      </c>
      <c r="F4396" t="s">
        <v>32</v>
      </c>
      <c r="G4396" t="s">
        <v>103</v>
      </c>
      <c r="H4396" t="s">
        <v>103</v>
      </c>
      <c r="I4396" t="s">
        <v>607</v>
      </c>
      <c r="J4396" t="s">
        <v>545</v>
      </c>
      <c r="K4396" t="s">
        <v>103</v>
      </c>
      <c r="L4396" t="s">
        <v>70</v>
      </c>
      <c r="M4396" t="s">
        <v>103</v>
      </c>
      <c r="N4396" t="s">
        <v>287</v>
      </c>
      <c r="O4396" t="s">
        <v>103</v>
      </c>
      <c r="P4396" t="s">
        <v>329</v>
      </c>
      <c r="Q4396" t="s">
        <v>103</v>
      </c>
    </row>
    <row r="4397" spans="1:17" x14ac:dyDescent="0.3">
      <c r="A4397" t="s">
        <v>26</v>
      </c>
      <c r="B4397" t="s">
        <v>1685</v>
      </c>
      <c r="C4397">
        <v>405</v>
      </c>
      <c r="D4397" t="s">
        <v>398</v>
      </c>
      <c r="E4397" t="s">
        <v>169</v>
      </c>
      <c r="F4397" t="s">
        <v>146</v>
      </c>
      <c r="G4397" t="s">
        <v>103</v>
      </c>
      <c r="H4397" t="s">
        <v>97</v>
      </c>
      <c r="I4397" t="s">
        <v>284</v>
      </c>
      <c r="J4397" t="s">
        <v>1021</v>
      </c>
      <c r="K4397" t="s">
        <v>103</v>
      </c>
      <c r="L4397" t="s">
        <v>341</v>
      </c>
      <c r="M4397" t="s">
        <v>188</v>
      </c>
      <c r="N4397" t="s">
        <v>988</v>
      </c>
      <c r="O4397" t="s">
        <v>122</v>
      </c>
      <c r="P4397" t="s">
        <v>103</v>
      </c>
      <c r="Q4397" t="s">
        <v>97</v>
      </c>
    </row>
    <row r="4398" spans="1:17" x14ac:dyDescent="0.3">
      <c r="A4398" t="s">
        <v>29</v>
      </c>
      <c r="B4398" t="s">
        <v>1684</v>
      </c>
      <c r="C4398">
        <v>133</v>
      </c>
      <c r="D4398" t="s">
        <v>554</v>
      </c>
      <c r="E4398" t="s">
        <v>124</v>
      </c>
      <c r="F4398" t="s">
        <v>128</v>
      </c>
      <c r="G4398" t="s">
        <v>103</v>
      </c>
      <c r="H4398" t="s">
        <v>103</v>
      </c>
      <c r="I4398" t="s">
        <v>467</v>
      </c>
      <c r="J4398" t="s">
        <v>1556</v>
      </c>
      <c r="K4398" t="s">
        <v>103</v>
      </c>
      <c r="L4398" t="s">
        <v>103</v>
      </c>
      <c r="M4398" t="s">
        <v>481</v>
      </c>
      <c r="N4398" t="s">
        <v>902</v>
      </c>
      <c r="O4398" t="s">
        <v>103</v>
      </c>
      <c r="P4398" t="s">
        <v>97</v>
      </c>
      <c r="Q4398" t="s">
        <v>103</v>
      </c>
    </row>
    <row r="4399" spans="1:17" x14ac:dyDescent="0.3">
      <c r="A4399" t="s">
        <v>29</v>
      </c>
      <c r="B4399" t="s">
        <v>1685</v>
      </c>
      <c r="C4399">
        <v>390</v>
      </c>
      <c r="D4399" t="s">
        <v>30</v>
      </c>
      <c r="E4399" t="s">
        <v>214</v>
      </c>
      <c r="F4399" t="s">
        <v>108</v>
      </c>
      <c r="G4399" t="s">
        <v>139</v>
      </c>
      <c r="H4399" t="s">
        <v>116</v>
      </c>
      <c r="I4399" t="s">
        <v>101</v>
      </c>
      <c r="J4399" t="s">
        <v>538</v>
      </c>
      <c r="K4399" t="s">
        <v>103</v>
      </c>
      <c r="L4399" t="s">
        <v>97</v>
      </c>
      <c r="M4399" t="s">
        <v>111</v>
      </c>
      <c r="N4399" t="s">
        <v>1307</v>
      </c>
      <c r="O4399" t="s">
        <v>91</v>
      </c>
      <c r="P4399" t="s">
        <v>98</v>
      </c>
      <c r="Q4399" t="s">
        <v>103</v>
      </c>
    </row>
    <row r="4400" spans="1:17" x14ac:dyDescent="0.3">
      <c r="A4400" t="s">
        <v>29</v>
      </c>
      <c r="B4400" t="s">
        <v>308</v>
      </c>
      <c r="C4400">
        <v>7</v>
      </c>
      <c r="D4400" t="s">
        <v>103</v>
      </c>
      <c r="E4400" t="s">
        <v>103</v>
      </c>
      <c r="F4400" t="s">
        <v>103</v>
      </c>
      <c r="G4400" t="s">
        <v>103</v>
      </c>
      <c r="H4400" t="s">
        <v>103</v>
      </c>
      <c r="I4400" t="s">
        <v>938</v>
      </c>
      <c r="J4400" t="s">
        <v>519</v>
      </c>
      <c r="K4400" t="s">
        <v>103</v>
      </c>
      <c r="L4400" t="s">
        <v>103</v>
      </c>
      <c r="M4400" t="s">
        <v>208</v>
      </c>
      <c r="N4400" t="s">
        <v>408</v>
      </c>
      <c r="O4400" t="s">
        <v>103</v>
      </c>
      <c r="P4400" t="s">
        <v>103</v>
      </c>
      <c r="Q4400" t="s">
        <v>652</v>
      </c>
    </row>
    <row r="4401" spans="1:17" x14ac:dyDescent="0.3">
      <c r="A4401" t="s">
        <v>28</v>
      </c>
      <c r="B4401" t="s">
        <v>1684</v>
      </c>
      <c r="C4401">
        <v>32</v>
      </c>
      <c r="D4401" t="s">
        <v>493</v>
      </c>
      <c r="E4401" t="s">
        <v>103</v>
      </c>
      <c r="F4401" t="s">
        <v>140</v>
      </c>
      <c r="G4401" t="s">
        <v>103</v>
      </c>
      <c r="H4401" t="s">
        <v>103</v>
      </c>
      <c r="I4401" t="s">
        <v>46</v>
      </c>
      <c r="J4401" t="s">
        <v>477</v>
      </c>
      <c r="K4401" t="s">
        <v>103</v>
      </c>
      <c r="L4401" t="s">
        <v>103</v>
      </c>
      <c r="M4401" t="s">
        <v>195</v>
      </c>
      <c r="N4401" t="s">
        <v>831</v>
      </c>
      <c r="O4401" t="s">
        <v>103</v>
      </c>
      <c r="P4401" t="s">
        <v>94</v>
      </c>
      <c r="Q4401" t="s">
        <v>615</v>
      </c>
    </row>
    <row r="4402" spans="1:17" x14ac:dyDescent="0.3">
      <c r="A4402" t="s">
        <v>28</v>
      </c>
      <c r="B4402" t="s">
        <v>1685</v>
      </c>
      <c r="C4402">
        <v>285</v>
      </c>
      <c r="D4402" t="s">
        <v>890</v>
      </c>
      <c r="E4402" t="s">
        <v>272</v>
      </c>
      <c r="F4402" t="s">
        <v>558</v>
      </c>
      <c r="G4402" t="s">
        <v>103</v>
      </c>
      <c r="H4402" t="s">
        <v>103</v>
      </c>
      <c r="I4402" t="s">
        <v>245</v>
      </c>
      <c r="J4402" t="s">
        <v>677</v>
      </c>
      <c r="K4402" t="s">
        <v>103</v>
      </c>
      <c r="L4402" t="s">
        <v>103</v>
      </c>
      <c r="M4402" t="s">
        <v>459</v>
      </c>
      <c r="N4402" t="s">
        <v>437</v>
      </c>
      <c r="O4402" t="s">
        <v>122</v>
      </c>
      <c r="P4402" t="s">
        <v>103</v>
      </c>
      <c r="Q4402" t="s">
        <v>97</v>
      </c>
    </row>
    <row r="4403" spans="1:17" x14ac:dyDescent="0.3">
      <c r="A4403" t="s">
        <v>27</v>
      </c>
      <c r="B4403" t="s">
        <v>1684</v>
      </c>
      <c r="C4403">
        <v>88</v>
      </c>
      <c r="D4403" t="s">
        <v>398</v>
      </c>
      <c r="E4403" t="s">
        <v>116</v>
      </c>
      <c r="F4403" t="s">
        <v>103</v>
      </c>
      <c r="G4403" t="s">
        <v>103</v>
      </c>
      <c r="H4403" t="s">
        <v>103</v>
      </c>
      <c r="I4403" t="s">
        <v>116</v>
      </c>
      <c r="J4403" t="s">
        <v>939</v>
      </c>
      <c r="K4403" t="s">
        <v>103</v>
      </c>
      <c r="L4403" t="s">
        <v>345</v>
      </c>
      <c r="M4403" t="s">
        <v>532</v>
      </c>
      <c r="N4403" t="s">
        <v>603</v>
      </c>
      <c r="O4403" t="s">
        <v>103</v>
      </c>
      <c r="P4403" t="s">
        <v>615</v>
      </c>
      <c r="Q4403" t="s">
        <v>103</v>
      </c>
    </row>
    <row r="4404" spans="1:17" x14ac:dyDescent="0.3">
      <c r="A4404" t="s">
        <v>27</v>
      </c>
      <c r="B4404" t="s">
        <v>1685</v>
      </c>
      <c r="C4404">
        <v>211</v>
      </c>
      <c r="D4404" t="s">
        <v>429</v>
      </c>
      <c r="E4404" t="s">
        <v>112</v>
      </c>
      <c r="F4404" t="s">
        <v>128</v>
      </c>
      <c r="G4404" t="s">
        <v>103</v>
      </c>
      <c r="H4404" t="s">
        <v>103</v>
      </c>
      <c r="I4404" t="s">
        <v>98</v>
      </c>
      <c r="J4404" t="s">
        <v>294</v>
      </c>
      <c r="K4404" t="s">
        <v>103</v>
      </c>
      <c r="L4404" t="s">
        <v>97</v>
      </c>
      <c r="M4404" t="s">
        <v>93</v>
      </c>
      <c r="N4404" t="s">
        <v>632</v>
      </c>
      <c r="O4404" t="s">
        <v>103</v>
      </c>
      <c r="P4404" t="s">
        <v>97</v>
      </c>
      <c r="Q4404" t="s">
        <v>103</v>
      </c>
    </row>
    <row r="4405" spans="1:17" x14ac:dyDescent="0.3">
      <c r="A4405" t="s">
        <v>27</v>
      </c>
      <c r="B4405" t="s">
        <v>308</v>
      </c>
      <c r="C4405">
        <v>1</v>
      </c>
      <c r="D4405" t="s">
        <v>103</v>
      </c>
      <c r="E4405" t="s">
        <v>103</v>
      </c>
      <c r="F4405" t="s">
        <v>103</v>
      </c>
      <c r="G4405" t="s">
        <v>103</v>
      </c>
      <c r="H4405" t="s">
        <v>103</v>
      </c>
      <c r="I4405" t="s">
        <v>103</v>
      </c>
      <c r="J4405" t="s">
        <v>192</v>
      </c>
      <c r="K4405" t="s">
        <v>103</v>
      </c>
      <c r="L4405" t="s">
        <v>103</v>
      </c>
      <c r="M4405" t="s">
        <v>103</v>
      </c>
      <c r="N4405" t="s">
        <v>192</v>
      </c>
      <c r="O4405" t="s">
        <v>103</v>
      </c>
      <c r="P4405" t="s">
        <v>103</v>
      </c>
      <c r="Q4405" t="s">
        <v>103</v>
      </c>
    </row>
    <row r="4406" spans="1:17" x14ac:dyDescent="0.3">
      <c r="A4406" t="s">
        <v>41</v>
      </c>
      <c r="B4406" t="s">
        <v>1684</v>
      </c>
      <c r="C4406">
        <v>399</v>
      </c>
      <c r="D4406" t="s">
        <v>754</v>
      </c>
      <c r="E4406" t="s">
        <v>549</v>
      </c>
      <c r="F4406" t="s">
        <v>467</v>
      </c>
      <c r="G4406" t="s">
        <v>103</v>
      </c>
      <c r="H4406" t="s">
        <v>103</v>
      </c>
      <c r="I4406" t="s">
        <v>107</v>
      </c>
      <c r="J4406" t="s">
        <v>1087</v>
      </c>
      <c r="K4406" t="s">
        <v>103</v>
      </c>
      <c r="L4406" t="s">
        <v>282</v>
      </c>
      <c r="M4406" t="s">
        <v>460</v>
      </c>
      <c r="N4406" t="s">
        <v>740</v>
      </c>
      <c r="O4406" t="s">
        <v>103</v>
      </c>
      <c r="P4406" t="s">
        <v>345</v>
      </c>
      <c r="Q4406" t="s">
        <v>66</v>
      </c>
    </row>
    <row r="4407" spans="1:17" x14ac:dyDescent="0.3">
      <c r="A4407" t="s">
        <v>41</v>
      </c>
      <c r="B4407" t="s">
        <v>1685</v>
      </c>
      <c r="C4407">
        <v>1631</v>
      </c>
      <c r="D4407" t="s">
        <v>554</v>
      </c>
      <c r="E4407" t="s">
        <v>452</v>
      </c>
      <c r="F4407" t="s">
        <v>127</v>
      </c>
      <c r="G4407" t="s">
        <v>97</v>
      </c>
      <c r="H4407" t="s">
        <v>66</v>
      </c>
      <c r="I4407" t="s">
        <v>133</v>
      </c>
      <c r="J4407" t="s">
        <v>993</v>
      </c>
      <c r="K4407" t="s">
        <v>103</v>
      </c>
      <c r="L4407" t="s">
        <v>282</v>
      </c>
      <c r="M4407" t="s">
        <v>140</v>
      </c>
      <c r="N4407" t="s">
        <v>1355</v>
      </c>
      <c r="O4407" t="s">
        <v>66</v>
      </c>
      <c r="P4407" t="s">
        <v>97</v>
      </c>
      <c r="Q4407" t="s">
        <v>66</v>
      </c>
    </row>
    <row r="4408" spans="1:17" x14ac:dyDescent="0.3">
      <c r="A4408" t="s">
        <v>41</v>
      </c>
      <c r="B4408" t="s">
        <v>308</v>
      </c>
      <c r="C4408">
        <v>8</v>
      </c>
      <c r="D4408" t="s">
        <v>103</v>
      </c>
      <c r="E4408" t="s">
        <v>103</v>
      </c>
      <c r="F4408" t="s">
        <v>103</v>
      </c>
      <c r="G4408" t="s">
        <v>103</v>
      </c>
      <c r="H4408" t="s">
        <v>103</v>
      </c>
      <c r="I4408" t="s">
        <v>560</v>
      </c>
      <c r="J4408" t="s">
        <v>579</v>
      </c>
      <c r="K4408" t="s">
        <v>103</v>
      </c>
      <c r="L4408" t="s">
        <v>103</v>
      </c>
      <c r="M4408" t="s">
        <v>208</v>
      </c>
      <c r="N4408" t="s">
        <v>1052</v>
      </c>
      <c r="O4408" t="s">
        <v>103</v>
      </c>
      <c r="P4408" t="s">
        <v>103</v>
      </c>
      <c r="Q4408" t="s">
        <v>191</v>
      </c>
    </row>
    <row r="4410" spans="1:17" x14ac:dyDescent="0.3">
      <c r="A4410" t="s">
        <v>1686</v>
      </c>
      <c r="I4410" t="s">
        <v>1687</v>
      </c>
    </row>
    <row r="4411" spans="1:17" x14ac:dyDescent="0.3">
      <c r="A4411" t="s">
        <v>36</v>
      </c>
      <c r="B4411" t="s">
        <v>24</v>
      </c>
      <c r="C4411" t="s">
        <v>37</v>
      </c>
      <c r="D4411" t="s">
        <v>38</v>
      </c>
      <c r="E4411" t="s">
        <v>39</v>
      </c>
      <c r="F4411" t="s">
        <v>40</v>
      </c>
      <c r="I4411" t="s">
        <v>36</v>
      </c>
      <c r="J4411" t="s">
        <v>24</v>
      </c>
      <c r="K4411" t="s">
        <v>37</v>
      </c>
      <c r="L4411" t="s">
        <v>38</v>
      </c>
      <c r="M4411" t="s">
        <v>39</v>
      </c>
      <c r="N4411" t="s">
        <v>40</v>
      </c>
    </row>
    <row r="4412" spans="1:17" x14ac:dyDescent="0.3">
      <c r="A4412" t="s">
        <v>25</v>
      </c>
      <c r="B4412">
        <v>414</v>
      </c>
      <c r="C4412">
        <v>10856.72</v>
      </c>
      <c r="D4412">
        <v>9000</v>
      </c>
      <c r="E4412">
        <v>0</v>
      </c>
      <c r="F4412">
        <v>58000</v>
      </c>
      <c r="I4412" t="s">
        <v>25</v>
      </c>
      <c r="J4412">
        <v>414</v>
      </c>
      <c r="K4412">
        <v>4948.91</v>
      </c>
      <c r="L4412">
        <v>5000</v>
      </c>
      <c r="M4412">
        <v>0</v>
      </c>
      <c r="N4412">
        <v>17000</v>
      </c>
    </row>
    <row r="4413" spans="1:17" x14ac:dyDescent="0.3">
      <c r="A4413" t="s">
        <v>26</v>
      </c>
      <c r="B4413">
        <v>477</v>
      </c>
      <c r="C4413">
        <v>10874.13</v>
      </c>
      <c r="D4413">
        <v>10000</v>
      </c>
      <c r="E4413">
        <v>0</v>
      </c>
      <c r="F4413">
        <v>44000</v>
      </c>
      <c r="I4413" t="s">
        <v>26</v>
      </c>
      <c r="J4413">
        <v>477</v>
      </c>
      <c r="K4413">
        <v>5284.22</v>
      </c>
      <c r="L4413">
        <v>4750</v>
      </c>
      <c r="M4413">
        <v>0</v>
      </c>
      <c r="N4413">
        <v>32000</v>
      </c>
    </row>
    <row r="4414" spans="1:17" x14ac:dyDescent="0.3">
      <c r="A4414" t="s">
        <v>29</v>
      </c>
      <c r="B4414">
        <v>530</v>
      </c>
      <c r="C4414">
        <v>11093.55</v>
      </c>
      <c r="D4414">
        <v>10000</v>
      </c>
      <c r="E4414">
        <v>0</v>
      </c>
      <c r="F4414">
        <v>69500</v>
      </c>
      <c r="I4414" t="s">
        <v>29</v>
      </c>
      <c r="J4414">
        <v>530</v>
      </c>
      <c r="K4414">
        <v>4615.75</v>
      </c>
      <c r="L4414">
        <v>4333.33</v>
      </c>
      <c r="M4414">
        <v>0</v>
      </c>
      <c r="N4414">
        <v>15333.33</v>
      </c>
    </row>
    <row r="4415" spans="1:17" x14ac:dyDescent="0.3">
      <c r="A4415" t="s">
        <v>28</v>
      </c>
      <c r="B4415">
        <v>317</v>
      </c>
      <c r="C4415">
        <v>7275.46</v>
      </c>
      <c r="D4415">
        <v>5700</v>
      </c>
      <c r="E4415">
        <v>0</v>
      </c>
      <c r="F4415">
        <v>49000</v>
      </c>
      <c r="I4415" t="s">
        <v>28</v>
      </c>
      <c r="J4415">
        <v>316</v>
      </c>
      <c r="K4415">
        <v>4498.5600000000004</v>
      </c>
      <c r="L4415">
        <v>3600</v>
      </c>
      <c r="M4415">
        <v>0</v>
      </c>
      <c r="N4415">
        <v>30000</v>
      </c>
    </row>
    <row r="4416" spans="1:17" x14ac:dyDescent="0.3">
      <c r="A4416" t="s">
        <v>27</v>
      </c>
      <c r="B4416">
        <v>300</v>
      </c>
      <c r="C4416">
        <v>9562.52</v>
      </c>
      <c r="D4416">
        <v>8000</v>
      </c>
      <c r="E4416">
        <v>0</v>
      </c>
      <c r="F4416">
        <v>45000</v>
      </c>
      <c r="I4416" t="s">
        <v>27</v>
      </c>
      <c r="J4416">
        <v>300</v>
      </c>
      <c r="K4416">
        <v>5193.8</v>
      </c>
      <c r="L4416">
        <v>5250</v>
      </c>
      <c r="M4416">
        <v>0</v>
      </c>
      <c r="N4416">
        <v>15300</v>
      </c>
    </row>
    <row r="4417" spans="1:15" x14ac:dyDescent="0.3">
      <c r="A4417" t="s">
        <v>41</v>
      </c>
      <c r="B4417">
        <v>2038</v>
      </c>
      <c r="C4417">
        <v>10735.07</v>
      </c>
      <c r="D4417">
        <v>9360</v>
      </c>
      <c r="E4417">
        <v>0</v>
      </c>
      <c r="F4417">
        <v>69500</v>
      </c>
      <c r="I4417" t="s">
        <v>41</v>
      </c>
      <c r="J4417">
        <v>2037</v>
      </c>
      <c r="K4417">
        <v>4864.93</v>
      </c>
      <c r="L4417">
        <v>4566.67</v>
      </c>
      <c r="M4417">
        <v>0</v>
      </c>
      <c r="N4417">
        <v>32000</v>
      </c>
    </row>
    <row r="4419" spans="1:15" x14ac:dyDescent="0.3">
      <c r="A4419" t="s">
        <v>1688</v>
      </c>
      <c r="I4419" t="s">
        <v>1689</v>
      </c>
    </row>
    <row r="4420" spans="1:15" x14ac:dyDescent="0.3">
      <c r="A4420" t="s">
        <v>36</v>
      </c>
      <c r="B4420" t="s">
        <v>307</v>
      </c>
      <c r="C4420" t="s">
        <v>24</v>
      </c>
      <c r="D4420" t="s">
        <v>37</v>
      </c>
      <c r="E4420" t="s">
        <v>38</v>
      </c>
      <c r="F4420" t="s">
        <v>39</v>
      </c>
      <c r="G4420" t="s">
        <v>40</v>
      </c>
      <c r="I4420" t="s">
        <v>36</v>
      </c>
      <c r="J4420" t="s">
        <v>307</v>
      </c>
      <c r="K4420" t="s">
        <v>24</v>
      </c>
      <c r="L4420" t="s">
        <v>37</v>
      </c>
      <c r="M4420" t="s">
        <v>38</v>
      </c>
      <c r="N4420" t="s">
        <v>39</v>
      </c>
      <c r="O4420" t="s">
        <v>40</v>
      </c>
    </row>
    <row r="4421" spans="1:15" x14ac:dyDescent="0.3">
      <c r="A4421" t="s">
        <v>25</v>
      </c>
      <c r="B4421" t="s">
        <v>291</v>
      </c>
      <c r="C4421">
        <v>156</v>
      </c>
      <c r="D4421">
        <v>12261.21</v>
      </c>
      <c r="E4421">
        <v>10000</v>
      </c>
      <c r="F4421">
        <v>0</v>
      </c>
      <c r="G4421">
        <v>52000</v>
      </c>
      <c r="I4421" t="s">
        <v>25</v>
      </c>
      <c r="J4421" t="s">
        <v>291</v>
      </c>
      <c r="K4421">
        <v>156</v>
      </c>
      <c r="L4421">
        <v>4983.16</v>
      </c>
      <c r="M4421">
        <v>5000</v>
      </c>
      <c r="N4421">
        <v>0</v>
      </c>
      <c r="O4421">
        <v>16000</v>
      </c>
    </row>
    <row r="4422" spans="1:15" x14ac:dyDescent="0.3">
      <c r="A4422" t="s">
        <v>25</v>
      </c>
      <c r="B4422" t="s">
        <v>292</v>
      </c>
      <c r="C4422">
        <v>254</v>
      </c>
      <c r="D4422">
        <v>9866.35</v>
      </c>
      <c r="E4422">
        <v>8000</v>
      </c>
      <c r="F4422">
        <v>0</v>
      </c>
      <c r="G4422">
        <v>58000</v>
      </c>
      <c r="I4422" t="s">
        <v>25</v>
      </c>
      <c r="J4422" t="s">
        <v>292</v>
      </c>
      <c r="K4422">
        <v>254</v>
      </c>
      <c r="L4422">
        <v>4924.41</v>
      </c>
      <c r="M4422">
        <v>5000</v>
      </c>
      <c r="N4422">
        <v>0</v>
      </c>
      <c r="O4422">
        <v>17000</v>
      </c>
    </row>
    <row r="4423" spans="1:15" x14ac:dyDescent="0.3">
      <c r="A4423" t="s">
        <v>25</v>
      </c>
      <c r="B4423" t="s">
        <v>308</v>
      </c>
      <c r="C4423">
        <v>4</v>
      </c>
      <c r="D4423">
        <v>18730.43</v>
      </c>
      <c r="E4423">
        <v>15000</v>
      </c>
      <c r="F4423">
        <v>15000</v>
      </c>
      <c r="G4423">
        <v>28000</v>
      </c>
      <c r="I4423" t="s">
        <v>25</v>
      </c>
      <c r="J4423" t="s">
        <v>308</v>
      </c>
      <c r="K4423">
        <v>4</v>
      </c>
      <c r="L4423">
        <v>5165.22</v>
      </c>
      <c r="M4423">
        <v>5000</v>
      </c>
      <c r="N4423">
        <v>3750</v>
      </c>
      <c r="O4423">
        <v>7000</v>
      </c>
    </row>
    <row r="4424" spans="1:15" x14ac:dyDescent="0.3">
      <c r="A4424" t="s">
        <v>26</v>
      </c>
      <c r="B4424" t="s">
        <v>291</v>
      </c>
      <c r="C4424">
        <v>122</v>
      </c>
      <c r="D4424">
        <v>11474.91</v>
      </c>
      <c r="E4424">
        <v>10700</v>
      </c>
      <c r="F4424">
        <v>0</v>
      </c>
      <c r="G4424">
        <v>41000</v>
      </c>
      <c r="I4424" t="s">
        <v>26</v>
      </c>
      <c r="J4424" t="s">
        <v>291</v>
      </c>
      <c r="K4424">
        <v>122</v>
      </c>
      <c r="L4424">
        <v>5303.61</v>
      </c>
      <c r="M4424">
        <v>5000</v>
      </c>
      <c r="N4424">
        <v>0</v>
      </c>
      <c r="O4424">
        <v>29750</v>
      </c>
    </row>
    <row r="4425" spans="1:15" x14ac:dyDescent="0.3">
      <c r="A4425" t="s">
        <v>26</v>
      </c>
      <c r="B4425" t="s">
        <v>292</v>
      </c>
      <c r="C4425">
        <v>352</v>
      </c>
      <c r="D4425">
        <v>10678.45</v>
      </c>
      <c r="E4425">
        <v>9500</v>
      </c>
      <c r="F4425">
        <v>0</v>
      </c>
      <c r="G4425">
        <v>44000</v>
      </c>
      <c r="I4425" t="s">
        <v>26</v>
      </c>
      <c r="J4425" t="s">
        <v>292</v>
      </c>
      <c r="K4425">
        <v>352</v>
      </c>
      <c r="L4425">
        <v>5298.28</v>
      </c>
      <c r="M4425">
        <v>4566.67</v>
      </c>
      <c r="N4425">
        <v>0</v>
      </c>
      <c r="O4425">
        <v>32000</v>
      </c>
    </row>
    <row r="4426" spans="1:15" x14ac:dyDescent="0.3">
      <c r="A4426" t="s">
        <v>26</v>
      </c>
      <c r="B4426" t="s">
        <v>308</v>
      </c>
      <c r="C4426">
        <v>3</v>
      </c>
      <c r="D4426">
        <v>9831.4500000000007</v>
      </c>
      <c r="E4426">
        <v>8000</v>
      </c>
      <c r="F4426">
        <v>8000</v>
      </c>
      <c r="G4426">
        <v>15000</v>
      </c>
      <c r="I4426" t="s">
        <v>26</v>
      </c>
      <c r="J4426" t="s">
        <v>308</v>
      </c>
      <c r="K4426">
        <v>3</v>
      </c>
      <c r="L4426">
        <v>2950.11</v>
      </c>
      <c r="M4426">
        <v>2666.67</v>
      </c>
      <c r="N4426">
        <v>2666.67</v>
      </c>
      <c r="O4426">
        <v>3750</v>
      </c>
    </row>
    <row r="4427" spans="1:15" x14ac:dyDescent="0.3">
      <c r="A4427" t="s">
        <v>29</v>
      </c>
      <c r="B4427" t="s">
        <v>291</v>
      </c>
      <c r="C4427">
        <v>205</v>
      </c>
      <c r="D4427">
        <v>10972.41</v>
      </c>
      <c r="E4427">
        <v>10000</v>
      </c>
      <c r="F4427">
        <v>0</v>
      </c>
      <c r="G4427">
        <v>41000</v>
      </c>
      <c r="I4427" t="s">
        <v>29</v>
      </c>
      <c r="J4427" t="s">
        <v>291</v>
      </c>
      <c r="K4427">
        <v>205</v>
      </c>
      <c r="L4427">
        <v>4618.3999999999996</v>
      </c>
      <c r="M4427">
        <v>4500</v>
      </c>
      <c r="N4427">
        <v>0</v>
      </c>
      <c r="O4427">
        <v>14400</v>
      </c>
    </row>
    <row r="4428" spans="1:15" x14ac:dyDescent="0.3">
      <c r="A4428" t="s">
        <v>29</v>
      </c>
      <c r="B4428" t="s">
        <v>292</v>
      </c>
      <c r="C4428">
        <v>325</v>
      </c>
      <c r="D4428">
        <v>11169.69</v>
      </c>
      <c r="E4428">
        <v>9700</v>
      </c>
      <c r="F4428">
        <v>0</v>
      </c>
      <c r="G4428">
        <v>69500</v>
      </c>
      <c r="I4428" t="s">
        <v>29</v>
      </c>
      <c r="J4428" t="s">
        <v>292</v>
      </c>
      <c r="K4428">
        <v>325</v>
      </c>
      <c r="L4428">
        <v>4614.09</v>
      </c>
      <c r="M4428">
        <v>4100</v>
      </c>
      <c r="N4428">
        <v>0</v>
      </c>
      <c r="O4428">
        <v>15333.33</v>
      </c>
    </row>
    <row r="4429" spans="1:15" x14ac:dyDescent="0.3">
      <c r="A4429" t="s">
        <v>28</v>
      </c>
      <c r="B4429" t="s">
        <v>291</v>
      </c>
      <c r="C4429">
        <v>114</v>
      </c>
      <c r="D4429">
        <v>7890.82</v>
      </c>
      <c r="E4429">
        <v>6500</v>
      </c>
      <c r="F4429">
        <v>0</v>
      </c>
      <c r="G4429">
        <v>25600</v>
      </c>
      <c r="I4429" t="s">
        <v>28</v>
      </c>
      <c r="J4429" t="s">
        <v>291</v>
      </c>
      <c r="K4429">
        <v>114</v>
      </c>
      <c r="L4429">
        <v>4867.55</v>
      </c>
      <c r="M4429">
        <v>4500</v>
      </c>
      <c r="N4429">
        <v>0</v>
      </c>
      <c r="O4429">
        <v>16700</v>
      </c>
    </row>
    <row r="4430" spans="1:15" x14ac:dyDescent="0.3">
      <c r="A4430" t="s">
        <v>28</v>
      </c>
      <c r="B4430" t="s">
        <v>292</v>
      </c>
      <c r="C4430">
        <v>191</v>
      </c>
      <c r="D4430">
        <v>6782.48</v>
      </c>
      <c r="E4430">
        <v>5000</v>
      </c>
      <c r="F4430">
        <v>0</v>
      </c>
      <c r="G4430">
        <v>49000</v>
      </c>
      <c r="I4430" t="s">
        <v>28</v>
      </c>
      <c r="J4430" t="s">
        <v>292</v>
      </c>
      <c r="K4430">
        <v>190</v>
      </c>
      <c r="L4430">
        <v>4387.6099999999997</v>
      </c>
      <c r="M4430">
        <v>3100</v>
      </c>
      <c r="N4430">
        <v>0</v>
      </c>
      <c r="O4430">
        <v>30000</v>
      </c>
    </row>
    <row r="4431" spans="1:15" x14ac:dyDescent="0.3">
      <c r="A4431" t="s">
        <v>28</v>
      </c>
      <c r="B4431" t="s">
        <v>308</v>
      </c>
      <c r="C4431">
        <v>12</v>
      </c>
      <c r="D4431">
        <v>8594.14</v>
      </c>
      <c r="E4431">
        <v>7100</v>
      </c>
      <c r="F4431">
        <v>0</v>
      </c>
      <c r="G4431">
        <v>17700</v>
      </c>
      <c r="I4431" t="s">
        <v>28</v>
      </c>
      <c r="J4431" t="s">
        <v>308</v>
      </c>
      <c r="K4431">
        <v>12</v>
      </c>
      <c r="L4431">
        <v>2397.48</v>
      </c>
      <c r="M4431">
        <v>2428.5700000000002</v>
      </c>
      <c r="N4431">
        <v>0</v>
      </c>
      <c r="O4431">
        <v>7000</v>
      </c>
    </row>
    <row r="4432" spans="1:15" x14ac:dyDescent="0.3">
      <c r="A4432" t="s">
        <v>27</v>
      </c>
      <c r="B4432" t="s">
        <v>291</v>
      </c>
      <c r="C4432">
        <v>95</v>
      </c>
      <c r="D4432">
        <v>9078.8700000000008</v>
      </c>
      <c r="E4432">
        <v>7700</v>
      </c>
      <c r="F4432">
        <v>0</v>
      </c>
      <c r="G4432">
        <v>27500</v>
      </c>
      <c r="I4432" t="s">
        <v>27</v>
      </c>
      <c r="J4432" t="s">
        <v>291</v>
      </c>
      <c r="K4432">
        <v>95</v>
      </c>
      <c r="L4432">
        <v>4879.6099999999997</v>
      </c>
      <c r="M4432">
        <v>5200</v>
      </c>
      <c r="N4432">
        <v>0</v>
      </c>
      <c r="O4432">
        <v>10500</v>
      </c>
    </row>
    <row r="4433" spans="1:15" x14ac:dyDescent="0.3">
      <c r="A4433" t="s">
        <v>27</v>
      </c>
      <c r="B4433" t="s">
        <v>292</v>
      </c>
      <c r="C4433">
        <v>198</v>
      </c>
      <c r="D4433">
        <v>9719.7099999999991</v>
      </c>
      <c r="E4433">
        <v>8000</v>
      </c>
      <c r="F4433">
        <v>0</v>
      </c>
      <c r="G4433">
        <v>45000</v>
      </c>
      <c r="I4433" t="s">
        <v>27</v>
      </c>
      <c r="J4433" t="s">
        <v>292</v>
      </c>
      <c r="K4433">
        <v>198</v>
      </c>
      <c r="L4433">
        <v>5397.52</v>
      </c>
      <c r="M4433">
        <v>5333.33</v>
      </c>
      <c r="N4433">
        <v>0</v>
      </c>
      <c r="O4433">
        <v>15300</v>
      </c>
    </row>
    <row r="4434" spans="1:15" x14ac:dyDescent="0.3">
      <c r="A4434" t="s">
        <v>27</v>
      </c>
      <c r="B4434" t="s">
        <v>308</v>
      </c>
      <c r="C4434">
        <v>7</v>
      </c>
      <c r="D4434">
        <v>10608.51</v>
      </c>
      <c r="E4434">
        <v>10000</v>
      </c>
      <c r="F4434">
        <v>0</v>
      </c>
      <c r="G4434">
        <v>19000</v>
      </c>
      <c r="I4434" t="s">
        <v>27</v>
      </c>
      <c r="J4434" t="s">
        <v>308</v>
      </c>
      <c r="K4434">
        <v>7</v>
      </c>
      <c r="L4434">
        <v>3080.86</v>
      </c>
      <c r="M4434">
        <v>3033.33</v>
      </c>
      <c r="N4434">
        <v>0</v>
      </c>
      <c r="O4434">
        <v>6333.33</v>
      </c>
    </row>
    <row r="4435" spans="1:15" x14ac:dyDescent="0.3">
      <c r="A4435" t="s">
        <v>41</v>
      </c>
      <c r="B4435" t="s">
        <v>291</v>
      </c>
      <c r="C4435">
        <v>692</v>
      </c>
      <c r="D4435">
        <v>11098.4</v>
      </c>
      <c r="E4435">
        <v>10000</v>
      </c>
      <c r="F4435">
        <v>0</v>
      </c>
      <c r="G4435">
        <v>52000</v>
      </c>
      <c r="I4435" t="s">
        <v>41</v>
      </c>
      <c r="J4435" t="s">
        <v>291</v>
      </c>
      <c r="K4435">
        <v>692</v>
      </c>
      <c r="L4435">
        <v>4840.84</v>
      </c>
      <c r="M4435">
        <v>4700</v>
      </c>
      <c r="N4435">
        <v>0</v>
      </c>
      <c r="O4435">
        <v>29750</v>
      </c>
    </row>
    <row r="4436" spans="1:15" x14ac:dyDescent="0.3">
      <c r="A4436" t="s">
        <v>41</v>
      </c>
      <c r="B4436" t="s">
        <v>292</v>
      </c>
      <c r="C4436">
        <v>1320</v>
      </c>
      <c r="D4436">
        <v>10526.61</v>
      </c>
      <c r="E4436">
        <v>9000</v>
      </c>
      <c r="F4436">
        <v>0</v>
      </c>
      <c r="G4436">
        <v>69500</v>
      </c>
      <c r="I4436" t="s">
        <v>41</v>
      </c>
      <c r="J4436" t="s">
        <v>292</v>
      </c>
      <c r="K4436">
        <v>1319</v>
      </c>
      <c r="L4436">
        <v>4892.0200000000004</v>
      </c>
      <c r="M4436">
        <v>4500</v>
      </c>
      <c r="N4436">
        <v>0</v>
      </c>
      <c r="O4436">
        <v>32000</v>
      </c>
    </row>
    <row r="4437" spans="1:15" x14ac:dyDescent="0.3">
      <c r="A4437" t="s">
        <v>41</v>
      </c>
      <c r="B4437" t="s">
        <v>308</v>
      </c>
      <c r="C4437">
        <v>26</v>
      </c>
      <c r="D4437">
        <v>12068.08</v>
      </c>
      <c r="E4437">
        <v>12000</v>
      </c>
      <c r="F4437">
        <v>0</v>
      </c>
      <c r="G4437">
        <v>28000</v>
      </c>
      <c r="I4437" t="s">
        <v>41</v>
      </c>
      <c r="J4437" t="s">
        <v>308</v>
      </c>
      <c r="K4437">
        <v>26</v>
      </c>
      <c r="L4437">
        <v>3425.34</v>
      </c>
      <c r="M4437">
        <v>3000</v>
      </c>
      <c r="N4437">
        <v>0</v>
      </c>
      <c r="O4437">
        <v>7000</v>
      </c>
    </row>
    <row r="4439" spans="1:15" x14ac:dyDescent="0.3">
      <c r="A4439" t="s">
        <v>1690</v>
      </c>
      <c r="I4439" t="s">
        <v>1691</v>
      </c>
    </row>
    <row r="4440" spans="1:15" x14ac:dyDescent="0.3">
      <c r="A4440" t="s">
        <v>36</v>
      </c>
      <c r="B4440" t="s">
        <v>310</v>
      </c>
      <c r="C4440" t="s">
        <v>24</v>
      </c>
      <c r="D4440" t="s">
        <v>37</v>
      </c>
      <c r="E4440" t="s">
        <v>38</v>
      </c>
      <c r="F4440" t="s">
        <v>39</v>
      </c>
      <c r="G4440" t="s">
        <v>40</v>
      </c>
      <c r="I4440" t="s">
        <v>36</v>
      </c>
      <c r="J4440" t="s">
        <v>310</v>
      </c>
      <c r="K4440" t="s">
        <v>24</v>
      </c>
      <c r="L4440" t="s">
        <v>37</v>
      </c>
      <c r="M4440" t="s">
        <v>38</v>
      </c>
      <c r="N4440" t="s">
        <v>39</v>
      </c>
      <c r="O4440" t="s">
        <v>40</v>
      </c>
    </row>
    <row r="4441" spans="1:15" x14ac:dyDescent="0.3">
      <c r="A4441" t="s">
        <v>25</v>
      </c>
      <c r="B4441" t="s">
        <v>311</v>
      </c>
      <c r="C4441">
        <v>324</v>
      </c>
      <c r="D4441">
        <v>10679.26</v>
      </c>
      <c r="E4441">
        <v>8000</v>
      </c>
      <c r="F4441">
        <v>0</v>
      </c>
      <c r="G4441">
        <v>52000</v>
      </c>
      <c r="I4441" t="s">
        <v>25</v>
      </c>
      <c r="J4441" t="s">
        <v>311</v>
      </c>
      <c r="K4441">
        <v>324</v>
      </c>
      <c r="L4441">
        <v>4903.53</v>
      </c>
      <c r="M4441">
        <v>5000</v>
      </c>
      <c r="N4441">
        <v>0</v>
      </c>
      <c r="O4441">
        <v>16000</v>
      </c>
    </row>
    <row r="4442" spans="1:15" x14ac:dyDescent="0.3">
      <c r="A4442" t="s">
        <v>25</v>
      </c>
      <c r="B4442" t="s">
        <v>312</v>
      </c>
      <c r="C4442">
        <v>80</v>
      </c>
      <c r="D4442">
        <v>11824.65</v>
      </c>
      <c r="E4442">
        <v>10000</v>
      </c>
      <c r="F4442">
        <v>0</v>
      </c>
      <c r="G4442">
        <v>58000</v>
      </c>
      <c r="I4442" t="s">
        <v>25</v>
      </c>
      <c r="J4442" t="s">
        <v>312</v>
      </c>
      <c r="K4442">
        <v>80</v>
      </c>
      <c r="L4442">
        <v>5499.84</v>
      </c>
      <c r="M4442">
        <v>5600</v>
      </c>
      <c r="N4442">
        <v>0</v>
      </c>
      <c r="O4442">
        <v>17000</v>
      </c>
    </row>
    <row r="4443" spans="1:15" x14ac:dyDescent="0.3">
      <c r="A4443" t="s">
        <v>25</v>
      </c>
      <c r="B4443" t="s">
        <v>308</v>
      </c>
      <c r="C4443">
        <v>10</v>
      </c>
      <c r="D4443">
        <v>9744.3799999999992</v>
      </c>
      <c r="E4443">
        <v>5000</v>
      </c>
      <c r="F4443">
        <v>3000</v>
      </c>
      <c r="G4443">
        <v>29000</v>
      </c>
      <c r="I4443" t="s">
        <v>25</v>
      </c>
      <c r="J4443" t="s">
        <v>308</v>
      </c>
      <c r="K4443">
        <v>10</v>
      </c>
      <c r="L4443">
        <v>2866.68</v>
      </c>
      <c r="M4443">
        <v>2400</v>
      </c>
      <c r="N4443">
        <v>500</v>
      </c>
      <c r="O4443">
        <v>6500</v>
      </c>
    </row>
    <row r="4444" spans="1:15" x14ac:dyDescent="0.3">
      <c r="A4444" t="s">
        <v>26</v>
      </c>
      <c r="B4444" t="s">
        <v>311</v>
      </c>
      <c r="C4444">
        <v>343</v>
      </c>
      <c r="D4444">
        <v>10520.44</v>
      </c>
      <c r="E4444">
        <v>9700</v>
      </c>
      <c r="F4444">
        <v>0</v>
      </c>
      <c r="G4444">
        <v>41000</v>
      </c>
      <c r="I4444" t="s">
        <v>26</v>
      </c>
      <c r="J4444" t="s">
        <v>311</v>
      </c>
      <c r="K4444">
        <v>343</v>
      </c>
      <c r="L4444">
        <v>5145.63</v>
      </c>
      <c r="M4444">
        <v>4800</v>
      </c>
      <c r="N4444">
        <v>0</v>
      </c>
      <c r="O4444">
        <v>32000</v>
      </c>
    </row>
    <row r="4445" spans="1:15" x14ac:dyDescent="0.3">
      <c r="A4445" t="s">
        <v>26</v>
      </c>
      <c r="B4445" t="s">
        <v>312</v>
      </c>
      <c r="C4445">
        <v>96</v>
      </c>
      <c r="D4445">
        <v>10367.120000000001</v>
      </c>
      <c r="E4445">
        <v>10000</v>
      </c>
      <c r="F4445">
        <v>0</v>
      </c>
      <c r="G4445">
        <v>44000</v>
      </c>
      <c r="I4445" t="s">
        <v>26</v>
      </c>
      <c r="J4445" t="s">
        <v>312</v>
      </c>
      <c r="K4445">
        <v>96</v>
      </c>
      <c r="L4445">
        <v>5754.27</v>
      </c>
      <c r="M4445">
        <v>4500</v>
      </c>
      <c r="N4445">
        <v>0</v>
      </c>
      <c r="O4445">
        <v>22000</v>
      </c>
    </row>
    <row r="4446" spans="1:15" x14ac:dyDescent="0.3">
      <c r="A4446" t="s">
        <v>26</v>
      </c>
      <c r="B4446" t="s">
        <v>308</v>
      </c>
      <c r="C4446">
        <v>38</v>
      </c>
      <c r="D4446">
        <v>14984.51</v>
      </c>
      <c r="E4446">
        <v>13000</v>
      </c>
      <c r="F4446">
        <v>0</v>
      </c>
      <c r="G4446">
        <v>34000</v>
      </c>
      <c r="I4446" t="s">
        <v>26</v>
      </c>
      <c r="J4446" t="s">
        <v>308</v>
      </c>
      <c r="K4446">
        <v>38</v>
      </c>
      <c r="L4446">
        <v>5461.86</v>
      </c>
      <c r="M4446">
        <v>4750</v>
      </c>
      <c r="N4446">
        <v>0</v>
      </c>
      <c r="O4446">
        <v>12000</v>
      </c>
    </row>
    <row r="4447" spans="1:15" x14ac:dyDescent="0.3">
      <c r="A4447" t="s">
        <v>29</v>
      </c>
      <c r="B4447" t="s">
        <v>311</v>
      </c>
      <c r="C4447">
        <v>414</v>
      </c>
      <c r="D4447">
        <v>11005.81</v>
      </c>
      <c r="E4447">
        <v>10000</v>
      </c>
      <c r="F4447">
        <v>0</v>
      </c>
      <c r="G4447">
        <v>46000</v>
      </c>
      <c r="I4447" t="s">
        <v>29</v>
      </c>
      <c r="J4447" t="s">
        <v>311</v>
      </c>
      <c r="K4447">
        <v>414</v>
      </c>
      <c r="L4447">
        <v>4632.63</v>
      </c>
      <c r="M4447">
        <v>4333.33</v>
      </c>
      <c r="N4447">
        <v>0</v>
      </c>
      <c r="O4447">
        <v>15000</v>
      </c>
    </row>
    <row r="4448" spans="1:15" x14ac:dyDescent="0.3">
      <c r="A4448" t="s">
        <v>29</v>
      </c>
      <c r="B4448" t="s">
        <v>312</v>
      </c>
      <c r="C4448">
        <v>103</v>
      </c>
      <c r="D4448">
        <v>10830.23</v>
      </c>
      <c r="E4448">
        <v>9300</v>
      </c>
      <c r="F4448">
        <v>0</v>
      </c>
      <c r="G4448">
        <v>69500</v>
      </c>
      <c r="I4448" t="s">
        <v>29</v>
      </c>
      <c r="J4448" t="s">
        <v>312</v>
      </c>
      <c r="K4448">
        <v>103</v>
      </c>
      <c r="L4448">
        <v>4565.43</v>
      </c>
      <c r="M4448">
        <v>4333.33</v>
      </c>
      <c r="N4448">
        <v>0</v>
      </c>
      <c r="O4448">
        <v>15333.33</v>
      </c>
    </row>
    <row r="4449" spans="1:15" x14ac:dyDescent="0.3">
      <c r="A4449" t="s">
        <v>29</v>
      </c>
      <c r="B4449" t="s">
        <v>308</v>
      </c>
      <c r="C4449">
        <v>13</v>
      </c>
      <c r="D4449">
        <v>16655.14</v>
      </c>
      <c r="E4449">
        <v>13000</v>
      </c>
      <c r="F4449">
        <v>0</v>
      </c>
      <c r="G4449">
        <v>40000</v>
      </c>
      <c r="I4449" t="s">
        <v>29</v>
      </c>
      <c r="J4449" t="s">
        <v>308</v>
      </c>
      <c r="K4449">
        <v>13</v>
      </c>
      <c r="L4449">
        <v>4433.38</v>
      </c>
      <c r="M4449">
        <v>4500</v>
      </c>
      <c r="N4449">
        <v>0</v>
      </c>
      <c r="O4449">
        <v>7700</v>
      </c>
    </row>
    <row r="4450" spans="1:15" x14ac:dyDescent="0.3">
      <c r="A4450" t="s">
        <v>28</v>
      </c>
      <c r="B4450" t="s">
        <v>311</v>
      </c>
      <c r="C4450">
        <v>223</v>
      </c>
      <c r="D4450">
        <v>7703.82</v>
      </c>
      <c r="E4450">
        <v>6000</v>
      </c>
      <c r="F4450">
        <v>0</v>
      </c>
      <c r="G4450">
        <v>25600</v>
      </c>
      <c r="I4450" t="s">
        <v>28</v>
      </c>
      <c r="J4450" t="s">
        <v>311</v>
      </c>
      <c r="K4450">
        <v>223</v>
      </c>
      <c r="L4450">
        <v>4513.37</v>
      </c>
      <c r="M4450">
        <v>4000</v>
      </c>
      <c r="N4450">
        <v>0</v>
      </c>
      <c r="O4450">
        <v>16700</v>
      </c>
    </row>
    <row r="4451" spans="1:15" x14ac:dyDescent="0.3">
      <c r="A4451" t="s">
        <v>28</v>
      </c>
      <c r="B4451" t="s">
        <v>312</v>
      </c>
      <c r="C4451">
        <v>93</v>
      </c>
      <c r="D4451">
        <v>6084.65</v>
      </c>
      <c r="E4451">
        <v>3900</v>
      </c>
      <c r="F4451">
        <v>0</v>
      </c>
      <c r="G4451">
        <v>49000</v>
      </c>
      <c r="I4451" t="s">
        <v>28</v>
      </c>
      <c r="J4451" t="s">
        <v>312</v>
      </c>
      <c r="K4451">
        <v>92</v>
      </c>
      <c r="L4451">
        <v>4480.3500000000004</v>
      </c>
      <c r="M4451">
        <v>2600</v>
      </c>
      <c r="N4451">
        <v>0</v>
      </c>
      <c r="O4451">
        <v>30000</v>
      </c>
    </row>
    <row r="4452" spans="1:15" x14ac:dyDescent="0.3">
      <c r="A4452" t="s">
        <v>28</v>
      </c>
      <c r="B4452" t="s">
        <v>308</v>
      </c>
      <c r="C4452">
        <v>1</v>
      </c>
      <c r="D4452">
        <v>6000</v>
      </c>
      <c r="E4452">
        <v>6000</v>
      </c>
      <c r="F4452">
        <v>6000</v>
      </c>
      <c r="G4452">
        <v>6000</v>
      </c>
      <c r="I4452" t="s">
        <v>28</v>
      </c>
      <c r="J4452" t="s">
        <v>308</v>
      </c>
      <c r="K4452">
        <v>1</v>
      </c>
      <c r="L4452">
        <v>2000</v>
      </c>
      <c r="M4452">
        <v>2000</v>
      </c>
      <c r="N4452">
        <v>2000</v>
      </c>
      <c r="O4452">
        <v>2000</v>
      </c>
    </row>
    <row r="4453" spans="1:15" x14ac:dyDescent="0.3">
      <c r="A4453" t="s">
        <v>27</v>
      </c>
      <c r="B4453" t="s">
        <v>311</v>
      </c>
      <c r="C4453">
        <v>237</v>
      </c>
      <c r="D4453">
        <v>9587.75</v>
      </c>
      <c r="E4453">
        <v>7800</v>
      </c>
      <c r="F4453">
        <v>0</v>
      </c>
      <c r="G4453">
        <v>34200</v>
      </c>
      <c r="I4453" t="s">
        <v>27</v>
      </c>
      <c r="J4453" t="s">
        <v>311</v>
      </c>
      <c r="K4453">
        <v>237</v>
      </c>
      <c r="L4453">
        <v>5079.5600000000004</v>
      </c>
      <c r="M4453">
        <v>5200</v>
      </c>
      <c r="N4453">
        <v>0</v>
      </c>
      <c r="O4453">
        <v>15300</v>
      </c>
    </row>
    <row r="4454" spans="1:15" x14ac:dyDescent="0.3">
      <c r="A4454" t="s">
        <v>27</v>
      </c>
      <c r="B4454" t="s">
        <v>312</v>
      </c>
      <c r="C4454">
        <v>60</v>
      </c>
      <c r="D4454">
        <v>9236.6</v>
      </c>
      <c r="E4454">
        <v>8000</v>
      </c>
      <c r="F4454">
        <v>0</v>
      </c>
      <c r="G4454">
        <v>45000</v>
      </c>
      <c r="I4454" t="s">
        <v>27</v>
      </c>
      <c r="J4454" t="s">
        <v>312</v>
      </c>
      <c r="K4454">
        <v>60</v>
      </c>
      <c r="L4454">
        <v>5670.04</v>
      </c>
      <c r="M4454">
        <v>5500</v>
      </c>
      <c r="N4454">
        <v>0</v>
      </c>
      <c r="O4454">
        <v>11250</v>
      </c>
    </row>
    <row r="4455" spans="1:15" x14ac:dyDescent="0.3">
      <c r="A4455" t="s">
        <v>27</v>
      </c>
      <c r="B4455" t="s">
        <v>308</v>
      </c>
      <c r="C4455">
        <v>3</v>
      </c>
      <c r="D4455">
        <v>14628.38</v>
      </c>
      <c r="E4455">
        <v>15000</v>
      </c>
      <c r="F4455">
        <v>14000</v>
      </c>
      <c r="G4455">
        <v>15000</v>
      </c>
      <c r="I4455" t="s">
        <v>27</v>
      </c>
      <c r="J4455" t="s">
        <v>308</v>
      </c>
      <c r="K4455">
        <v>3</v>
      </c>
      <c r="L4455">
        <v>7314.19</v>
      </c>
      <c r="M4455">
        <v>7500</v>
      </c>
      <c r="N4455">
        <v>7000</v>
      </c>
      <c r="O4455">
        <v>7500</v>
      </c>
    </row>
    <row r="4456" spans="1:15" x14ac:dyDescent="0.3">
      <c r="A4456" t="s">
        <v>41</v>
      </c>
      <c r="B4456" t="s">
        <v>311</v>
      </c>
      <c r="C4456">
        <v>1541</v>
      </c>
      <c r="D4456">
        <v>10605.12</v>
      </c>
      <c r="E4456">
        <v>9200</v>
      </c>
      <c r="F4456">
        <v>0</v>
      </c>
      <c r="G4456">
        <v>52000</v>
      </c>
      <c r="I4456" t="s">
        <v>41</v>
      </c>
      <c r="J4456" t="s">
        <v>311</v>
      </c>
      <c r="K4456">
        <v>1541</v>
      </c>
      <c r="L4456">
        <v>4821.17</v>
      </c>
      <c r="M4456">
        <v>4566.67</v>
      </c>
      <c r="N4456">
        <v>0</v>
      </c>
      <c r="O4456">
        <v>32000</v>
      </c>
    </row>
    <row r="4457" spans="1:15" x14ac:dyDescent="0.3">
      <c r="A4457" t="s">
        <v>41</v>
      </c>
      <c r="B4457" t="s">
        <v>312</v>
      </c>
      <c r="C4457">
        <v>432</v>
      </c>
      <c r="D4457">
        <v>10516.51</v>
      </c>
      <c r="E4457">
        <v>9000</v>
      </c>
      <c r="F4457">
        <v>0</v>
      </c>
      <c r="G4457">
        <v>69500</v>
      </c>
      <c r="I4457" t="s">
        <v>41</v>
      </c>
      <c r="J4457" t="s">
        <v>312</v>
      </c>
      <c r="K4457">
        <v>431</v>
      </c>
      <c r="L4457">
        <v>5063.5</v>
      </c>
      <c r="M4457">
        <v>4645</v>
      </c>
      <c r="N4457">
        <v>0</v>
      </c>
      <c r="O4457">
        <v>30000</v>
      </c>
    </row>
    <row r="4458" spans="1:15" x14ac:dyDescent="0.3">
      <c r="A4458" t="s">
        <v>41</v>
      </c>
      <c r="B4458" t="s">
        <v>308</v>
      </c>
      <c r="C4458">
        <v>65</v>
      </c>
      <c r="D4458">
        <v>14561.56</v>
      </c>
      <c r="E4458">
        <v>13000</v>
      </c>
      <c r="F4458">
        <v>0</v>
      </c>
      <c r="G4458">
        <v>40000</v>
      </c>
      <c r="I4458" t="s">
        <v>41</v>
      </c>
      <c r="J4458" t="s">
        <v>308</v>
      </c>
      <c r="K4458">
        <v>65</v>
      </c>
      <c r="L4458">
        <v>4774.95</v>
      </c>
      <c r="M4458">
        <v>4500</v>
      </c>
      <c r="N4458">
        <v>0</v>
      </c>
      <c r="O4458">
        <v>12000</v>
      </c>
    </row>
    <row r="4460" spans="1:15" x14ac:dyDescent="0.3">
      <c r="A4460" t="s">
        <v>1692</v>
      </c>
      <c r="I4460" t="s">
        <v>1693</v>
      </c>
    </row>
    <row r="4461" spans="1:15" x14ac:dyDescent="0.3">
      <c r="A4461" t="s">
        <v>36</v>
      </c>
      <c r="B4461" t="s">
        <v>197</v>
      </c>
      <c r="C4461" t="s">
        <v>24</v>
      </c>
      <c r="D4461" t="s">
        <v>37</v>
      </c>
      <c r="E4461" t="s">
        <v>38</v>
      </c>
      <c r="F4461" t="s">
        <v>39</v>
      </c>
      <c r="G4461" t="s">
        <v>40</v>
      </c>
      <c r="I4461" t="s">
        <v>36</v>
      </c>
      <c r="J4461" t="s">
        <v>197</v>
      </c>
      <c r="K4461" t="s">
        <v>24</v>
      </c>
      <c r="L4461" t="s">
        <v>37</v>
      </c>
      <c r="M4461" t="s">
        <v>38</v>
      </c>
      <c r="N4461" t="s">
        <v>39</v>
      </c>
      <c r="O4461" t="s">
        <v>40</v>
      </c>
    </row>
    <row r="4462" spans="1:15" x14ac:dyDescent="0.3">
      <c r="A4462" t="s">
        <v>25</v>
      </c>
      <c r="B4462" t="s">
        <v>198</v>
      </c>
      <c r="C4462">
        <v>104</v>
      </c>
      <c r="D4462">
        <v>10756.8</v>
      </c>
      <c r="E4462">
        <v>8000</v>
      </c>
      <c r="F4462">
        <v>0</v>
      </c>
      <c r="G4462">
        <v>52000</v>
      </c>
      <c r="I4462" t="s">
        <v>25</v>
      </c>
      <c r="J4462" t="s">
        <v>198</v>
      </c>
      <c r="K4462">
        <v>104</v>
      </c>
      <c r="L4462">
        <v>4814.84</v>
      </c>
      <c r="M4462">
        <v>5000</v>
      </c>
      <c r="N4462">
        <v>0</v>
      </c>
      <c r="O4462">
        <v>12000</v>
      </c>
    </row>
    <row r="4463" spans="1:15" x14ac:dyDescent="0.3">
      <c r="A4463" t="s">
        <v>25</v>
      </c>
      <c r="B4463" t="s">
        <v>199</v>
      </c>
      <c r="C4463">
        <v>310</v>
      </c>
      <c r="D4463">
        <v>10883.69</v>
      </c>
      <c r="E4463">
        <v>9000</v>
      </c>
      <c r="F4463">
        <v>0</v>
      </c>
      <c r="G4463">
        <v>58000</v>
      </c>
      <c r="I4463" t="s">
        <v>25</v>
      </c>
      <c r="J4463" t="s">
        <v>199</v>
      </c>
      <c r="K4463">
        <v>310</v>
      </c>
      <c r="L4463">
        <v>4985.1000000000004</v>
      </c>
      <c r="M4463">
        <v>5000</v>
      </c>
      <c r="N4463">
        <v>0</v>
      </c>
      <c r="O4463">
        <v>17000</v>
      </c>
    </row>
    <row r="4464" spans="1:15" x14ac:dyDescent="0.3">
      <c r="A4464" t="s">
        <v>26</v>
      </c>
      <c r="B4464" t="s">
        <v>198</v>
      </c>
      <c r="C4464">
        <v>41</v>
      </c>
      <c r="D4464">
        <v>8844.27</v>
      </c>
      <c r="E4464">
        <v>7860</v>
      </c>
      <c r="F4464">
        <v>2000</v>
      </c>
      <c r="G4464">
        <v>20000</v>
      </c>
      <c r="I4464" t="s">
        <v>26</v>
      </c>
      <c r="J4464" t="s">
        <v>198</v>
      </c>
      <c r="K4464">
        <v>41</v>
      </c>
      <c r="L4464">
        <v>4459.8599999999997</v>
      </c>
      <c r="M4464">
        <v>4500</v>
      </c>
      <c r="N4464">
        <v>2000</v>
      </c>
      <c r="O4464">
        <v>8500</v>
      </c>
    </row>
    <row r="4465" spans="1:15" x14ac:dyDescent="0.3">
      <c r="A4465" t="s">
        <v>26</v>
      </c>
      <c r="B4465" t="s">
        <v>199</v>
      </c>
      <c r="C4465">
        <v>436</v>
      </c>
      <c r="D4465">
        <v>10992.15</v>
      </c>
      <c r="E4465">
        <v>10000</v>
      </c>
      <c r="F4465">
        <v>0</v>
      </c>
      <c r="G4465">
        <v>44000</v>
      </c>
      <c r="I4465" t="s">
        <v>26</v>
      </c>
      <c r="J4465" t="s">
        <v>199</v>
      </c>
      <c r="K4465">
        <v>436</v>
      </c>
      <c r="L4465">
        <v>5332.15</v>
      </c>
      <c r="M4465">
        <v>4750</v>
      </c>
      <c r="N4465">
        <v>0</v>
      </c>
      <c r="O4465">
        <v>32000</v>
      </c>
    </row>
    <row r="4466" spans="1:15" x14ac:dyDescent="0.3">
      <c r="A4466" t="s">
        <v>29</v>
      </c>
      <c r="B4466" t="s">
        <v>198</v>
      </c>
      <c r="C4466">
        <v>170</v>
      </c>
      <c r="D4466">
        <v>10376.69</v>
      </c>
      <c r="E4466">
        <v>8860</v>
      </c>
      <c r="F4466">
        <v>0</v>
      </c>
      <c r="G4466">
        <v>69500</v>
      </c>
      <c r="I4466" t="s">
        <v>29</v>
      </c>
      <c r="J4466" t="s">
        <v>198</v>
      </c>
      <c r="K4466">
        <v>170</v>
      </c>
      <c r="L4466">
        <v>4491.3999999999996</v>
      </c>
      <c r="M4466">
        <v>3925</v>
      </c>
      <c r="N4466">
        <v>0</v>
      </c>
      <c r="O4466">
        <v>15000</v>
      </c>
    </row>
    <row r="4467" spans="1:15" x14ac:dyDescent="0.3">
      <c r="A4467" t="s">
        <v>29</v>
      </c>
      <c r="B4467" t="s">
        <v>199</v>
      </c>
      <c r="C4467">
        <v>360</v>
      </c>
      <c r="D4467">
        <v>11419.23</v>
      </c>
      <c r="E4467">
        <v>10100</v>
      </c>
      <c r="F4467">
        <v>0</v>
      </c>
      <c r="G4467">
        <v>46000</v>
      </c>
      <c r="I4467" t="s">
        <v>29</v>
      </c>
      <c r="J4467" t="s">
        <v>199</v>
      </c>
      <c r="K4467">
        <v>360</v>
      </c>
      <c r="L4467">
        <v>4672.25</v>
      </c>
      <c r="M4467">
        <v>4500</v>
      </c>
      <c r="N4467">
        <v>0</v>
      </c>
      <c r="O4467">
        <v>15333.33</v>
      </c>
    </row>
    <row r="4468" spans="1:15" x14ac:dyDescent="0.3">
      <c r="A4468" t="s">
        <v>28</v>
      </c>
      <c r="B4468" t="s">
        <v>198</v>
      </c>
      <c r="C4468">
        <v>70</v>
      </c>
      <c r="D4468">
        <v>6532.88</v>
      </c>
      <c r="E4468">
        <v>5000</v>
      </c>
      <c r="F4468">
        <v>0</v>
      </c>
      <c r="G4468">
        <v>20780</v>
      </c>
      <c r="I4468" t="s">
        <v>28</v>
      </c>
      <c r="J4468" t="s">
        <v>198</v>
      </c>
      <c r="K4468">
        <v>69</v>
      </c>
      <c r="L4468">
        <v>3279.12</v>
      </c>
      <c r="M4468">
        <v>2666.67</v>
      </c>
      <c r="N4468">
        <v>0</v>
      </c>
      <c r="O4468">
        <v>9000</v>
      </c>
    </row>
    <row r="4469" spans="1:15" x14ac:dyDescent="0.3">
      <c r="A4469" t="s">
        <v>28</v>
      </c>
      <c r="B4469" t="s">
        <v>199</v>
      </c>
      <c r="C4469">
        <v>247</v>
      </c>
      <c r="D4469">
        <v>7516.97</v>
      </c>
      <c r="E4469">
        <v>6000</v>
      </c>
      <c r="F4469">
        <v>0</v>
      </c>
      <c r="G4469">
        <v>49000</v>
      </c>
      <c r="I4469" t="s">
        <v>28</v>
      </c>
      <c r="J4469" t="s">
        <v>199</v>
      </c>
      <c r="K4469">
        <v>247</v>
      </c>
      <c r="L4469">
        <v>4891.47</v>
      </c>
      <c r="M4469">
        <v>4000</v>
      </c>
      <c r="N4469">
        <v>0</v>
      </c>
      <c r="O4469">
        <v>30000</v>
      </c>
    </row>
    <row r="4470" spans="1:15" x14ac:dyDescent="0.3">
      <c r="A4470" t="s">
        <v>27</v>
      </c>
      <c r="B4470" t="s">
        <v>198</v>
      </c>
      <c r="C4470">
        <v>136</v>
      </c>
      <c r="D4470">
        <v>9856.4599999999991</v>
      </c>
      <c r="E4470">
        <v>7200</v>
      </c>
      <c r="F4470">
        <v>0</v>
      </c>
      <c r="G4470">
        <v>45000</v>
      </c>
      <c r="I4470" t="s">
        <v>27</v>
      </c>
      <c r="J4470" t="s">
        <v>198</v>
      </c>
      <c r="K4470">
        <v>136</v>
      </c>
      <c r="L4470">
        <v>5283.67</v>
      </c>
      <c r="M4470">
        <v>5232</v>
      </c>
      <c r="N4470">
        <v>0</v>
      </c>
      <c r="O4470">
        <v>15300</v>
      </c>
    </row>
    <row r="4471" spans="1:15" x14ac:dyDescent="0.3">
      <c r="A4471" t="s">
        <v>27</v>
      </c>
      <c r="B4471" t="s">
        <v>199</v>
      </c>
      <c r="C4471">
        <v>164</v>
      </c>
      <c r="D4471">
        <v>9286.4599999999991</v>
      </c>
      <c r="E4471">
        <v>8000</v>
      </c>
      <c r="F4471">
        <v>0</v>
      </c>
      <c r="G4471">
        <v>27500</v>
      </c>
      <c r="I4471" t="s">
        <v>27</v>
      </c>
      <c r="J4471" t="s">
        <v>199</v>
      </c>
      <c r="K4471">
        <v>164</v>
      </c>
      <c r="L4471">
        <v>5109.3999999999996</v>
      </c>
      <c r="M4471">
        <v>5266.67</v>
      </c>
      <c r="N4471">
        <v>0</v>
      </c>
      <c r="O4471">
        <v>12000</v>
      </c>
    </row>
    <row r="4472" spans="1:15" x14ac:dyDescent="0.3">
      <c r="A4472" t="s">
        <v>41</v>
      </c>
      <c r="B4472" t="s">
        <v>198</v>
      </c>
      <c r="C4472">
        <v>521</v>
      </c>
      <c r="D4472">
        <v>10111.02</v>
      </c>
      <c r="E4472">
        <v>8000</v>
      </c>
      <c r="F4472">
        <v>0</v>
      </c>
      <c r="G4472">
        <v>69500</v>
      </c>
      <c r="I4472" t="s">
        <v>41</v>
      </c>
      <c r="J4472" t="s">
        <v>198</v>
      </c>
      <c r="K4472">
        <v>520</v>
      </c>
      <c r="L4472">
        <v>4563.78</v>
      </c>
      <c r="M4472">
        <v>4250</v>
      </c>
      <c r="N4472">
        <v>0</v>
      </c>
      <c r="O4472">
        <v>15300</v>
      </c>
    </row>
    <row r="4473" spans="1:15" x14ac:dyDescent="0.3">
      <c r="A4473" t="s">
        <v>41</v>
      </c>
      <c r="B4473" t="s">
        <v>199</v>
      </c>
      <c r="C4473">
        <v>1517</v>
      </c>
      <c r="D4473">
        <v>10927.21</v>
      </c>
      <c r="E4473">
        <v>9700</v>
      </c>
      <c r="F4473">
        <v>0</v>
      </c>
      <c r="G4473">
        <v>58000</v>
      </c>
      <c r="I4473" t="s">
        <v>41</v>
      </c>
      <c r="J4473" t="s">
        <v>199</v>
      </c>
      <c r="K4473">
        <v>1517</v>
      </c>
      <c r="L4473">
        <v>4957.62</v>
      </c>
      <c r="M4473">
        <v>4666.67</v>
      </c>
      <c r="N4473">
        <v>0</v>
      </c>
      <c r="O4473">
        <v>32000</v>
      </c>
    </row>
    <row r="4475" spans="1:15" x14ac:dyDescent="0.3">
      <c r="A4475" t="s">
        <v>1694</v>
      </c>
      <c r="I4475" t="s">
        <v>1695</v>
      </c>
    </row>
    <row r="4476" spans="1:15" x14ac:dyDescent="0.3">
      <c r="A4476" t="s">
        <v>36</v>
      </c>
      <c r="B4476" t="s">
        <v>1233</v>
      </c>
      <c r="C4476" t="s">
        <v>24</v>
      </c>
      <c r="D4476" t="s">
        <v>37</v>
      </c>
      <c r="E4476" t="s">
        <v>38</v>
      </c>
      <c r="F4476" t="s">
        <v>39</v>
      </c>
      <c r="G4476" t="s">
        <v>40</v>
      </c>
      <c r="I4476" t="s">
        <v>36</v>
      </c>
      <c r="J4476" t="s">
        <v>1233</v>
      </c>
      <c r="K4476" t="s">
        <v>24</v>
      </c>
      <c r="L4476" t="s">
        <v>37</v>
      </c>
      <c r="M4476" t="s">
        <v>38</v>
      </c>
      <c r="N4476" t="s">
        <v>39</v>
      </c>
      <c r="O4476" t="s">
        <v>40</v>
      </c>
    </row>
    <row r="4477" spans="1:15" x14ac:dyDescent="0.3">
      <c r="A4477" t="s">
        <v>25</v>
      </c>
      <c r="B4477" t="s">
        <v>1234</v>
      </c>
      <c r="C4477">
        <v>257</v>
      </c>
      <c r="D4477">
        <v>11982.4</v>
      </c>
      <c r="E4477">
        <v>11000</v>
      </c>
      <c r="F4477">
        <v>0</v>
      </c>
      <c r="G4477">
        <v>42000</v>
      </c>
      <c r="I4477" t="s">
        <v>25</v>
      </c>
      <c r="J4477" t="s">
        <v>1234</v>
      </c>
      <c r="K4477">
        <v>257</v>
      </c>
      <c r="L4477">
        <v>4674.82</v>
      </c>
      <c r="M4477">
        <v>4600</v>
      </c>
      <c r="N4477">
        <v>0</v>
      </c>
      <c r="O4477">
        <v>17000</v>
      </c>
    </row>
    <row r="4478" spans="1:15" s="3" customFormat="1" x14ac:dyDescent="0.3">
      <c r="A4478" s="3" t="s">
        <v>25</v>
      </c>
      <c r="B4478" s="3" t="s">
        <v>1235</v>
      </c>
      <c r="C4478" s="3">
        <v>25</v>
      </c>
      <c r="D4478" s="3">
        <v>23710.73</v>
      </c>
      <c r="E4478" s="3">
        <v>26000</v>
      </c>
      <c r="F4478" s="3">
        <v>0</v>
      </c>
      <c r="G4478" s="3">
        <v>58000</v>
      </c>
      <c r="I4478" s="3" t="s">
        <v>25</v>
      </c>
      <c r="J4478" s="3" t="s">
        <v>1235</v>
      </c>
      <c r="K4478" s="3">
        <v>25</v>
      </c>
      <c r="L4478" s="3">
        <v>4014.15</v>
      </c>
      <c r="M4478" s="3">
        <v>4142.8599999999997</v>
      </c>
      <c r="N4478" s="3">
        <v>0</v>
      </c>
      <c r="O4478" s="3">
        <v>11600</v>
      </c>
    </row>
    <row r="4479" spans="1:15" x14ac:dyDescent="0.3">
      <c r="A4479" t="s">
        <v>25</v>
      </c>
      <c r="B4479" t="s">
        <v>1237</v>
      </c>
      <c r="C4479">
        <v>132</v>
      </c>
      <c r="D4479">
        <v>5724.33</v>
      </c>
      <c r="E4479">
        <v>5700</v>
      </c>
      <c r="F4479">
        <v>0</v>
      </c>
      <c r="G4479">
        <v>12000</v>
      </c>
      <c r="I4479" t="s">
        <v>25</v>
      </c>
      <c r="J4479" t="s">
        <v>1237</v>
      </c>
      <c r="K4479">
        <v>132</v>
      </c>
      <c r="L4479">
        <v>5724.33</v>
      </c>
      <c r="M4479">
        <v>5700</v>
      </c>
      <c r="N4479">
        <v>0</v>
      </c>
      <c r="O4479">
        <v>12000</v>
      </c>
    </row>
    <row r="4480" spans="1:15" x14ac:dyDescent="0.3">
      <c r="A4480" t="s">
        <v>26</v>
      </c>
      <c r="B4480" t="s">
        <v>1234</v>
      </c>
      <c r="C4480">
        <v>296</v>
      </c>
      <c r="D4480">
        <v>12304.38</v>
      </c>
      <c r="E4480">
        <v>11000</v>
      </c>
      <c r="F4480">
        <v>0</v>
      </c>
      <c r="G4480">
        <v>44000</v>
      </c>
      <c r="I4480" t="s">
        <v>26</v>
      </c>
      <c r="J4480" t="s">
        <v>1234</v>
      </c>
      <c r="K4480">
        <v>296</v>
      </c>
      <c r="L4480">
        <v>4955.33</v>
      </c>
      <c r="M4480">
        <v>4666.67</v>
      </c>
      <c r="N4480">
        <v>0</v>
      </c>
      <c r="O4480">
        <v>22000</v>
      </c>
    </row>
    <row r="4481" spans="1:15" x14ac:dyDescent="0.3">
      <c r="A4481" t="s">
        <v>26</v>
      </c>
      <c r="B4481" t="s">
        <v>1235</v>
      </c>
      <c r="C4481">
        <v>37</v>
      </c>
      <c r="D4481">
        <v>13735.03</v>
      </c>
      <c r="E4481">
        <v>13600</v>
      </c>
      <c r="F4481">
        <v>0</v>
      </c>
      <c r="G4481">
        <v>41000</v>
      </c>
      <c r="I4481" t="s">
        <v>26</v>
      </c>
      <c r="J4481" t="s">
        <v>1235</v>
      </c>
      <c r="K4481">
        <v>37</v>
      </c>
      <c r="L4481">
        <v>2494.3000000000002</v>
      </c>
      <c r="M4481">
        <v>2600</v>
      </c>
      <c r="N4481">
        <v>0</v>
      </c>
      <c r="O4481">
        <v>8200</v>
      </c>
    </row>
    <row r="4482" spans="1:15" x14ac:dyDescent="0.3">
      <c r="A4482" t="s">
        <v>26</v>
      </c>
      <c r="B4482" t="s">
        <v>1237</v>
      </c>
      <c r="C4482">
        <v>144</v>
      </c>
      <c r="D4482">
        <v>6858.31</v>
      </c>
      <c r="E4482">
        <v>5950</v>
      </c>
      <c r="F4482">
        <v>0</v>
      </c>
      <c r="G4482">
        <v>32000</v>
      </c>
      <c r="I4482" t="s">
        <v>26</v>
      </c>
      <c r="J4482" t="s">
        <v>1237</v>
      </c>
      <c r="K4482">
        <v>144</v>
      </c>
      <c r="L4482">
        <v>6858.31</v>
      </c>
      <c r="M4482">
        <v>5950</v>
      </c>
      <c r="N4482">
        <v>0</v>
      </c>
      <c r="O4482">
        <v>32000</v>
      </c>
    </row>
    <row r="4483" spans="1:15" x14ac:dyDescent="0.3">
      <c r="A4483" t="s">
        <v>29</v>
      </c>
      <c r="B4483" t="s">
        <v>1234</v>
      </c>
      <c r="C4483">
        <v>372</v>
      </c>
      <c r="D4483">
        <v>12176.71</v>
      </c>
      <c r="E4483">
        <v>11500</v>
      </c>
      <c r="F4483">
        <v>0</v>
      </c>
      <c r="G4483">
        <v>46000</v>
      </c>
      <c r="I4483" t="s">
        <v>29</v>
      </c>
      <c r="J4483" t="s">
        <v>1234</v>
      </c>
      <c r="K4483">
        <v>372</v>
      </c>
      <c r="L4483">
        <v>4640.47</v>
      </c>
      <c r="M4483">
        <v>4090</v>
      </c>
      <c r="N4483">
        <v>0</v>
      </c>
      <c r="O4483">
        <v>15333.33</v>
      </c>
    </row>
    <row r="4484" spans="1:15" x14ac:dyDescent="0.3">
      <c r="A4484" t="s">
        <v>29</v>
      </c>
      <c r="B4484" t="s">
        <v>1235</v>
      </c>
      <c r="C4484">
        <v>38</v>
      </c>
      <c r="D4484">
        <v>18776.34</v>
      </c>
      <c r="E4484">
        <v>15000</v>
      </c>
      <c r="F4484">
        <v>0</v>
      </c>
      <c r="G4484">
        <v>69500</v>
      </c>
      <c r="I4484" t="s">
        <v>29</v>
      </c>
      <c r="J4484" t="s">
        <v>1235</v>
      </c>
      <c r="K4484">
        <v>38</v>
      </c>
      <c r="L4484">
        <v>3421.41</v>
      </c>
      <c r="M4484">
        <v>2920</v>
      </c>
      <c r="N4484">
        <v>0</v>
      </c>
      <c r="O4484">
        <v>9200</v>
      </c>
    </row>
    <row r="4485" spans="1:15" x14ac:dyDescent="0.3">
      <c r="A4485" t="s">
        <v>29</v>
      </c>
      <c r="B4485" t="s">
        <v>1237</v>
      </c>
      <c r="C4485">
        <v>120</v>
      </c>
      <c r="D4485">
        <v>4936.41</v>
      </c>
      <c r="E4485">
        <v>5000</v>
      </c>
      <c r="F4485">
        <v>0</v>
      </c>
      <c r="G4485">
        <v>15000</v>
      </c>
      <c r="I4485" t="s">
        <v>29</v>
      </c>
      <c r="J4485" t="s">
        <v>1237</v>
      </c>
      <c r="K4485">
        <v>120</v>
      </c>
      <c r="L4485">
        <v>4936.41</v>
      </c>
      <c r="M4485">
        <v>5000</v>
      </c>
      <c r="N4485">
        <v>0</v>
      </c>
      <c r="O4485">
        <v>15000</v>
      </c>
    </row>
    <row r="4486" spans="1:15" x14ac:dyDescent="0.3">
      <c r="A4486" t="s">
        <v>28</v>
      </c>
      <c r="B4486" t="s">
        <v>1234</v>
      </c>
      <c r="C4486">
        <v>126</v>
      </c>
      <c r="D4486">
        <v>9478.23</v>
      </c>
      <c r="E4486">
        <v>8200</v>
      </c>
      <c r="F4486">
        <v>0</v>
      </c>
      <c r="G4486">
        <v>49000</v>
      </c>
      <c r="I4486" t="s">
        <v>28</v>
      </c>
      <c r="J4486" t="s">
        <v>1234</v>
      </c>
      <c r="K4486">
        <v>126</v>
      </c>
      <c r="L4486">
        <v>3709.95</v>
      </c>
      <c r="M4486">
        <v>3000</v>
      </c>
      <c r="N4486">
        <v>0</v>
      </c>
      <c r="O4486">
        <v>16333.33</v>
      </c>
    </row>
    <row r="4487" spans="1:15" s="3" customFormat="1" x14ac:dyDescent="0.3">
      <c r="A4487" s="3" t="s">
        <v>28</v>
      </c>
      <c r="B4487" s="3" t="s">
        <v>1235</v>
      </c>
      <c r="C4487" s="3">
        <v>17</v>
      </c>
      <c r="D4487" s="3">
        <v>12290.4</v>
      </c>
      <c r="E4487" s="3">
        <v>13000</v>
      </c>
      <c r="F4487" s="3">
        <v>0</v>
      </c>
      <c r="G4487" s="3">
        <v>25600</v>
      </c>
      <c r="I4487" s="3" t="s">
        <v>28</v>
      </c>
      <c r="J4487" s="3" t="s">
        <v>1235</v>
      </c>
      <c r="K4487" s="3">
        <v>17</v>
      </c>
      <c r="L4487" s="3">
        <v>2106.61</v>
      </c>
      <c r="M4487" s="3">
        <v>2400</v>
      </c>
      <c r="N4487" s="3">
        <v>0</v>
      </c>
      <c r="O4487" s="3">
        <v>4266.67</v>
      </c>
    </row>
    <row r="4488" spans="1:15" x14ac:dyDescent="0.3">
      <c r="A4488" t="s">
        <v>28</v>
      </c>
      <c r="B4488" t="s">
        <v>1237</v>
      </c>
      <c r="C4488">
        <v>174</v>
      </c>
      <c r="D4488">
        <v>5278.67</v>
      </c>
      <c r="E4488">
        <v>4800</v>
      </c>
      <c r="F4488">
        <v>0</v>
      </c>
      <c r="G4488">
        <v>30000</v>
      </c>
      <c r="I4488" t="s">
        <v>28</v>
      </c>
      <c r="J4488" t="s">
        <v>1237</v>
      </c>
      <c r="K4488">
        <v>173</v>
      </c>
      <c r="L4488">
        <v>5275.72</v>
      </c>
      <c r="M4488">
        <v>4800</v>
      </c>
      <c r="N4488">
        <v>0</v>
      </c>
      <c r="O4488">
        <v>30000</v>
      </c>
    </row>
    <row r="4489" spans="1:15" x14ac:dyDescent="0.3">
      <c r="A4489" t="s">
        <v>27</v>
      </c>
      <c r="B4489" t="s">
        <v>1234</v>
      </c>
      <c r="C4489">
        <v>149</v>
      </c>
      <c r="D4489">
        <v>12515.48</v>
      </c>
      <c r="E4489">
        <v>12000</v>
      </c>
      <c r="F4489">
        <v>0</v>
      </c>
      <c r="G4489">
        <v>45000</v>
      </c>
      <c r="I4489" t="s">
        <v>27</v>
      </c>
      <c r="J4489" t="s">
        <v>1234</v>
      </c>
      <c r="K4489">
        <v>149</v>
      </c>
      <c r="L4489">
        <v>5042.51</v>
      </c>
      <c r="M4489">
        <v>5000</v>
      </c>
      <c r="N4489">
        <v>0</v>
      </c>
      <c r="O4489">
        <v>12500</v>
      </c>
    </row>
    <row r="4490" spans="1:15" s="3" customFormat="1" x14ac:dyDescent="0.3">
      <c r="A4490" s="3" t="s">
        <v>27</v>
      </c>
      <c r="B4490" s="3" t="s">
        <v>1235</v>
      </c>
      <c r="C4490" s="3">
        <v>10</v>
      </c>
      <c r="D4490" s="3">
        <v>11260.25</v>
      </c>
      <c r="E4490" s="3">
        <v>11000</v>
      </c>
      <c r="F4490" s="3">
        <v>0</v>
      </c>
      <c r="G4490" s="3">
        <v>28800</v>
      </c>
      <c r="I4490" s="3" t="s">
        <v>27</v>
      </c>
      <c r="J4490" s="3" t="s">
        <v>1235</v>
      </c>
      <c r="K4490" s="3">
        <v>10</v>
      </c>
      <c r="L4490" s="3">
        <v>2003.62</v>
      </c>
      <c r="M4490" s="3">
        <v>1500</v>
      </c>
      <c r="N4490" s="3">
        <v>0</v>
      </c>
      <c r="O4490" s="3">
        <v>4967.8</v>
      </c>
    </row>
    <row r="4491" spans="1:15" x14ac:dyDescent="0.3">
      <c r="A4491" t="s">
        <v>27</v>
      </c>
      <c r="B4491" t="s">
        <v>1237</v>
      </c>
      <c r="C4491">
        <v>141</v>
      </c>
      <c r="D4491">
        <v>5692.2</v>
      </c>
      <c r="E4491">
        <v>5700</v>
      </c>
      <c r="F4491">
        <v>0</v>
      </c>
      <c r="G4491">
        <v>15300</v>
      </c>
      <c r="I4491" t="s">
        <v>27</v>
      </c>
      <c r="J4491" t="s">
        <v>1237</v>
      </c>
      <c r="K4491">
        <v>141</v>
      </c>
      <c r="L4491">
        <v>5692.2</v>
      </c>
      <c r="M4491">
        <v>5700</v>
      </c>
      <c r="N4491">
        <v>0</v>
      </c>
      <c r="O4491">
        <v>15300</v>
      </c>
    </row>
    <row r="4492" spans="1:15" x14ac:dyDescent="0.3">
      <c r="A4492" t="s">
        <v>41</v>
      </c>
      <c r="B4492" t="s">
        <v>1234</v>
      </c>
      <c r="C4492">
        <v>1200</v>
      </c>
      <c r="D4492">
        <v>12105.73</v>
      </c>
      <c r="E4492">
        <v>11000</v>
      </c>
      <c r="F4492">
        <v>0</v>
      </c>
      <c r="G4492">
        <v>49000</v>
      </c>
      <c r="I4492" t="s">
        <v>41</v>
      </c>
      <c r="J4492" t="s">
        <v>1234</v>
      </c>
      <c r="K4492">
        <v>1200</v>
      </c>
      <c r="L4492">
        <v>4709.68</v>
      </c>
      <c r="M4492">
        <v>4333.33</v>
      </c>
      <c r="N4492">
        <v>0</v>
      </c>
      <c r="O4492">
        <v>22000</v>
      </c>
    </row>
    <row r="4493" spans="1:15" x14ac:dyDescent="0.3">
      <c r="A4493" t="s">
        <v>41</v>
      </c>
      <c r="B4493" t="s">
        <v>1235</v>
      </c>
      <c r="C4493">
        <v>127</v>
      </c>
      <c r="D4493">
        <v>17730.02</v>
      </c>
      <c r="E4493">
        <v>15000</v>
      </c>
      <c r="F4493">
        <v>0</v>
      </c>
      <c r="G4493">
        <v>69500</v>
      </c>
      <c r="I4493" t="s">
        <v>41</v>
      </c>
      <c r="J4493" t="s">
        <v>1235</v>
      </c>
      <c r="K4493">
        <v>127</v>
      </c>
      <c r="L4493">
        <v>3167.91</v>
      </c>
      <c r="M4493">
        <v>2920</v>
      </c>
      <c r="N4493">
        <v>0</v>
      </c>
      <c r="O4493">
        <v>11600</v>
      </c>
    </row>
    <row r="4494" spans="1:15" x14ac:dyDescent="0.3">
      <c r="A4494" t="s">
        <v>41</v>
      </c>
      <c r="B4494" t="s">
        <v>1237</v>
      </c>
      <c r="C4494">
        <v>711</v>
      </c>
      <c r="D4494">
        <v>5675.41</v>
      </c>
      <c r="E4494">
        <v>5400</v>
      </c>
      <c r="F4494">
        <v>0</v>
      </c>
      <c r="G4494">
        <v>32000</v>
      </c>
      <c r="I4494" t="s">
        <v>41</v>
      </c>
      <c r="J4494" t="s">
        <v>1237</v>
      </c>
      <c r="K4494">
        <v>710</v>
      </c>
      <c r="L4494">
        <v>5675.28</v>
      </c>
      <c r="M4494">
        <v>5400</v>
      </c>
      <c r="N4494">
        <v>0</v>
      </c>
      <c r="O4494">
        <v>32000</v>
      </c>
    </row>
    <row r="4496" spans="1:15" x14ac:dyDescent="0.3">
      <c r="A4496" t="s">
        <v>1696</v>
      </c>
      <c r="I4496" t="s">
        <v>1697</v>
      </c>
    </row>
    <row r="4497" spans="1:15" x14ac:dyDescent="0.3">
      <c r="A4497" t="s">
        <v>36</v>
      </c>
      <c r="B4497" t="s">
        <v>210</v>
      </c>
      <c r="C4497" t="s">
        <v>24</v>
      </c>
      <c r="D4497" t="s">
        <v>37</v>
      </c>
      <c r="E4497" t="s">
        <v>38</v>
      </c>
      <c r="F4497" t="s">
        <v>39</v>
      </c>
      <c r="G4497" t="s">
        <v>40</v>
      </c>
      <c r="I4497" t="s">
        <v>36</v>
      </c>
      <c r="J4497" t="s">
        <v>210</v>
      </c>
      <c r="K4497" t="s">
        <v>24</v>
      </c>
      <c r="L4497" t="s">
        <v>37</v>
      </c>
      <c r="M4497" t="s">
        <v>38</v>
      </c>
      <c r="N4497" t="s">
        <v>39</v>
      </c>
      <c r="O4497" t="s">
        <v>40</v>
      </c>
    </row>
    <row r="4498" spans="1:15" x14ac:dyDescent="0.3">
      <c r="A4498" t="s">
        <v>25</v>
      </c>
      <c r="B4498" t="s">
        <v>211</v>
      </c>
      <c r="C4498">
        <v>414</v>
      </c>
      <c r="D4498">
        <v>10856.72</v>
      </c>
      <c r="E4498">
        <v>9000</v>
      </c>
      <c r="F4498">
        <v>0</v>
      </c>
      <c r="G4498">
        <v>58000</v>
      </c>
      <c r="I4498" t="s">
        <v>25</v>
      </c>
      <c r="J4498" t="s">
        <v>211</v>
      </c>
      <c r="K4498">
        <v>414</v>
      </c>
      <c r="L4498">
        <v>4948.91</v>
      </c>
      <c r="M4498">
        <v>5000</v>
      </c>
      <c r="N4498">
        <v>0</v>
      </c>
      <c r="O4498">
        <v>17000</v>
      </c>
    </row>
    <row r="4499" spans="1:15" x14ac:dyDescent="0.3">
      <c r="A4499" t="s">
        <v>26</v>
      </c>
      <c r="B4499" t="s">
        <v>211</v>
      </c>
      <c r="C4499">
        <v>223</v>
      </c>
      <c r="D4499">
        <v>10516.05</v>
      </c>
      <c r="E4499">
        <v>9000</v>
      </c>
      <c r="F4499">
        <v>0</v>
      </c>
      <c r="G4499">
        <v>41000</v>
      </c>
      <c r="I4499" t="s">
        <v>26</v>
      </c>
      <c r="J4499" t="s">
        <v>211</v>
      </c>
      <c r="K4499">
        <v>223</v>
      </c>
      <c r="L4499">
        <v>5798.87</v>
      </c>
      <c r="M4499">
        <v>5150</v>
      </c>
      <c r="N4499">
        <v>0</v>
      </c>
      <c r="O4499">
        <v>32000</v>
      </c>
    </row>
    <row r="4500" spans="1:15" x14ac:dyDescent="0.3">
      <c r="A4500" t="s">
        <v>26</v>
      </c>
      <c r="B4500" t="s">
        <v>212</v>
      </c>
      <c r="C4500">
        <v>254</v>
      </c>
      <c r="D4500">
        <v>11198.33</v>
      </c>
      <c r="E4500">
        <v>10200</v>
      </c>
      <c r="F4500">
        <v>0</v>
      </c>
      <c r="G4500">
        <v>44000</v>
      </c>
      <c r="I4500" t="s">
        <v>26</v>
      </c>
      <c r="J4500" t="s">
        <v>212</v>
      </c>
      <c r="K4500">
        <v>254</v>
      </c>
      <c r="L4500">
        <v>4818.28</v>
      </c>
      <c r="M4500">
        <v>4500</v>
      </c>
      <c r="N4500">
        <v>0</v>
      </c>
      <c r="O4500">
        <v>29750</v>
      </c>
    </row>
    <row r="4501" spans="1:15" x14ac:dyDescent="0.3">
      <c r="A4501" t="s">
        <v>29</v>
      </c>
      <c r="B4501" t="s">
        <v>211</v>
      </c>
      <c r="C4501">
        <v>530</v>
      </c>
      <c r="D4501">
        <v>11093.55</v>
      </c>
      <c r="E4501">
        <v>10000</v>
      </c>
      <c r="F4501">
        <v>0</v>
      </c>
      <c r="G4501">
        <v>69500</v>
      </c>
      <c r="I4501" t="s">
        <v>29</v>
      </c>
      <c r="J4501" t="s">
        <v>211</v>
      </c>
      <c r="K4501">
        <v>530</v>
      </c>
      <c r="L4501">
        <v>4615.75</v>
      </c>
      <c r="M4501">
        <v>4333.33</v>
      </c>
      <c r="N4501">
        <v>0</v>
      </c>
      <c r="O4501">
        <v>15333.33</v>
      </c>
    </row>
    <row r="4502" spans="1:15" x14ac:dyDescent="0.3">
      <c r="A4502" t="s">
        <v>28</v>
      </c>
      <c r="B4502" t="s">
        <v>211</v>
      </c>
      <c r="C4502">
        <v>277</v>
      </c>
      <c r="D4502">
        <v>7124.85</v>
      </c>
      <c r="E4502">
        <v>5300</v>
      </c>
      <c r="F4502">
        <v>0</v>
      </c>
      <c r="G4502">
        <v>49000</v>
      </c>
      <c r="I4502" t="s">
        <v>28</v>
      </c>
      <c r="J4502" t="s">
        <v>211</v>
      </c>
      <c r="K4502">
        <v>276</v>
      </c>
      <c r="L4502">
        <v>4181.97</v>
      </c>
      <c r="M4502">
        <v>3200</v>
      </c>
      <c r="N4502">
        <v>0</v>
      </c>
      <c r="O4502">
        <v>30000</v>
      </c>
    </row>
    <row r="4503" spans="1:15" x14ac:dyDescent="0.3">
      <c r="A4503" t="s">
        <v>28</v>
      </c>
      <c r="B4503" t="s">
        <v>212</v>
      </c>
      <c r="C4503">
        <v>40</v>
      </c>
      <c r="D4503">
        <v>8581.94</v>
      </c>
      <c r="E4503">
        <v>8200</v>
      </c>
      <c r="F4503">
        <v>2500</v>
      </c>
      <c r="G4503">
        <v>17200</v>
      </c>
      <c r="I4503" t="s">
        <v>28</v>
      </c>
      <c r="J4503" t="s">
        <v>212</v>
      </c>
      <c r="K4503">
        <v>40</v>
      </c>
      <c r="L4503">
        <v>7238</v>
      </c>
      <c r="M4503">
        <v>6400</v>
      </c>
      <c r="N4503">
        <v>2450</v>
      </c>
      <c r="O4503">
        <v>17200</v>
      </c>
    </row>
    <row r="4504" spans="1:15" x14ac:dyDescent="0.3">
      <c r="A4504" t="s">
        <v>27</v>
      </c>
      <c r="B4504" t="s">
        <v>211</v>
      </c>
      <c r="C4504">
        <v>270</v>
      </c>
      <c r="D4504">
        <v>9797.31</v>
      </c>
      <c r="E4504">
        <v>8000</v>
      </c>
      <c r="F4504">
        <v>0</v>
      </c>
      <c r="G4504">
        <v>45000</v>
      </c>
      <c r="I4504" t="s">
        <v>27</v>
      </c>
      <c r="J4504" t="s">
        <v>211</v>
      </c>
      <c r="K4504">
        <v>270</v>
      </c>
      <c r="L4504">
        <v>5257.37</v>
      </c>
      <c r="M4504">
        <v>5333.33</v>
      </c>
      <c r="N4504">
        <v>0</v>
      </c>
      <c r="O4504">
        <v>15300</v>
      </c>
    </row>
    <row r="4505" spans="1:15" s="3" customFormat="1" x14ac:dyDescent="0.3">
      <c r="A4505" s="3" t="s">
        <v>27</v>
      </c>
      <c r="B4505" s="3" t="s">
        <v>212</v>
      </c>
      <c r="C4505" s="3">
        <v>30</v>
      </c>
      <c r="D4505" s="3">
        <v>5330.59</v>
      </c>
      <c r="E4505" s="3">
        <v>5300</v>
      </c>
      <c r="F4505" s="3">
        <v>0</v>
      </c>
      <c r="G4505" s="3">
        <v>15000</v>
      </c>
      <c r="I4505" s="3" t="s">
        <v>27</v>
      </c>
      <c r="J4505" s="3" t="s">
        <v>212</v>
      </c>
      <c r="K4505" s="3">
        <v>30</v>
      </c>
      <c r="L4505" s="3">
        <v>4047.95</v>
      </c>
      <c r="M4505" s="3">
        <v>4700</v>
      </c>
      <c r="N4505" s="3">
        <v>0</v>
      </c>
      <c r="O4505" s="3">
        <v>8000</v>
      </c>
    </row>
    <row r="4506" spans="1:15" x14ac:dyDescent="0.3">
      <c r="A4506" t="s">
        <v>41</v>
      </c>
      <c r="B4506" t="s">
        <v>211</v>
      </c>
      <c r="C4506">
        <v>1714</v>
      </c>
      <c r="D4506">
        <v>10695.16</v>
      </c>
      <c r="E4506">
        <v>9000</v>
      </c>
      <c r="F4506">
        <v>0</v>
      </c>
      <c r="G4506">
        <v>69500</v>
      </c>
      <c r="I4506" t="s">
        <v>41</v>
      </c>
      <c r="J4506" t="s">
        <v>211</v>
      </c>
      <c r="K4506">
        <v>1713</v>
      </c>
      <c r="L4506">
        <v>4860.37</v>
      </c>
      <c r="M4506">
        <v>4566.67</v>
      </c>
      <c r="N4506">
        <v>0</v>
      </c>
      <c r="O4506">
        <v>32000</v>
      </c>
    </row>
    <row r="4507" spans="1:15" x14ac:dyDescent="0.3">
      <c r="A4507" t="s">
        <v>41</v>
      </c>
      <c r="B4507" t="s">
        <v>212</v>
      </c>
      <c r="C4507">
        <v>324</v>
      </c>
      <c r="D4507">
        <v>10991.27</v>
      </c>
      <c r="E4507">
        <v>10000</v>
      </c>
      <c r="F4507">
        <v>0</v>
      </c>
      <c r="G4507">
        <v>44000</v>
      </c>
      <c r="I4507" t="s">
        <v>41</v>
      </c>
      <c r="J4507" t="s">
        <v>212</v>
      </c>
      <c r="K4507">
        <v>324</v>
      </c>
      <c r="L4507">
        <v>4894.22</v>
      </c>
      <c r="M4507">
        <v>4500</v>
      </c>
      <c r="N4507">
        <v>0</v>
      </c>
      <c r="O4507">
        <v>29750</v>
      </c>
    </row>
    <row r="4509" spans="1:15" x14ac:dyDescent="0.3">
      <c r="A4509" t="s">
        <v>1698</v>
      </c>
      <c r="I4509" t="s">
        <v>1699</v>
      </c>
    </row>
    <row r="4510" spans="1:15" x14ac:dyDescent="0.3">
      <c r="A4510" t="s">
        <v>36</v>
      </c>
      <c r="B4510" t="s">
        <v>763</v>
      </c>
      <c r="C4510" t="s">
        <v>24</v>
      </c>
      <c r="D4510" t="s">
        <v>37</v>
      </c>
      <c r="E4510" t="s">
        <v>38</v>
      </c>
      <c r="F4510" t="s">
        <v>39</v>
      </c>
      <c r="G4510" t="s">
        <v>40</v>
      </c>
      <c r="I4510" t="s">
        <v>36</v>
      </c>
      <c r="J4510" t="s">
        <v>763</v>
      </c>
      <c r="K4510" t="s">
        <v>24</v>
      </c>
      <c r="L4510" t="s">
        <v>37</v>
      </c>
      <c r="M4510" t="s">
        <v>38</v>
      </c>
      <c r="N4510" t="s">
        <v>39</v>
      </c>
      <c r="O4510" t="s">
        <v>40</v>
      </c>
    </row>
    <row r="4511" spans="1:15" x14ac:dyDescent="0.3">
      <c r="A4511" t="s">
        <v>25</v>
      </c>
      <c r="B4511" t="s">
        <v>764</v>
      </c>
      <c r="C4511">
        <v>31</v>
      </c>
      <c r="D4511">
        <v>9447.01</v>
      </c>
      <c r="E4511">
        <v>9500</v>
      </c>
      <c r="F4511">
        <v>0</v>
      </c>
      <c r="G4511">
        <v>24000</v>
      </c>
      <c r="I4511" t="s">
        <v>25</v>
      </c>
      <c r="J4511" t="s">
        <v>764</v>
      </c>
      <c r="K4511">
        <v>31</v>
      </c>
      <c r="L4511">
        <v>6833.31</v>
      </c>
      <c r="M4511">
        <v>7000</v>
      </c>
      <c r="N4511">
        <v>0</v>
      </c>
      <c r="O4511">
        <v>12000</v>
      </c>
    </row>
    <row r="4512" spans="1:15" x14ac:dyDescent="0.3">
      <c r="A4512" t="s">
        <v>25</v>
      </c>
      <c r="B4512" t="s">
        <v>765</v>
      </c>
      <c r="C4512">
        <v>280</v>
      </c>
      <c r="D4512">
        <v>8239.0400000000009</v>
      </c>
      <c r="E4512">
        <v>7000</v>
      </c>
      <c r="F4512">
        <v>0</v>
      </c>
      <c r="G4512">
        <v>33000</v>
      </c>
      <c r="I4512" t="s">
        <v>25</v>
      </c>
      <c r="J4512" t="s">
        <v>765</v>
      </c>
      <c r="K4512">
        <v>280</v>
      </c>
      <c r="L4512">
        <v>4609.95</v>
      </c>
      <c r="M4512">
        <v>4650</v>
      </c>
      <c r="N4512">
        <v>0</v>
      </c>
      <c r="O4512">
        <v>12000</v>
      </c>
    </row>
    <row r="4513" spans="1:15" x14ac:dyDescent="0.3">
      <c r="A4513" t="s">
        <v>25</v>
      </c>
      <c r="B4513" t="s">
        <v>767</v>
      </c>
      <c r="C4513">
        <v>103</v>
      </c>
      <c r="D4513">
        <v>18189.41</v>
      </c>
      <c r="E4513">
        <v>17000</v>
      </c>
      <c r="F4513">
        <v>3000</v>
      </c>
      <c r="G4513">
        <v>58000</v>
      </c>
      <c r="I4513" t="s">
        <v>25</v>
      </c>
      <c r="J4513" t="s">
        <v>767</v>
      </c>
      <c r="K4513">
        <v>103</v>
      </c>
      <c r="L4513">
        <v>5314.65</v>
      </c>
      <c r="M4513">
        <v>5366.67</v>
      </c>
      <c r="N4513">
        <v>500</v>
      </c>
      <c r="O4513">
        <v>17000</v>
      </c>
    </row>
    <row r="4514" spans="1:15" x14ac:dyDescent="0.3">
      <c r="A4514" t="s">
        <v>26</v>
      </c>
      <c r="B4514" t="s">
        <v>764</v>
      </c>
      <c r="C4514">
        <v>58</v>
      </c>
      <c r="D4514">
        <v>13692.07</v>
      </c>
      <c r="E4514">
        <v>12000</v>
      </c>
      <c r="F4514">
        <v>0</v>
      </c>
      <c r="G4514">
        <v>44000</v>
      </c>
      <c r="I4514" t="s">
        <v>26</v>
      </c>
      <c r="J4514" t="s">
        <v>764</v>
      </c>
      <c r="K4514">
        <v>58</v>
      </c>
      <c r="L4514">
        <v>10305.01</v>
      </c>
      <c r="M4514">
        <v>9500</v>
      </c>
      <c r="N4514">
        <v>0</v>
      </c>
      <c r="O4514">
        <v>32000</v>
      </c>
    </row>
    <row r="4515" spans="1:15" x14ac:dyDescent="0.3">
      <c r="A4515" t="s">
        <v>26</v>
      </c>
      <c r="B4515" t="s">
        <v>765</v>
      </c>
      <c r="C4515">
        <v>278</v>
      </c>
      <c r="D4515">
        <v>8272.4699999999993</v>
      </c>
      <c r="E4515">
        <v>7190</v>
      </c>
      <c r="F4515">
        <v>0</v>
      </c>
      <c r="G4515">
        <v>23600</v>
      </c>
      <c r="I4515" t="s">
        <v>26</v>
      </c>
      <c r="J4515" t="s">
        <v>765</v>
      </c>
      <c r="K4515">
        <v>278</v>
      </c>
      <c r="L4515">
        <v>4349.1000000000004</v>
      </c>
      <c r="M4515">
        <v>4500</v>
      </c>
      <c r="N4515">
        <v>0</v>
      </c>
      <c r="O4515">
        <v>11800</v>
      </c>
    </row>
    <row r="4516" spans="1:15" x14ac:dyDescent="0.3">
      <c r="A4516" t="s">
        <v>26</v>
      </c>
      <c r="B4516" t="s">
        <v>767</v>
      </c>
      <c r="C4516">
        <v>141</v>
      </c>
      <c r="D4516">
        <v>14734.01</v>
      </c>
      <c r="E4516">
        <v>13000</v>
      </c>
      <c r="F4516">
        <v>0</v>
      </c>
      <c r="G4516">
        <v>41000</v>
      </c>
      <c r="I4516" t="s">
        <v>26</v>
      </c>
      <c r="J4516" t="s">
        <v>767</v>
      </c>
      <c r="K4516">
        <v>141</v>
      </c>
      <c r="L4516">
        <v>4781.67</v>
      </c>
      <c r="M4516">
        <v>4566.67</v>
      </c>
      <c r="N4516">
        <v>0</v>
      </c>
      <c r="O4516">
        <v>13500</v>
      </c>
    </row>
    <row r="4517" spans="1:15" s="3" customFormat="1" x14ac:dyDescent="0.3">
      <c r="A4517" s="3" t="s">
        <v>29</v>
      </c>
      <c r="B4517" s="3" t="s">
        <v>764</v>
      </c>
      <c r="C4517" s="3">
        <v>11</v>
      </c>
      <c r="D4517" s="3">
        <v>7162.93</v>
      </c>
      <c r="E4517" s="3">
        <v>5000</v>
      </c>
      <c r="F4517" s="3">
        <v>0</v>
      </c>
      <c r="G4517" s="3">
        <v>21400</v>
      </c>
      <c r="I4517" s="3" t="s">
        <v>29</v>
      </c>
      <c r="J4517" s="3" t="s">
        <v>764</v>
      </c>
      <c r="K4517" s="3">
        <v>11</v>
      </c>
      <c r="L4517" s="3">
        <v>5470.27</v>
      </c>
      <c r="M4517" s="3">
        <v>5000</v>
      </c>
      <c r="N4517" s="3">
        <v>0</v>
      </c>
      <c r="O4517" s="3">
        <v>10700</v>
      </c>
    </row>
    <row r="4518" spans="1:15" x14ac:dyDescent="0.3">
      <c r="A4518" t="s">
        <v>29</v>
      </c>
      <c r="B4518" t="s">
        <v>765</v>
      </c>
      <c r="C4518">
        <v>365</v>
      </c>
      <c r="D4518">
        <v>8743.16</v>
      </c>
      <c r="E4518">
        <v>8000</v>
      </c>
      <c r="F4518">
        <v>0</v>
      </c>
      <c r="G4518">
        <v>40000</v>
      </c>
      <c r="I4518" t="s">
        <v>29</v>
      </c>
      <c r="J4518" t="s">
        <v>765</v>
      </c>
      <c r="K4518">
        <v>365</v>
      </c>
      <c r="L4518">
        <v>4242.54</v>
      </c>
      <c r="M4518">
        <v>3900</v>
      </c>
      <c r="N4518">
        <v>0</v>
      </c>
      <c r="O4518">
        <v>15000</v>
      </c>
    </row>
    <row r="4519" spans="1:15" x14ac:dyDescent="0.3">
      <c r="A4519" t="s">
        <v>29</v>
      </c>
      <c r="B4519" t="s">
        <v>767</v>
      </c>
      <c r="C4519">
        <v>154</v>
      </c>
      <c r="D4519">
        <v>16756.080000000002</v>
      </c>
      <c r="E4519">
        <v>15000</v>
      </c>
      <c r="F4519">
        <v>0</v>
      </c>
      <c r="G4519">
        <v>69500</v>
      </c>
      <c r="I4519" t="s">
        <v>29</v>
      </c>
      <c r="J4519" t="s">
        <v>767</v>
      </c>
      <c r="K4519">
        <v>154</v>
      </c>
      <c r="L4519">
        <v>5424.49</v>
      </c>
      <c r="M4519">
        <v>5260</v>
      </c>
      <c r="N4519">
        <v>0</v>
      </c>
      <c r="O4519">
        <v>15333.33</v>
      </c>
    </row>
    <row r="4520" spans="1:15" s="3" customFormat="1" x14ac:dyDescent="0.3">
      <c r="A4520" s="3" t="s">
        <v>28</v>
      </c>
      <c r="B4520" s="3" t="s">
        <v>764</v>
      </c>
      <c r="C4520" s="3">
        <v>20</v>
      </c>
      <c r="D4520" s="3">
        <v>9924.51</v>
      </c>
      <c r="E4520" s="3">
        <v>7000</v>
      </c>
      <c r="F4520" s="3">
        <v>0</v>
      </c>
      <c r="G4520" s="3">
        <v>22000</v>
      </c>
      <c r="I4520" s="3" t="s">
        <v>28</v>
      </c>
      <c r="J4520" s="3" t="s">
        <v>764</v>
      </c>
      <c r="K4520" s="3">
        <v>20</v>
      </c>
      <c r="L4520" s="3">
        <v>6292.01</v>
      </c>
      <c r="M4520" s="3">
        <v>7000</v>
      </c>
      <c r="N4520" s="3">
        <v>0</v>
      </c>
      <c r="O4520" s="3">
        <v>17200</v>
      </c>
    </row>
    <row r="4521" spans="1:15" x14ac:dyDescent="0.3">
      <c r="A4521" t="s">
        <v>28</v>
      </c>
      <c r="B4521" t="s">
        <v>765</v>
      </c>
      <c r="C4521">
        <v>260</v>
      </c>
      <c r="D4521">
        <v>6229.87</v>
      </c>
      <c r="E4521">
        <v>5100</v>
      </c>
      <c r="F4521">
        <v>0</v>
      </c>
      <c r="G4521">
        <v>30000</v>
      </c>
      <c r="I4521" t="s">
        <v>28</v>
      </c>
      <c r="J4521" t="s">
        <v>765</v>
      </c>
      <c r="K4521">
        <v>259</v>
      </c>
      <c r="L4521">
        <v>4309.46</v>
      </c>
      <c r="M4521">
        <v>3250</v>
      </c>
      <c r="N4521">
        <v>0</v>
      </c>
      <c r="O4521">
        <v>30000</v>
      </c>
    </row>
    <row r="4522" spans="1:15" x14ac:dyDescent="0.3">
      <c r="A4522" t="s">
        <v>28</v>
      </c>
      <c r="B4522" t="s">
        <v>767</v>
      </c>
      <c r="C4522">
        <v>37</v>
      </c>
      <c r="D4522">
        <v>13423.14</v>
      </c>
      <c r="E4522">
        <v>13500</v>
      </c>
      <c r="F4522">
        <v>4000</v>
      </c>
      <c r="G4522">
        <v>49000</v>
      </c>
      <c r="I4522" t="s">
        <v>28</v>
      </c>
      <c r="J4522" t="s">
        <v>767</v>
      </c>
      <c r="K4522">
        <v>37</v>
      </c>
      <c r="L4522">
        <v>4542.6400000000003</v>
      </c>
      <c r="M4522">
        <v>3750</v>
      </c>
      <c r="N4522">
        <v>2000</v>
      </c>
      <c r="O4522">
        <v>16333.33</v>
      </c>
    </row>
    <row r="4523" spans="1:15" s="3" customFormat="1" x14ac:dyDescent="0.3">
      <c r="A4523" s="3" t="s">
        <v>27</v>
      </c>
      <c r="B4523" s="3" t="s">
        <v>764</v>
      </c>
      <c r="C4523" s="3">
        <v>29</v>
      </c>
      <c r="D4523" s="3">
        <v>9340.68</v>
      </c>
      <c r="E4523" s="3">
        <v>8000</v>
      </c>
      <c r="F4523" s="3">
        <v>0</v>
      </c>
      <c r="G4523" s="3">
        <v>19000</v>
      </c>
      <c r="I4523" s="3" t="s">
        <v>27</v>
      </c>
      <c r="J4523" s="3" t="s">
        <v>764</v>
      </c>
      <c r="K4523" s="3">
        <v>29</v>
      </c>
      <c r="L4523" s="3">
        <v>7922.46</v>
      </c>
      <c r="M4523" s="3">
        <v>8000</v>
      </c>
      <c r="N4523" s="3">
        <v>0</v>
      </c>
      <c r="O4523" s="3">
        <v>15000</v>
      </c>
    </row>
    <row r="4524" spans="1:15" x14ac:dyDescent="0.3">
      <c r="A4524" t="s">
        <v>27</v>
      </c>
      <c r="B4524" t="s">
        <v>765</v>
      </c>
      <c r="C4524">
        <v>209</v>
      </c>
      <c r="D4524">
        <v>7229.26</v>
      </c>
      <c r="E4524">
        <v>6000</v>
      </c>
      <c r="F4524">
        <v>0</v>
      </c>
      <c r="G4524">
        <v>25000</v>
      </c>
      <c r="I4524" t="s">
        <v>27</v>
      </c>
      <c r="J4524" t="s">
        <v>765</v>
      </c>
      <c r="K4524">
        <v>209</v>
      </c>
      <c r="L4524">
        <v>4602.17</v>
      </c>
      <c r="M4524">
        <v>5000</v>
      </c>
      <c r="N4524">
        <v>0</v>
      </c>
      <c r="O4524">
        <v>15300</v>
      </c>
    </row>
    <row r="4525" spans="1:15" x14ac:dyDescent="0.3">
      <c r="A4525" t="s">
        <v>27</v>
      </c>
      <c r="B4525" t="s">
        <v>767</v>
      </c>
      <c r="C4525">
        <v>62</v>
      </c>
      <c r="D4525">
        <v>15994.46</v>
      </c>
      <c r="E4525">
        <v>15000</v>
      </c>
      <c r="F4525">
        <v>2000</v>
      </c>
      <c r="G4525">
        <v>45000</v>
      </c>
      <c r="I4525" t="s">
        <v>27</v>
      </c>
      <c r="J4525" t="s">
        <v>767</v>
      </c>
      <c r="K4525">
        <v>62</v>
      </c>
      <c r="L4525">
        <v>5577.93</v>
      </c>
      <c r="M4525">
        <v>5175</v>
      </c>
      <c r="N4525">
        <v>833.33</v>
      </c>
      <c r="O4525">
        <v>12500</v>
      </c>
    </row>
    <row r="4526" spans="1:15" x14ac:dyDescent="0.3">
      <c r="A4526" t="s">
        <v>41</v>
      </c>
      <c r="B4526" t="s">
        <v>764</v>
      </c>
      <c r="C4526">
        <v>149</v>
      </c>
      <c r="D4526">
        <v>11334.78</v>
      </c>
      <c r="E4526">
        <v>10000</v>
      </c>
      <c r="F4526">
        <v>0</v>
      </c>
      <c r="G4526">
        <v>44000</v>
      </c>
      <c r="I4526" t="s">
        <v>41</v>
      </c>
      <c r="J4526" t="s">
        <v>764</v>
      </c>
      <c r="K4526">
        <v>149</v>
      </c>
      <c r="L4526">
        <v>8478.4</v>
      </c>
      <c r="M4526">
        <v>8000</v>
      </c>
      <c r="N4526">
        <v>0</v>
      </c>
      <c r="O4526">
        <v>32000</v>
      </c>
    </row>
    <row r="4527" spans="1:15" x14ac:dyDescent="0.3">
      <c r="A4527" t="s">
        <v>41</v>
      </c>
      <c r="B4527" t="s">
        <v>765</v>
      </c>
      <c r="C4527">
        <v>1392</v>
      </c>
      <c r="D4527">
        <v>8321.2199999999993</v>
      </c>
      <c r="E4527">
        <v>7200</v>
      </c>
      <c r="F4527">
        <v>0</v>
      </c>
      <c r="G4527">
        <v>40000</v>
      </c>
      <c r="I4527" t="s">
        <v>41</v>
      </c>
      <c r="J4527" t="s">
        <v>765</v>
      </c>
      <c r="K4527">
        <v>1391</v>
      </c>
      <c r="L4527">
        <v>4359.3</v>
      </c>
      <c r="M4527">
        <v>4200</v>
      </c>
      <c r="N4527">
        <v>0</v>
      </c>
      <c r="O4527">
        <v>30000</v>
      </c>
    </row>
    <row r="4528" spans="1:15" x14ac:dyDescent="0.3">
      <c r="A4528" t="s">
        <v>41</v>
      </c>
      <c r="B4528" t="s">
        <v>767</v>
      </c>
      <c r="C4528">
        <v>497</v>
      </c>
      <c r="D4528">
        <v>16408.12</v>
      </c>
      <c r="E4528">
        <v>15000</v>
      </c>
      <c r="F4528">
        <v>0</v>
      </c>
      <c r="G4528">
        <v>69500</v>
      </c>
      <c r="I4528" t="s">
        <v>41</v>
      </c>
      <c r="J4528" t="s">
        <v>767</v>
      </c>
      <c r="K4528">
        <v>497</v>
      </c>
      <c r="L4528">
        <v>5231.1000000000004</v>
      </c>
      <c r="M4528">
        <v>5000</v>
      </c>
      <c r="N4528">
        <v>0</v>
      </c>
      <c r="O4528">
        <v>17000</v>
      </c>
    </row>
    <row r="4530" spans="1:125" x14ac:dyDescent="0.3">
      <c r="A4530" t="s">
        <v>1700</v>
      </c>
      <c r="BL4530" t="s">
        <v>1701</v>
      </c>
    </row>
    <row r="4531" spans="1:125" x14ac:dyDescent="0.3">
      <c r="A4531" t="s">
        <v>36</v>
      </c>
      <c r="B4531" t="s">
        <v>1702</v>
      </c>
      <c r="C4531" t="s">
        <v>1703</v>
      </c>
      <c r="D4531" t="s">
        <v>1704</v>
      </c>
      <c r="E4531" t="s">
        <v>1705</v>
      </c>
      <c r="F4531" t="s">
        <v>1706</v>
      </c>
      <c r="G4531" t="s">
        <v>1707</v>
      </c>
      <c r="H4531" t="s">
        <v>1708</v>
      </c>
      <c r="I4531" t="s">
        <v>1709</v>
      </c>
      <c r="J4531" t="s">
        <v>1710</v>
      </c>
      <c r="K4531" t="s">
        <v>1711</v>
      </c>
      <c r="L4531" t="s">
        <v>1712</v>
      </c>
      <c r="M4531" t="s">
        <v>1713</v>
      </c>
      <c r="N4531" t="s">
        <v>1714</v>
      </c>
      <c r="O4531" t="s">
        <v>1715</v>
      </c>
      <c r="P4531" t="s">
        <v>1716</v>
      </c>
      <c r="Q4531" t="s">
        <v>1717</v>
      </c>
      <c r="R4531" t="s">
        <v>1718</v>
      </c>
      <c r="S4531" t="s">
        <v>1719</v>
      </c>
      <c r="T4531" t="s">
        <v>1720</v>
      </c>
      <c r="U4531" t="s">
        <v>1721</v>
      </c>
      <c r="V4531" t="s">
        <v>1722</v>
      </c>
      <c r="W4531" t="s">
        <v>1723</v>
      </c>
      <c r="X4531" t="s">
        <v>1724</v>
      </c>
      <c r="Y4531" t="s">
        <v>1725</v>
      </c>
      <c r="Z4531" t="s">
        <v>1726</v>
      </c>
      <c r="AA4531" t="s">
        <v>1727</v>
      </c>
      <c r="AB4531" t="s">
        <v>1728</v>
      </c>
      <c r="AC4531" t="s">
        <v>1729</v>
      </c>
      <c r="AD4531" t="s">
        <v>1730</v>
      </c>
      <c r="AE4531" t="s">
        <v>1731</v>
      </c>
      <c r="AF4531" t="s">
        <v>1732</v>
      </c>
      <c r="AG4531" t="s">
        <v>1733</v>
      </c>
      <c r="AH4531" t="s">
        <v>1734</v>
      </c>
      <c r="AI4531" t="s">
        <v>1735</v>
      </c>
      <c r="AJ4531" t="s">
        <v>1736</v>
      </c>
      <c r="AK4531" t="s">
        <v>1737</v>
      </c>
      <c r="AL4531" t="s">
        <v>1738</v>
      </c>
      <c r="AM4531" t="s">
        <v>1739</v>
      </c>
      <c r="AN4531" t="s">
        <v>1740</v>
      </c>
      <c r="AO4531" t="s">
        <v>1741</v>
      </c>
      <c r="AP4531" t="s">
        <v>1742</v>
      </c>
      <c r="AQ4531" t="s">
        <v>1743</v>
      </c>
      <c r="AR4531" t="s">
        <v>1744</v>
      </c>
      <c r="AS4531" t="s">
        <v>1745</v>
      </c>
      <c r="AT4531" t="s">
        <v>1746</v>
      </c>
      <c r="AU4531" t="s">
        <v>1747</v>
      </c>
      <c r="AV4531" t="s">
        <v>1748</v>
      </c>
      <c r="AW4531" t="s">
        <v>1749</v>
      </c>
      <c r="AX4531" t="s">
        <v>1750</v>
      </c>
      <c r="AY4531" t="s">
        <v>1751</v>
      </c>
      <c r="AZ4531" t="s">
        <v>1752</v>
      </c>
      <c r="BA4531" t="s">
        <v>1753</v>
      </c>
      <c r="BB4531" t="s">
        <v>1754</v>
      </c>
      <c r="BC4531" t="s">
        <v>1755</v>
      </c>
      <c r="BD4531" t="s">
        <v>1756</v>
      </c>
      <c r="BE4531" t="s">
        <v>1757</v>
      </c>
      <c r="BF4531" t="s">
        <v>1758</v>
      </c>
      <c r="BG4531" t="s">
        <v>1759</v>
      </c>
      <c r="BH4531" t="s">
        <v>1760</v>
      </c>
      <c r="BI4531" t="s">
        <v>1761</v>
      </c>
      <c r="BL4531" t="s">
        <v>36</v>
      </c>
      <c r="BM4531" t="s">
        <v>1762</v>
      </c>
      <c r="BN4531" t="s">
        <v>1763</v>
      </c>
      <c r="BO4531" t="s">
        <v>1764</v>
      </c>
      <c r="BP4531" t="s">
        <v>1765</v>
      </c>
      <c r="BQ4531" t="s">
        <v>1766</v>
      </c>
      <c r="BR4531" t="s">
        <v>1767</v>
      </c>
      <c r="BS4531" t="s">
        <v>1768</v>
      </c>
      <c r="BT4531" t="s">
        <v>1769</v>
      </c>
      <c r="BU4531" t="s">
        <v>1770</v>
      </c>
      <c r="BV4531" t="s">
        <v>1771</v>
      </c>
      <c r="BW4531" t="s">
        <v>1772</v>
      </c>
      <c r="BX4531" t="s">
        <v>1773</v>
      </c>
      <c r="BY4531" t="s">
        <v>1774</v>
      </c>
      <c r="BZ4531" t="s">
        <v>1775</v>
      </c>
      <c r="CA4531" t="s">
        <v>1776</v>
      </c>
      <c r="CB4531" t="s">
        <v>1777</v>
      </c>
      <c r="CC4531" t="s">
        <v>1778</v>
      </c>
      <c r="CD4531" t="s">
        <v>1779</v>
      </c>
      <c r="CE4531" t="s">
        <v>1780</v>
      </c>
      <c r="CF4531" t="s">
        <v>1781</v>
      </c>
      <c r="CG4531" t="s">
        <v>1782</v>
      </c>
      <c r="CH4531" t="s">
        <v>1783</v>
      </c>
      <c r="CI4531" t="s">
        <v>1784</v>
      </c>
      <c r="CJ4531" t="s">
        <v>1785</v>
      </c>
      <c r="CK4531" t="s">
        <v>1786</v>
      </c>
      <c r="CL4531" t="s">
        <v>1787</v>
      </c>
      <c r="CM4531" t="s">
        <v>1788</v>
      </c>
      <c r="CN4531" t="s">
        <v>1789</v>
      </c>
      <c r="CO4531" t="s">
        <v>1790</v>
      </c>
      <c r="CP4531" t="s">
        <v>1791</v>
      </c>
      <c r="CQ4531" t="s">
        <v>1792</v>
      </c>
      <c r="CR4531" t="s">
        <v>1793</v>
      </c>
      <c r="CS4531" t="s">
        <v>1794</v>
      </c>
      <c r="CT4531" t="s">
        <v>1795</v>
      </c>
      <c r="CU4531" t="s">
        <v>1796</v>
      </c>
      <c r="CV4531" t="s">
        <v>1797</v>
      </c>
      <c r="CW4531" t="s">
        <v>1798</v>
      </c>
      <c r="CX4531" t="s">
        <v>1799</v>
      </c>
      <c r="CY4531" t="s">
        <v>1800</v>
      </c>
      <c r="CZ4531" t="s">
        <v>1801</v>
      </c>
      <c r="DA4531" t="s">
        <v>1802</v>
      </c>
      <c r="DB4531" t="s">
        <v>1803</v>
      </c>
      <c r="DC4531" t="s">
        <v>1804</v>
      </c>
      <c r="DD4531" t="s">
        <v>1805</v>
      </c>
      <c r="DE4531" t="s">
        <v>1806</v>
      </c>
      <c r="DF4531" t="s">
        <v>1807</v>
      </c>
      <c r="DG4531" t="s">
        <v>1808</v>
      </c>
      <c r="DH4531" t="s">
        <v>1809</v>
      </c>
      <c r="DI4531" t="s">
        <v>1810</v>
      </c>
      <c r="DJ4531" t="s">
        <v>1811</v>
      </c>
      <c r="DK4531" t="s">
        <v>1812</v>
      </c>
      <c r="DL4531" t="s">
        <v>1813</v>
      </c>
      <c r="DM4531" t="s">
        <v>1814</v>
      </c>
      <c r="DN4531" t="s">
        <v>1815</v>
      </c>
      <c r="DO4531" t="s">
        <v>1816</v>
      </c>
      <c r="DP4531" t="s">
        <v>1817</v>
      </c>
      <c r="DQ4531" t="s">
        <v>1818</v>
      </c>
      <c r="DR4531" t="s">
        <v>1819</v>
      </c>
      <c r="DS4531" t="s">
        <v>1820</v>
      </c>
      <c r="DT4531" t="s">
        <v>1821</v>
      </c>
    </row>
    <row r="4532" spans="1:125" x14ac:dyDescent="0.3">
      <c r="A4532" t="s">
        <v>25</v>
      </c>
      <c r="B4532">
        <v>84</v>
      </c>
      <c r="C4532">
        <v>9915.26</v>
      </c>
      <c r="D4532">
        <v>8000</v>
      </c>
      <c r="E4532">
        <v>1200</v>
      </c>
      <c r="F4532">
        <v>40000</v>
      </c>
      <c r="G4532">
        <v>12</v>
      </c>
      <c r="H4532">
        <v>7460.56</v>
      </c>
      <c r="I4532">
        <v>7000</v>
      </c>
      <c r="J4532">
        <v>1700</v>
      </c>
      <c r="K4532">
        <v>15000</v>
      </c>
      <c r="L4532">
        <v>19</v>
      </c>
      <c r="M4532">
        <v>6496.84</v>
      </c>
      <c r="N4532">
        <v>6000</v>
      </c>
      <c r="O4532">
        <v>1500</v>
      </c>
      <c r="P4532">
        <v>19000</v>
      </c>
      <c r="Q4532">
        <v>3</v>
      </c>
      <c r="R4532">
        <v>8923.98</v>
      </c>
      <c r="S4532">
        <v>10000</v>
      </c>
      <c r="T4532">
        <v>6000</v>
      </c>
      <c r="U4532">
        <v>12000</v>
      </c>
      <c r="AA4532">
        <v>12</v>
      </c>
      <c r="AB4532">
        <v>2523.3000000000002</v>
      </c>
      <c r="AC4532">
        <v>2000</v>
      </c>
      <c r="AD4532">
        <v>1000</v>
      </c>
      <c r="AE4532">
        <v>5000</v>
      </c>
      <c r="AF4532">
        <v>233</v>
      </c>
      <c r="AG4532">
        <v>5384.27</v>
      </c>
      <c r="AH4532">
        <v>4100</v>
      </c>
      <c r="AI4532">
        <v>1400</v>
      </c>
      <c r="AJ4532">
        <v>20000</v>
      </c>
      <c r="AK4532">
        <v>3</v>
      </c>
      <c r="AL4532">
        <v>1827.27</v>
      </c>
      <c r="AM4532">
        <v>2000</v>
      </c>
      <c r="AN4532">
        <v>1500</v>
      </c>
      <c r="AO4532">
        <v>2000</v>
      </c>
      <c r="AP4532">
        <v>1</v>
      </c>
      <c r="AQ4532">
        <v>12400</v>
      </c>
      <c r="AR4532">
        <v>12400</v>
      </c>
      <c r="AS4532">
        <v>12400</v>
      </c>
      <c r="AT4532">
        <v>12400</v>
      </c>
      <c r="AU4532">
        <v>391</v>
      </c>
      <c r="AV4532">
        <v>5412.31</v>
      </c>
      <c r="AW4532">
        <v>4000</v>
      </c>
      <c r="AX4532">
        <v>2000</v>
      </c>
      <c r="AY4532">
        <v>30000</v>
      </c>
      <c r="BE4532">
        <v>1</v>
      </c>
      <c r="BF4532">
        <v>3200</v>
      </c>
      <c r="BG4532">
        <v>3200</v>
      </c>
      <c r="BH4532">
        <v>3200</v>
      </c>
      <c r="BI4532">
        <v>3200</v>
      </c>
      <c r="BL4532" t="s">
        <v>25</v>
      </c>
      <c r="BM4532">
        <v>84</v>
      </c>
      <c r="BN4532">
        <v>3794.86</v>
      </c>
      <c r="BO4532">
        <v>3000</v>
      </c>
      <c r="BP4532">
        <v>600</v>
      </c>
      <c r="BQ4532">
        <v>11666.67</v>
      </c>
      <c r="BR4532">
        <v>12</v>
      </c>
      <c r="BS4532">
        <v>2671.77</v>
      </c>
      <c r="BT4532">
        <v>2000</v>
      </c>
      <c r="BU4532">
        <v>500</v>
      </c>
      <c r="BV4532">
        <v>7500</v>
      </c>
      <c r="BW4532">
        <v>19</v>
      </c>
      <c r="BX4532">
        <v>1978.11</v>
      </c>
      <c r="BY4532">
        <v>1666.67</v>
      </c>
      <c r="BZ4532">
        <v>375</v>
      </c>
      <c r="CA4532">
        <v>5500</v>
      </c>
      <c r="CB4532">
        <v>3</v>
      </c>
      <c r="CC4532">
        <v>5105.26</v>
      </c>
      <c r="CD4532">
        <v>5000</v>
      </c>
      <c r="CE4532">
        <v>4000</v>
      </c>
      <c r="CF4532">
        <v>6000</v>
      </c>
      <c r="CL4532">
        <v>12</v>
      </c>
      <c r="CM4532">
        <v>1366.89</v>
      </c>
      <c r="CN4532">
        <v>1000</v>
      </c>
      <c r="CO4532">
        <v>333.33</v>
      </c>
      <c r="CP4532">
        <v>3000</v>
      </c>
      <c r="CQ4532">
        <v>233</v>
      </c>
      <c r="CR4532">
        <v>2996.36</v>
      </c>
      <c r="CS4532">
        <v>3000</v>
      </c>
      <c r="CT4532">
        <v>440</v>
      </c>
      <c r="CU4532">
        <v>10000</v>
      </c>
      <c r="CV4532">
        <v>3</v>
      </c>
      <c r="CW4532">
        <v>1568.18</v>
      </c>
      <c r="CX4532">
        <v>2000</v>
      </c>
      <c r="CY4532">
        <v>750</v>
      </c>
      <c r="CZ4532">
        <v>2000</v>
      </c>
      <c r="DA4532">
        <v>1</v>
      </c>
      <c r="DB4532">
        <v>6200</v>
      </c>
      <c r="DC4532">
        <v>6200</v>
      </c>
      <c r="DD4532">
        <v>6200</v>
      </c>
      <c r="DE4532">
        <v>6200</v>
      </c>
      <c r="DF4532">
        <v>391</v>
      </c>
      <c r="DG4532">
        <v>2334.56</v>
      </c>
      <c r="DH4532">
        <v>2000</v>
      </c>
      <c r="DI4532">
        <v>333.33</v>
      </c>
      <c r="DJ4532">
        <v>6900</v>
      </c>
      <c r="DP4532">
        <v>1</v>
      </c>
      <c r="DQ4532">
        <v>1066.67</v>
      </c>
      <c r="DR4532">
        <v>1066.67</v>
      </c>
      <c r="DS4532">
        <v>1066.67</v>
      </c>
      <c r="DT4532">
        <v>1066.67</v>
      </c>
    </row>
    <row r="4533" spans="1:125" x14ac:dyDescent="0.3">
      <c r="A4533" t="s">
        <v>26</v>
      </c>
      <c r="B4533">
        <v>99</v>
      </c>
      <c r="C4533">
        <v>10627.52</v>
      </c>
      <c r="D4533">
        <v>9000</v>
      </c>
      <c r="E4533">
        <v>1200</v>
      </c>
      <c r="F4533">
        <v>40000</v>
      </c>
      <c r="G4533">
        <v>39</v>
      </c>
      <c r="H4533">
        <v>7334.14</v>
      </c>
      <c r="I4533">
        <v>6700</v>
      </c>
      <c r="J4533">
        <v>1000</v>
      </c>
      <c r="K4533">
        <v>20000</v>
      </c>
      <c r="L4533">
        <v>39</v>
      </c>
      <c r="M4533">
        <v>5918.96</v>
      </c>
      <c r="N4533">
        <v>5000</v>
      </c>
      <c r="O4533">
        <v>200</v>
      </c>
      <c r="P4533">
        <v>16000</v>
      </c>
      <c r="V4533">
        <v>2</v>
      </c>
      <c r="W4533">
        <v>13377.38</v>
      </c>
      <c r="X4533">
        <v>24000</v>
      </c>
      <c r="Y4533">
        <v>250</v>
      </c>
      <c r="Z4533">
        <v>24000</v>
      </c>
      <c r="AA4533">
        <v>18</v>
      </c>
      <c r="AB4533">
        <v>2298.0300000000002</v>
      </c>
      <c r="AC4533">
        <v>1000</v>
      </c>
      <c r="AD4533">
        <v>250</v>
      </c>
      <c r="AE4533">
        <v>10000</v>
      </c>
      <c r="AF4533">
        <v>218</v>
      </c>
      <c r="AG4533">
        <v>5105.7</v>
      </c>
      <c r="AH4533">
        <v>4000</v>
      </c>
      <c r="AI4533">
        <v>1000</v>
      </c>
      <c r="AJ4533">
        <v>19600</v>
      </c>
      <c r="AK4533">
        <v>3</v>
      </c>
      <c r="AL4533">
        <v>3355.92</v>
      </c>
      <c r="AM4533">
        <v>5000</v>
      </c>
      <c r="AN4533">
        <v>100</v>
      </c>
      <c r="AO4533">
        <v>5000</v>
      </c>
      <c r="AP4533">
        <v>11</v>
      </c>
      <c r="AQ4533">
        <v>6820.67</v>
      </c>
      <c r="AR4533">
        <v>6600</v>
      </c>
      <c r="AS4533">
        <v>2000</v>
      </c>
      <c r="AT4533">
        <v>13200</v>
      </c>
      <c r="AU4533">
        <v>443</v>
      </c>
      <c r="AV4533">
        <v>5442.79</v>
      </c>
      <c r="AW4533">
        <v>4000</v>
      </c>
      <c r="AX4533">
        <v>640</v>
      </c>
      <c r="AY4533">
        <v>25000</v>
      </c>
      <c r="AZ4533">
        <v>1</v>
      </c>
      <c r="BA4533">
        <v>2000</v>
      </c>
      <c r="BB4533">
        <v>2000</v>
      </c>
      <c r="BC4533">
        <v>2000</v>
      </c>
      <c r="BD4533">
        <v>2000</v>
      </c>
      <c r="BE4533">
        <v>1</v>
      </c>
      <c r="BF4533">
        <v>1000</v>
      </c>
      <c r="BG4533">
        <v>1000</v>
      </c>
      <c r="BH4533">
        <v>1000</v>
      </c>
      <c r="BI4533">
        <v>1000</v>
      </c>
      <c r="BL4533" t="s">
        <v>26</v>
      </c>
      <c r="BM4533">
        <v>99</v>
      </c>
      <c r="BN4533">
        <v>5430.2</v>
      </c>
      <c r="BO4533">
        <v>4000</v>
      </c>
      <c r="BP4533">
        <v>375</v>
      </c>
      <c r="BQ4533">
        <v>30000</v>
      </c>
      <c r="BR4533">
        <v>39</v>
      </c>
      <c r="BS4533">
        <v>3605.76</v>
      </c>
      <c r="BT4533">
        <v>2233.33</v>
      </c>
      <c r="BU4533">
        <v>166.67</v>
      </c>
      <c r="BV4533">
        <v>20000</v>
      </c>
      <c r="BW4533">
        <v>39</v>
      </c>
      <c r="BX4533">
        <v>2799.31</v>
      </c>
      <c r="BY4533">
        <v>2000</v>
      </c>
      <c r="BZ4533">
        <v>100</v>
      </c>
      <c r="CA4533">
        <v>12000</v>
      </c>
      <c r="CG4533">
        <v>2</v>
      </c>
      <c r="CH4533">
        <v>13321.47</v>
      </c>
      <c r="CI4533">
        <v>24000</v>
      </c>
      <c r="CJ4533">
        <v>125</v>
      </c>
      <c r="CK4533">
        <v>24000</v>
      </c>
      <c r="CL4533">
        <v>18</v>
      </c>
      <c r="CM4533">
        <v>1035.04</v>
      </c>
      <c r="CN4533">
        <v>500</v>
      </c>
      <c r="CO4533">
        <v>100</v>
      </c>
      <c r="CP4533">
        <v>5000</v>
      </c>
      <c r="CQ4533">
        <v>218</v>
      </c>
      <c r="CR4533">
        <v>2879.66</v>
      </c>
      <c r="CS4533">
        <v>2750</v>
      </c>
      <c r="CT4533">
        <v>357.14</v>
      </c>
      <c r="CU4533">
        <v>9800</v>
      </c>
      <c r="CV4533">
        <v>3</v>
      </c>
      <c r="CW4533">
        <v>3344.01</v>
      </c>
      <c r="CX4533">
        <v>5000</v>
      </c>
      <c r="CY4533">
        <v>50</v>
      </c>
      <c r="CZ4533">
        <v>5000</v>
      </c>
      <c r="DA4533">
        <v>11</v>
      </c>
      <c r="DB4533">
        <v>3704.54</v>
      </c>
      <c r="DC4533">
        <v>3250</v>
      </c>
      <c r="DD4533">
        <v>942.86</v>
      </c>
      <c r="DE4533">
        <v>6600</v>
      </c>
      <c r="DF4533">
        <v>443</v>
      </c>
      <c r="DG4533">
        <v>2339.1799999999998</v>
      </c>
      <c r="DH4533">
        <v>2000</v>
      </c>
      <c r="DI4533">
        <v>213.33</v>
      </c>
      <c r="DJ4533">
        <v>7000</v>
      </c>
      <c r="DK4533">
        <v>1</v>
      </c>
      <c r="DL4533">
        <v>2000</v>
      </c>
      <c r="DM4533">
        <v>2000</v>
      </c>
      <c r="DN4533">
        <v>2000</v>
      </c>
      <c r="DO4533">
        <v>2000</v>
      </c>
      <c r="DP4533">
        <v>1</v>
      </c>
      <c r="DQ4533">
        <v>1000</v>
      </c>
      <c r="DR4533">
        <v>1000</v>
      </c>
      <c r="DS4533">
        <v>1000</v>
      </c>
      <c r="DT4533">
        <v>1000</v>
      </c>
    </row>
    <row r="4534" spans="1:125" x14ac:dyDescent="0.3">
      <c r="A4534" t="s">
        <v>29</v>
      </c>
      <c r="B4534">
        <v>96</v>
      </c>
      <c r="C4534">
        <v>9211.68</v>
      </c>
      <c r="D4534">
        <v>8000</v>
      </c>
      <c r="E4534">
        <v>2800</v>
      </c>
      <c r="F4534">
        <v>40000</v>
      </c>
      <c r="G4534">
        <v>23</v>
      </c>
      <c r="H4534">
        <v>5648.77</v>
      </c>
      <c r="I4534">
        <v>5700</v>
      </c>
      <c r="J4534">
        <v>600</v>
      </c>
      <c r="K4534">
        <v>20000</v>
      </c>
      <c r="L4534">
        <v>22</v>
      </c>
      <c r="M4534">
        <v>5989.04</v>
      </c>
      <c r="N4534">
        <v>5000</v>
      </c>
      <c r="O4534">
        <v>1000</v>
      </c>
      <c r="P4534">
        <v>12000</v>
      </c>
      <c r="Q4534">
        <v>2</v>
      </c>
      <c r="R4534">
        <v>2791.81</v>
      </c>
      <c r="S4534">
        <v>3000</v>
      </c>
      <c r="T4534">
        <v>2500</v>
      </c>
      <c r="U4534">
        <v>3000</v>
      </c>
      <c r="AA4534">
        <v>24</v>
      </c>
      <c r="AB4534">
        <v>7971.62</v>
      </c>
      <c r="AC4534">
        <v>6000</v>
      </c>
      <c r="AD4534">
        <v>1000</v>
      </c>
      <c r="AE4534">
        <v>25000</v>
      </c>
      <c r="AF4534">
        <v>247</v>
      </c>
      <c r="AG4534">
        <v>5137.5</v>
      </c>
      <c r="AH4534">
        <v>3900</v>
      </c>
      <c r="AI4534">
        <v>800</v>
      </c>
      <c r="AJ4534">
        <v>23800</v>
      </c>
      <c r="AK4534">
        <v>2</v>
      </c>
      <c r="AL4534">
        <v>4500</v>
      </c>
      <c r="AM4534">
        <v>4500</v>
      </c>
      <c r="AN4534">
        <v>4500</v>
      </c>
      <c r="AO4534">
        <v>4500</v>
      </c>
      <c r="AP4534">
        <v>53</v>
      </c>
      <c r="AQ4534">
        <v>5877.33</v>
      </c>
      <c r="AR4534">
        <v>6000</v>
      </c>
      <c r="AS4534">
        <v>1000</v>
      </c>
      <c r="AT4534">
        <v>15000</v>
      </c>
      <c r="AU4534">
        <v>443</v>
      </c>
      <c r="AV4534">
        <v>6137.7</v>
      </c>
      <c r="AW4534">
        <v>5000</v>
      </c>
      <c r="AX4534">
        <v>860</v>
      </c>
      <c r="AY4534">
        <v>52000</v>
      </c>
      <c r="AZ4534">
        <v>1</v>
      </c>
      <c r="BA4534">
        <v>5300</v>
      </c>
      <c r="BB4534">
        <v>5300</v>
      </c>
      <c r="BC4534">
        <v>5300</v>
      </c>
      <c r="BD4534">
        <v>5300</v>
      </c>
      <c r="BE4534">
        <v>14</v>
      </c>
      <c r="BF4534">
        <v>7044.29</v>
      </c>
      <c r="BG4534">
        <v>5000</v>
      </c>
      <c r="BH4534">
        <v>1200</v>
      </c>
      <c r="BI4534">
        <v>22000</v>
      </c>
      <c r="BL4534" t="s">
        <v>29</v>
      </c>
      <c r="BM4534">
        <v>96</v>
      </c>
      <c r="BN4534">
        <v>3083.32</v>
      </c>
      <c r="BO4534">
        <v>2700</v>
      </c>
      <c r="BP4534">
        <v>666.67</v>
      </c>
      <c r="BQ4534">
        <v>13333.33</v>
      </c>
      <c r="BR4534">
        <v>23</v>
      </c>
      <c r="BS4534">
        <v>2168.92</v>
      </c>
      <c r="BT4534">
        <v>2000</v>
      </c>
      <c r="BU4534">
        <v>200</v>
      </c>
      <c r="BV4534">
        <v>6500</v>
      </c>
      <c r="BW4534">
        <v>22</v>
      </c>
      <c r="BX4534">
        <v>2297.15</v>
      </c>
      <c r="BY4534">
        <v>2500</v>
      </c>
      <c r="BZ4534">
        <v>333.33</v>
      </c>
      <c r="CA4534">
        <v>6000</v>
      </c>
      <c r="CB4534">
        <v>2</v>
      </c>
      <c r="CC4534">
        <v>843.86</v>
      </c>
      <c r="CD4534">
        <v>1000</v>
      </c>
      <c r="CE4534">
        <v>625</v>
      </c>
      <c r="CF4534">
        <v>1000</v>
      </c>
      <c r="CL4534">
        <v>24</v>
      </c>
      <c r="CM4534">
        <v>3629.94</v>
      </c>
      <c r="CN4534">
        <v>2500</v>
      </c>
      <c r="CO4534">
        <v>250</v>
      </c>
      <c r="CP4534">
        <v>12500</v>
      </c>
      <c r="CQ4534">
        <v>247</v>
      </c>
      <c r="CR4534">
        <v>2735.61</v>
      </c>
      <c r="CS4534">
        <v>2333.33</v>
      </c>
      <c r="CT4534">
        <v>333.33</v>
      </c>
      <c r="CU4534">
        <v>15000</v>
      </c>
      <c r="CV4534">
        <v>2</v>
      </c>
      <c r="CW4534">
        <v>1864.49</v>
      </c>
      <c r="CX4534">
        <v>2250</v>
      </c>
      <c r="CY4534">
        <v>1500</v>
      </c>
      <c r="CZ4534">
        <v>2250</v>
      </c>
      <c r="DA4534">
        <v>53</v>
      </c>
      <c r="DB4534">
        <v>2105.98</v>
      </c>
      <c r="DC4534">
        <v>2250</v>
      </c>
      <c r="DD4534">
        <v>500</v>
      </c>
      <c r="DE4534">
        <v>6800</v>
      </c>
      <c r="DF4534">
        <v>443</v>
      </c>
      <c r="DG4534">
        <v>2441.79</v>
      </c>
      <c r="DH4534">
        <v>2250</v>
      </c>
      <c r="DI4534">
        <v>286.67</v>
      </c>
      <c r="DJ4534">
        <v>7750</v>
      </c>
      <c r="DK4534">
        <v>1</v>
      </c>
      <c r="DL4534">
        <v>2650</v>
      </c>
      <c r="DM4534">
        <v>2650</v>
      </c>
      <c r="DN4534">
        <v>2650</v>
      </c>
      <c r="DO4534">
        <v>2650</v>
      </c>
      <c r="DP4534">
        <v>14</v>
      </c>
      <c r="DQ4534">
        <v>2694.64</v>
      </c>
      <c r="DR4534">
        <v>2200</v>
      </c>
      <c r="DS4534">
        <v>240</v>
      </c>
      <c r="DT4534">
        <v>7333.33</v>
      </c>
    </row>
    <row r="4535" spans="1:125" s="3" customFormat="1" x14ac:dyDescent="0.3">
      <c r="A4535" s="3" t="s">
        <v>28</v>
      </c>
      <c r="B4535" s="3">
        <v>22</v>
      </c>
      <c r="C4535" s="3">
        <v>10608.27</v>
      </c>
      <c r="D4535" s="3">
        <v>9000</v>
      </c>
      <c r="E4535" s="3">
        <v>1200</v>
      </c>
      <c r="F4535" s="3">
        <v>18000</v>
      </c>
      <c r="G4535" s="3">
        <v>9</v>
      </c>
      <c r="H4535" s="3">
        <v>5257.95</v>
      </c>
      <c r="I4535" s="3">
        <v>6000</v>
      </c>
      <c r="J4535" s="3">
        <v>2000</v>
      </c>
      <c r="K4535" s="3">
        <v>10000</v>
      </c>
      <c r="L4535" s="3">
        <v>18</v>
      </c>
      <c r="M4535" s="3">
        <v>6231.97</v>
      </c>
      <c r="N4535" s="3">
        <v>5000</v>
      </c>
      <c r="O4535" s="3">
        <v>400</v>
      </c>
      <c r="P4535" s="3">
        <v>12000</v>
      </c>
      <c r="AA4535" s="3">
        <v>12</v>
      </c>
      <c r="AB4535" s="3">
        <v>11765.06</v>
      </c>
      <c r="AC4535" s="3">
        <v>10000</v>
      </c>
      <c r="AD4535" s="3">
        <v>2500</v>
      </c>
      <c r="AE4535" s="3">
        <v>30000</v>
      </c>
      <c r="AF4535" s="3">
        <v>118</v>
      </c>
      <c r="AG4535" s="3">
        <v>4405.95</v>
      </c>
      <c r="AH4535" s="3">
        <v>3940</v>
      </c>
      <c r="AI4535" s="3">
        <v>1200</v>
      </c>
      <c r="AJ4535" s="3">
        <v>12780</v>
      </c>
      <c r="AP4535" s="3">
        <v>30</v>
      </c>
      <c r="AQ4535" s="3">
        <v>7602.11</v>
      </c>
      <c r="AR4535" s="3">
        <v>6600</v>
      </c>
      <c r="AS4535" s="3">
        <v>2000</v>
      </c>
      <c r="AT4535" s="3">
        <v>15000</v>
      </c>
      <c r="AU4535" s="3">
        <v>217</v>
      </c>
      <c r="AV4535" s="3">
        <v>4796.84</v>
      </c>
      <c r="AW4535" s="3">
        <v>4000</v>
      </c>
      <c r="AX4535" s="3">
        <v>2000</v>
      </c>
      <c r="AY4535" s="3">
        <v>18000</v>
      </c>
      <c r="AZ4535" s="3">
        <v>1</v>
      </c>
      <c r="BA4535" s="3">
        <v>2000</v>
      </c>
      <c r="BB4535" s="3">
        <v>2000</v>
      </c>
      <c r="BC4535" s="3">
        <v>2000</v>
      </c>
      <c r="BD4535" s="3">
        <v>2000</v>
      </c>
      <c r="BE4535" s="3">
        <v>11</v>
      </c>
      <c r="BF4535" s="3">
        <v>3508.25</v>
      </c>
      <c r="BG4535" s="3">
        <v>4000</v>
      </c>
      <c r="BH4535" s="3">
        <v>860</v>
      </c>
      <c r="BI4535" s="3">
        <v>8000</v>
      </c>
      <c r="BL4535" s="3" t="s">
        <v>28</v>
      </c>
      <c r="BM4535" s="3">
        <v>22</v>
      </c>
      <c r="BN4535" s="3">
        <v>5034.1000000000004</v>
      </c>
      <c r="BO4535" s="3">
        <v>4500</v>
      </c>
      <c r="BP4535" s="3">
        <v>400</v>
      </c>
      <c r="BQ4535" s="3">
        <v>15000</v>
      </c>
      <c r="BR4535" s="3">
        <v>9</v>
      </c>
      <c r="BS4535" s="3">
        <v>3152.97</v>
      </c>
      <c r="BT4535" s="3">
        <v>2333.33</v>
      </c>
      <c r="BU4535" s="3">
        <v>600</v>
      </c>
      <c r="BV4535" s="3">
        <v>6500</v>
      </c>
      <c r="BW4535" s="3">
        <v>18</v>
      </c>
      <c r="BX4535" s="3">
        <v>2628.72</v>
      </c>
      <c r="BY4535" s="3">
        <v>2400</v>
      </c>
      <c r="BZ4535" s="3">
        <v>200</v>
      </c>
      <c r="CA4535" s="3">
        <v>8000</v>
      </c>
      <c r="CL4535" s="3">
        <v>12</v>
      </c>
      <c r="CM4535" s="3">
        <v>8952.14</v>
      </c>
      <c r="CN4535" s="3">
        <v>8000</v>
      </c>
      <c r="CO4535" s="3">
        <v>750</v>
      </c>
      <c r="CP4535" s="3">
        <v>30000</v>
      </c>
      <c r="CQ4535" s="3">
        <v>118</v>
      </c>
      <c r="CR4535" s="3">
        <v>3259.91</v>
      </c>
      <c r="CS4535" s="3">
        <v>3200</v>
      </c>
      <c r="CT4535" s="3">
        <v>625</v>
      </c>
      <c r="CU4535" s="3">
        <v>8300</v>
      </c>
      <c r="DA4535" s="3">
        <v>30</v>
      </c>
      <c r="DB4535" s="3">
        <v>5952.64</v>
      </c>
      <c r="DC4535" s="3">
        <v>5000</v>
      </c>
      <c r="DD4535" s="3">
        <v>333.33</v>
      </c>
      <c r="DE4535" s="3">
        <v>15000</v>
      </c>
      <c r="DF4535" s="3">
        <v>216</v>
      </c>
      <c r="DG4535" s="3">
        <v>2713.81</v>
      </c>
      <c r="DH4535" s="3">
        <v>2000</v>
      </c>
      <c r="DI4535" s="3">
        <v>666.67</v>
      </c>
      <c r="DJ4535" s="3">
        <v>9000</v>
      </c>
      <c r="DK4535" s="3">
        <v>1</v>
      </c>
      <c r="DL4535" s="3">
        <v>2000</v>
      </c>
      <c r="DM4535" s="3">
        <v>2000</v>
      </c>
      <c r="DN4535" s="3">
        <v>2000</v>
      </c>
      <c r="DO4535" s="3">
        <v>2000</v>
      </c>
      <c r="DP4535" s="3">
        <v>11</v>
      </c>
      <c r="DQ4535" s="3">
        <v>1859.06</v>
      </c>
      <c r="DR4535" s="3">
        <v>2000</v>
      </c>
      <c r="DS4535" s="3">
        <v>215</v>
      </c>
      <c r="DT4535" s="3">
        <v>2500</v>
      </c>
    </row>
    <row r="4536" spans="1:125" x14ac:dyDescent="0.3">
      <c r="A4536" t="s">
        <v>27</v>
      </c>
      <c r="B4536">
        <v>66</v>
      </c>
      <c r="C4536">
        <v>8721.4</v>
      </c>
      <c r="D4536">
        <v>7000</v>
      </c>
      <c r="E4536">
        <v>2500</v>
      </c>
      <c r="F4536">
        <v>35000</v>
      </c>
      <c r="G4536">
        <v>13</v>
      </c>
      <c r="H4536">
        <v>5549.59</v>
      </c>
      <c r="I4536">
        <v>3800</v>
      </c>
      <c r="J4536">
        <v>260</v>
      </c>
      <c r="K4536">
        <v>15000</v>
      </c>
      <c r="L4536">
        <v>5</v>
      </c>
      <c r="M4536">
        <v>8026.7</v>
      </c>
      <c r="N4536">
        <v>5000</v>
      </c>
      <c r="O4536">
        <v>5000</v>
      </c>
      <c r="P4536">
        <v>15000</v>
      </c>
      <c r="AA4536">
        <v>3</v>
      </c>
      <c r="AB4536">
        <v>8410.14</v>
      </c>
      <c r="AC4536">
        <v>10000</v>
      </c>
      <c r="AD4536">
        <v>4000</v>
      </c>
      <c r="AE4536">
        <v>15000</v>
      </c>
      <c r="AF4536">
        <v>175</v>
      </c>
      <c r="AG4536">
        <v>4944.42</v>
      </c>
      <c r="AH4536">
        <v>3800</v>
      </c>
      <c r="AI4536">
        <v>700</v>
      </c>
      <c r="AJ4536">
        <v>18000</v>
      </c>
      <c r="AK4536">
        <v>1</v>
      </c>
      <c r="AL4536">
        <v>3000</v>
      </c>
      <c r="AM4536">
        <v>3000</v>
      </c>
      <c r="AN4536">
        <v>3000</v>
      </c>
      <c r="AO4536">
        <v>3000</v>
      </c>
      <c r="AP4536">
        <v>9</v>
      </c>
      <c r="AQ4536">
        <v>4347.21</v>
      </c>
      <c r="AR4536">
        <v>4000</v>
      </c>
      <c r="AS4536">
        <v>2000</v>
      </c>
      <c r="AT4536">
        <v>8000</v>
      </c>
      <c r="AU4536">
        <v>225</v>
      </c>
      <c r="AV4536">
        <v>4456.16</v>
      </c>
      <c r="AW4536">
        <v>4000</v>
      </c>
      <c r="AX4536">
        <v>800</v>
      </c>
      <c r="AY4536">
        <v>15000</v>
      </c>
      <c r="BE4536">
        <v>3</v>
      </c>
      <c r="BF4536">
        <v>7669.68</v>
      </c>
      <c r="BG4536">
        <v>3000</v>
      </c>
      <c r="BH4536">
        <v>1039</v>
      </c>
      <c r="BI4536">
        <v>20000</v>
      </c>
      <c r="BL4536" t="s">
        <v>27</v>
      </c>
      <c r="BM4536">
        <v>66</v>
      </c>
      <c r="BN4536">
        <v>4367.46</v>
      </c>
      <c r="BO4536">
        <v>4000</v>
      </c>
      <c r="BP4536">
        <v>1200</v>
      </c>
      <c r="BQ4536">
        <v>15000</v>
      </c>
      <c r="BR4536">
        <v>13</v>
      </c>
      <c r="BS4536">
        <v>2564.6999999999998</v>
      </c>
      <c r="BT4536">
        <v>2000</v>
      </c>
      <c r="BU4536">
        <v>130</v>
      </c>
      <c r="BV4536">
        <v>7500</v>
      </c>
      <c r="BW4536">
        <v>5</v>
      </c>
      <c r="BX4536">
        <v>3259.63</v>
      </c>
      <c r="BY4536">
        <v>1666.67</v>
      </c>
      <c r="BZ4536">
        <v>833.33</v>
      </c>
      <c r="CA4536">
        <v>7500</v>
      </c>
      <c r="CL4536">
        <v>3</v>
      </c>
      <c r="CM4536">
        <v>6673.07</v>
      </c>
      <c r="CN4536">
        <v>10000</v>
      </c>
      <c r="CO4536">
        <v>1333.33</v>
      </c>
      <c r="CP4536">
        <v>10000</v>
      </c>
      <c r="CQ4536">
        <v>175</v>
      </c>
      <c r="CR4536">
        <v>3167.32</v>
      </c>
      <c r="CS4536">
        <v>3000</v>
      </c>
      <c r="CT4536">
        <v>450</v>
      </c>
      <c r="CU4536">
        <v>10500</v>
      </c>
      <c r="CV4536">
        <v>1</v>
      </c>
      <c r="CW4536">
        <v>3000</v>
      </c>
      <c r="CX4536">
        <v>3000</v>
      </c>
      <c r="CY4536">
        <v>3000</v>
      </c>
      <c r="CZ4536">
        <v>3000</v>
      </c>
      <c r="DA4536">
        <v>9</v>
      </c>
      <c r="DB4536">
        <v>2226.21</v>
      </c>
      <c r="DC4536">
        <v>2200</v>
      </c>
      <c r="DD4536">
        <v>1000</v>
      </c>
      <c r="DE4536">
        <v>3000</v>
      </c>
      <c r="DF4536">
        <v>225</v>
      </c>
      <c r="DG4536">
        <v>2237.46</v>
      </c>
      <c r="DH4536">
        <v>2000</v>
      </c>
      <c r="DI4536">
        <v>280</v>
      </c>
      <c r="DJ4536">
        <v>5760</v>
      </c>
      <c r="DP4536">
        <v>3</v>
      </c>
      <c r="DQ4536">
        <v>3460.21</v>
      </c>
      <c r="DR4536">
        <v>750</v>
      </c>
      <c r="DS4536">
        <v>207.8</v>
      </c>
      <c r="DT4536">
        <v>10000</v>
      </c>
    </row>
    <row r="4537" spans="1:125" x14ac:dyDescent="0.3">
      <c r="A4537" t="s">
        <v>41</v>
      </c>
      <c r="B4537">
        <v>367</v>
      </c>
      <c r="C4537">
        <v>9724.89</v>
      </c>
      <c r="D4537">
        <v>8000</v>
      </c>
      <c r="E4537">
        <v>1200</v>
      </c>
      <c r="F4537">
        <v>40000</v>
      </c>
      <c r="G4537">
        <v>96</v>
      </c>
      <c r="H4537">
        <v>6529.17</v>
      </c>
      <c r="I4537">
        <v>6000</v>
      </c>
      <c r="J4537">
        <v>260</v>
      </c>
      <c r="K4537">
        <v>20000</v>
      </c>
      <c r="L4537">
        <v>103</v>
      </c>
      <c r="M4537">
        <v>6077.84</v>
      </c>
      <c r="N4537">
        <v>5000</v>
      </c>
      <c r="O4537">
        <v>200</v>
      </c>
      <c r="P4537">
        <v>19000</v>
      </c>
      <c r="Q4537">
        <v>5</v>
      </c>
      <c r="R4537">
        <v>5691.61</v>
      </c>
      <c r="S4537">
        <v>3000</v>
      </c>
      <c r="T4537">
        <v>2500</v>
      </c>
      <c r="U4537">
        <v>12000</v>
      </c>
      <c r="V4537">
        <v>2</v>
      </c>
      <c r="W4537">
        <v>13377.38</v>
      </c>
      <c r="X4537">
        <v>24000</v>
      </c>
      <c r="Y4537">
        <v>250</v>
      </c>
      <c r="Z4537">
        <v>24000</v>
      </c>
      <c r="AA4537">
        <v>69</v>
      </c>
      <c r="AB4537">
        <v>6062.68</v>
      </c>
      <c r="AC4537">
        <v>3000</v>
      </c>
      <c r="AD4537">
        <v>250</v>
      </c>
      <c r="AE4537">
        <v>30000</v>
      </c>
      <c r="AF4537">
        <v>991</v>
      </c>
      <c r="AG4537">
        <v>5149.47</v>
      </c>
      <c r="AH4537">
        <v>4000</v>
      </c>
      <c r="AI4537">
        <v>700</v>
      </c>
      <c r="AJ4537">
        <v>23800</v>
      </c>
      <c r="AK4537">
        <v>9</v>
      </c>
      <c r="AL4537">
        <v>3462.96</v>
      </c>
      <c r="AM4537">
        <v>4500</v>
      </c>
      <c r="AN4537">
        <v>100</v>
      </c>
      <c r="AO4537">
        <v>5000</v>
      </c>
      <c r="AP4537">
        <v>104</v>
      </c>
      <c r="AQ4537">
        <v>6067.27</v>
      </c>
      <c r="AR4537">
        <v>6000</v>
      </c>
      <c r="AS4537">
        <v>1000</v>
      </c>
      <c r="AT4537">
        <v>15000</v>
      </c>
      <c r="AU4537">
        <v>1719</v>
      </c>
      <c r="AV4537">
        <v>5681.55</v>
      </c>
      <c r="AW4537">
        <v>5000</v>
      </c>
      <c r="AX4537">
        <v>640</v>
      </c>
      <c r="AY4537">
        <v>52000</v>
      </c>
      <c r="AZ4537">
        <v>3</v>
      </c>
      <c r="BA4537">
        <v>2770.96</v>
      </c>
      <c r="BB4537">
        <v>2000</v>
      </c>
      <c r="BC4537">
        <v>2000</v>
      </c>
      <c r="BD4537">
        <v>5300</v>
      </c>
      <c r="BE4537">
        <v>30</v>
      </c>
      <c r="BF4537">
        <v>6369.81</v>
      </c>
      <c r="BG4537">
        <v>4000</v>
      </c>
      <c r="BH4537">
        <v>860</v>
      </c>
      <c r="BI4537">
        <v>22000</v>
      </c>
      <c r="BL4537" t="s">
        <v>41</v>
      </c>
      <c r="BM4537">
        <v>367</v>
      </c>
      <c r="BN4537">
        <v>3976.63</v>
      </c>
      <c r="BO4537">
        <v>3000</v>
      </c>
      <c r="BP4537">
        <v>375</v>
      </c>
      <c r="BQ4537">
        <v>30000</v>
      </c>
      <c r="BR4537">
        <v>96</v>
      </c>
      <c r="BS4537">
        <v>2839.78</v>
      </c>
      <c r="BT4537">
        <v>2000</v>
      </c>
      <c r="BU4537">
        <v>130</v>
      </c>
      <c r="BV4537">
        <v>20000</v>
      </c>
      <c r="BW4537">
        <v>103</v>
      </c>
      <c r="BX4537">
        <v>2470.67</v>
      </c>
      <c r="BY4537">
        <v>2142.86</v>
      </c>
      <c r="BZ4537">
        <v>100</v>
      </c>
      <c r="CA4537">
        <v>12000</v>
      </c>
      <c r="CB4537">
        <v>5</v>
      </c>
      <c r="CC4537">
        <v>2859</v>
      </c>
      <c r="CD4537">
        <v>1000</v>
      </c>
      <c r="CE4537">
        <v>625</v>
      </c>
      <c r="CF4537">
        <v>6000</v>
      </c>
      <c r="CG4537">
        <v>2</v>
      </c>
      <c r="CH4537">
        <v>13321.47</v>
      </c>
      <c r="CI4537">
        <v>24000</v>
      </c>
      <c r="CJ4537">
        <v>125</v>
      </c>
      <c r="CK4537">
        <v>24000</v>
      </c>
      <c r="CL4537">
        <v>69</v>
      </c>
      <c r="CM4537">
        <v>2920.19</v>
      </c>
      <c r="CN4537">
        <v>1500</v>
      </c>
      <c r="CO4537">
        <v>100</v>
      </c>
      <c r="CP4537">
        <v>30000</v>
      </c>
      <c r="CQ4537">
        <v>991</v>
      </c>
      <c r="CR4537">
        <v>2874.54</v>
      </c>
      <c r="CS4537">
        <v>2666.67</v>
      </c>
      <c r="CT4537">
        <v>333.33</v>
      </c>
      <c r="CU4537">
        <v>15000</v>
      </c>
      <c r="CV4537">
        <v>9</v>
      </c>
      <c r="CW4537">
        <v>2432.48</v>
      </c>
      <c r="CX4537">
        <v>2250</v>
      </c>
      <c r="CY4537">
        <v>50</v>
      </c>
      <c r="CZ4537">
        <v>5000</v>
      </c>
      <c r="DA4537">
        <v>104</v>
      </c>
      <c r="DB4537">
        <v>2517.65</v>
      </c>
      <c r="DC4537">
        <v>2333.33</v>
      </c>
      <c r="DD4537">
        <v>333.33</v>
      </c>
      <c r="DE4537">
        <v>15000</v>
      </c>
      <c r="DF4537">
        <v>1718</v>
      </c>
      <c r="DG4537">
        <v>2394.4899999999998</v>
      </c>
      <c r="DH4537">
        <v>2000</v>
      </c>
      <c r="DI4537">
        <v>213.33</v>
      </c>
      <c r="DJ4537">
        <v>9000</v>
      </c>
      <c r="DK4537">
        <v>3</v>
      </c>
      <c r="DL4537">
        <v>2151.86</v>
      </c>
      <c r="DM4537">
        <v>2000</v>
      </c>
      <c r="DN4537">
        <v>2000</v>
      </c>
      <c r="DO4537">
        <v>2650</v>
      </c>
      <c r="DP4537">
        <v>30</v>
      </c>
      <c r="DQ4537">
        <v>2527.77</v>
      </c>
      <c r="DR4537">
        <v>2200</v>
      </c>
      <c r="DS4537">
        <v>207.8</v>
      </c>
      <c r="DT4537">
        <v>10000</v>
      </c>
    </row>
    <row r="4539" spans="1:125" x14ac:dyDescent="0.3">
      <c r="A4539" t="s">
        <v>1822</v>
      </c>
      <c r="BL4539" t="s">
        <v>1823</v>
      </c>
    </row>
    <row r="4540" spans="1:125" x14ac:dyDescent="0.3">
      <c r="A4540" t="s">
        <v>36</v>
      </c>
      <c r="B4540" t="s">
        <v>197</v>
      </c>
      <c r="C4540" t="s">
        <v>1702</v>
      </c>
      <c r="D4540" t="s">
        <v>1703</v>
      </c>
      <c r="E4540" t="s">
        <v>1704</v>
      </c>
      <c r="F4540" t="s">
        <v>1705</v>
      </c>
      <c r="G4540" t="s">
        <v>1706</v>
      </c>
      <c r="H4540" t="s">
        <v>1707</v>
      </c>
      <c r="I4540" t="s">
        <v>1708</v>
      </c>
      <c r="J4540" t="s">
        <v>1709</v>
      </c>
      <c r="K4540" t="s">
        <v>1710</v>
      </c>
      <c r="L4540" t="s">
        <v>1711</v>
      </c>
      <c r="M4540" t="s">
        <v>1712</v>
      </c>
      <c r="N4540" t="s">
        <v>1713</v>
      </c>
      <c r="O4540" t="s">
        <v>1714</v>
      </c>
      <c r="P4540" t="s">
        <v>1715</v>
      </c>
      <c r="Q4540" t="s">
        <v>1716</v>
      </c>
      <c r="R4540" t="s">
        <v>1717</v>
      </c>
      <c r="S4540" t="s">
        <v>1718</v>
      </c>
      <c r="T4540" t="s">
        <v>1719</v>
      </c>
      <c r="U4540" t="s">
        <v>1720</v>
      </c>
      <c r="V4540" t="s">
        <v>1721</v>
      </c>
      <c r="W4540" t="s">
        <v>1722</v>
      </c>
      <c r="X4540" t="s">
        <v>1723</v>
      </c>
      <c r="Y4540" t="s">
        <v>1724</v>
      </c>
      <c r="Z4540" t="s">
        <v>1725</v>
      </c>
      <c r="AA4540" t="s">
        <v>1726</v>
      </c>
      <c r="AB4540" t="s">
        <v>1727</v>
      </c>
      <c r="AC4540" t="s">
        <v>1728</v>
      </c>
      <c r="AD4540" t="s">
        <v>1729</v>
      </c>
      <c r="AE4540" t="s">
        <v>1730</v>
      </c>
      <c r="AF4540" t="s">
        <v>1731</v>
      </c>
      <c r="AG4540" t="s">
        <v>1732</v>
      </c>
      <c r="AH4540" t="s">
        <v>1733</v>
      </c>
      <c r="AI4540" t="s">
        <v>1734</v>
      </c>
      <c r="AJ4540" t="s">
        <v>1735</v>
      </c>
      <c r="AK4540" t="s">
        <v>1736</v>
      </c>
      <c r="AL4540" t="s">
        <v>1737</v>
      </c>
      <c r="AM4540" t="s">
        <v>1738</v>
      </c>
      <c r="AN4540" t="s">
        <v>1739</v>
      </c>
      <c r="AO4540" t="s">
        <v>1740</v>
      </c>
      <c r="AP4540" t="s">
        <v>1741</v>
      </c>
      <c r="AQ4540" t="s">
        <v>1742</v>
      </c>
      <c r="AR4540" t="s">
        <v>1743</v>
      </c>
      <c r="AS4540" t="s">
        <v>1744</v>
      </c>
      <c r="AT4540" t="s">
        <v>1745</v>
      </c>
      <c r="AU4540" t="s">
        <v>1746</v>
      </c>
      <c r="AV4540" t="s">
        <v>1747</v>
      </c>
      <c r="AW4540" t="s">
        <v>1748</v>
      </c>
      <c r="AX4540" t="s">
        <v>1749</v>
      </c>
      <c r="AY4540" t="s">
        <v>1750</v>
      </c>
      <c r="AZ4540" t="s">
        <v>1751</v>
      </c>
      <c r="BA4540" t="s">
        <v>1752</v>
      </c>
      <c r="BB4540" t="s">
        <v>1753</v>
      </c>
      <c r="BC4540" t="s">
        <v>1754</v>
      </c>
      <c r="BD4540" t="s">
        <v>1755</v>
      </c>
      <c r="BE4540" t="s">
        <v>1756</v>
      </c>
      <c r="BF4540" t="s">
        <v>1757</v>
      </c>
      <c r="BG4540" t="s">
        <v>1758</v>
      </c>
      <c r="BH4540" t="s">
        <v>1759</v>
      </c>
      <c r="BI4540" t="s">
        <v>1760</v>
      </c>
      <c r="BJ4540" t="s">
        <v>1761</v>
      </c>
      <c r="BL4540" t="s">
        <v>36</v>
      </c>
      <c r="BM4540" t="s">
        <v>197</v>
      </c>
      <c r="BN4540" t="s">
        <v>1762</v>
      </c>
      <c r="BO4540" t="s">
        <v>1763</v>
      </c>
      <c r="BP4540" t="s">
        <v>1764</v>
      </c>
      <c r="BQ4540" t="s">
        <v>1765</v>
      </c>
      <c r="BR4540" t="s">
        <v>1766</v>
      </c>
      <c r="BS4540" t="s">
        <v>1767</v>
      </c>
      <c r="BT4540" t="s">
        <v>1768</v>
      </c>
      <c r="BU4540" t="s">
        <v>1769</v>
      </c>
      <c r="BV4540" t="s">
        <v>1770</v>
      </c>
      <c r="BW4540" t="s">
        <v>1771</v>
      </c>
      <c r="BX4540" t="s">
        <v>1772</v>
      </c>
      <c r="BY4540" t="s">
        <v>1773</v>
      </c>
      <c r="BZ4540" t="s">
        <v>1774</v>
      </c>
      <c r="CA4540" t="s">
        <v>1775</v>
      </c>
      <c r="CB4540" t="s">
        <v>1776</v>
      </c>
      <c r="CC4540" t="s">
        <v>1777</v>
      </c>
      <c r="CD4540" t="s">
        <v>1778</v>
      </c>
      <c r="CE4540" t="s">
        <v>1779</v>
      </c>
      <c r="CF4540" t="s">
        <v>1780</v>
      </c>
      <c r="CG4540" t="s">
        <v>1781</v>
      </c>
      <c r="CH4540" t="s">
        <v>1782</v>
      </c>
      <c r="CI4540" t="s">
        <v>1783</v>
      </c>
      <c r="CJ4540" t="s">
        <v>1784</v>
      </c>
      <c r="CK4540" t="s">
        <v>1785</v>
      </c>
      <c r="CL4540" t="s">
        <v>1786</v>
      </c>
      <c r="CM4540" t="s">
        <v>1787</v>
      </c>
      <c r="CN4540" t="s">
        <v>1788</v>
      </c>
      <c r="CO4540" t="s">
        <v>1789</v>
      </c>
      <c r="CP4540" t="s">
        <v>1790</v>
      </c>
      <c r="CQ4540" t="s">
        <v>1791</v>
      </c>
      <c r="CR4540" t="s">
        <v>1792</v>
      </c>
      <c r="CS4540" t="s">
        <v>1793</v>
      </c>
      <c r="CT4540" t="s">
        <v>1794</v>
      </c>
      <c r="CU4540" t="s">
        <v>1795</v>
      </c>
      <c r="CV4540" t="s">
        <v>1796</v>
      </c>
      <c r="CW4540" t="s">
        <v>1797</v>
      </c>
      <c r="CX4540" t="s">
        <v>1798</v>
      </c>
      <c r="CY4540" t="s">
        <v>1799</v>
      </c>
      <c r="CZ4540" t="s">
        <v>1800</v>
      </c>
      <c r="DA4540" t="s">
        <v>1801</v>
      </c>
      <c r="DB4540" t="s">
        <v>1802</v>
      </c>
      <c r="DC4540" t="s">
        <v>1803</v>
      </c>
      <c r="DD4540" t="s">
        <v>1804</v>
      </c>
      <c r="DE4540" t="s">
        <v>1805</v>
      </c>
      <c r="DF4540" t="s">
        <v>1806</v>
      </c>
      <c r="DG4540" t="s">
        <v>1807</v>
      </c>
      <c r="DH4540" t="s">
        <v>1808</v>
      </c>
      <c r="DI4540" t="s">
        <v>1809</v>
      </c>
      <c r="DJ4540" t="s">
        <v>1810</v>
      </c>
      <c r="DK4540" t="s">
        <v>1811</v>
      </c>
      <c r="DL4540" t="s">
        <v>1812</v>
      </c>
      <c r="DM4540" t="s">
        <v>1813</v>
      </c>
      <c r="DN4540" t="s">
        <v>1814</v>
      </c>
      <c r="DO4540" t="s">
        <v>1815</v>
      </c>
      <c r="DP4540" t="s">
        <v>1816</v>
      </c>
      <c r="DQ4540" t="s">
        <v>1817</v>
      </c>
      <c r="DR4540" t="s">
        <v>1818</v>
      </c>
      <c r="DS4540" t="s">
        <v>1819</v>
      </c>
      <c r="DT4540" t="s">
        <v>1820</v>
      </c>
      <c r="DU4540" t="s">
        <v>1821</v>
      </c>
    </row>
    <row r="4541" spans="1:125" s="3" customFormat="1" x14ac:dyDescent="0.3">
      <c r="A4541" s="3" t="s">
        <v>25</v>
      </c>
      <c r="B4541" s="3" t="s">
        <v>198</v>
      </c>
      <c r="C4541" s="3">
        <v>16</v>
      </c>
      <c r="D4541" s="3">
        <v>12134.37</v>
      </c>
      <c r="E4541" s="3">
        <v>10000</v>
      </c>
      <c r="F4541" s="3">
        <v>3000</v>
      </c>
      <c r="G4541" s="3">
        <v>35000</v>
      </c>
      <c r="H4541" s="3">
        <v>1</v>
      </c>
      <c r="I4541" s="3">
        <v>6000</v>
      </c>
      <c r="J4541" s="3">
        <v>6000</v>
      </c>
      <c r="K4541" s="3">
        <v>6000</v>
      </c>
      <c r="L4541" s="3">
        <v>6000</v>
      </c>
      <c r="M4541" s="3">
        <v>3</v>
      </c>
      <c r="N4541" s="3">
        <v>3343.14</v>
      </c>
      <c r="O4541" s="3">
        <v>3000</v>
      </c>
      <c r="P4541" s="3">
        <v>1500</v>
      </c>
      <c r="Q4541" s="3">
        <v>5000</v>
      </c>
      <c r="R4541" s="3">
        <v>1</v>
      </c>
      <c r="S4541" s="3">
        <v>12000</v>
      </c>
      <c r="T4541" s="3">
        <v>12000</v>
      </c>
      <c r="U4541" s="3">
        <v>12000</v>
      </c>
      <c r="V4541" s="3">
        <v>12000</v>
      </c>
      <c r="AB4541" s="3">
        <v>2</v>
      </c>
      <c r="AC4541" s="3">
        <v>2140.2600000000002</v>
      </c>
      <c r="AD4541" s="3">
        <v>3000</v>
      </c>
      <c r="AE4541" s="3">
        <v>2000</v>
      </c>
      <c r="AF4541" s="3">
        <v>3000</v>
      </c>
      <c r="AG4541" s="3">
        <v>65</v>
      </c>
      <c r="AH4541" s="3">
        <v>5168.07</v>
      </c>
      <c r="AI4541" s="3">
        <v>4300</v>
      </c>
      <c r="AJ4541" s="3">
        <v>2300</v>
      </c>
      <c r="AK4541" s="3">
        <v>16000</v>
      </c>
      <c r="AL4541" s="3">
        <v>1</v>
      </c>
      <c r="AM4541" s="3">
        <v>2000</v>
      </c>
      <c r="AN4541" s="3">
        <v>2000</v>
      </c>
      <c r="AO4541" s="3">
        <v>2000</v>
      </c>
      <c r="AP4541" s="3">
        <v>2000</v>
      </c>
      <c r="AQ4541" s="3">
        <v>1</v>
      </c>
      <c r="AR4541" s="3">
        <v>12400</v>
      </c>
      <c r="AS4541" s="3">
        <v>12400</v>
      </c>
      <c r="AT4541" s="3">
        <v>12400</v>
      </c>
      <c r="AU4541" s="3">
        <v>12400</v>
      </c>
      <c r="AV4541" s="3">
        <v>98</v>
      </c>
      <c r="AW4541" s="3">
        <v>5399.1</v>
      </c>
      <c r="AX4541" s="3">
        <v>4000</v>
      </c>
      <c r="AY4541" s="3">
        <v>2000</v>
      </c>
      <c r="AZ4541" s="3">
        <v>30000</v>
      </c>
      <c r="BL4541" s="3" t="s">
        <v>25</v>
      </c>
      <c r="BM4541" s="3" t="s">
        <v>198</v>
      </c>
      <c r="BN4541" s="3">
        <v>16</v>
      </c>
      <c r="BO4541" s="3">
        <v>3726.71</v>
      </c>
      <c r="BP4541" s="3">
        <v>3500</v>
      </c>
      <c r="BQ4541" s="3">
        <v>750</v>
      </c>
      <c r="BR4541" s="3">
        <v>10000</v>
      </c>
      <c r="BS4541" s="3">
        <v>1</v>
      </c>
      <c r="BT4541" s="3">
        <v>3000</v>
      </c>
      <c r="BU4541" s="3">
        <v>3000</v>
      </c>
      <c r="BV4541" s="3">
        <v>3000</v>
      </c>
      <c r="BW4541" s="3">
        <v>3000</v>
      </c>
      <c r="BX4541" s="3">
        <v>3</v>
      </c>
      <c r="BY4541" s="3">
        <v>828.43</v>
      </c>
      <c r="BZ4541" s="3">
        <v>750</v>
      </c>
      <c r="CA4541" s="3">
        <v>375</v>
      </c>
      <c r="CB4541" s="3">
        <v>1250</v>
      </c>
      <c r="CC4541" s="3">
        <v>1</v>
      </c>
      <c r="CD4541" s="3">
        <v>4000</v>
      </c>
      <c r="CE4541" s="3">
        <v>4000</v>
      </c>
      <c r="CF4541" s="3">
        <v>4000</v>
      </c>
      <c r="CG4541" s="3">
        <v>4000</v>
      </c>
      <c r="CM4541" s="3">
        <v>2</v>
      </c>
      <c r="CN4541" s="3">
        <v>1280.51</v>
      </c>
      <c r="CO4541" s="3">
        <v>3000</v>
      </c>
      <c r="CP4541" s="3">
        <v>1000</v>
      </c>
      <c r="CQ4541" s="3">
        <v>3000</v>
      </c>
      <c r="CR4541" s="3">
        <v>65</v>
      </c>
      <c r="CS4541" s="3">
        <v>2941.5</v>
      </c>
      <c r="CT4541" s="3">
        <v>2600</v>
      </c>
      <c r="CU4541" s="3">
        <v>450</v>
      </c>
      <c r="CV4541" s="3">
        <v>10000</v>
      </c>
      <c r="CW4541" s="3">
        <v>1</v>
      </c>
      <c r="CX4541" s="3">
        <v>2000</v>
      </c>
      <c r="CY4541" s="3">
        <v>2000</v>
      </c>
      <c r="CZ4541" s="3">
        <v>2000</v>
      </c>
      <c r="DA4541" s="3">
        <v>2000</v>
      </c>
      <c r="DB4541" s="3">
        <v>1</v>
      </c>
      <c r="DC4541" s="3">
        <v>6200</v>
      </c>
      <c r="DD4541" s="3">
        <v>6200</v>
      </c>
      <c r="DE4541" s="3">
        <v>6200</v>
      </c>
      <c r="DF4541" s="3">
        <v>6200</v>
      </c>
      <c r="DG4541" s="3">
        <v>98</v>
      </c>
      <c r="DH4541" s="3">
        <v>2356.08</v>
      </c>
      <c r="DI4541" s="3">
        <v>2000</v>
      </c>
      <c r="DJ4541" s="3">
        <v>333.33</v>
      </c>
      <c r="DK4541" s="3">
        <v>6900</v>
      </c>
    </row>
    <row r="4542" spans="1:125" x14ac:dyDescent="0.3">
      <c r="A4542" t="s">
        <v>25</v>
      </c>
      <c r="B4542" t="s">
        <v>199</v>
      </c>
      <c r="C4542">
        <v>68</v>
      </c>
      <c r="D4542">
        <v>9377.36</v>
      </c>
      <c r="E4542">
        <v>8000</v>
      </c>
      <c r="F4542">
        <v>1200</v>
      </c>
      <c r="G4542">
        <v>40000</v>
      </c>
      <c r="H4542">
        <v>11</v>
      </c>
      <c r="I4542">
        <v>7511.95</v>
      </c>
      <c r="J4542">
        <v>7000</v>
      </c>
      <c r="K4542">
        <v>1700</v>
      </c>
      <c r="L4542">
        <v>15000</v>
      </c>
      <c r="M4542">
        <v>16</v>
      </c>
      <c r="N4542">
        <v>6923.71</v>
      </c>
      <c r="O4542">
        <v>6000</v>
      </c>
      <c r="P4542">
        <v>2500</v>
      </c>
      <c r="Q4542">
        <v>19000</v>
      </c>
      <c r="R4542">
        <v>2</v>
      </c>
      <c r="S4542">
        <v>7426.09</v>
      </c>
      <c r="T4542">
        <v>10000</v>
      </c>
      <c r="U4542">
        <v>6000</v>
      </c>
      <c r="V4542">
        <v>10000</v>
      </c>
      <c r="AB4542">
        <v>10</v>
      </c>
      <c r="AC4542">
        <v>2568.84</v>
      </c>
      <c r="AD4542">
        <v>1500</v>
      </c>
      <c r="AE4542">
        <v>1000</v>
      </c>
      <c r="AF4542">
        <v>5000</v>
      </c>
      <c r="AG4542">
        <v>168</v>
      </c>
      <c r="AH4542">
        <v>5447.17</v>
      </c>
      <c r="AI4542">
        <v>4100</v>
      </c>
      <c r="AJ4542">
        <v>1400</v>
      </c>
      <c r="AK4542">
        <v>20000</v>
      </c>
      <c r="AL4542">
        <v>2</v>
      </c>
      <c r="AM4542">
        <v>1788.89</v>
      </c>
      <c r="AN4542">
        <v>2000</v>
      </c>
      <c r="AO4542">
        <v>1500</v>
      </c>
      <c r="AP4542">
        <v>2000</v>
      </c>
      <c r="AV4542">
        <v>293</v>
      </c>
      <c r="AW4542">
        <v>5415.81</v>
      </c>
      <c r="AX4542">
        <v>4000</v>
      </c>
      <c r="AY4542">
        <v>2000</v>
      </c>
      <c r="AZ4542">
        <v>24000</v>
      </c>
      <c r="BF4542">
        <v>1</v>
      </c>
      <c r="BG4542">
        <v>3200</v>
      </c>
      <c r="BH4542">
        <v>3200</v>
      </c>
      <c r="BI4542">
        <v>3200</v>
      </c>
      <c r="BJ4542">
        <v>3200</v>
      </c>
      <c r="BL4542" t="s">
        <v>25</v>
      </c>
      <c r="BM4542" t="s">
        <v>199</v>
      </c>
      <c r="BN4542">
        <v>68</v>
      </c>
      <c r="BO4542">
        <v>3811.37</v>
      </c>
      <c r="BP4542">
        <v>3000</v>
      </c>
      <c r="BQ4542">
        <v>600</v>
      </c>
      <c r="BR4542">
        <v>11666.67</v>
      </c>
      <c r="BS4542">
        <v>11</v>
      </c>
      <c r="BT4542">
        <v>2660.22</v>
      </c>
      <c r="BU4542">
        <v>2000</v>
      </c>
      <c r="BV4542">
        <v>500</v>
      </c>
      <c r="BW4542">
        <v>7500</v>
      </c>
      <c r="BX4542">
        <v>16</v>
      </c>
      <c r="BY4542">
        <v>2133.73</v>
      </c>
      <c r="BZ4542">
        <v>1666.67</v>
      </c>
      <c r="CA4542">
        <v>600</v>
      </c>
      <c r="CB4542">
        <v>5500</v>
      </c>
      <c r="CC4542">
        <v>2</v>
      </c>
      <c r="CD4542">
        <v>5643.48</v>
      </c>
      <c r="CE4542">
        <v>6000</v>
      </c>
      <c r="CF4542">
        <v>5000</v>
      </c>
      <c r="CG4542">
        <v>6000</v>
      </c>
      <c r="CM4542">
        <v>10</v>
      </c>
      <c r="CN4542">
        <v>1377.17</v>
      </c>
      <c r="CO4542">
        <v>750</v>
      </c>
      <c r="CP4542">
        <v>333.33</v>
      </c>
      <c r="CQ4542">
        <v>3000</v>
      </c>
      <c r="CR4542">
        <v>168</v>
      </c>
      <c r="CS4542">
        <v>3012.32</v>
      </c>
      <c r="CT4542">
        <v>3000</v>
      </c>
      <c r="CU4542">
        <v>440</v>
      </c>
      <c r="CV4542">
        <v>9000</v>
      </c>
      <c r="CW4542">
        <v>2</v>
      </c>
      <c r="CX4542">
        <v>1472.22</v>
      </c>
      <c r="CY4542">
        <v>2000</v>
      </c>
      <c r="CZ4542">
        <v>750</v>
      </c>
      <c r="DA4542">
        <v>2000</v>
      </c>
      <c r="DG4542">
        <v>293</v>
      </c>
      <c r="DH4542">
        <v>2328.86</v>
      </c>
      <c r="DI4542">
        <v>2000</v>
      </c>
      <c r="DJ4542">
        <v>1000</v>
      </c>
      <c r="DK4542">
        <v>5760</v>
      </c>
      <c r="DQ4542">
        <v>1</v>
      </c>
      <c r="DR4542">
        <v>1066.67</v>
      </c>
      <c r="DS4542">
        <v>1066.67</v>
      </c>
      <c r="DT4542">
        <v>1066.67</v>
      </c>
      <c r="DU4542">
        <v>1066.67</v>
      </c>
    </row>
    <row r="4543" spans="1:125" s="3" customFormat="1" x14ac:dyDescent="0.3">
      <c r="A4543" s="3" t="s">
        <v>26</v>
      </c>
      <c r="B4543" s="3" t="s">
        <v>198</v>
      </c>
      <c r="C4543" s="3">
        <v>4</v>
      </c>
      <c r="D4543" s="3">
        <v>5467.84</v>
      </c>
      <c r="E4543" s="3">
        <v>5500</v>
      </c>
      <c r="F4543" s="3">
        <v>2000</v>
      </c>
      <c r="G4543" s="3">
        <v>6000</v>
      </c>
      <c r="H4543" s="3">
        <v>1</v>
      </c>
      <c r="I4543" s="3">
        <v>5800</v>
      </c>
      <c r="J4543" s="3">
        <v>5800</v>
      </c>
      <c r="K4543" s="3">
        <v>5800</v>
      </c>
      <c r="L4543" s="3">
        <v>5800</v>
      </c>
      <c r="M4543" s="3">
        <v>2</v>
      </c>
      <c r="N4543" s="3">
        <v>7500</v>
      </c>
      <c r="O4543" s="3">
        <v>5000</v>
      </c>
      <c r="P4543" s="3">
        <v>5000</v>
      </c>
      <c r="Q4543" s="3">
        <v>10000</v>
      </c>
      <c r="AB4543" s="3">
        <v>3</v>
      </c>
      <c r="AC4543" s="3">
        <v>7293.19</v>
      </c>
      <c r="AD4543" s="3">
        <v>10000</v>
      </c>
      <c r="AE4543" s="3">
        <v>2000</v>
      </c>
      <c r="AF4543" s="3">
        <v>10000</v>
      </c>
      <c r="AG4543" s="3">
        <v>19</v>
      </c>
      <c r="AH4543" s="3">
        <v>4795.38</v>
      </c>
      <c r="AI4543" s="3">
        <v>4000</v>
      </c>
      <c r="AJ4543" s="3">
        <v>2900</v>
      </c>
      <c r="AK4543" s="3">
        <v>10000</v>
      </c>
      <c r="AV4543" s="3">
        <v>41</v>
      </c>
      <c r="AW4543" s="3">
        <v>5013.3599999999997</v>
      </c>
      <c r="AX4543" s="3">
        <v>5000</v>
      </c>
      <c r="AY4543" s="3">
        <v>2000</v>
      </c>
      <c r="AZ4543" s="3">
        <v>11000</v>
      </c>
      <c r="BL4543" s="3" t="s">
        <v>26</v>
      </c>
      <c r="BM4543" s="3" t="s">
        <v>198</v>
      </c>
      <c r="BN4543" s="3">
        <v>4</v>
      </c>
      <c r="BO4543" s="3">
        <v>2195.91</v>
      </c>
      <c r="BP4543" s="3">
        <v>2750</v>
      </c>
      <c r="BQ4543" s="3">
        <v>500</v>
      </c>
      <c r="BR4543" s="3">
        <v>2750</v>
      </c>
      <c r="BS4543" s="3">
        <v>1</v>
      </c>
      <c r="BT4543" s="3">
        <v>1933.33</v>
      </c>
      <c r="BU4543" s="3">
        <v>1933.33</v>
      </c>
      <c r="BV4543" s="3">
        <v>1933.33</v>
      </c>
      <c r="BW4543" s="3">
        <v>1933.33</v>
      </c>
      <c r="BX4543" s="3">
        <v>2</v>
      </c>
      <c r="BY4543" s="3">
        <v>2500</v>
      </c>
      <c r="BZ4543" s="3">
        <v>2500</v>
      </c>
      <c r="CA4543" s="3">
        <v>2500</v>
      </c>
      <c r="CB4543" s="3">
        <v>2500</v>
      </c>
      <c r="CM4543" s="3">
        <v>3</v>
      </c>
      <c r="CN4543" s="3">
        <v>3741.36</v>
      </c>
      <c r="CO4543" s="3">
        <v>5000</v>
      </c>
      <c r="CP4543" s="3">
        <v>2000</v>
      </c>
      <c r="CQ4543" s="3">
        <v>5000</v>
      </c>
      <c r="CR4543" s="3">
        <v>19</v>
      </c>
      <c r="CS4543" s="3">
        <v>3083.47</v>
      </c>
      <c r="CT4543" s="3">
        <v>3333.33</v>
      </c>
      <c r="CU4543" s="3">
        <v>750</v>
      </c>
      <c r="CV4543" s="3">
        <v>5700</v>
      </c>
      <c r="DG4543" s="3">
        <v>41</v>
      </c>
      <c r="DH4543" s="3">
        <v>2336.1799999999998</v>
      </c>
      <c r="DI4543" s="3">
        <v>2000</v>
      </c>
      <c r="DJ4543" s="3">
        <v>2000</v>
      </c>
      <c r="DK4543" s="3">
        <v>6000</v>
      </c>
    </row>
    <row r="4544" spans="1:125" x14ac:dyDescent="0.3">
      <c r="A4544" t="s">
        <v>26</v>
      </c>
      <c r="B4544" t="s">
        <v>199</v>
      </c>
      <c r="C4544">
        <v>95</v>
      </c>
      <c r="D4544">
        <v>10750.51</v>
      </c>
      <c r="E4544">
        <v>9000</v>
      </c>
      <c r="F4544">
        <v>1200</v>
      </c>
      <c r="G4544">
        <v>40000</v>
      </c>
      <c r="H4544">
        <v>38</v>
      </c>
      <c r="I4544">
        <v>7358.74</v>
      </c>
      <c r="J4544">
        <v>6700</v>
      </c>
      <c r="K4544">
        <v>1000</v>
      </c>
      <c r="L4544">
        <v>20000</v>
      </c>
      <c r="M4544">
        <v>37</v>
      </c>
      <c r="N4544">
        <v>5867.87</v>
      </c>
      <c r="O4544">
        <v>5000</v>
      </c>
      <c r="P4544">
        <v>200</v>
      </c>
      <c r="Q4544">
        <v>16000</v>
      </c>
      <c r="W4544">
        <v>2</v>
      </c>
      <c r="X4544">
        <v>13377.38</v>
      </c>
      <c r="Y4544">
        <v>24000</v>
      </c>
      <c r="Z4544">
        <v>250</v>
      </c>
      <c r="AA4544">
        <v>24000</v>
      </c>
      <c r="AB4544">
        <v>15</v>
      </c>
      <c r="AC4544">
        <v>1737.36</v>
      </c>
      <c r="AD4544">
        <v>1000</v>
      </c>
      <c r="AE4544">
        <v>250</v>
      </c>
      <c r="AF4544">
        <v>7000</v>
      </c>
      <c r="AG4544">
        <v>199</v>
      </c>
      <c r="AH4544">
        <v>5125.74</v>
      </c>
      <c r="AI4544">
        <v>4000</v>
      </c>
      <c r="AJ4544">
        <v>1000</v>
      </c>
      <c r="AK4544">
        <v>19600</v>
      </c>
      <c r="AL4544">
        <v>3</v>
      </c>
      <c r="AM4544">
        <v>3355.92</v>
      </c>
      <c r="AN4544">
        <v>5000</v>
      </c>
      <c r="AO4544">
        <v>100</v>
      </c>
      <c r="AP4544">
        <v>5000</v>
      </c>
      <c r="AQ4544">
        <v>11</v>
      </c>
      <c r="AR4544">
        <v>6820.67</v>
      </c>
      <c r="AS4544">
        <v>6600</v>
      </c>
      <c r="AT4544">
        <v>2000</v>
      </c>
      <c r="AU4544">
        <v>13200</v>
      </c>
      <c r="AV4544">
        <v>402</v>
      </c>
      <c r="AW4544">
        <v>5470.11</v>
      </c>
      <c r="AX4544">
        <v>4000</v>
      </c>
      <c r="AY4544">
        <v>640</v>
      </c>
      <c r="AZ4544">
        <v>25000</v>
      </c>
      <c r="BA4544">
        <v>1</v>
      </c>
      <c r="BB4544">
        <v>2000</v>
      </c>
      <c r="BC4544">
        <v>2000</v>
      </c>
      <c r="BD4544">
        <v>2000</v>
      </c>
      <c r="BE4544">
        <v>2000</v>
      </c>
      <c r="BF4544">
        <v>1</v>
      </c>
      <c r="BG4544">
        <v>1000</v>
      </c>
      <c r="BH4544">
        <v>1000</v>
      </c>
      <c r="BI4544">
        <v>1000</v>
      </c>
      <c r="BJ4544">
        <v>1000</v>
      </c>
      <c r="BL4544" t="s">
        <v>26</v>
      </c>
      <c r="BM4544" t="s">
        <v>199</v>
      </c>
      <c r="BN4544">
        <v>95</v>
      </c>
      <c r="BO4544">
        <v>5507.29</v>
      </c>
      <c r="BP4544">
        <v>4333.33</v>
      </c>
      <c r="BQ4544">
        <v>375</v>
      </c>
      <c r="BR4544">
        <v>30000</v>
      </c>
      <c r="BS4544">
        <v>38</v>
      </c>
      <c r="BT4544">
        <v>3632.58</v>
      </c>
      <c r="BU4544">
        <v>2233.33</v>
      </c>
      <c r="BV4544">
        <v>166.67</v>
      </c>
      <c r="BW4544">
        <v>20000</v>
      </c>
      <c r="BX4544">
        <v>37</v>
      </c>
      <c r="BY4544">
        <v>2808.98</v>
      </c>
      <c r="BZ4544">
        <v>2000</v>
      </c>
      <c r="CA4544">
        <v>100</v>
      </c>
      <c r="CB4544">
        <v>12000</v>
      </c>
      <c r="CH4544">
        <v>2</v>
      </c>
      <c r="CI4544">
        <v>13321.47</v>
      </c>
      <c r="CJ4544">
        <v>24000</v>
      </c>
      <c r="CK4544">
        <v>125</v>
      </c>
      <c r="CL4544">
        <v>24000</v>
      </c>
      <c r="CM4544">
        <v>15</v>
      </c>
      <c r="CN4544">
        <v>731.28</v>
      </c>
      <c r="CO4544">
        <v>400</v>
      </c>
      <c r="CP4544">
        <v>100</v>
      </c>
      <c r="CQ4544">
        <v>3000</v>
      </c>
      <c r="CR4544">
        <v>199</v>
      </c>
      <c r="CS4544">
        <v>2866.5</v>
      </c>
      <c r="CT4544">
        <v>2700</v>
      </c>
      <c r="CU4544">
        <v>357.14</v>
      </c>
      <c r="CV4544">
        <v>9800</v>
      </c>
      <c r="CW4544">
        <v>3</v>
      </c>
      <c r="CX4544">
        <v>3344.01</v>
      </c>
      <c r="CY4544">
        <v>5000</v>
      </c>
      <c r="CZ4544">
        <v>50</v>
      </c>
      <c r="DA4544">
        <v>5000</v>
      </c>
      <c r="DB4544">
        <v>11</v>
      </c>
      <c r="DC4544">
        <v>3704.54</v>
      </c>
      <c r="DD4544">
        <v>3250</v>
      </c>
      <c r="DE4544">
        <v>942.86</v>
      </c>
      <c r="DF4544">
        <v>6600</v>
      </c>
      <c r="DG4544">
        <v>402</v>
      </c>
      <c r="DH4544">
        <v>2339.37</v>
      </c>
      <c r="DI4544">
        <v>2000</v>
      </c>
      <c r="DJ4544">
        <v>213.33</v>
      </c>
      <c r="DK4544">
        <v>7000</v>
      </c>
      <c r="DL4544">
        <v>1</v>
      </c>
      <c r="DM4544">
        <v>2000</v>
      </c>
      <c r="DN4544">
        <v>2000</v>
      </c>
      <c r="DO4544">
        <v>2000</v>
      </c>
      <c r="DP4544">
        <v>2000</v>
      </c>
      <c r="DQ4544">
        <v>1</v>
      </c>
      <c r="DR4544">
        <v>1000</v>
      </c>
      <c r="DS4544">
        <v>1000</v>
      </c>
      <c r="DT4544">
        <v>1000</v>
      </c>
      <c r="DU4544">
        <v>1000</v>
      </c>
    </row>
    <row r="4545" spans="1:125" s="3" customFormat="1" x14ac:dyDescent="0.3">
      <c r="A4545" s="3" t="s">
        <v>29</v>
      </c>
      <c r="B4545" s="3" t="s">
        <v>198</v>
      </c>
      <c r="C4545" s="3">
        <v>26</v>
      </c>
      <c r="D4545" s="3">
        <v>9792.11</v>
      </c>
      <c r="E4545" s="3">
        <v>8000</v>
      </c>
      <c r="F4545" s="3">
        <v>4000</v>
      </c>
      <c r="G4545" s="3">
        <v>20000</v>
      </c>
      <c r="H4545" s="3">
        <v>6</v>
      </c>
      <c r="I4545" s="3">
        <v>3925.32</v>
      </c>
      <c r="J4545" s="3">
        <v>1000</v>
      </c>
      <c r="K4545" s="3">
        <v>600</v>
      </c>
      <c r="L4545" s="3">
        <v>10000</v>
      </c>
      <c r="M4545" s="3">
        <v>7</v>
      </c>
      <c r="N4545" s="3">
        <v>5914.57</v>
      </c>
      <c r="O4545" s="3">
        <v>5000</v>
      </c>
      <c r="P4545" s="3">
        <v>5000</v>
      </c>
      <c r="Q4545" s="3">
        <v>10000</v>
      </c>
      <c r="R4545" s="3">
        <v>1</v>
      </c>
      <c r="S4545" s="3">
        <v>2500</v>
      </c>
      <c r="T4545" s="3">
        <v>2500</v>
      </c>
      <c r="U4545" s="3">
        <v>2500</v>
      </c>
      <c r="V4545" s="3">
        <v>2500</v>
      </c>
      <c r="AB4545" s="3">
        <v>4</v>
      </c>
      <c r="AC4545" s="3">
        <v>11122.45</v>
      </c>
      <c r="AD4545" s="3">
        <v>10000</v>
      </c>
      <c r="AE4545" s="3">
        <v>2500</v>
      </c>
      <c r="AF4545" s="3">
        <v>15000</v>
      </c>
      <c r="AG4545" s="3">
        <v>79</v>
      </c>
      <c r="AH4545" s="3">
        <v>5264.08</v>
      </c>
      <c r="AI4545" s="3">
        <v>3800</v>
      </c>
      <c r="AJ4545" s="3">
        <v>800</v>
      </c>
      <c r="AK4545" s="3">
        <v>23800</v>
      </c>
      <c r="AL4545" s="3">
        <v>1</v>
      </c>
      <c r="AM4545" s="3">
        <v>4500</v>
      </c>
      <c r="AN4545" s="3">
        <v>4500</v>
      </c>
      <c r="AO4545" s="3">
        <v>4500</v>
      </c>
      <c r="AP4545" s="3">
        <v>4500</v>
      </c>
      <c r="AQ4545" s="3">
        <v>9</v>
      </c>
      <c r="AR4545" s="3">
        <v>4391.01</v>
      </c>
      <c r="AS4545" s="3">
        <v>4440</v>
      </c>
      <c r="AT4545" s="3">
        <v>1000</v>
      </c>
      <c r="AU4545" s="3">
        <v>8000</v>
      </c>
      <c r="AV4545" s="3">
        <v>147</v>
      </c>
      <c r="AW4545" s="3">
        <v>6138.76</v>
      </c>
      <c r="AX4545" s="3">
        <v>5000</v>
      </c>
      <c r="AY4545" s="3">
        <v>860</v>
      </c>
      <c r="AZ4545" s="3">
        <v>52000</v>
      </c>
      <c r="BF4545" s="3">
        <v>4</v>
      </c>
      <c r="BG4545" s="3">
        <v>4372.41</v>
      </c>
      <c r="BH4545" s="3">
        <v>4000</v>
      </c>
      <c r="BI4545" s="3">
        <v>1200</v>
      </c>
      <c r="BJ4545" s="3">
        <v>10000</v>
      </c>
      <c r="BL4545" s="3" t="s">
        <v>29</v>
      </c>
      <c r="BM4545" s="3" t="s">
        <v>198</v>
      </c>
      <c r="BN4545" s="3">
        <v>26</v>
      </c>
      <c r="BO4545" s="3">
        <v>3286.01</v>
      </c>
      <c r="BP4545" s="3">
        <v>3333.33</v>
      </c>
      <c r="BQ4545" s="3">
        <v>1333.33</v>
      </c>
      <c r="BR4545" s="3">
        <v>9500</v>
      </c>
      <c r="BS4545" s="3">
        <v>6</v>
      </c>
      <c r="BT4545" s="3">
        <v>1371.46</v>
      </c>
      <c r="BU4545" s="3">
        <v>700</v>
      </c>
      <c r="BV4545" s="3">
        <v>200</v>
      </c>
      <c r="BW4545" s="3">
        <v>3333.33</v>
      </c>
      <c r="BX4545" s="3">
        <v>7</v>
      </c>
      <c r="BY4545" s="3">
        <v>2330.7800000000002</v>
      </c>
      <c r="BZ4545" s="3">
        <v>2500</v>
      </c>
      <c r="CA4545" s="3">
        <v>1000</v>
      </c>
      <c r="CB4545" s="3">
        <v>4500</v>
      </c>
      <c r="CC4545" s="3">
        <v>1</v>
      </c>
      <c r="CD4545" s="3">
        <v>625</v>
      </c>
      <c r="CE4545" s="3">
        <v>625</v>
      </c>
      <c r="CF4545" s="3">
        <v>625</v>
      </c>
      <c r="CG4545" s="3">
        <v>625</v>
      </c>
      <c r="CM4545" s="3">
        <v>4</v>
      </c>
      <c r="CN4545" s="3">
        <v>5632.65</v>
      </c>
      <c r="CO4545" s="3">
        <v>3000</v>
      </c>
      <c r="CP4545" s="3">
        <v>1250</v>
      </c>
      <c r="CQ4545" s="3">
        <v>10000</v>
      </c>
      <c r="CR4545" s="3">
        <v>79</v>
      </c>
      <c r="CS4545" s="3">
        <v>3133.8</v>
      </c>
      <c r="CT4545" s="3">
        <v>2760</v>
      </c>
      <c r="CU4545" s="3">
        <v>333.33</v>
      </c>
      <c r="CV4545" s="3">
        <v>15000</v>
      </c>
      <c r="CW4545" s="3">
        <v>1</v>
      </c>
      <c r="CX4545" s="3">
        <v>1500</v>
      </c>
      <c r="CY4545" s="3">
        <v>1500</v>
      </c>
      <c r="CZ4545" s="3">
        <v>1500</v>
      </c>
      <c r="DA4545" s="3">
        <v>1500</v>
      </c>
      <c r="DB4545" s="3">
        <v>9</v>
      </c>
      <c r="DC4545" s="3">
        <v>1609.95</v>
      </c>
      <c r="DD4545" s="3">
        <v>2000</v>
      </c>
      <c r="DE4545" s="3">
        <v>500</v>
      </c>
      <c r="DF4545" s="3">
        <v>2666.67</v>
      </c>
      <c r="DG4545" s="3">
        <v>147</v>
      </c>
      <c r="DH4545" s="3">
        <v>2434.56</v>
      </c>
      <c r="DI4545" s="3">
        <v>2250</v>
      </c>
      <c r="DJ4545" s="3">
        <v>286.67</v>
      </c>
      <c r="DK4545" s="3">
        <v>5890</v>
      </c>
      <c r="DQ4545" s="3">
        <v>4</v>
      </c>
      <c r="DR4545" s="3">
        <v>1219.31</v>
      </c>
      <c r="DS4545" s="3">
        <v>1000</v>
      </c>
      <c r="DT4545" s="3">
        <v>240</v>
      </c>
      <c r="DU4545" s="3">
        <v>3500</v>
      </c>
    </row>
    <row r="4546" spans="1:125" x14ac:dyDescent="0.3">
      <c r="A4546" t="s">
        <v>29</v>
      </c>
      <c r="B4546" t="s">
        <v>199</v>
      </c>
      <c r="C4546">
        <v>70</v>
      </c>
      <c r="D4546">
        <v>9007.6299999999992</v>
      </c>
      <c r="E4546">
        <v>7500</v>
      </c>
      <c r="F4546">
        <v>2800</v>
      </c>
      <c r="G4546">
        <v>40000</v>
      </c>
      <c r="H4546">
        <v>17</v>
      </c>
      <c r="I4546">
        <v>6152.23</v>
      </c>
      <c r="J4546">
        <v>5700</v>
      </c>
      <c r="K4546">
        <v>1000</v>
      </c>
      <c r="L4546">
        <v>20000</v>
      </c>
      <c r="M4546">
        <v>15</v>
      </c>
      <c r="N4546">
        <v>6053.72</v>
      </c>
      <c r="O4546">
        <v>6000</v>
      </c>
      <c r="P4546">
        <v>1000</v>
      </c>
      <c r="Q4546">
        <v>12000</v>
      </c>
      <c r="R4546">
        <v>1</v>
      </c>
      <c r="S4546">
        <v>3000</v>
      </c>
      <c r="T4546">
        <v>3000</v>
      </c>
      <c r="U4546">
        <v>3000</v>
      </c>
      <c r="V4546">
        <v>3000</v>
      </c>
      <c r="AB4546">
        <v>20</v>
      </c>
      <c r="AC4546">
        <v>7375.25</v>
      </c>
      <c r="AD4546">
        <v>5000</v>
      </c>
      <c r="AE4546">
        <v>1000</v>
      </c>
      <c r="AF4546">
        <v>25000</v>
      </c>
      <c r="AG4546">
        <v>168</v>
      </c>
      <c r="AH4546">
        <v>5083.53</v>
      </c>
      <c r="AI4546">
        <v>3900</v>
      </c>
      <c r="AJ4546">
        <v>1000</v>
      </c>
      <c r="AK4546">
        <v>23200</v>
      </c>
      <c r="AL4546">
        <v>1</v>
      </c>
      <c r="AM4546">
        <v>4500</v>
      </c>
      <c r="AN4546">
        <v>4500</v>
      </c>
      <c r="AO4546">
        <v>4500</v>
      </c>
      <c r="AP4546">
        <v>4500</v>
      </c>
      <c r="AQ4546">
        <v>44</v>
      </c>
      <c r="AR4546">
        <v>6116.33</v>
      </c>
      <c r="AS4546">
        <v>6660</v>
      </c>
      <c r="AT4546">
        <v>2000</v>
      </c>
      <c r="AU4546">
        <v>15000</v>
      </c>
      <c r="AV4546">
        <v>296</v>
      </c>
      <c r="AW4546">
        <v>6137.2</v>
      </c>
      <c r="AX4546">
        <v>5000</v>
      </c>
      <c r="AY4546">
        <v>1200</v>
      </c>
      <c r="AZ4546">
        <v>31000</v>
      </c>
      <c r="BA4546">
        <v>1</v>
      </c>
      <c r="BB4546">
        <v>5300</v>
      </c>
      <c r="BC4546">
        <v>5300</v>
      </c>
      <c r="BD4546">
        <v>5300</v>
      </c>
      <c r="BE4546">
        <v>5300</v>
      </c>
      <c r="BF4546">
        <v>10</v>
      </c>
      <c r="BG4546">
        <v>7894.64</v>
      </c>
      <c r="BH4546">
        <v>5000</v>
      </c>
      <c r="BI4546">
        <v>2200</v>
      </c>
      <c r="BJ4546">
        <v>22000</v>
      </c>
      <c r="BL4546" t="s">
        <v>29</v>
      </c>
      <c r="BM4546" t="s">
        <v>199</v>
      </c>
      <c r="BN4546">
        <v>70</v>
      </c>
      <c r="BO4546">
        <v>3012.07</v>
      </c>
      <c r="BP4546">
        <v>2666.67</v>
      </c>
      <c r="BQ4546">
        <v>666.67</v>
      </c>
      <c r="BR4546">
        <v>13333.33</v>
      </c>
      <c r="BS4546">
        <v>17</v>
      </c>
      <c r="BT4546">
        <v>2401.88</v>
      </c>
      <c r="BU4546">
        <v>2000</v>
      </c>
      <c r="BV4546">
        <v>250</v>
      </c>
      <c r="BW4546">
        <v>6500</v>
      </c>
      <c r="BX4546">
        <v>15</v>
      </c>
      <c r="BY4546">
        <v>2267.94</v>
      </c>
      <c r="BZ4546">
        <v>1800</v>
      </c>
      <c r="CA4546">
        <v>333.33</v>
      </c>
      <c r="CB4546">
        <v>6000</v>
      </c>
      <c r="CC4546">
        <v>1</v>
      </c>
      <c r="CD4546">
        <v>1000</v>
      </c>
      <c r="CE4546">
        <v>1000</v>
      </c>
      <c r="CF4546">
        <v>1000</v>
      </c>
      <c r="CG4546">
        <v>1000</v>
      </c>
      <c r="CM4546">
        <v>20</v>
      </c>
      <c r="CN4546">
        <v>3250.88</v>
      </c>
      <c r="CO4546">
        <v>1500</v>
      </c>
      <c r="CP4546">
        <v>250</v>
      </c>
      <c r="CQ4546">
        <v>12500</v>
      </c>
      <c r="CR4546">
        <v>168</v>
      </c>
      <c r="CS4546">
        <v>2565.84</v>
      </c>
      <c r="CT4546">
        <v>2100</v>
      </c>
      <c r="CU4546">
        <v>450</v>
      </c>
      <c r="CV4546">
        <v>11600</v>
      </c>
      <c r="CW4546">
        <v>1</v>
      </c>
      <c r="CX4546">
        <v>2250</v>
      </c>
      <c r="CY4546">
        <v>2250</v>
      </c>
      <c r="CZ4546">
        <v>2250</v>
      </c>
      <c r="DA4546">
        <v>2250</v>
      </c>
      <c r="DB4546">
        <v>44</v>
      </c>
      <c r="DC4546">
        <v>2185.7399999999998</v>
      </c>
      <c r="DD4546">
        <v>2250</v>
      </c>
      <c r="DE4546">
        <v>550</v>
      </c>
      <c r="DF4546">
        <v>6800</v>
      </c>
      <c r="DG4546">
        <v>296</v>
      </c>
      <c r="DH4546">
        <v>2445.23</v>
      </c>
      <c r="DI4546">
        <v>2250</v>
      </c>
      <c r="DJ4546">
        <v>400</v>
      </c>
      <c r="DK4546">
        <v>7750</v>
      </c>
      <c r="DL4546">
        <v>1</v>
      </c>
      <c r="DM4546">
        <v>2650</v>
      </c>
      <c r="DN4546">
        <v>2650</v>
      </c>
      <c r="DO4546">
        <v>2650</v>
      </c>
      <c r="DP4546">
        <v>2650</v>
      </c>
      <c r="DQ4546">
        <v>10</v>
      </c>
      <c r="DR4546">
        <v>3164.18</v>
      </c>
      <c r="DS4546">
        <v>2333.33</v>
      </c>
      <c r="DT4546">
        <v>1666.67</v>
      </c>
      <c r="DU4546">
        <v>7333.33</v>
      </c>
    </row>
    <row r="4547" spans="1:125" s="3" customFormat="1" x14ac:dyDescent="0.3">
      <c r="A4547" s="3" t="s">
        <v>28</v>
      </c>
      <c r="B4547" s="3" t="s">
        <v>198</v>
      </c>
      <c r="C4547" s="3">
        <v>4</v>
      </c>
      <c r="D4547" s="3">
        <v>9373.27</v>
      </c>
      <c r="E4547" s="3">
        <v>7000</v>
      </c>
      <c r="F4547" s="3">
        <v>5600</v>
      </c>
      <c r="G4547" s="3">
        <v>17000</v>
      </c>
      <c r="H4547" s="3">
        <v>3</v>
      </c>
      <c r="I4547" s="3">
        <v>4577.8999999999996</v>
      </c>
      <c r="J4547" s="3">
        <v>5000</v>
      </c>
      <c r="K4547" s="3">
        <v>3000</v>
      </c>
      <c r="L4547" s="3">
        <v>6500</v>
      </c>
      <c r="M4547" s="3">
        <v>7</v>
      </c>
      <c r="N4547" s="3">
        <v>6755.86</v>
      </c>
      <c r="O4547" s="3">
        <v>5000</v>
      </c>
      <c r="P4547" s="3">
        <v>1000</v>
      </c>
      <c r="Q4547" s="3">
        <v>12000</v>
      </c>
      <c r="AG4547" s="3">
        <v>31</v>
      </c>
      <c r="AH4547" s="3">
        <v>4713.09</v>
      </c>
      <c r="AI4547" s="3">
        <v>4000</v>
      </c>
      <c r="AJ4547" s="3">
        <v>2100</v>
      </c>
      <c r="AK4547" s="3">
        <v>12780</v>
      </c>
      <c r="AQ4547" s="3">
        <v>1</v>
      </c>
      <c r="AR4547" s="3">
        <v>6000</v>
      </c>
      <c r="AS4547" s="3">
        <v>6000</v>
      </c>
      <c r="AT4547" s="3">
        <v>6000</v>
      </c>
      <c r="AU4547" s="3">
        <v>6000</v>
      </c>
      <c r="AV4547" s="3">
        <v>46</v>
      </c>
      <c r="AW4547" s="3">
        <v>4870.83</v>
      </c>
      <c r="AX4547" s="3">
        <v>4000</v>
      </c>
      <c r="AY4547" s="3">
        <v>2000</v>
      </c>
      <c r="AZ4547" s="3">
        <v>17000</v>
      </c>
      <c r="BF4547" s="3">
        <v>5</v>
      </c>
      <c r="BG4547" s="3">
        <v>3570.18</v>
      </c>
      <c r="BH4547" s="3">
        <v>2000</v>
      </c>
      <c r="BI4547" s="3">
        <v>2000</v>
      </c>
      <c r="BJ4547" s="3">
        <v>8000</v>
      </c>
      <c r="BL4547" s="3" t="s">
        <v>28</v>
      </c>
      <c r="BM4547" s="3" t="s">
        <v>198</v>
      </c>
      <c r="BN4547" s="3">
        <v>4</v>
      </c>
      <c r="BO4547" s="3">
        <v>5178.57</v>
      </c>
      <c r="BP4547" s="3">
        <v>2800</v>
      </c>
      <c r="BQ4547" s="3">
        <v>2333.33</v>
      </c>
      <c r="BR4547" s="3">
        <v>8500</v>
      </c>
      <c r="BS4547" s="3">
        <v>3</v>
      </c>
      <c r="BT4547" s="3">
        <v>1149.74</v>
      </c>
      <c r="BU4547" s="3">
        <v>1000</v>
      </c>
      <c r="BV4547" s="3">
        <v>600</v>
      </c>
      <c r="BW4547" s="3">
        <v>2166.67</v>
      </c>
      <c r="BX4547" s="3">
        <v>7</v>
      </c>
      <c r="BY4547" s="3">
        <v>2501.54</v>
      </c>
      <c r="BZ4547" s="3">
        <v>2500</v>
      </c>
      <c r="CA4547" s="3">
        <v>333.33</v>
      </c>
      <c r="CB4547" s="3">
        <v>5000</v>
      </c>
      <c r="CR4547" s="3">
        <v>31</v>
      </c>
      <c r="CS4547" s="3">
        <v>3213.13</v>
      </c>
      <c r="CT4547" s="3">
        <v>3200</v>
      </c>
      <c r="CU4547" s="3">
        <v>625</v>
      </c>
      <c r="CV4547" s="3">
        <v>7000</v>
      </c>
      <c r="DB4547" s="3">
        <v>1</v>
      </c>
      <c r="DC4547" s="3">
        <v>3000</v>
      </c>
      <c r="DD4547" s="3">
        <v>3000</v>
      </c>
      <c r="DE4547" s="3">
        <v>3000</v>
      </c>
      <c r="DF4547" s="3">
        <v>3000</v>
      </c>
      <c r="DG4547" s="3">
        <v>45</v>
      </c>
      <c r="DH4547" s="3">
        <v>2041.04</v>
      </c>
      <c r="DI4547" s="3">
        <v>2000</v>
      </c>
      <c r="DJ4547" s="3">
        <v>666.67</v>
      </c>
      <c r="DK4547" s="3">
        <v>6000</v>
      </c>
      <c r="DQ4547" s="3">
        <v>5</v>
      </c>
      <c r="DR4547" s="3">
        <v>1820.46</v>
      </c>
      <c r="DS4547" s="3">
        <v>2000</v>
      </c>
      <c r="DT4547" s="3">
        <v>1333.33</v>
      </c>
      <c r="DU4547" s="3">
        <v>2000</v>
      </c>
    </row>
    <row r="4548" spans="1:125" s="3" customFormat="1" x14ac:dyDescent="0.3">
      <c r="A4548" s="3" t="s">
        <v>28</v>
      </c>
      <c r="B4548" s="3" t="s">
        <v>199</v>
      </c>
      <c r="C4548" s="3">
        <v>18</v>
      </c>
      <c r="D4548" s="3">
        <v>10786</v>
      </c>
      <c r="E4548" s="3">
        <v>9000</v>
      </c>
      <c r="F4548" s="3">
        <v>1200</v>
      </c>
      <c r="G4548" s="3">
        <v>18000</v>
      </c>
      <c r="H4548" s="3">
        <v>6</v>
      </c>
      <c r="I4548" s="3">
        <v>5524.68</v>
      </c>
      <c r="J4548" s="3">
        <v>6000</v>
      </c>
      <c r="K4548" s="3">
        <v>2000</v>
      </c>
      <c r="L4548" s="3">
        <v>10000</v>
      </c>
      <c r="M4548" s="3">
        <v>11</v>
      </c>
      <c r="N4548" s="3">
        <v>5664.97</v>
      </c>
      <c r="O4548" s="3">
        <v>5000</v>
      </c>
      <c r="P4548" s="3">
        <v>400</v>
      </c>
      <c r="Q4548" s="3">
        <v>12000</v>
      </c>
      <c r="AB4548" s="3">
        <v>12</v>
      </c>
      <c r="AC4548" s="3">
        <v>11765.06</v>
      </c>
      <c r="AD4548" s="3">
        <v>10000</v>
      </c>
      <c r="AE4548" s="3">
        <v>2500</v>
      </c>
      <c r="AF4548" s="3">
        <v>30000</v>
      </c>
      <c r="AG4548" s="3">
        <v>87</v>
      </c>
      <c r="AH4548" s="3">
        <v>4289.33</v>
      </c>
      <c r="AI4548" s="3">
        <v>3900</v>
      </c>
      <c r="AJ4548" s="3">
        <v>1200</v>
      </c>
      <c r="AK4548" s="3">
        <v>11400</v>
      </c>
      <c r="AQ4548" s="3">
        <v>29</v>
      </c>
      <c r="AR4548" s="3">
        <v>7662.1</v>
      </c>
      <c r="AS4548" s="3">
        <v>6600</v>
      </c>
      <c r="AT4548" s="3">
        <v>2000</v>
      </c>
      <c r="AU4548" s="3">
        <v>15000</v>
      </c>
      <c r="AV4548" s="3">
        <v>171</v>
      </c>
      <c r="AW4548" s="3">
        <v>4776.2</v>
      </c>
      <c r="AX4548" s="3">
        <v>4000</v>
      </c>
      <c r="AY4548" s="3">
        <v>2000</v>
      </c>
      <c r="AZ4548" s="3">
        <v>18000</v>
      </c>
      <c r="BA4548" s="3">
        <v>1</v>
      </c>
      <c r="BB4548" s="3">
        <v>2000</v>
      </c>
      <c r="BC4548" s="3">
        <v>2000</v>
      </c>
      <c r="BD4548" s="3">
        <v>2000</v>
      </c>
      <c r="BE4548" s="3">
        <v>2000</v>
      </c>
      <c r="BF4548" s="3">
        <v>6</v>
      </c>
      <c r="BG4548" s="3">
        <v>3464.27</v>
      </c>
      <c r="BH4548" s="3">
        <v>4000</v>
      </c>
      <c r="BI4548" s="3">
        <v>860</v>
      </c>
      <c r="BJ4548" s="3">
        <v>5000</v>
      </c>
      <c r="BL4548" s="3" t="s">
        <v>28</v>
      </c>
      <c r="BM4548" s="3" t="s">
        <v>199</v>
      </c>
      <c r="BN4548" s="3">
        <v>18</v>
      </c>
      <c r="BO4548" s="3">
        <v>5013.3</v>
      </c>
      <c r="BP4548" s="3">
        <v>4500</v>
      </c>
      <c r="BQ4548" s="3">
        <v>400</v>
      </c>
      <c r="BR4548" s="3">
        <v>15000</v>
      </c>
      <c r="BS4548" s="3">
        <v>6</v>
      </c>
      <c r="BT4548" s="3">
        <v>3938.69</v>
      </c>
      <c r="BU4548" s="3">
        <v>3333.33</v>
      </c>
      <c r="BV4548" s="3">
        <v>666.67</v>
      </c>
      <c r="BW4548" s="3">
        <v>6500</v>
      </c>
      <c r="BX4548" s="3">
        <v>11</v>
      </c>
      <c r="BY4548" s="3">
        <v>2766.37</v>
      </c>
      <c r="BZ4548" s="3">
        <v>1750</v>
      </c>
      <c r="CA4548" s="3">
        <v>200</v>
      </c>
      <c r="CB4548" s="3">
        <v>8000</v>
      </c>
      <c r="CM4548" s="3">
        <v>12</v>
      </c>
      <c r="CN4548" s="3">
        <v>8952.14</v>
      </c>
      <c r="CO4548" s="3">
        <v>8000</v>
      </c>
      <c r="CP4548" s="3">
        <v>750</v>
      </c>
      <c r="CQ4548" s="3">
        <v>30000</v>
      </c>
      <c r="CR4548" s="3">
        <v>87</v>
      </c>
      <c r="CS4548" s="3">
        <v>3277.67</v>
      </c>
      <c r="CT4548" s="3">
        <v>3298</v>
      </c>
      <c r="CU4548" s="3">
        <v>625</v>
      </c>
      <c r="CV4548" s="3">
        <v>8300</v>
      </c>
      <c r="DB4548" s="3">
        <v>29</v>
      </c>
      <c r="DC4548" s="3">
        <v>6063.19</v>
      </c>
      <c r="DD4548" s="3">
        <v>5000</v>
      </c>
      <c r="DE4548" s="3">
        <v>333.33</v>
      </c>
      <c r="DF4548" s="3">
        <v>15000</v>
      </c>
      <c r="DG4548" s="3">
        <v>171</v>
      </c>
      <c r="DH4548" s="3">
        <v>2898.6</v>
      </c>
      <c r="DI4548" s="3">
        <v>2333.33</v>
      </c>
      <c r="DJ4548" s="3">
        <v>1000</v>
      </c>
      <c r="DK4548" s="3">
        <v>9000</v>
      </c>
      <c r="DL4548" s="3">
        <v>1</v>
      </c>
      <c r="DM4548" s="3">
        <v>2000</v>
      </c>
      <c r="DN4548" s="3">
        <v>2000</v>
      </c>
      <c r="DO4548" s="3">
        <v>2000</v>
      </c>
      <c r="DP4548" s="3">
        <v>2000</v>
      </c>
      <c r="DQ4548" s="3">
        <v>6</v>
      </c>
      <c r="DR4548" s="3">
        <v>1886.47</v>
      </c>
      <c r="DS4548" s="3">
        <v>2000</v>
      </c>
      <c r="DT4548" s="3">
        <v>215</v>
      </c>
      <c r="DU4548" s="3">
        <v>2500</v>
      </c>
    </row>
    <row r="4549" spans="1:125" x14ac:dyDescent="0.3">
      <c r="A4549" t="s">
        <v>27</v>
      </c>
      <c r="B4549" t="s">
        <v>198</v>
      </c>
      <c r="C4549">
        <v>36</v>
      </c>
      <c r="D4549">
        <v>10456.879999999999</v>
      </c>
      <c r="E4549">
        <v>8600</v>
      </c>
      <c r="F4549">
        <v>2500</v>
      </c>
      <c r="G4549">
        <v>35000</v>
      </c>
      <c r="H4549">
        <v>7</v>
      </c>
      <c r="I4549">
        <v>6629.27</v>
      </c>
      <c r="J4549">
        <v>5000</v>
      </c>
      <c r="K4549">
        <v>260</v>
      </c>
      <c r="L4549">
        <v>15000</v>
      </c>
      <c r="M4549">
        <v>4</v>
      </c>
      <c r="N4549">
        <v>7526.92</v>
      </c>
      <c r="O4549">
        <v>5000</v>
      </c>
      <c r="P4549">
        <v>5000</v>
      </c>
      <c r="Q4549">
        <v>15000</v>
      </c>
      <c r="AB4549">
        <v>1</v>
      </c>
      <c r="AC4549">
        <v>10000</v>
      </c>
      <c r="AD4549">
        <v>10000</v>
      </c>
      <c r="AE4549">
        <v>10000</v>
      </c>
      <c r="AF4549">
        <v>10000</v>
      </c>
      <c r="AG4549">
        <v>82</v>
      </c>
      <c r="AH4549">
        <v>4515.0200000000004</v>
      </c>
      <c r="AI4549">
        <v>3675</v>
      </c>
      <c r="AJ4549">
        <v>1600</v>
      </c>
      <c r="AK4549">
        <v>18000</v>
      </c>
      <c r="AL4549">
        <v>1</v>
      </c>
      <c r="AM4549">
        <v>3000</v>
      </c>
      <c r="AN4549">
        <v>3000</v>
      </c>
      <c r="AO4549">
        <v>3000</v>
      </c>
      <c r="AP4549">
        <v>3000</v>
      </c>
      <c r="AQ4549">
        <v>3</v>
      </c>
      <c r="AR4549">
        <v>3787.23</v>
      </c>
      <c r="AS4549">
        <v>2000</v>
      </c>
      <c r="AT4549">
        <v>2000</v>
      </c>
      <c r="AU4549">
        <v>8000</v>
      </c>
      <c r="AV4549">
        <v>108</v>
      </c>
      <c r="AW4549">
        <v>4315.37</v>
      </c>
      <c r="AX4549">
        <v>4000</v>
      </c>
      <c r="AY4549">
        <v>2000</v>
      </c>
      <c r="AZ4549">
        <v>15000</v>
      </c>
      <c r="BF4549">
        <v>3</v>
      </c>
      <c r="BG4549">
        <v>7669.68</v>
      </c>
      <c r="BH4549">
        <v>3000</v>
      </c>
      <c r="BI4549">
        <v>1039</v>
      </c>
      <c r="BJ4549">
        <v>20000</v>
      </c>
      <c r="BL4549" t="s">
        <v>27</v>
      </c>
      <c r="BM4549" t="s">
        <v>198</v>
      </c>
      <c r="BN4549">
        <v>36</v>
      </c>
      <c r="BO4549">
        <v>4842.83</v>
      </c>
      <c r="BP4549">
        <v>5000</v>
      </c>
      <c r="BQ4549">
        <v>1200</v>
      </c>
      <c r="BR4549">
        <v>15000</v>
      </c>
      <c r="BS4549">
        <v>7</v>
      </c>
      <c r="BT4549">
        <v>2919.07</v>
      </c>
      <c r="BU4549">
        <v>2500</v>
      </c>
      <c r="BV4549">
        <v>130</v>
      </c>
      <c r="BW4549">
        <v>7500</v>
      </c>
      <c r="BX4549">
        <v>4</v>
      </c>
      <c r="BY4549">
        <v>2818.84</v>
      </c>
      <c r="BZ4549">
        <v>1250</v>
      </c>
      <c r="CA4549">
        <v>833.33</v>
      </c>
      <c r="CB4549">
        <v>7500</v>
      </c>
      <c r="CM4549">
        <v>1</v>
      </c>
      <c r="CN4549">
        <v>10000</v>
      </c>
      <c r="CO4549">
        <v>10000</v>
      </c>
      <c r="CP4549">
        <v>10000</v>
      </c>
      <c r="CQ4549">
        <v>10000</v>
      </c>
      <c r="CR4549">
        <v>82</v>
      </c>
      <c r="CS4549">
        <v>3009.41</v>
      </c>
      <c r="CT4549">
        <v>3000</v>
      </c>
      <c r="CU4549">
        <v>450</v>
      </c>
      <c r="CV4549">
        <v>9000</v>
      </c>
      <c r="CW4549">
        <v>1</v>
      </c>
      <c r="CX4549">
        <v>3000</v>
      </c>
      <c r="CY4549">
        <v>3000</v>
      </c>
      <c r="CZ4549">
        <v>3000</v>
      </c>
      <c r="DA4549">
        <v>3000</v>
      </c>
      <c r="DB4549">
        <v>3</v>
      </c>
      <c r="DC4549">
        <v>2198.58</v>
      </c>
      <c r="DD4549">
        <v>2000</v>
      </c>
      <c r="DE4549">
        <v>2000</v>
      </c>
      <c r="DF4549">
        <v>2666.67</v>
      </c>
      <c r="DG4549">
        <v>108</v>
      </c>
      <c r="DH4549">
        <v>2163.54</v>
      </c>
      <c r="DI4549">
        <v>2000</v>
      </c>
      <c r="DJ4549">
        <v>666.67</v>
      </c>
      <c r="DK4549">
        <v>5760</v>
      </c>
      <c r="DQ4549">
        <v>3</v>
      </c>
      <c r="DR4549">
        <v>3460.21</v>
      </c>
      <c r="DS4549">
        <v>750</v>
      </c>
      <c r="DT4549">
        <v>207.8</v>
      </c>
      <c r="DU4549">
        <v>10000</v>
      </c>
    </row>
    <row r="4550" spans="1:125" s="3" customFormat="1" x14ac:dyDescent="0.3">
      <c r="A4550" s="3" t="s">
        <v>27</v>
      </c>
      <c r="B4550" s="3" t="s">
        <v>199</v>
      </c>
      <c r="C4550" s="3">
        <v>30</v>
      </c>
      <c r="D4550" s="3">
        <v>7108.98</v>
      </c>
      <c r="E4550" s="3">
        <v>6000</v>
      </c>
      <c r="F4550" s="3">
        <v>3000</v>
      </c>
      <c r="G4550" s="3">
        <v>15000</v>
      </c>
      <c r="H4550" s="3">
        <v>6</v>
      </c>
      <c r="I4550" s="3">
        <v>4114.87</v>
      </c>
      <c r="J4550" s="3">
        <v>3000</v>
      </c>
      <c r="K4550" s="3">
        <v>2500</v>
      </c>
      <c r="L4550" s="3">
        <v>8000</v>
      </c>
      <c r="M4550" s="3">
        <v>1</v>
      </c>
      <c r="N4550" s="3">
        <v>10000</v>
      </c>
      <c r="O4550" s="3">
        <v>10000</v>
      </c>
      <c r="P4550" s="3">
        <v>10000</v>
      </c>
      <c r="Q4550" s="3">
        <v>10000</v>
      </c>
      <c r="AB4550" s="3">
        <v>2</v>
      </c>
      <c r="AC4550" s="3">
        <v>6538.46</v>
      </c>
      <c r="AD4550" s="3">
        <v>15000</v>
      </c>
      <c r="AE4550" s="3">
        <v>4000</v>
      </c>
      <c r="AF4550" s="3">
        <v>15000</v>
      </c>
      <c r="AG4550" s="3">
        <v>93</v>
      </c>
      <c r="AH4550" s="3">
        <v>5377.09</v>
      </c>
      <c r="AI4550" s="3">
        <v>4000</v>
      </c>
      <c r="AJ4550" s="3">
        <v>700</v>
      </c>
      <c r="AK4550" s="3">
        <v>18000</v>
      </c>
      <c r="AQ4550" s="3">
        <v>6</v>
      </c>
      <c r="AR4550" s="3">
        <v>4606.33</v>
      </c>
      <c r="AS4550" s="3">
        <v>5000</v>
      </c>
      <c r="AT4550" s="3">
        <v>2000</v>
      </c>
      <c r="AU4550" s="3">
        <v>6600</v>
      </c>
      <c r="AV4550" s="3">
        <v>117</v>
      </c>
      <c r="AW4550" s="3">
        <v>4580.07</v>
      </c>
      <c r="AX4550" s="3">
        <v>4000</v>
      </c>
      <c r="AY4550" s="3">
        <v>800</v>
      </c>
      <c r="AZ4550" s="3">
        <v>13200</v>
      </c>
      <c r="BL4550" s="3" t="s">
        <v>27</v>
      </c>
      <c r="BM4550" s="3" t="s">
        <v>199</v>
      </c>
      <c r="BN4550" s="3">
        <v>30</v>
      </c>
      <c r="BO4550" s="3">
        <v>3925.8</v>
      </c>
      <c r="BP4550" s="3">
        <v>3000</v>
      </c>
      <c r="BQ4550" s="3">
        <v>1250</v>
      </c>
      <c r="BR4550" s="3">
        <v>10000</v>
      </c>
      <c r="BS4550" s="3">
        <v>6</v>
      </c>
      <c r="BT4550" s="3">
        <v>2093.8000000000002</v>
      </c>
      <c r="BU4550" s="3">
        <v>1266.67</v>
      </c>
      <c r="BV4550" s="3">
        <v>1000</v>
      </c>
      <c r="BW4550" s="3">
        <v>4000</v>
      </c>
      <c r="BX4550" s="3">
        <v>1</v>
      </c>
      <c r="BY4550" s="3">
        <v>5000</v>
      </c>
      <c r="BZ4550" s="3">
        <v>5000</v>
      </c>
      <c r="CA4550" s="3">
        <v>5000</v>
      </c>
      <c r="CB4550" s="3">
        <v>5000</v>
      </c>
      <c r="CM4550" s="3">
        <v>2</v>
      </c>
      <c r="CN4550" s="3">
        <v>2756.41</v>
      </c>
      <c r="CO4550" s="3">
        <v>7500</v>
      </c>
      <c r="CP4550" s="3">
        <v>1333.33</v>
      </c>
      <c r="CQ4550" s="3">
        <v>7500</v>
      </c>
      <c r="CR4550" s="3">
        <v>93</v>
      </c>
      <c r="CS4550" s="3">
        <v>3326.44</v>
      </c>
      <c r="CT4550" s="3">
        <v>3200</v>
      </c>
      <c r="CU4550" s="3">
        <v>625</v>
      </c>
      <c r="CV4550" s="3">
        <v>10500</v>
      </c>
      <c r="DB4550" s="3">
        <v>6</v>
      </c>
      <c r="DC4550" s="3">
        <v>2238.9899999999998</v>
      </c>
      <c r="DD4550" s="3">
        <v>2200</v>
      </c>
      <c r="DE4550" s="3">
        <v>1000</v>
      </c>
      <c r="DF4550" s="3">
        <v>3000</v>
      </c>
      <c r="DG4550" s="3">
        <v>117</v>
      </c>
      <c r="DH4550" s="3">
        <v>2302.52</v>
      </c>
      <c r="DI4550" s="3">
        <v>2000</v>
      </c>
      <c r="DJ4550" s="3">
        <v>280</v>
      </c>
      <c r="DK4550" s="3">
        <v>5520</v>
      </c>
    </row>
    <row r="4551" spans="1:125" x14ac:dyDescent="0.3">
      <c r="A4551" t="s">
        <v>41</v>
      </c>
      <c r="B4551" t="s">
        <v>198</v>
      </c>
      <c r="C4551">
        <v>86</v>
      </c>
      <c r="D4551">
        <v>10247.15</v>
      </c>
      <c r="E4551">
        <v>8000</v>
      </c>
      <c r="F4551">
        <v>2000</v>
      </c>
      <c r="G4551">
        <v>35000</v>
      </c>
      <c r="H4551">
        <v>18</v>
      </c>
      <c r="I4551">
        <v>4558.26</v>
      </c>
      <c r="J4551">
        <v>4500</v>
      </c>
      <c r="K4551">
        <v>260</v>
      </c>
      <c r="L4551">
        <v>15000</v>
      </c>
      <c r="M4551">
        <v>23</v>
      </c>
      <c r="N4551">
        <v>5975.95</v>
      </c>
      <c r="O4551">
        <v>5000</v>
      </c>
      <c r="P4551">
        <v>1000</v>
      </c>
      <c r="Q4551">
        <v>15000</v>
      </c>
      <c r="R4551">
        <v>2</v>
      </c>
      <c r="S4551">
        <v>6430.11</v>
      </c>
      <c r="T4551">
        <v>12000</v>
      </c>
      <c r="U4551">
        <v>2500</v>
      </c>
      <c r="V4551">
        <v>12000</v>
      </c>
      <c r="AB4551">
        <v>10</v>
      </c>
      <c r="AC4551">
        <v>9470.1</v>
      </c>
      <c r="AD4551">
        <v>10000</v>
      </c>
      <c r="AE4551">
        <v>2000</v>
      </c>
      <c r="AF4551">
        <v>15000</v>
      </c>
      <c r="AG4551">
        <v>276</v>
      </c>
      <c r="AH4551">
        <v>5100.6099999999997</v>
      </c>
      <c r="AI4551">
        <v>3900</v>
      </c>
      <c r="AJ4551">
        <v>800</v>
      </c>
      <c r="AK4551">
        <v>23800</v>
      </c>
      <c r="AL4551">
        <v>3</v>
      </c>
      <c r="AM4551">
        <v>3977.15</v>
      </c>
      <c r="AN4551">
        <v>4500</v>
      </c>
      <c r="AO4551">
        <v>2000</v>
      </c>
      <c r="AP4551">
        <v>4500</v>
      </c>
      <c r="AQ4551">
        <v>14</v>
      </c>
      <c r="AR4551">
        <v>4647.07</v>
      </c>
      <c r="AS4551">
        <v>4440</v>
      </c>
      <c r="AT4551">
        <v>1000</v>
      </c>
      <c r="AU4551">
        <v>12400</v>
      </c>
      <c r="AV4551">
        <v>440</v>
      </c>
      <c r="AW4551">
        <v>5717.3</v>
      </c>
      <c r="AX4551">
        <v>4400</v>
      </c>
      <c r="AY4551">
        <v>860</v>
      </c>
      <c r="AZ4551">
        <v>52000</v>
      </c>
      <c r="BF4551">
        <v>12</v>
      </c>
      <c r="BG4551">
        <v>4638.47</v>
      </c>
      <c r="BH4551">
        <v>4000</v>
      </c>
      <c r="BI4551">
        <v>1039</v>
      </c>
      <c r="BJ4551">
        <v>20000</v>
      </c>
      <c r="BL4551" t="s">
        <v>41</v>
      </c>
      <c r="BM4551" t="s">
        <v>198</v>
      </c>
      <c r="BN4551">
        <v>86</v>
      </c>
      <c r="BO4551">
        <v>3625.39</v>
      </c>
      <c r="BP4551">
        <v>3500</v>
      </c>
      <c r="BQ4551">
        <v>500</v>
      </c>
      <c r="BR4551">
        <v>15000</v>
      </c>
      <c r="BS4551">
        <v>18</v>
      </c>
      <c r="BT4551">
        <v>1693.11</v>
      </c>
      <c r="BU4551">
        <v>1125</v>
      </c>
      <c r="BV4551">
        <v>130</v>
      </c>
      <c r="BW4551">
        <v>7500</v>
      </c>
      <c r="BX4551">
        <v>23</v>
      </c>
      <c r="BY4551">
        <v>2280.08</v>
      </c>
      <c r="BZ4551">
        <v>2500</v>
      </c>
      <c r="CA4551">
        <v>333.33</v>
      </c>
      <c r="CB4551">
        <v>7500</v>
      </c>
      <c r="CC4551">
        <v>2</v>
      </c>
      <c r="CD4551">
        <v>2021.22</v>
      </c>
      <c r="CE4551">
        <v>4000</v>
      </c>
      <c r="CF4551">
        <v>625</v>
      </c>
      <c r="CG4551">
        <v>4000</v>
      </c>
      <c r="CM4551">
        <v>10</v>
      </c>
      <c r="CN4551">
        <v>4973.96</v>
      </c>
      <c r="CO4551">
        <v>3000</v>
      </c>
      <c r="CP4551">
        <v>1000</v>
      </c>
      <c r="CQ4551">
        <v>10000</v>
      </c>
      <c r="CR4551">
        <v>276</v>
      </c>
      <c r="CS4551">
        <v>3076.5</v>
      </c>
      <c r="CT4551">
        <v>2760</v>
      </c>
      <c r="CU4551">
        <v>333.33</v>
      </c>
      <c r="CV4551">
        <v>15000</v>
      </c>
      <c r="CW4551">
        <v>3</v>
      </c>
      <c r="CX4551">
        <v>1736.92</v>
      </c>
      <c r="CY4551">
        <v>2000</v>
      </c>
      <c r="CZ4551">
        <v>1500</v>
      </c>
      <c r="DA4551">
        <v>3000</v>
      </c>
      <c r="DB4551">
        <v>14</v>
      </c>
      <c r="DC4551">
        <v>1815.23</v>
      </c>
      <c r="DD4551">
        <v>2000</v>
      </c>
      <c r="DE4551">
        <v>500</v>
      </c>
      <c r="DF4551">
        <v>6200</v>
      </c>
      <c r="DG4551">
        <v>439</v>
      </c>
      <c r="DH4551">
        <v>2375.09</v>
      </c>
      <c r="DI4551">
        <v>2000</v>
      </c>
      <c r="DJ4551">
        <v>286.67</v>
      </c>
      <c r="DK4551">
        <v>6900</v>
      </c>
      <c r="DQ4551">
        <v>12</v>
      </c>
      <c r="DR4551">
        <v>1580.52</v>
      </c>
      <c r="DS4551">
        <v>1000</v>
      </c>
      <c r="DT4551">
        <v>207.8</v>
      </c>
      <c r="DU4551">
        <v>10000</v>
      </c>
    </row>
    <row r="4552" spans="1:125" x14ac:dyDescent="0.3">
      <c r="A4552" t="s">
        <v>41</v>
      </c>
      <c r="B4552" t="s">
        <v>199</v>
      </c>
      <c r="C4552">
        <v>281</v>
      </c>
      <c r="D4552">
        <v>9597.15</v>
      </c>
      <c r="E4552">
        <v>8000</v>
      </c>
      <c r="F4552">
        <v>1200</v>
      </c>
      <c r="G4552">
        <v>40000</v>
      </c>
      <c r="H4552">
        <v>78</v>
      </c>
      <c r="I4552">
        <v>6832.67</v>
      </c>
      <c r="J4552">
        <v>6000</v>
      </c>
      <c r="K4552">
        <v>1000</v>
      </c>
      <c r="L4552">
        <v>20000</v>
      </c>
      <c r="M4552">
        <v>80</v>
      </c>
      <c r="N4552">
        <v>6113.84</v>
      </c>
      <c r="O4552">
        <v>6000</v>
      </c>
      <c r="P4552">
        <v>200</v>
      </c>
      <c r="Q4552">
        <v>19000</v>
      </c>
      <c r="R4552">
        <v>3</v>
      </c>
      <c r="S4552">
        <v>5249.76</v>
      </c>
      <c r="T4552">
        <v>6000</v>
      </c>
      <c r="U4552">
        <v>3000</v>
      </c>
      <c r="V4552">
        <v>10000</v>
      </c>
      <c r="W4552">
        <v>2</v>
      </c>
      <c r="X4552">
        <v>13377.38</v>
      </c>
      <c r="Y4552">
        <v>24000</v>
      </c>
      <c r="Z4552">
        <v>250</v>
      </c>
      <c r="AA4552">
        <v>24000</v>
      </c>
      <c r="AB4552">
        <v>59</v>
      </c>
      <c r="AC4552">
        <v>5522.47</v>
      </c>
      <c r="AD4552">
        <v>3000</v>
      </c>
      <c r="AE4552">
        <v>250</v>
      </c>
      <c r="AF4552">
        <v>30000</v>
      </c>
      <c r="AG4552">
        <v>715</v>
      </c>
      <c r="AH4552">
        <v>5164.8599999999997</v>
      </c>
      <c r="AI4552">
        <v>4000</v>
      </c>
      <c r="AJ4552">
        <v>700</v>
      </c>
      <c r="AK4552">
        <v>23200</v>
      </c>
      <c r="AL4552">
        <v>6</v>
      </c>
      <c r="AM4552">
        <v>3287.55</v>
      </c>
      <c r="AN4552">
        <v>4500</v>
      </c>
      <c r="AO4552">
        <v>100</v>
      </c>
      <c r="AP4552">
        <v>5000</v>
      </c>
      <c r="AQ4552">
        <v>90</v>
      </c>
      <c r="AR4552">
        <v>6273.72</v>
      </c>
      <c r="AS4552">
        <v>6600</v>
      </c>
      <c r="AT4552">
        <v>2000</v>
      </c>
      <c r="AU4552">
        <v>15000</v>
      </c>
      <c r="AV4552">
        <v>1279</v>
      </c>
      <c r="AW4552">
        <v>5670.61</v>
      </c>
      <c r="AX4552">
        <v>5000</v>
      </c>
      <c r="AY4552">
        <v>640</v>
      </c>
      <c r="AZ4552">
        <v>31000</v>
      </c>
      <c r="BA4552">
        <v>3</v>
      </c>
      <c r="BB4552">
        <v>2770.96</v>
      </c>
      <c r="BC4552">
        <v>2000</v>
      </c>
      <c r="BD4552">
        <v>2000</v>
      </c>
      <c r="BE4552">
        <v>5300</v>
      </c>
      <c r="BF4552">
        <v>18</v>
      </c>
      <c r="BG4552">
        <v>7003.26</v>
      </c>
      <c r="BH4552">
        <v>5000</v>
      </c>
      <c r="BI4552">
        <v>860</v>
      </c>
      <c r="BJ4552">
        <v>22000</v>
      </c>
      <c r="BL4552" t="s">
        <v>41</v>
      </c>
      <c r="BM4552" t="s">
        <v>199</v>
      </c>
      <c r="BN4552">
        <v>281</v>
      </c>
      <c r="BO4552">
        <v>4062.55</v>
      </c>
      <c r="BP4552">
        <v>3000</v>
      </c>
      <c r="BQ4552">
        <v>375</v>
      </c>
      <c r="BR4552">
        <v>30000</v>
      </c>
      <c r="BS4552">
        <v>78</v>
      </c>
      <c r="BT4552">
        <v>3016.36</v>
      </c>
      <c r="BU4552">
        <v>2000</v>
      </c>
      <c r="BV4552">
        <v>166.67</v>
      </c>
      <c r="BW4552">
        <v>20000</v>
      </c>
      <c r="BX4552">
        <v>80</v>
      </c>
      <c r="BY4552">
        <v>2538.02</v>
      </c>
      <c r="BZ4552">
        <v>2000</v>
      </c>
      <c r="CA4552">
        <v>100</v>
      </c>
      <c r="CB4552">
        <v>12000</v>
      </c>
      <c r="CC4552">
        <v>3</v>
      </c>
      <c r="CD4552">
        <v>3360.25</v>
      </c>
      <c r="CE4552">
        <v>5000</v>
      </c>
      <c r="CF4552">
        <v>1000</v>
      </c>
      <c r="CG4552">
        <v>6000</v>
      </c>
      <c r="CH4552">
        <v>2</v>
      </c>
      <c r="CI4552">
        <v>13321.47</v>
      </c>
      <c r="CJ4552">
        <v>24000</v>
      </c>
      <c r="CK4552">
        <v>125</v>
      </c>
      <c r="CL4552">
        <v>24000</v>
      </c>
      <c r="CM4552">
        <v>59</v>
      </c>
      <c r="CN4552">
        <v>2594.58</v>
      </c>
      <c r="CO4552">
        <v>1000</v>
      </c>
      <c r="CP4552">
        <v>100</v>
      </c>
      <c r="CQ4552">
        <v>30000</v>
      </c>
      <c r="CR4552">
        <v>715</v>
      </c>
      <c r="CS4552">
        <v>2810.9</v>
      </c>
      <c r="CT4552">
        <v>2630</v>
      </c>
      <c r="CU4552">
        <v>357.14</v>
      </c>
      <c r="CV4552">
        <v>11600</v>
      </c>
      <c r="CW4552">
        <v>6</v>
      </c>
      <c r="CX4552">
        <v>2669.75</v>
      </c>
      <c r="CY4552">
        <v>2250</v>
      </c>
      <c r="CZ4552">
        <v>50</v>
      </c>
      <c r="DA4552">
        <v>5000</v>
      </c>
      <c r="DB4552">
        <v>90</v>
      </c>
      <c r="DC4552">
        <v>2619.75</v>
      </c>
      <c r="DD4552">
        <v>2333.33</v>
      </c>
      <c r="DE4552">
        <v>333.33</v>
      </c>
      <c r="DF4552">
        <v>15000</v>
      </c>
      <c r="DG4552">
        <v>1279</v>
      </c>
      <c r="DH4552">
        <v>2400.4299999999998</v>
      </c>
      <c r="DI4552">
        <v>2000</v>
      </c>
      <c r="DJ4552">
        <v>213.33</v>
      </c>
      <c r="DK4552">
        <v>9000</v>
      </c>
      <c r="DL4552">
        <v>3</v>
      </c>
      <c r="DM4552">
        <v>2151.86</v>
      </c>
      <c r="DN4552">
        <v>2000</v>
      </c>
      <c r="DO4552">
        <v>2000</v>
      </c>
      <c r="DP4552">
        <v>2650</v>
      </c>
      <c r="DQ4552">
        <v>18</v>
      </c>
      <c r="DR4552">
        <v>2874.34</v>
      </c>
      <c r="DS4552">
        <v>2200</v>
      </c>
      <c r="DT4552">
        <v>215</v>
      </c>
      <c r="DU4552">
        <v>7333.33</v>
      </c>
    </row>
    <row r="4553" spans="1:125" x14ac:dyDescent="0.3">
      <c r="A4553" t="s">
        <v>26</v>
      </c>
      <c r="B4553" t="s">
        <v>308</v>
      </c>
      <c r="BL4553" t="s">
        <v>26</v>
      </c>
      <c r="BM4553" t="s">
        <v>308</v>
      </c>
    </row>
    <row r="4554" spans="1:125" x14ac:dyDescent="0.3">
      <c r="A4554" t="s">
        <v>28</v>
      </c>
      <c r="B4554" t="s">
        <v>308</v>
      </c>
      <c r="BL4554" t="s">
        <v>28</v>
      </c>
      <c r="BM4554" t="s">
        <v>308</v>
      </c>
    </row>
    <row r="4555" spans="1:125" x14ac:dyDescent="0.3">
      <c r="A4555" t="s">
        <v>27</v>
      </c>
      <c r="B4555" t="s">
        <v>308</v>
      </c>
      <c r="BL4555" t="s">
        <v>27</v>
      </c>
      <c r="BM4555" t="s">
        <v>308</v>
      </c>
    </row>
    <row r="4556" spans="1:125" x14ac:dyDescent="0.3">
      <c r="A4556" t="s">
        <v>25</v>
      </c>
      <c r="B4556" t="s">
        <v>308</v>
      </c>
      <c r="BL4556" t="s">
        <v>25</v>
      </c>
      <c r="BM4556" t="s">
        <v>308</v>
      </c>
    </row>
    <row r="4557" spans="1:125" x14ac:dyDescent="0.3">
      <c r="A4557" t="s">
        <v>29</v>
      </c>
      <c r="B4557" t="s">
        <v>308</v>
      </c>
      <c r="BL4557" t="s">
        <v>29</v>
      </c>
      <c r="BM4557" t="s">
        <v>308</v>
      </c>
    </row>
    <row r="4559" spans="1:125" x14ac:dyDescent="0.3">
      <c r="A4559" t="s">
        <v>1824</v>
      </c>
      <c r="BL4559" t="s">
        <v>1825</v>
      </c>
    </row>
    <row r="4560" spans="1:125" x14ac:dyDescent="0.3">
      <c r="A4560" t="s">
        <v>36</v>
      </c>
      <c r="B4560" t="s">
        <v>310</v>
      </c>
      <c r="C4560" t="s">
        <v>1702</v>
      </c>
      <c r="D4560" t="s">
        <v>1703</v>
      </c>
      <c r="E4560" t="s">
        <v>1704</v>
      </c>
      <c r="F4560" t="s">
        <v>1705</v>
      </c>
      <c r="G4560" t="s">
        <v>1706</v>
      </c>
      <c r="H4560" t="s">
        <v>1707</v>
      </c>
      <c r="I4560" t="s">
        <v>1708</v>
      </c>
      <c r="J4560" t="s">
        <v>1709</v>
      </c>
      <c r="K4560" t="s">
        <v>1710</v>
      </c>
      <c r="L4560" t="s">
        <v>1711</v>
      </c>
      <c r="M4560" t="s">
        <v>1712</v>
      </c>
      <c r="N4560" t="s">
        <v>1713</v>
      </c>
      <c r="O4560" t="s">
        <v>1714</v>
      </c>
      <c r="P4560" t="s">
        <v>1715</v>
      </c>
      <c r="Q4560" t="s">
        <v>1716</v>
      </c>
      <c r="R4560" t="s">
        <v>1717</v>
      </c>
      <c r="S4560" t="s">
        <v>1718</v>
      </c>
      <c r="T4560" t="s">
        <v>1719</v>
      </c>
      <c r="U4560" t="s">
        <v>1720</v>
      </c>
      <c r="V4560" t="s">
        <v>1721</v>
      </c>
      <c r="W4560" t="s">
        <v>1722</v>
      </c>
      <c r="X4560" t="s">
        <v>1723</v>
      </c>
      <c r="Y4560" t="s">
        <v>1724</v>
      </c>
      <c r="Z4560" t="s">
        <v>1725</v>
      </c>
      <c r="AA4560" t="s">
        <v>1726</v>
      </c>
      <c r="AB4560" t="s">
        <v>1727</v>
      </c>
      <c r="AC4560" t="s">
        <v>1728</v>
      </c>
      <c r="AD4560" t="s">
        <v>1729</v>
      </c>
      <c r="AE4560" t="s">
        <v>1730</v>
      </c>
      <c r="AF4560" t="s">
        <v>1731</v>
      </c>
      <c r="AG4560" t="s">
        <v>1732</v>
      </c>
      <c r="AH4560" t="s">
        <v>1733</v>
      </c>
      <c r="AI4560" t="s">
        <v>1734</v>
      </c>
      <c r="AJ4560" t="s">
        <v>1735</v>
      </c>
      <c r="AK4560" t="s">
        <v>1736</v>
      </c>
      <c r="AL4560" t="s">
        <v>1737</v>
      </c>
      <c r="AM4560" t="s">
        <v>1738</v>
      </c>
      <c r="AN4560" t="s">
        <v>1739</v>
      </c>
      <c r="AO4560" t="s">
        <v>1740</v>
      </c>
      <c r="AP4560" t="s">
        <v>1741</v>
      </c>
      <c r="AQ4560" t="s">
        <v>1742</v>
      </c>
      <c r="AR4560" t="s">
        <v>1743</v>
      </c>
      <c r="AS4560" t="s">
        <v>1744</v>
      </c>
      <c r="AT4560" t="s">
        <v>1745</v>
      </c>
      <c r="AU4560" t="s">
        <v>1746</v>
      </c>
      <c r="AV4560" t="s">
        <v>1747</v>
      </c>
      <c r="AW4560" t="s">
        <v>1748</v>
      </c>
      <c r="AX4560" t="s">
        <v>1749</v>
      </c>
      <c r="AY4560" t="s">
        <v>1750</v>
      </c>
      <c r="AZ4560" t="s">
        <v>1751</v>
      </c>
      <c r="BA4560" t="s">
        <v>1752</v>
      </c>
      <c r="BB4560" t="s">
        <v>1753</v>
      </c>
      <c r="BC4560" t="s">
        <v>1754</v>
      </c>
      <c r="BD4560" t="s">
        <v>1755</v>
      </c>
      <c r="BE4560" t="s">
        <v>1756</v>
      </c>
      <c r="BF4560" t="s">
        <v>1757</v>
      </c>
      <c r="BG4560" t="s">
        <v>1758</v>
      </c>
      <c r="BH4560" t="s">
        <v>1759</v>
      </c>
      <c r="BI4560" t="s">
        <v>1760</v>
      </c>
      <c r="BJ4560" t="s">
        <v>1761</v>
      </c>
      <c r="BL4560" t="s">
        <v>36</v>
      </c>
      <c r="BM4560" t="s">
        <v>310</v>
      </c>
      <c r="BN4560" t="s">
        <v>1762</v>
      </c>
      <c r="BO4560" t="s">
        <v>1763</v>
      </c>
      <c r="BP4560" t="s">
        <v>1764</v>
      </c>
      <c r="BQ4560" t="s">
        <v>1765</v>
      </c>
      <c r="BR4560" t="s">
        <v>1766</v>
      </c>
      <c r="BS4560" t="s">
        <v>1767</v>
      </c>
      <c r="BT4560" t="s">
        <v>1768</v>
      </c>
      <c r="BU4560" t="s">
        <v>1769</v>
      </c>
      <c r="BV4560" t="s">
        <v>1770</v>
      </c>
      <c r="BW4560" t="s">
        <v>1771</v>
      </c>
      <c r="BX4560" t="s">
        <v>1772</v>
      </c>
      <c r="BY4560" t="s">
        <v>1773</v>
      </c>
      <c r="BZ4560" t="s">
        <v>1774</v>
      </c>
      <c r="CA4560" t="s">
        <v>1775</v>
      </c>
      <c r="CB4560" t="s">
        <v>1776</v>
      </c>
      <c r="CC4560" t="s">
        <v>1777</v>
      </c>
      <c r="CD4560" t="s">
        <v>1778</v>
      </c>
      <c r="CE4560" t="s">
        <v>1779</v>
      </c>
      <c r="CF4560" t="s">
        <v>1780</v>
      </c>
      <c r="CG4560" t="s">
        <v>1781</v>
      </c>
      <c r="CH4560" t="s">
        <v>1782</v>
      </c>
      <c r="CI4560" t="s">
        <v>1783</v>
      </c>
      <c r="CJ4560" t="s">
        <v>1784</v>
      </c>
      <c r="CK4560" t="s">
        <v>1785</v>
      </c>
      <c r="CL4560" t="s">
        <v>1786</v>
      </c>
      <c r="CM4560" t="s">
        <v>1787</v>
      </c>
      <c r="CN4560" t="s">
        <v>1788</v>
      </c>
      <c r="CO4560" t="s">
        <v>1789</v>
      </c>
      <c r="CP4560" t="s">
        <v>1790</v>
      </c>
      <c r="CQ4560" t="s">
        <v>1791</v>
      </c>
      <c r="CR4560" t="s">
        <v>1792</v>
      </c>
      <c r="CS4560" t="s">
        <v>1793</v>
      </c>
      <c r="CT4560" t="s">
        <v>1794</v>
      </c>
      <c r="CU4560" t="s">
        <v>1795</v>
      </c>
      <c r="CV4560" t="s">
        <v>1796</v>
      </c>
      <c r="CW4560" t="s">
        <v>1797</v>
      </c>
      <c r="CX4560" t="s">
        <v>1798</v>
      </c>
      <c r="CY4560" t="s">
        <v>1799</v>
      </c>
      <c r="CZ4560" t="s">
        <v>1800</v>
      </c>
      <c r="DA4560" t="s">
        <v>1801</v>
      </c>
      <c r="DB4560" t="s">
        <v>1802</v>
      </c>
      <c r="DC4560" t="s">
        <v>1803</v>
      </c>
      <c r="DD4560" t="s">
        <v>1804</v>
      </c>
      <c r="DE4560" t="s">
        <v>1805</v>
      </c>
      <c r="DF4560" t="s">
        <v>1806</v>
      </c>
      <c r="DG4560" t="s">
        <v>1807</v>
      </c>
      <c r="DH4560" t="s">
        <v>1808</v>
      </c>
      <c r="DI4560" t="s">
        <v>1809</v>
      </c>
      <c r="DJ4560" t="s">
        <v>1810</v>
      </c>
      <c r="DK4560" t="s">
        <v>1811</v>
      </c>
      <c r="DL4560" t="s">
        <v>1812</v>
      </c>
      <c r="DM4560" t="s">
        <v>1813</v>
      </c>
      <c r="DN4560" t="s">
        <v>1814</v>
      </c>
      <c r="DO4560" t="s">
        <v>1815</v>
      </c>
      <c r="DP4560" t="s">
        <v>1816</v>
      </c>
      <c r="DQ4560" t="s">
        <v>1817</v>
      </c>
      <c r="DR4560" t="s">
        <v>1818</v>
      </c>
      <c r="DS4560" t="s">
        <v>1819</v>
      </c>
      <c r="DT4560" t="s">
        <v>1820</v>
      </c>
      <c r="DU4560" t="s">
        <v>1821</v>
      </c>
    </row>
    <row r="4561" spans="1:125" x14ac:dyDescent="0.3">
      <c r="A4561" t="s">
        <v>25</v>
      </c>
      <c r="B4561" t="s">
        <v>311</v>
      </c>
      <c r="C4561">
        <v>63</v>
      </c>
      <c r="D4561">
        <v>9715.52</v>
      </c>
      <c r="E4561">
        <v>8000</v>
      </c>
      <c r="F4561">
        <v>1200</v>
      </c>
      <c r="G4561">
        <v>35000</v>
      </c>
      <c r="H4561">
        <v>10</v>
      </c>
      <c r="I4561">
        <v>6673.84</v>
      </c>
      <c r="J4561">
        <v>7000</v>
      </c>
      <c r="K4561">
        <v>1700</v>
      </c>
      <c r="L4561">
        <v>15000</v>
      </c>
      <c r="M4561">
        <v>17</v>
      </c>
      <c r="N4561">
        <v>6305.47</v>
      </c>
      <c r="O4561">
        <v>6000</v>
      </c>
      <c r="P4561">
        <v>1500</v>
      </c>
      <c r="Q4561">
        <v>19000</v>
      </c>
      <c r="R4561">
        <v>2</v>
      </c>
      <c r="S4561">
        <v>11154.64</v>
      </c>
      <c r="T4561">
        <v>12000</v>
      </c>
      <c r="U4561">
        <v>10000</v>
      </c>
      <c r="V4561">
        <v>12000</v>
      </c>
      <c r="AB4561">
        <v>9</v>
      </c>
      <c r="AC4561">
        <v>2866.98</v>
      </c>
      <c r="AD4561">
        <v>3000</v>
      </c>
      <c r="AE4561">
        <v>1000</v>
      </c>
      <c r="AF4561">
        <v>5000</v>
      </c>
      <c r="AG4561">
        <v>184</v>
      </c>
      <c r="AH4561">
        <v>5155.03</v>
      </c>
      <c r="AI4561">
        <v>4000</v>
      </c>
      <c r="AJ4561">
        <v>2000</v>
      </c>
      <c r="AK4561">
        <v>20000</v>
      </c>
      <c r="AL4561">
        <v>3</v>
      </c>
      <c r="AM4561">
        <v>1827.27</v>
      </c>
      <c r="AN4561">
        <v>2000</v>
      </c>
      <c r="AO4561">
        <v>1500</v>
      </c>
      <c r="AP4561">
        <v>2000</v>
      </c>
      <c r="AQ4561">
        <v>1</v>
      </c>
      <c r="AR4561">
        <v>12400</v>
      </c>
      <c r="AS4561">
        <v>12400</v>
      </c>
      <c r="AT4561">
        <v>12400</v>
      </c>
      <c r="AU4561">
        <v>12400</v>
      </c>
      <c r="AV4561">
        <v>307</v>
      </c>
      <c r="AW4561">
        <v>5418.34</v>
      </c>
      <c r="AX4561">
        <v>4000</v>
      </c>
      <c r="AY4561">
        <v>2000</v>
      </c>
      <c r="AZ4561">
        <v>30000</v>
      </c>
      <c r="BF4561">
        <v>1</v>
      </c>
      <c r="BG4561">
        <v>3200</v>
      </c>
      <c r="BH4561">
        <v>3200</v>
      </c>
      <c r="BI4561">
        <v>3200</v>
      </c>
      <c r="BJ4561">
        <v>3200</v>
      </c>
      <c r="BL4561" t="s">
        <v>25</v>
      </c>
      <c r="BM4561" t="s">
        <v>311</v>
      </c>
      <c r="BN4561">
        <v>63</v>
      </c>
      <c r="BO4561">
        <v>3772.83</v>
      </c>
      <c r="BP4561">
        <v>3000</v>
      </c>
      <c r="BQ4561">
        <v>600</v>
      </c>
      <c r="BR4561">
        <v>11666.67</v>
      </c>
      <c r="BS4561">
        <v>10</v>
      </c>
      <c r="BT4561">
        <v>2118.5300000000002</v>
      </c>
      <c r="BU4561">
        <v>2000</v>
      </c>
      <c r="BV4561">
        <v>500</v>
      </c>
      <c r="BW4561">
        <v>4000</v>
      </c>
      <c r="BX4561">
        <v>17</v>
      </c>
      <c r="BY4561">
        <v>1974.11</v>
      </c>
      <c r="BZ4561">
        <v>1250</v>
      </c>
      <c r="CA4561">
        <v>375</v>
      </c>
      <c r="CB4561">
        <v>5500</v>
      </c>
      <c r="CC4561">
        <v>2</v>
      </c>
      <c r="CD4561">
        <v>4422.68</v>
      </c>
      <c r="CE4561">
        <v>5000</v>
      </c>
      <c r="CF4561">
        <v>4000</v>
      </c>
      <c r="CG4561">
        <v>5000</v>
      </c>
      <c r="CM4561">
        <v>9</v>
      </c>
      <c r="CN4561">
        <v>1552.1</v>
      </c>
      <c r="CO4561">
        <v>1500</v>
      </c>
      <c r="CP4561">
        <v>333.33</v>
      </c>
      <c r="CQ4561">
        <v>3000</v>
      </c>
      <c r="CR4561">
        <v>184</v>
      </c>
      <c r="CS4561">
        <v>2951.77</v>
      </c>
      <c r="CT4561">
        <v>3000</v>
      </c>
      <c r="CU4561">
        <v>440</v>
      </c>
      <c r="CV4561">
        <v>9000</v>
      </c>
      <c r="CW4561">
        <v>3</v>
      </c>
      <c r="CX4561">
        <v>1568.18</v>
      </c>
      <c r="CY4561">
        <v>2000</v>
      </c>
      <c r="CZ4561">
        <v>750</v>
      </c>
      <c r="DA4561">
        <v>2000</v>
      </c>
      <c r="DB4561">
        <v>1</v>
      </c>
      <c r="DC4561">
        <v>6200</v>
      </c>
      <c r="DD4561">
        <v>6200</v>
      </c>
      <c r="DE4561">
        <v>6200</v>
      </c>
      <c r="DF4561">
        <v>6200</v>
      </c>
      <c r="DG4561">
        <v>307</v>
      </c>
      <c r="DH4561">
        <v>2341.85</v>
      </c>
      <c r="DI4561">
        <v>2000</v>
      </c>
      <c r="DJ4561">
        <v>333.33</v>
      </c>
      <c r="DK4561">
        <v>6900</v>
      </c>
      <c r="DQ4561">
        <v>1</v>
      </c>
      <c r="DR4561">
        <v>1066.67</v>
      </c>
      <c r="DS4561">
        <v>1066.67</v>
      </c>
      <c r="DT4561">
        <v>1066.67</v>
      </c>
      <c r="DU4561">
        <v>1066.67</v>
      </c>
    </row>
    <row r="4562" spans="1:125" s="3" customFormat="1" x14ac:dyDescent="0.3">
      <c r="A4562" s="3" t="s">
        <v>25</v>
      </c>
      <c r="B4562" s="3" t="s">
        <v>312</v>
      </c>
      <c r="C4562" s="3">
        <v>19</v>
      </c>
      <c r="D4562" s="3">
        <v>11048.62</v>
      </c>
      <c r="E4562" s="3">
        <v>10000</v>
      </c>
      <c r="F4562" s="3">
        <v>2500</v>
      </c>
      <c r="G4562" s="3">
        <v>40000</v>
      </c>
      <c r="H4562" s="3">
        <v>2</v>
      </c>
      <c r="I4562" s="3">
        <v>12669.06</v>
      </c>
      <c r="J4562" s="3">
        <v>15000</v>
      </c>
      <c r="K4562" s="3">
        <v>6000</v>
      </c>
      <c r="L4562" s="3">
        <v>15000</v>
      </c>
      <c r="R4562" s="3">
        <v>1</v>
      </c>
      <c r="S4562" s="3">
        <v>6000</v>
      </c>
      <c r="T4562" s="3">
        <v>6000</v>
      </c>
      <c r="U4562" s="3">
        <v>6000</v>
      </c>
      <c r="V4562" s="3">
        <v>6000</v>
      </c>
      <c r="AB4562" s="3">
        <v>2</v>
      </c>
      <c r="AC4562" s="3">
        <v>1606.56</v>
      </c>
      <c r="AD4562" s="3">
        <v>3000</v>
      </c>
      <c r="AE4562" s="3">
        <v>1500</v>
      </c>
      <c r="AF4562" s="3">
        <v>3000</v>
      </c>
      <c r="AG4562" s="3">
        <v>46</v>
      </c>
      <c r="AH4562" s="3">
        <v>6438.47</v>
      </c>
      <c r="AI4562" s="3">
        <v>5000</v>
      </c>
      <c r="AJ4562" s="3">
        <v>1400</v>
      </c>
      <c r="AK4562" s="3">
        <v>16000</v>
      </c>
      <c r="AV4562" s="3">
        <v>75</v>
      </c>
      <c r="AW4562" s="3">
        <v>5158.46</v>
      </c>
      <c r="AX4562" s="3">
        <v>4000</v>
      </c>
      <c r="AY4562" s="3">
        <v>2000</v>
      </c>
      <c r="AZ4562" s="3">
        <v>13000</v>
      </c>
      <c r="BL4562" s="3" t="s">
        <v>25</v>
      </c>
      <c r="BM4562" s="3" t="s">
        <v>312</v>
      </c>
      <c r="BN4562" s="3">
        <v>19</v>
      </c>
      <c r="BO4562" s="3">
        <v>4137.3</v>
      </c>
      <c r="BP4562" s="3">
        <v>3750</v>
      </c>
      <c r="BQ4562" s="3">
        <v>1250</v>
      </c>
      <c r="BR4562" s="3">
        <v>8000</v>
      </c>
      <c r="BS4562" s="3">
        <v>2</v>
      </c>
      <c r="BT4562" s="3">
        <v>6334.53</v>
      </c>
      <c r="BU4562" s="3">
        <v>7500</v>
      </c>
      <c r="BV4562" s="3">
        <v>3000</v>
      </c>
      <c r="BW4562" s="3">
        <v>7500</v>
      </c>
      <c r="CC4562" s="3">
        <v>1</v>
      </c>
      <c r="CD4562" s="3">
        <v>6000</v>
      </c>
      <c r="CE4562" s="3">
        <v>6000</v>
      </c>
      <c r="CF4562" s="3">
        <v>6000</v>
      </c>
      <c r="CG4562" s="3">
        <v>6000</v>
      </c>
      <c r="CM4562" s="3">
        <v>2</v>
      </c>
      <c r="CN4562" s="3">
        <v>909.84</v>
      </c>
      <c r="CO4562" s="3">
        <v>3000</v>
      </c>
      <c r="CP4562" s="3">
        <v>750</v>
      </c>
      <c r="CQ4562" s="3">
        <v>3000</v>
      </c>
      <c r="CR4562" s="3">
        <v>46</v>
      </c>
      <c r="CS4562" s="3">
        <v>3384.42</v>
      </c>
      <c r="CT4562" s="3">
        <v>3400</v>
      </c>
      <c r="CU4562" s="3">
        <v>600</v>
      </c>
      <c r="CV4562" s="3">
        <v>10000</v>
      </c>
      <c r="DG4562" s="3">
        <v>75</v>
      </c>
      <c r="DH4562" s="3">
        <v>2319.64</v>
      </c>
      <c r="DI4562" s="3">
        <v>2000</v>
      </c>
      <c r="DJ4562" s="3">
        <v>1333.33</v>
      </c>
      <c r="DK4562" s="3">
        <v>5700</v>
      </c>
    </row>
    <row r="4563" spans="1:125" x14ac:dyDescent="0.3">
      <c r="A4563" t="s">
        <v>25</v>
      </c>
      <c r="B4563" t="s">
        <v>308</v>
      </c>
      <c r="C4563">
        <v>2</v>
      </c>
      <c r="D4563">
        <v>6535.71</v>
      </c>
      <c r="E4563">
        <v>7000</v>
      </c>
      <c r="F4563">
        <v>6000</v>
      </c>
      <c r="G4563">
        <v>7000</v>
      </c>
      <c r="M4563">
        <v>2</v>
      </c>
      <c r="N4563">
        <v>8209.2999999999993</v>
      </c>
      <c r="O4563">
        <v>10000</v>
      </c>
      <c r="P4563">
        <v>3000</v>
      </c>
      <c r="Q4563">
        <v>10000</v>
      </c>
      <c r="AB4563">
        <v>1</v>
      </c>
      <c r="AC4563">
        <v>2000</v>
      </c>
      <c r="AD4563">
        <v>2000</v>
      </c>
      <c r="AE4563">
        <v>2000</v>
      </c>
      <c r="AF4563">
        <v>2000</v>
      </c>
      <c r="AG4563">
        <v>3</v>
      </c>
      <c r="AH4563">
        <v>4703.7700000000004</v>
      </c>
      <c r="AI4563">
        <v>7000</v>
      </c>
      <c r="AJ4563">
        <v>3000</v>
      </c>
      <c r="AK4563">
        <v>7000</v>
      </c>
      <c r="AV4563">
        <v>9</v>
      </c>
      <c r="AW4563">
        <v>7088.21</v>
      </c>
      <c r="AX4563">
        <v>5000</v>
      </c>
      <c r="AY4563">
        <v>4000</v>
      </c>
      <c r="AZ4563">
        <v>16000</v>
      </c>
      <c r="BL4563" t="s">
        <v>25</v>
      </c>
      <c r="BM4563" t="s">
        <v>308</v>
      </c>
      <c r="BN4563">
        <v>2</v>
      </c>
      <c r="BO4563">
        <v>1647.96</v>
      </c>
      <c r="BP4563">
        <v>2333.33</v>
      </c>
      <c r="BQ4563">
        <v>857.14</v>
      </c>
      <c r="BR4563">
        <v>2333.33</v>
      </c>
      <c r="BX4563">
        <v>2</v>
      </c>
      <c r="BY4563">
        <v>2013.95</v>
      </c>
      <c r="BZ4563">
        <v>2500</v>
      </c>
      <c r="CA4563">
        <v>600</v>
      </c>
      <c r="CB4563">
        <v>2500</v>
      </c>
      <c r="CM4563">
        <v>1</v>
      </c>
      <c r="CN4563">
        <v>1000</v>
      </c>
      <c r="CO4563">
        <v>1000</v>
      </c>
      <c r="CP4563">
        <v>1000</v>
      </c>
      <c r="CQ4563">
        <v>1000</v>
      </c>
      <c r="CR4563">
        <v>3</v>
      </c>
      <c r="CS4563">
        <v>1299.45</v>
      </c>
      <c r="CT4563">
        <v>1000</v>
      </c>
      <c r="CU4563">
        <v>500</v>
      </c>
      <c r="CV4563">
        <v>3500</v>
      </c>
      <c r="DG4563">
        <v>9</v>
      </c>
      <c r="DH4563">
        <v>2209.59</v>
      </c>
      <c r="DI4563">
        <v>2000</v>
      </c>
      <c r="DJ4563">
        <v>1500</v>
      </c>
      <c r="DK4563">
        <v>3333.33</v>
      </c>
    </row>
    <row r="4564" spans="1:125" x14ac:dyDescent="0.3">
      <c r="A4564" t="s">
        <v>26</v>
      </c>
      <c r="B4564" t="s">
        <v>311</v>
      </c>
      <c r="C4564">
        <v>69</v>
      </c>
      <c r="D4564">
        <v>9683.16</v>
      </c>
      <c r="E4564">
        <v>7500</v>
      </c>
      <c r="F4564">
        <v>1200</v>
      </c>
      <c r="G4564">
        <v>30000</v>
      </c>
      <c r="H4564">
        <v>24</v>
      </c>
      <c r="I4564">
        <v>6614.67</v>
      </c>
      <c r="J4564">
        <v>5000</v>
      </c>
      <c r="K4564">
        <v>1000</v>
      </c>
      <c r="L4564">
        <v>20000</v>
      </c>
      <c r="M4564">
        <v>27</v>
      </c>
      <c r="N4564">
        <v>5044.24</v>
      </c>
      <c r="O4564">
        <v>4000</v>
      </c>
      <c r="P4564">
        <v>200</v>
      </c>
      <c r="Q4564">
        <v>16000</v>
      </c>
      <c r="W4564">
        <v>2</v>
      </c>
      <c r="X4564">
        <v>13377.38</v>
      </c>
      <c r="Y4564">
        <v>24000</v>
      </c>
      <c r="Z4564">
        <v>250</v>
      </c>
      <c r="AA4564">
        <v>24000</v>
      </c>
      <c r="AB4564">
        <v>18</v>
      </c>
      <c r="AC4564">
        <v>2298.0300000000002</v>
      </c>
      <c r="AD4564">
        <v>1000</v>
      </c>
      <c r="AE4564">
        <v>250</v>
      </c>
      <c r="AF4564">
        <v>10000</v>
      </c>
      <c r="AG4564">
        <v>163</v>
      </c>
      <c r="AH4564">
        <v>4891.5200000000004</v>
      </c>
      <c r="AI4564">
        <v>4000</v>
      </c>
      <c r="AJ4564">
        <v>2000</v>
      </c>
      <c r="AK4564">
        <v>19600</v>
      </c>
      <c r="AL4564">
        <v>3</v>
      </c>
      <c r="AM4564">
        <v>3355.92</v>
      </c>
      <c r="AN4564">
        <v>5000</v>
      </c>
      <c r="AO4564">
        <v>100</v>
      </c>
      <c r="AP4564">
        <v>5000</v>
      </c>
      <c r="AQ4564">
        <v>7</v>
      </c>
      <c r="AR4564">
        <v>7945.4</v>
      </c>
      <c r="AS4564">
        <v>6600</v>
      </c>
      <c r="AT4564">
        <v>6500</v>
      </c>
      <c r="AU4564">
        <v>13200</v>
      </c>
      <c r="AV4564">
        <v>321</v>
      </c>
      <c r="AW4564">
        <v>5490.56</v>
      </c>
      <c r="AX4564">
        <v>4000</v>
      </c>
      <c r="AY4564">
        <v>2000</v>
      </c>
      <c r="AZ4564">
        <v>19881</v>
      </c>
      <c r="BA4564">
        <v>1</v>
      </c>
      <c r="BB4564">
        <v>2000</v>
      </c>
      <c r="BC4564">
        <v>2000</v>
      </c>
      <c r="BD4564">
        <v>2000</v>
      </c>
      <c r="BE4564">
        <v>2000</v>
      </c>
      <c r="BL4564" t="s">
        <v>26</v>
      </c>
      <c r="BM4564" t="s">
        <v>311</v>
      </c>
      <c r="BN4564">
        <v>69</v>
      </c>
      <c r="BO4564">
        <v>5181.47</v>
      </c>
      <c r="BP4564">
        <v>3750</v>
      </c>
      <c r="BQ4564">
        <v>400</v>
      </c>
      <c r="BR4564">
        <v>30000</v>
      </c>
      <c r="BS4564">
        <v>24</v>
      </c>
      <c r="BT4564">
        <v>2820.45</v>
      </c>
      <c r="BU4564">
        <v>2000</v>
      </c>
      <c r="BV4564">
        <v>250</v>
      </c>
      <c r="BW4564">
        <v>20000</v>
      </c>
      <c r="BX4564">
        <v>27</v>
      </c>
      <c r="BY4564">
        <v>2165.0500000000002</v>
      </c>
      <c r="BZ4564">
        <v>1200</v>
      </c>
      <c r="CA4564">
        <v>100</v>
      </c>
      <c r="CB4564">
        <v>6000</v>
      </c>
      <c r="CH4564">
        <v>2</v>
      </c>
      <c r="CI4564">
        <v>13321.47</v>
      </c>
      <c r="CJ4564">
        <v>24000</v>
      </c>
      <c r="CK4564">
        <v>125</v>
      </c>
      <c r="CL4564">
        <v>24000</v>
      </c>
      <c r="CM4564">
        <v>18</v>
      </c>
      <c r="CN4564">
        <v>1035.04</v>
      </c>
      <c r="CO4564">
        <v>500</v>
      </c>
      <c r="CP4564">
        <v>100</v>
      </c>
      <c r="CQ4564">
        <v>5000</v>
      </c>
      <c r="CR4564">
        <v>163</v>
      </c>
      <c r="CS4564">
        <v>2826.13</v>
      </c>
      <c r="CT4564">
        <v>2700</v>
      </c>
      <c r="CU4564">
        <v>420</v>
      </c>
      <c r="CV4564">
        <v>9800</v>
      </c>
      <c r="CW4564">
        <v>3</v>
      </c>
      <c r="CX4564">
        <v>3344.01</v>
      </c>
      <c r="CY4564">
        <v>5000</v>
      </c>
      <c r="CZ4564">
        <v>50</v>
      </c>
      <c r="DA4564">
        <v>5000</v>
      </c>
      <c r="DB4564">
        <v>7</v>
      </c>
      <c r="DC4564">
        <v>4113.93</v>
      </c>
      <c r="DD4564">
        <v>3250</v>
      </c>
      <c r="DE4564">
        <v>942.86</v>
      </c>
      <c r="DF4564">
        <v>6600</v>
      </c>
      <c r="DG4564">
        <v>321</v>
      </c>
      <c r="DH4564">
        <v>2368.16</v>
      </c>
      <c r="DI4564">
        <v>2000</v>
      </c>
      <c r="DJ4564">
        <v>666.67</v>
      </c>
      <c r="DK4564">
        <v>7000</v>
      </c>
      <c r="DL4564">
        <v>1</v>
      </c>
      <c r="DM4564">
        <v>2000</v>
      </c>
      <c r="DN4564">
        <v>2000</v>
      </c>
      <c r="DO4564">
        <v>2000</v>
      </c>
      <c r="DP4564">
        <v>2000</v>
      </c>
    </row>
    <row r="4565" spans="1:125" s="3" customFormat="1" x14ac:dyDescent="0.3">
      <c r="A4565" s="3" t="s">
        <v>26</v>
      </c>
      <c r="B4565" s="3" t="s">
        <v>312</v>
      </c>
      <c r="C4565" s="3">
        <v>16</v>
      </c>
      <c r="D4565" s="3">
        <v>13415.84</v>
      </c>
      <c r="E4565" s="3">
        <v>12000</v>
      </c>
      <c r="F4565" s="3">
        <v>2000</v>
      </c>
      <c r="G4565" s="3">
        <v>40000</v>
      </c>
      <c r="H4565" s="3">
        <v>12</v>
      </c>
      <c r="I4565" s="3">
        <v>8624.83</v>
      </c>
      <c r="J4565" s="3">
        <v>10000</v>
      </c>
      <c r="K4565" s="3">
        <v>1000</v>
      </c>
      <c r="L4565" s="3">
        <v>15000</v>
      </c>
      <c r="M4565" s="3">
        <v>8</v>
      </c>
      <c r="N4565" s="3">
        <v>7265.64</v>
      </c>
      <c r="O4565" s="3">
        <v>5000</v>
      </c>
      <c r="P4565" s="3">
        <v>2000</v>
      </c>
      <c r="Q4565" s="3">
        <v>15000</v>
      </c>
      <c r="AG4565" s="3">
        <v>39</v>
      </c>
      <c r="AH4565" s="3">
        <v>5431.54</v>
      </c>
      <c r="AI4565" s="3">
        <v>5000</v>
      </c>
      <c r="AJ4565" s="3">
        <v>2100</v>
      </c>
      <c r="AK4565" s="3">
        <v>15000</v>
      </c>
      <c r="AQ4565" s="3">
        <v>3</v>
      </c>
      <c r="AR4565" s="3">
        <v>4489.91</v>
      </c>
      <c r="AS4565" s="3">
        <v>6600</v>
      </c>
      <c r="AT4565" s="3">
        <v>2000</v>
      </c>
      <c r="AU4565" s="3">
        <v>6600</v>
      </c>
      <c r="AV4565" s="3">
        <v>90</v>
      </c>
      <c r="AW4565" s="3">
        <v>4654.68</v>
      </c>
      <c r="AX4565" s="3">
        <v>4000</v>
      </c>
      <c r="AY4565" s="3">
        <v>640</v>
      </c>
      <c r="AZ4565" s="3">
        <v>25000</v>
      </c>
      <c r="BF4565" s="3">
        <v>1</v>
      </c>
      <c r="BG4565" s="3">
        <v>1000</v>
      </c>
      <c r="BH4565" s="3">
        <v>1000</v>
      </c>
      <c r="BI4565" s="3">
        <v>1000</v>
      </c>
      <c r="BJ4565" s="3">
        <v>1000</v>
      </c>
      <c r="BL4565" s="3" t="s">
        <v>26</v>
      </c>
      <c r="BM4565" s="3" t="s">
        <v>312</v>
      </c>
      <c r="BN4565" s="3">
        <v>16</v>
      </c>
      <c r="BO4565" s="3">
        <v>8139.47</v>
      </c>
      <c r="BP4565" s="3">
        <v>5500</v>
      </c>
      <c r="BQ4565" s="3">
        <v>1666.67</v>
      </c>
      <c r="BR4565" s="3">
        <v>20000</v>
      </c>
      <c r="BS4565" s="3">
        <v>12</v>
      </c>
      <c r="BT4565" s="3">
        <v>5323</v>
      </c>
      <c r="BU4565" s="3">
        <v>4000</v>
      </c>
      <c r="BV4565" s="3">
        <v>166.67</v>
      </c>
      <c r="BW4565" s="3">
        <v>15000</v>
      </c>
      <c r="BX4565" s="3">
        <v>8</v>
      </c>
      <c r="BY4565" s="3">
        <v>4825.43</v>
      </c>
      <c r="BZ4565" s="3">
        <v>2500</v>
      </c>
      <c r="CA4565" s="3">
        <v>2000</v>
      </c>
      <c r="CB4565" s="3">
        <v>12000</v>
      </c>
      <c r="CR4565" s="3">
        <v>39</v>
      </c>
      <c r="CS4565" s="3">
        <v>3172.63</v>
      </c>
      <c r="CT4565" s="3">
        <v>3000</v>
      </c>
      <c r="CU4565" s="3">
        <v>466.67</v>
      </c>
      <c r="CV4565" s="3">
        <v>7500</v>
      </c>
      <c r="DB4565" s="3">
        <v>3</v>
      </c>
      <c r="DC4565" s="3">
        <v>3157.8</v>
      </c>
      <c r="DD4565" s="3">
        <v>3300</v>
      </c>
      <c r="DE4565" s="3">
        <v>2000</v>
      </c>
      <c r="DF4565" s="3">
        <v>6600</v>
      </c>
      <c r="DG4565" s="3">
        <v>90</v>
      </c>
      <c r="DH4565" s="3">
        <v>2233.83</v>
      </c>
      <c r="DI4565" s="3">
        <v>2000</v>
      </c>
      <c r="DJ4565" s="3">
        <v>213.33</v>
      </c>
      <c r="DK4565" s="3">
        <v>5000</v>
      </c>
      <c r="DQ4565" s="3">
        <v>1</v>
      </c>
      <c r="DR4565" s="3">
        <v>1000</v>
      </c>
      <c r="DS4565" s="3">
        <v>1000</v>
      </c>
      <c r="DT4565" s="3">
        <v>1000</v>
      </c>
      <c r="DU4565" s="3">
        <v>1000</v>
      </c>
    </row>
    <row r="4566" spans="1:125" x14ac:dyDescent="0.3">
      <c r="A4566" t="s">
        <v>26</v>
      </c>
      <c r="B4566" t="s">
        <v>308</v>
      </c>
      <c r="C4566">
        <v>14</v>
      </c>
      <c r="D4566">
        <v>12229.23</v>
      </c>
      <c r="E4566">
        <v>13000</v>
      </c>
      <c r="F4566">
        <v>1500</v>
      </c>
      <c r="G4566">
        <v>26000</v>
      </c>
      <c r="H4566">
        <v>3</v>
      </c>
      <c r="I4566">
        <v>8528.1</v>
      </c>
      <c r="J4566">
        <v>10000</v>
      </c>
      <c r="K4566">
        <v>5000</v>
      </c>
      <c r="L4566">
        <v>10000</v>
      </c>
      <c r="M4566">
        <v>4</v>
      </c>
      <c r="N4566">
        <v>8528.2199999999993</v>
      </c>
      <c r="O4566">
        <v>10000</v>
      </c>
      <c r="P4566">
        <v>1500</v>
      </c>
      <c r="Q4566">
        <v>12000</v>
      </c>
      <c r="AG4566">
        <v>16</v>
      </c>
      <c r="AH4566">
        <v>6498.59</v>
      </c>
      <c r="AI4566">
        <v>6600</v>
      </c>
      <c r="AJ4566">
        <v>1000</v>
      </c>
      <c r="AK4566">
        <v>12700</v>
      </c>
      <c r="AQ4566">
        <v>1</v>
      </c>
      <c r="AR4566">
        <v>4000</v>
      </c>
      <c r="AS4566">
        <v>4000</v>
      </c>
      <c r="AT4566">
        <v>4000</v>
      </c>
      <c r="AU4566">
        <v>4000</v>
      </c>
      <c r="AV4566">
        <v>32</v>
      </c>
      <c r="AW4566">
        <v>6940.83</v>
      </c>
      <c r="AX4566">
        <v>7000</v>
      </c>
      <c r="AY4566">
        <v>4000</v>
      </c>
      <c r="AZ4566">
        <v>13000</v>
      </c>
      <c r="BL4566" t="s">
        <v>26</v>
      </c>
      <c r="BM4566" t="s">
        <v>308</v>
      </c>
      <c r="BN4566">
        <v>14</v>
      </c>
      <c r="BO4566">
        <v>4198.83</v>
      </c>
      <c r="BP4566">
        <v>3250</v>
      </c>
      <c r="BQ4566">
        <v>375</v>
      </c>
      <c r="BR4566">
        <v>8666.67</v>
      </c>
      <c r="BS4566">
        <v>3</v>
      </c>
      <c r="BT4566">
        <v>3736.25</v>
      </c>
      <c r="BU4566">
        <v>3333.33</v>
      </c>
      <c r="BV4566">
        <v>2500</v>
      </c>
      <c r="BW4566">
        <v>5000</v>
      </c>
      <c r="BX4566">
        <v>4</v>
      </c>
      <c r="BY4566">
        <v>3418.16</v>
      </c>
      <c r="BZ4566">
        <v>4000</v>
      </c>
      <c r="CA4566">
        <v>500</v>
      </c>
      <c r="CB4566">
        <v>5000</v>
      </c>
      <c r="CR4566">
        <v>16</v>
      </c>
      <c r="CS4566">
        <v>2795.72</v>
      </c>
      <c r="CT4566">
        <v>2850</v>
      </c>
      <c r="CU4566">
        <v>357.14</v>
      </c>
      <c r="CV4566">
        <v>6350</v>
      </c>
      <c r="DB4566">
        <v>1</v>
      </c>
      <c r="DC4566">
        <v>2000</v>
      </c>
      <c r="DD4566">
        <v>2000</v>
      </c>
      <c r="DE4566">
        <v>2000</v>
      </c>
      <c r="DF4566">
        <v>2000</v>
      </c>
      <c r="DG4566">
        <v>32</v>
      </c>
      <c r="DH4566">
        <v>2314.5</v>
      </c>
      <c r="DI4566">
        <v>2000</v>
      </c>
      <c r="DJ4566">
        <v>1965</v>
      </c>
      <c r="DK4566">
        <v>3750</v>
      </c>
    </row>
    <row r="4567" spans="1:125" x14ac:dyDescent="0.3">
      <c r="A4567" t="s">
        <v>29</v>
      </c>
      <c r="B4567" t="s">
        <v>311</v>
      </c>
      <c r="C4567">
        <v>76</v>
      </c>
      <c r="D4567">
        <v>8777.67</v>
      </c>
      <c r="E4567">
        <v>8000</v>
      </c>
      <c r="F4567">
        <v>2800</v>
      </c>
      <c r="G4567">
        <v>30000</v>
      </c>
      <c r="H4567">
        <v>16</v>
      </c>
      <c r="I4567">
        <v>5596.9</v>
      </c>
      <c r="J4567">
        <v>5000</v>
      </c>
      <c r="K4567">
        <v>1000</v>
      </c>
      <c r="L4567">
        <v>20000</v>
      </c>
      <c r="M4567">
        <v>14</v>
      </c>
      <c r="N4567">
        <v>5772.59</v>
      </c>
      <c r="O4567">
        <v>5000</v>
      </c>
      <c r="P4567">
        <v>1500</v>
      </c>
      <c r="Q4567">
        <v>12000</v>
      </c>
      <c r="R4567">
        <v>1</v>
      </c>
      <c r="S4567">
        <v>2500</v>
      </c>
      <c r="T4567">
        <v>2500</v>
      </c>
      <c r="U4567">
        <v>2500</v>
      </c>
      <c r="V4567">
        <v>2500</v>
      </c>
      <c r="AB4567">
        <v>23</v>
      </c>
      <c r="AC4567">
        <v>7965.01</v>
      </c>
      <c r="AD4567">
        <v>6000</v>
      </c>
      <c r="AE4567">
        <v>1000</v>
      </c>
      <c r="AF4567">
        <v>25000</v>
      </c>
      <c r="AG4567">
        <v>200</v>
      </c>
      <c r="AH4567">
        <v>4878.9799999999996</v>
      </c>
      <c r="AI4567">
        <v>3800</v>
      </c>
      <c r="AJ4567">
        <v>1000</v>
      </c>
      <c r="AK4567">
        <v>23800</v>
      </c>
      <c r="AL4567">
        <v>2</v>
      </c>
      <c r="AM4567">
        <v>4500</v>
      </c>
      <c r="AN4567">
        <v>4500</v>
      </c>
      <c r="AO4567">
        <v>4500</v>
      </c>
      <c r="AP4567">
        <v>4500</v>
      </c>
      <c r="AQ4567">
        <v>47</v>
      </c>
      <c r="AR4567">
        <v>5861.91</v>
      </c>
      <c r="AS4567">
        <v>6000</v>
      </c>
      <c r="AT4567">
        <v>1000</v>
      </c>
      <c r="AU4567">
        <v>15000</v>
      </c>
      <c r="AV4567">
        <v>351</v>
      </c>
      <c r="AW4567">
        <v>5998.27</v>
      </c>
      <c r="AX4567">
        <v>5000</v>
      </c>
      <c r="AY4567">
        <v>860</v>
      </c>
      <c r="AZ4567">
        <v>31000</v>
      </c>
      <c r="BA4567">
        <v>1</v>
      </c>
      <c r="BB4567">
        <v>5300</v>
      </c>
      <c r="BC4567">
        <v>5300</v>
      </c>
      <c r="BD4567">
        <v>5300</v>
      </c>
      <c r="BE4567">
        <v>5300</v>
      </c>
      <c r="BF4567">
        <v>9</v>
      </c>
      <c r="BG4567">
        <v>7703.18</v>
      </c>
      <c r="BH4567">
        <v>5000</v>
      </c>
      <c r="BI4567">
        <v>1200</v>
      </c>
      <c r="BJ4567">
        <v>22000</v>
      </c>
      <c r="BL4567" t="s">
        <v>29</v>
      </c>
      <c r="BM4567" t="s">
        <v>311</v>
      </c>
      <c r="BN4567">
        <v>76</v>
      </c>
      <c r="BO4567">
        <v>3007.45</v>
      </c>
      <c r="BP4567">
        <v>2700</v>
      </c>
      <c r="BQ4567">
        <v>666.67</v>
      </c>
      <c r="BR4567">
        <v>9500</v>
      </c>
      <c r="BS4567">
        <v>16</v>
      </c>
      <c r="BT4567">
        <v>2049.5</v>
      </c>
      <c r="BU4567">
        <v>2000</v>
      </c>
      <c r="BV4567">
        <v>250</v>
      </c>
      <c r="BW4567">
        <v>5000</v>
      </c>
      <c r="BX4567">
        <v>14</v>
      </c>
      <c r="BY4567">
        <v>2463.34</v>
      </c>
      <c r="BZ4567">
        <v>2500</v>
      </c>
      <c r="CA4567">
        <v>500</v>
      </c>
      <c r="CB4567">
        <v>6000</v>
      </c>
      <c r="CC4567">
        <v>1</v>
      </c>
      <c r="CD4567">
        <v>625</v>
      </c>
      <c r="CE4567">
        <v>625</v>
      </c>
      <c r="CF4567">
        <v>625</v>
      </c>
      <c r="CG4567">
        <v>625</v>
      </c>
      <c r="CM4567">
        <v>23</v>
      </c>
      <c r="CN4567">
        <v>3630.91</v>
      </c>
      <c r="CO4567">
        <v>2500</v>
      </c>
      <c r="CP4567">
        <v>250</v>
      </c>
      <c r="CQ4567">
        <v>12500</v>
      </c>
      <c r="CR4567">
        <v>200</v>
      </c>
      <c r="CS4567">
        <v>2622.04</v>
      </c>
      <c r="CT4567">
        <v>2250</v>
      </c>
      <c r="CU4567">
        <v>333.33</v>
      </c>
      <c r="CV4567">
        <v>15000</v>
      </c>
      <c r="CW4567">
        <v>2</v>
      </c>
      <c r="CX4567">
        <v>1864.49</v>
      </c>
      <c r="CY4567">
        <v>2250</v>
      </c>
      <c r="CZ4567">
        <v>1500</v>
      </c>
      <c r="DA4567">
        <v>2250</v>
      </c>
      <c r="DB4567">
        <v>47</v>
      </c>
      <c r="DC4567">
        <v>2124.58</v>
      </c>
      <c r="DD4567">
        <v>2250</v>
      </c>
      <c r="DE4567">
        <v>500</v>
      </c>
      <c r="DF4567">
        <v>6800</v>
      </c>
      <c r="DG4567">
        <v>351</v>
      </c>
      <c r="DH4567">
        <v>2399.2199999999998</v>
      </c>
      <c r="DI4567">
        <v>2250</v>
      </c>
      <c r="DJ4567">
        <v>286.67</v>
      </c>
      <c r="DK4567">
        <v>7750</v>
      </c>
      <c r="DL4567">
        <v>1</v>
      </c>
      <c r="DM4567">
        <v>2650</v>
      </c>
      <c r="DN4567">
        <v>2650</v>
      </c>
      <c r="DO4567">
        <v>2650</v>
      </c>
      <c r="DP4567">
        <v>2650</v>
      </c>
      <c r="DQ4567">
        <v>9</v>
      </c>
      <c r="DR4567">
        <v>2951.71</v>
      </c>
      <c r="DS4567">
        <v>2500</v>
      </c>
      <c r="DT4567">
        <v>240</v>
      </c>
      <c r="DU4567">
        <v>7333.33</v>
      </c>
    </row>
    <row r="4568" spans="1:125" s="3" customFormat="1" x14ac:dyDescent="0.3">
      <c r="A4568" s="3" t="s">
        <v>29</v>
      </c>
      <c r="B4568" s="3" t="s">
        <v>312</v>
      </c>
      <c r="C4568" s="3">
        <v>18</v>
      </c>
      <c r="D4568" s="3">
        <v>9992.14</v>
      </c>
      <c r="E4568" s="3">
        <v>8000</v>
      </c>
      <c r="F4568" s="3">
        <v>3000</v>
      </c>
      <c r="G4568" s="3">
        <v>40000</v>
      </c>
      <c r="H4568" s="3">
        <v>6</v>
      </c>
      <c r="I4568" s="3">
        <v>5552.07</v>
      </c>
      <c r="J4568" s="3">
        <v>6000</v>
      </c>
      <c r="K4568" s="3">
        <v>600</v>
      </c>
      <c r="L4568" s="3">
        <v>10000</v>
      </c>
      <c r="M4568" s="3">
        <v>7</v>
      </c>
      <c r="N4568" s="3">
        <v>6115.08</v>
      </c>
      <c r="O4568" s="3">
        <v>6500</v>
      </c>
      <c r="P4568" s="3">
        <v>1000</v>
      </c>
      <c r="Q4568" s="3">
        <v>10000</v>
      </c>
      <c r="R4568" s="3">
        <v>1</v>
      </c>
      <c r="S4568" s="3">
        <v>3000</v>
      </c>
      <c r="T4568" s="3">
        <v>3000</v>
      </c>
      <c r="U4568" s="3">
        <v>3000</v>
      </c>
      <c r="V4568" s="3">
        <v>3000</v>
      </c>
      <c r="AB4568" s="3">
        <v>1</v>
      </c>
      <c r="AC4568" s="3">
        <v>10000</v>
      </c>
      <c r="AD4568" s="3">
        <v>10000</v>
      </c>
      <c r="AE4568" s="3">
        <v>10000</v>
      </c>
      <c r="AF4568" s="3">
        <v>10000</v>
      </c>
      <c r="AG4568" s="3">
        <v>40</v>
      </c>
      <c r="AH4568" s="3">
        <v>6440.84</v>
      </c>
      <c r="AI4568" s="3">
        <v>6000</v>
      </c>
      <c r="AJ4568" s="3">
        <v>800</v>
      </c>
      <c r="AK4568" s="3">
        <v>17000</v>
      </c>
      <c r="AQ4568" s="3">
        <v>5</v>
      </c>
      <c r="AR4568" s="3">
        <v>6115.5</v>
      </c>
      <c r="AS4568" s="3">
        <v>4000</v>
      </c>
      <c r="AT4568" s="3">
        <v>2000</v>
      </c>
      <c r="AU4568" s="3">
        <v>13000</v>
      </c>
      <c r="AV4568" s="3">
        <v>82</v>
      </c>
      <c r="AW4568" s="3">
        <v>6259.68</v>
      </c>
      <c r="AX4568" s="3">
        <v>5000</v>
      </c>
      <c r="AY4568" s="3">
        <v>1000</v>
      </c>
      <c r="AZ4568" s="3">
        <v>52000</v>
      </c>
      <c r="BF4568" s="3">
        <v>4</v>
      </c>
      <c r="BG4568" s="3">
        <v>6224.14</v>
      </c>
      <c r="BH4568" s="3">
        <v>5000</v>
      </c>
      <c r="BI4568" s="3">
        <v>4000</v>
      </c>
      <c r="BJ4568" s="3">
        <v>9000</v>
      </c>
      <c r="BL4568" s="3" t="s">
        <v>29</v>
      </c>
      <c r="BM4568" s="3" t="s">
        <v>312</v>
      </c>
      <c r="BN4568" s="3">
        <v>18</v>
      </c>
      <c r="BO4568" s="3">
        <v>3295.26</v>
      </c>
      <c r="BP4568" s="3">
        <v>2333.33</v>
      </c>
      <c r="BQ4568" s="3">
        <v>1000</v>
      </c>
      <c r="BR4568" s="3">
        <v>13333.33</v>
      </c>
      <c r="BS4568" s="3">
        <v>6</v>
      </c>
      <c r="BT4568" s="3">
        <v>2610.98</v>
      </c>
      <c r="BU4568" s="3">
        <v>2000</v>
      </c>
      <c r="BV4568" s="3">
        <v>200</v>
      </c>
      <c r="BW4568" s="3">
        <v>6500</v>
      </c>
      <c r="BX4568" s="3">
        <v>7</v>
      </c>
      <c r="BY4568" s="3">
        <v>1943.04</v>
      </c>
      <c r="BZ4568" s="3">
        <v>2000</v>
      </c>
      <c r="CA4568" s="3">
        <v>333.33</v>
      </c>
      <c r="CB4568" s="3">
        <v>3333.33</v>
      </c>
      <c r="CC4568" s="3">
        <v>1</v>
      </c>
      <c r="CD4568" s="3">
        <v>1000</v>
      </c>
      <c r="CE4568" s="3">
        <v>1000</v>
      </c>
      <c r="CF4568" s="3">
        <v>1000</v>
      </c>
      <c r="CG4568" s="3">
        <v>1000</v>
      </c>
      <c r="CM4568" s="3">
        <v>1</v>
      </c>
      <c r="CN4568" s="3">
        <v>3333.33</v>
      </c>
      <c r="CO4568" s="3">
        <v>3333.33</v>
      </c>
      <c r="CP4568" s="3">
        <v>3333.33</v>
      </c>
      <c r="CQ4568" s="3">
        <v>3333.33</v>
      </c>
      <c r="CR4568" s="3">
        <v>40</v>
      </c>
      <c r="CS4568" s="3">
        <v>3365.42</v>
      </c>
      <c r="CT4568" s="3">
        <v>3000</v>
      </c>
      <c r="CU4568" s="3">
        <v>525</v>
      </c>
      <c r="CV4568" s="3">
        <v>8500</v>
      </c>
      <c r="DB4568" s="3">
        <v>5</v>
      </c>
      <c r="DC4568" s="3">
        <v>1943.88</v>
      </c>
      <c r="DD4568" s="3">
        <v>2000</v>
      </c>
      <c r="DE4568" s="3">
        <v>555</v>
      </c>
      <c r="DF4568" s="3">
        <v>2600</v>
      </c>
      <c r="DG4568" s="3">
        <v>82</v>
      </c>
      <c r="DH4568" s="3">
        <v>2648.94</v>
      </c>
      <c r="DI4568" s="3">
        <v>2200</v>
      </c>
      <c r="DJ4568" s="3">
        <v>1000</v>
      </c>
      <c r="DK4568" s="3">
        <v>6000</v>
      </c>
      <c r="DQ4568" s="3">
        <v>4</v>
      </c>
      <c r="DR4568" s="3">
        <v>2247.13</v>
      </c>
      <c r="DS4568" s="3">
        <v>2000</v>
      </c>
      <c r="DT4568" s="3">
        <v>1666.67</v>
      </c>
      <c r="DU4568" s="3">
        <v>3000</v>
      </c>
    </row>
    <row r="4569" spans="1:125" x14ac:dyDescent="0.3">
      <c r="A4569" t="s">
        <v>29</v>
      </c>
      <c r="B4569" t="s">
        <v>308</v>
      </c>
      <c r="C4569">
        <v>2</v>
      </c>
      <c r="D4569">
        <v>16363.64</v>
      </c>
      <c r="E4569">
        <v>20000</v>
      </c>
      <c r="F4569">
        <v>10000</v>
      </c>
      <c r="G4569">
        <v>20000</v>
      </c>
      <c r="H4569">
        <v>1</v>
      </c>
      <c r="I4569">
        <v>7000</v>
      </c>
      <c r="J4569">
        <v>7000</v>
      </c>
      <c r="K4569">
        <v>7000</v>
      </c>
      <c r="L4569">
        <v>7000</v>
      </c>
      <c r="M4569">
        <v>1</v>
      </c>
      <c r="N4569">
        <v>9000</v>
      </c>
      <c r="O4569">
        <v>9000</v>
      </c>
      <c r="P4569">
        <v>9000</v>
      </c>
      <c r="Q4569">
        <v>9000</v>
      </c>
      <c r="AG4569">
        <v>7</v>
      </c>
      <c r="AH4569">
        <v>5604.67</v>
      </c>
      <c r="AI4569">
        <v>3900</v>
      </c>
      <c r="AJ4569">
        <v>2300</v>
      </c>
      <c r="AK4569">
        <v>13000</v>
      </c>
      <c r="AQ4569">
        <v>1</v>
      </c>
      <c r="AR4569">
        <v>2600</v>
      </c>
      <c r="AS4569">
        <v>2600</v>
      </c>
      <c r="AT4569">
        <v>2600</v>
      </c>
      <c r="AU4569">
        <v>2600</v>
      </c>
      <c r="AV4569">
        <v>10</v>
      </c>
      <c r="AW4569">
        <v>10617.32</v>
      </c>
      <c r="AX4569">
        <v>7000</v>
      </c>
      <c r="AY4569">
        <v>2700</v>
      </c>
      <c r="AZ4569">
        <v>40000</v>
      </c>
      <c r="BF4569">
        <v>1</v>
      </c>
      <c r="BG4569">
        <v>4000</v>
      </c>
      <c r="BH4569">
        <v>4000</v>
      </c>
      <c r="BI4569">
        <v>4000</v>
      </c>
      <c r="BJ4569">
        <v>4000</v>
      </c>
      <c r="BL4569" t="s">
        <v>29</v>
      </c>
      <c r="BM4569" t="s">
        <v>308</v>
      </c>
      <c r="BN4569">
        <v>2</v>
      </c>
      <c r="BO4569">
        <v>3757.58</v>
      </c>
      <c r="BP4569">
        <v>4000</v>
      </c>
      <c r="BQ4569">
        <v>3333.33</v>
      </c>
      <c r="BR4569">
        <v>4000</v>
      </c>
      <c r="BS4569">
        <v>1</v>
      </c>
      <c r="BT4569">
        <v>1750</v>
      </c>
      <c r="BU4569">
        <v>1750</v>
      </c>
      <c r="BV4569">
        <v>1750</v>
      </c>
      <c r="BW4569">
        <v>1750</v>
      </c>
      <c r="BX4569">
        <v>1</v>
      </c>
      <c r="BY4569">
        <v>1800</v>
      </c>
      <c r="BZ4569">
        <v>1800</v>
      </c>
      <c r="CA4569">
        <v>1800</v>
      </c>
      <c r="CB4569">
        <v>1800</v>
      </c>
      <c r="CR4569">
        <v>7</v>
      </c>
      <c r="CS4569">
        <v>2572.4299999999998</v>
      </c>
      <c r="CT4569">
        <v>1500</v>
      </c>
      <c r="CU4569">
        <v>575</v>
      </c>
      <c r="CV4569">
        <v>6500</v>
      </c>
      <c r="DB4569">
        <v>1</v>
      </c>
      <c r="DC4569">
        <v>1300</v>
      </c>
      <c r="DD4569">
        <v>1300</v>
      </c>
      <c r="DE4569">
        <v>1300</v>
      </c>
      <c r="DF4569">
        <v>1300</v>
      </c>
      <c r="DG4569">
        <v>10</v>
      </c>
      <c r="DH4569">
        <v>2251.92</v>
      </c>
      <c r="DI4569">
        <v>2333.33</v>
      </c>
      <c r="DJ4569">
        <v>1350</v>
      </c>
      <c r="DK4569">
        <v>2500</v>
      </c>
      <c r="DQ4569">
        <v>1</v>
      </c>
      <c r="DR4569">
        <v>2000</v>
      </c>
      <c r="DS4569">
        <v>2000</v>
      </c>
      <c r="DT4569">
        <v>2000</v>
      </c>
      <c r="DU4569">
        <v>2000</v>
      </c>
    </row>
    <row r="4570" spans="1:125" s="3" customFormat="1" x14ac:dyDescent="0.3">
      <c r="A4570" s="3" t="s">
        <v>28</v>
      </c>
      <c r="B4570" s="3" t="s">
        <v>311</v>
      </c>
      <c r="C4570" s="3">
        <v>16</v>
      </c>
      <c r="D4570" s="3">
        <v>9868.0499999999993</v>
      </c>
      <c r="E4570" s="3">
        <v>7500</v>
      </c>
      <c r="F4570" s="3">
        <v>1200</v>
      </c>
      <c r="G4570" s="3">
        <v>18000</v>
      </c>
      <c r="H4570" s="3">
        <v>9</v>
      </c>
      <c r="I4570" s="3">
        <v>5257.95</v>
      </c>
      <c r="J4570" s="3">
        <v>6000</v>
      </c>
      <c r="K4570" s="3">
        <v>2000</v>
      </c>
      <c r="L4570" s="3">
        <v>10000</v>
      </c>
      <c r="M4570" s="3">
        <v>14</v>
      </c>
      <c r="N4570" s="3">
        <v>5463.17</v>
      </c>
      <c r="O4570" s="3">
        <v>5000</v>
      </c>
      <c r="P4570" s="3">
        <v>400</v>
      </c>
      <c r="Q4570" s="3">
        <v>10000</v>
      </c>
      <c r="AB4570" s="3">
        <v>7</v>
      </c>
      <c r="AC4570" s="3">
        <v>6664.69</v>
      </c>
      <c r="AD4570" s="3">
        <v>8000</v>
      </c>
      <c r="AE4570" s="3">
        <v>2500</v>
      </c>
      <c r="AF4570" s="3">
        <v>12000</v>
      </c>
      <c r="AG4570" s="3">
        <v>101</v>
      </c>
      <c r="AH4570" s="3">
        <v>4253.78</v>
      </c>
      <c r="AI4570" s="3">
        <v>3900</v>
      </c>
      <c r="AJ4570" s="3">
        <v>2000</v>
      </c>
      <c r="AK4570" s="3">
        <v>12780</v>
      </c>
      <c r="AQ4570" s="3">
        <v>17</v>
      </c>
      <c r="AR4570" s="3">
        <v>6889.99</v>
      </c>
      <c r="AS4570" s="3">
        <v>6600</v>
      </c>
      <c r="AT4570" s="3">
        <v>2000</v>
      </c>
      <c r="AU4570" s="3">
        <v>13000</v>
      </c>
      <c r="AV4570" s="3">
        <v>160</v>
      </c>
      <c r="AW4570" s="3">
        <v>5209.28</v>
      </c>
      <c r="AX4570" s="3">
        <v>4000</v>
      </c>
      <c r="AY4570" s="3">
        <v>2000</v>
      </c>
      <c r="AZ4570" s="3">
        <v>18000</v>
      </c>
      <c r="BA4570" s="3">
        <v>1</v>
      </c>
      <c r="BB4570" s="3">
        <v>2000</v>
      </c>
      <c r="BC4570" s="3">
        <v>2000</v>
      </c>
      <c r="BD4570" s="3">
        <v>2000</v>
      </c>
      <c r="BE4570" s="3">
        <v>2000</v>
      </c>
      <c r="BF4570" s="3">
        <v>10</v>
      </c>
      <c r="BG4570" s="3">
        <v>3675.87</v>
      </c>
      <c r="BH4570" s="3">
        <v>4000</v>
      </c>
      <c r="BI4570" s="3">
        <v>860</v>
      </c>
      <c r="BJ4570" s="3">
        <v>8000</v>
      </c>
      <c r="BL4570" s="3" t="s">
        <v>28</v>
      </c>
      <c r="BM4570" s="3" t="s">
        <v>311</v>
      </c>
      <c r="BN4570" s="3">
        <v>16</v>
      </c>
      <c r="BO4570" s="3">
        <v>4132.16</v>
      </c>
      <c r="BP4570" s="3">
        <v>4000</v>
      </c>
      <c r="BQ4570" s="3">
        <v>400</v>
      </c>
      <c r="BR4570" s="3">
        <v>10000</v>
      </c>
      <c r="BS4570" s="3">
        <v>9</v>
      </c>
      <c r="BT4570" s="3">
        <v>3152.97</v>
      </c>
      <c r="BU4570" s="3">
        <v>2333.33</v>
      </c>
      <c r="BV4570" s="3">
        <v>600</v>
      </c>
      <c r="BW4570" s="3">
        <v>6500</v>
      </c>
      <c r="BX4570" s="3">
        <v>14</v>
      </c>
      <c r="BY4570" s="3">
        <v>2311.59</v>
      </c>
      <c r="BZ4570" s="3">
        <v>1750</v>
      </c>
      <c r="CA4570" s="3">
        <v>200</v>
      </c>
      <c r="CB4570" s="3">
        <v>5000</v>
      </c>
      <c r="CM4570" s="3">
        <v>7</v>
      </c>
      <c r="CN4570" s="3">
        <v>5066.45</v>
      </c>
      <c r="CO4570" s="3">
        <v>3000</v>
      </c>
      <c r="CP4570" s="3">
        <v>750</v>
      </c>
      <c r="CQ4570" s="3">
        <v>10000</v>
      </c>
      <c r="CR4570" s="3">
        <v>101</v>
      </c>
      <c r="CS4570" s="3">
        <v>3148.16</v>
      </c>
      <c r="CT4570" s="3">
        <v>3200</v>
      </c>
      <c r="CU4570" s="3">
        <v>625</v>
      </c>
      <c r="CV4570" s="3">
        <v>7000</v>
      </c>
      <c r="DB4570" s="3">
        <v>17</v>
      </c>
      <c r="DC4570" s="3">
        <v>4520.13</v>
      </c>
      <c r="DD4570" s="3">
        <v>3000</v>
      </c>
      <c r="DE4570" s="3">
        <v>333.33</v>
      </c>
      <c r="DF4570" s="3">
        <v>11600</v>
      </c>
      <c r="DG4570" s="3">
        <v>160</v>
      </c>
      <c r="DH4570" s="3">
        <v>2821.77</v>
      </c>
      <c r="DI4570" s="3">
        <v>2250</v>
      </c>
      <c r="DJ4570" s="3">
        <v>1000</v>
      </c>
      <c r="DK4570" s="3">
        <v>8600</v>
      </c>
      <c r="DL4570" s="3">
        <v>1</v>
      </c>
      <c r="DM4570" s="3">
        <v>2000</v>
      </c>
      <c r="DN4570" s="3">
        <v>2000</v>
      </c>
      <c r="DO4570" s="3">
        <v>2000</v>
      </c>
      <c r="DP4570" s="3">
        <v>2000</v>
      </c>
      <c r="DQ4570" s="3">
        <v>10</v>
      </c>
      <c r="DR4570" s="3">
        <v>1843.39</v>
      </c>
      <c r="DS4570" s="3">
        <v>2000</v>
      </c>
      <c r="DT4570" s="3">
        <v>215</v>
      </c>
      <c r="DU4570" s="3">
        <v>2500</v>
      </c>
    </row>
    <row r="4571" spans="1:125" s="3" customFormat="1" x14ac:dyDescent="0.3">
      <c r="A4571" s="3" t="s">
        <v>28</v>
      </c>
      <c r="B4571" s="3" t="s">
        <v>312</v>
      </c>
      <c r="C4571" s="3">
        <v>6</v>
      </c>
      <c r="D4571" s="3">
        <v>13694.18</v>
      </c>
      <c r="E4571" s="3">
        <v>15000</v>
      </c>
      <c r="F4571" s="3">
        <v>9000</v>
      </c>
      <c r="G4571" s="3">
        <v>17000</v>
      </c>
      <c r="M4571" s="3">
        <v>4</v>
      </c>
      <c r="N4571" s="3">
        <v>9414.23</v>
      </c>
      <c r="O4571" s="3">
        <v>12000</v>
      </c>
      <c r="P4571" s="3">
        <v>5000</v>
      </c>
      <c r="Q4571" s="3">
        <v>12000</v>
      </c>
      <c r="AB4571" s="3">
        <v>5</v>
      </c>
      <c r="AC4571" s="3">
        <v>17268.48</v>
      </c>
      <c r="AD4571" s="3">
        <v>15000</v>
      </c>
      <c r="AE4571" s="3">
        <v>8000</v>
      </c>
      <c r="AF4571" s="3">
        <v>30000</v>
      </c>
      <c r="AG4571" s="3">
        <v>17</v>
      </c>
      <c r="AH4571" s="3">
        <v>5459.71</v>
      </c>
      <c r="AI4571" s="3">
        <v>4200</v>
      </c>
      <c r="AJ4571" s="3">
        <v>1200</v>
      </c>
      <c r="AK4571" s="3">
        <v>12000</v>
      </c>
      <c r="AQ4571" s="3">
        <v>13</v>
      </c>
      <c r="AR4571" s="3">
        <v>8698.2900000000009</v>
      </c>
      <c r="AS4571" s="3">
        <v>6600</v>
      </c>
      <c r="AT4571" s="3">
        <v>5000</v>
      </c>
      <c r="AU4571" s="3">
        <v>15000</v>
      </c>
      <c r="AV4571" s="3">
        <v>56</v>
      </c>
      <c r="AW4571" s="3">
        <v>3378.26</v>
      </c>
      <c r="AX4571" s="3">
        <v>2600</v>
      </c>
      <c r="AY4571" s="3">
        <v>2000</v>
      </c>
      <c r="AZ4571" s="3">
        <v>9000</v>
      </c>
      <c r="BF4571" s="3">
        <v>1</v>
      </c>
      <c r="BG4571" s="3">
        <v>2000</v>
      </c>
      <c r="BH4571" s="3">
        <v>2000</v>
      </c>
      <c r="BI4571" s="3">
        <v>2000</v>
      </c>
      <c r="BJ4571" s="3">
        <v>2000</v>
      </c>
      <c r="BL4571" s="3" t="s">
        <v>28</v>
      </c>
      <c r="BM4571" s="3" t="s">
        <v>312</v>
      </c>
      <c r="BN4571" s="3">
        <v>6</v>
      </c>
      <c r="BO4571" s="3">
        <v>8794.2099999999991</v>
      </c>
      <c r="BP4571" s="3">
        <v>8500</v>
      </c>
      <c r="BQ4571" s="3">
        <v>2250</v>
      </c>
      <c r="BR4571" s="3">
        <v>15000</v>
      </c>
      <c r="BX4571" s="3">
        <v>4</v>
      </c>
      <c r="BY4571" s="3">
        <v>3941.42</v>
      </c>
      <c r="BZ4571" s="3">
        <v>5000</v>
      </c>
      <c r="CA4571" s="3">
        <v>2400</v>
      </c>
      <c r="CB4571" s="3">
        <v>8000</v>
      </c>
      <c r="CM4571" s="3">
        <v>5</v>
      </c>
      <c r="CN4571" s="3">
        <v>13144.9</v>
      </c>
      <c r="CO4571" s="3">
        <v>12000</v>
      </c>
      <c r="CP4571" s="3">
        <v>4000</v>
      </c>
      <c r="CQ4571" s="3">
        <v>30000</v>
      </c>
      <c r="CR4571" s="3">
        <v>17</v>
      </c>
      <c r="CS4571" s="3">
        <v>4033.79</v>
      </c>
      <c r="CT4571" s="3">
        <v>3800</v>
      </c>
      <c r="CU4571" s="3">
        <v>1100</v>
      </c>
      <c r="CV4571" s="3">
        <v>8300</v>
      </c>
      <c r="DB4571" s="3">
        <v>13</v>
      </c>
      <c r="DC4571" s="3">
        <v>8157.7</v>
      </c>
      <c r="DD4571" s="3">
        <v>6600</v>
      </c>
      <c r="DE4571" s="3">
        <v>5000</v>
      </c>
      <c r="DF4571" s="3">
        <v>15000</v>
      </c>
      <c r="DG4571" s="3">
        <v>55</v>
      </c>
      <c r="DH4571" s="3">
        <v>2353.31</v>
      </c>
      <c r="DI4571" s="3">
        <v>2000</v>
      </c>
      <c r="DJ4571" s="3">
        <v>666.67</v>
      </c>
      <c r="DK4571" s="3">
        <v>9000</v>
      </c>
      <c r="DQ4571" s="3">
        <v>1</v>
      </c>
      <c r="DR4571" s="3">
        <v>2000</v>
      </c>
      <c r="DS4571" s="3">
        <v>2000</v>
      </c>
      <c r="DT4571" s="3">
        <v>2000</v>
      </c>
      <c r="DU4571" s="3">
        <v>2000</v>
      </c>
    </row>
    <row r="4572" spans="1:125" x14ac:dyDescent="0.3">
      <c r="A4572" t="s">
        <v>27</v>
      </c>
      <c r="B4572" t="s">
        <v>311</v>
      </c>
      <c r="C4572">
        <v>54</v>
      </c>
      <c r="D4572">
        <v>8394.18</v>
      </c>
      <c r="E4572">
        <v>7000</v>
      </c>
      <c r="F4572">
        <v>2500</v>
      </c>
      <c r="G4572">
        <v>20000</v>
      </c>
      <c r="H4572">
        <v>12</v>
      </c>
      <c r="I4572">
        <v>5830.29</v>
      </c>
      <c r="J4572">
        <v>5000</v>
      </c>
      <c r="K4572">
        <v>260</v>
      </c>
      <c r="L4572">
        <v>15000</v>
      </c>
      <c r="M4572">
        <v>3</v>
      </c>
      <c r="N4572">
        <v>5000</v>
      </c>
      <c r="O4572">
        <v>5000</v>
      </c>
      <c r="P4572">
        <v>5000</v>
      </c>
      <c r="Q4572">
        <v>5000</v>
      </c>
      <c r="AB4572">
        <v>2</v>
      </c>
      <c r="AC4572">
        <v>7628.87</v>
      </c>
      <c r="AD4572">
        <v>10000</v>
      </c>
      <c r="AE4572">
        <v>4000</v>
      </c>
      <c r="AF4572">
        <v>10000</v>
      </c>
      <c r="AG4572">
        <v>140</v>
      </c>
      <c r="AH4572">
        <v>4754.8500000000004</v>
      </c>
      <c r="AI4572">
        <v>3700</v>
      </c>
      <c r="AJ4572">
        <v>700</v>
      </c>
      <c r="AK4572">
        <v>18000</v>
      </c>
      <c r="AL4572">
        <v>1</v>
      </c>
      <c r="AM4572">
        <v>3000</v>
      </c>
      <c r="AN4572">
        <v>3000</v>
      </c>
      <c r="AO4572">
        <v>3000</v>
      </c>
      <c r="AP4572">
        <v>3000</v>
      </c>
      <c r="AQ4572">
        <v>8</v>
      </c>
      <c r="AR4572">
        <v>4591.3999999999996</v>
      </c>
      <c r="AS4572">
        <v>5000</v>
      </c>
      <c r="AT4572">
        <v>2000</v>
      </c>
      <c r="AU4572">
        <v>8000</v>
      </c>
      <c r="AV4572">
        <v>186</v>
      </c>
      <c r="AW4572">
        <v>4568.87</v>
      </c>
      <c r="AX4572">
        <v>4000</v>
      </c>
      <c r="AY4572">
        <v>800</v>
      </c>
      <c r="AZ4572">
        <v>15000</v>
      </c>
      <c r="BF4572">
        <v>2</v>
      </c>
      <c r="BG4572">
        <v>10828.73</v>
      </c>
      <c r="BH4572">
        <v>20000</v>
      </c>
      <c r="BI4572">
        <v>3000</v>
      </c>
      <c r="BJ4572">
        <v>20000</v>
      </c>
      <c r="BL4572" t="s">
        <v>27</v>
      </c>
      <c r="BM4572" t="s">
        <v>311</v>
      </c>
      <c r="BN4572">
        <v>54</v>
      </c>
      <c r="BO4572">
        <v>4074</v>
      </c>
      <c r="BP4572">
        <v>3500</v>
      </c>
      <c r="BQ4572">
        <v>1250</v>
      </c>
      <c r="BR4572">
        <v>15000</v>
      </c>
      <c r="BS4572">
        <v>12</v>
      </c>
      <c r="BT4572">
        <v>2685.71</v>
      </c>
      <c r="BU4572">
        <v>2500</v>
      </c>
      <c r="BV4572">
        <v>130</v>
      </c>
      <c r="BW4572">
        <v>7500</v>
      </c>
      <c r="BX4572">
        <v>3</v>
      </c>
      <c r="BY4572">
        <v>1235.97</v>
      </c>
      <c r="BZ4572">
        <v>1250</v>
      </c>
      <c r="CA4572">
        <v>833.33</v>
      </c>
      <c r="CB4572">
        <v>1666.67</v>
      </c>
      <c r="CM4572">
        <v>2</v>
      </c>
      <c r="CN4572">
        <v>6575.03</v>
      </c>
      <c r="CO4572">
        <v>10000</v>
      </c>
      <c r="CP4572">
        <v>1333.33</v>
      </c>
      <c r="CQ4572">
        <v>10000</v>
      </c>
      <c r="CR4572">
        <v>140</v>
      </c>
      <c r="CS4572">
        <v>3024.68</v>
      </c>
      <c r="CT4572">
        <v>3000</v>
      </c>
      <c r="CU4572">
        <v>450</v>
      </c>
      <c r="CV4572">
        <v>9000</v>
      </c>
      <c r="CW4572">
        <v>1</v>
      </c>
      <c r="CX4572">
        <v>3000</v>
      </c>
      <c r="CY4572">
        <v>3000</v>
      </c>
      <c r="CZ4572">
        <v>3000</v>
      </c>
      <c r="DA4572">
        <v>3000</v>
      </c>
      <c r="DB4572">
        <v>8</v>
      </c>
      <c r="DC4572">
        <v>2249.7399999999998</v>
      </c>
      <c r="DD4572">
        <v>2200</v>
      </c>
      <c r="DE4572">
        <v>1000</v>
      </c>
      <c r="DF4572">
        <v>3000</v>
      </c>
      <c r="DG4572">
        <v>186</v>
      </c>
      <c r="DH4572">
        <v>2216.41</v>
      </c>
      <c r="DI4572">
        <v>2000</v>
      </c>
      <c r="DJ4572">
        <v>280</v>
      </c>
      <c r="DK4572">
        <v>5520</v>
      </c>
      <c r="DQ4572">
        <v>2</v>
      </c>
      <c r="DR4572">
        <v>5009.75</v>
      </c>
      <c r="DS4572">
        <v>10000</v>
      </c>
      <c r="DT4572">
        <v>750</v>
      </c>
      <c r="DU4572">
        <v>10000</v>
      </c>
    </row>
    <row r="4573" spans="1:125" s="3" customFormat="1" x14ac:dyDescent="0.3">
      <c r="A4573" s="3" t="s">
        <v>27</v>
      </c>
      <c r="B4573" s="3" t="s">
        <v>312</v>
      </c>
      <c r="C4573" s="3">
        <v>11</v>
      </c>
      <c r="D4573" s="3">
        <v>10441.1</v>
      </c>
      <c r="E4573" s="3">
        <v>7000</v>
      </c>
      <c r="F4573" s="3">
        <v>6000</v>
      </c>
      <c r="G4573" s="3">
        <v>35000</v>
      </c>
      <c r="H4573" s="3">
        <v>1</v>
      </c>
      <c r="I4573" s="3">
        <v>2500</v>
      </c>
      <c r="J4573" s="3">
        <v>2500</v>
      </c>
      <c r="K4573" s="3">
        <v>2500</v>
      </c>
      <c r="L4573" s="3">
        <v>2500</v>
      </c>
      <c r="M4573" s="3">
        <v>1</v>
      </c>
      <c r="N4573" s="3">
        <v>10000</v>
      </c>
      <c r="O4573" s="3">
        <v>10000</v>
      </c>
      <c r="P4573" s="3">
        <v>10000</v>
      </c>
      <c r="Q4573" s="3">
        <v>10000</v>
      </c>
      <c r="AG4573" s="3">
        <v>35</v>
      </c>
      <c r="AH4573" s="3">
        <v>5897.99</v>
      </c>
      <c r="AI4573" s="3">
        <v>5800</v>
      </c>
      <c r="AJ4573" s="3">
        <v>2100</v>
      </c>
      <c r="AK4573" s="3">
        <v>18000</v>
      </c>
      <c r="AQ4573" s="3">
        <v>1</v>
      </c>
      <c r="AR4573" s="3">
        <v>2000</v>
      </c>
      <c r="AS4573" s="3">
        <v>2000</v>
      </c>
      <c r="AT4573" s="3">
        <v>2000</v>
      </c>
      <c r="AU4573" s="3">
        <v>2000</v>
      </c>
      <c r="AV4573" s="3">
        <v>38</v>
      </c>
      <c r="AW4573" s="3">
        <v>3859.92</v>
      </c>
      <c r="AX4573" s="3">
        <v>3000</v>
      </c>
      <c r="AY4573" s="3">
        <v>800</v>
      </c>
      <c r="AZ4573" s="3">
        <v>12000</v>
      </c>
      <c r="BF4573" s="3">
        <v>1</v>
      </c>
      <c r="BG4573" s="3">
        <v>1039</v>
      </c>
      <c r="BH4573" s="3">
        <v>1039</v>
      </c>
      <c r="BI4573" s="3">
        <v>1039</v>
      </c>
      <c r="BJ4573" s="3">
        <v>1039</v>
      </c>
      <c r="BL4573" s="3" t="s">
        <v>27</v>
      </c>
      <c r="BM4573" s="3" t="s">
        <v>312</v>
      </c>
      <c r="BN4573" s="3">
        <v>11</v>
      </c>
      <c r="BO4573" s="3">
        <v>5940.89</v>
      </c>
      <c r="BP4573" s="3">
        <v>6000</v>
      </c>
      <c r="BQ4573" s="3">
        <v>1200</v>
      </c>
      <c r="BR4573" s="3">
        <v>10000</v>
      </c>
      <c r="BS4573" s="3">
        <v>1</v>
      </c>
      <c r="BT4573" s="3">
        <v>1250</v>
      </c>
      <c r="BU4573" s="3">
        <v>1250</v>
      </c>
      <c r="BV4573" s="3">
        <v>1250</v>
      </c>
      <c r="BW4573" s="3">
        <v>1250</v>
      </c>
      <c r="BX4573" s="3">
        <v>1</v>
      </c>
      <c r="BY4573" s="3">
        <v>5000</v>
      </c>
      <c r="BZ4573" s="3">
        <v>5000</v>
      </c>
      <c r="CA4573" s="3">
        <v>5000</v>
      </c>
      <c r="CB4573" s="3">
        <v>5000</v>
      </c>
      <c r="CR4573" s="3">
        <v>35</v>
      </c>
      <c r="CS4573" s="3">
        <v>3884.86</v>
      </c>
      <c r="CT4573" s="3">
        <v>3500</v>
      </c>
      <c r="CU4573" s="3">
        <v>1160</v>
      </c>
      <c r="CV4573" s="3">
        <v>10500</v>
      </c>
      <c r="DB4573" s="3">
        <v>1</v>
      </c>
      <c r="DC4573" s="3">
        <v>2000</v>
      </c>
      <c r="DD4573" s="3">
        <v>2000</v>
      </c>
      <c r="DE4573" s="3">
        <v>2000</v>
      </c>
      <c r="DF4573" s="3">
        <v>2000</v>
      </c>
      <c r="DG4573" s="3">
        <v>38</v>
      </c>
      <c r="DH4573" s="3">
        <v>2355.02</v>
      </c>
      <c r="DI4573" s="3">
        <v>2000</v>
      </c>
      <c r="DJ4573" s="3">
        <v>800</v>
      </c>
      <c r="DK4573" s="3">
        <v>5760</v>
      </c>
      <c r="DQ4573" s="3">
        <v>1</v>
      </c>
      <c r="DR4573" s="3">
        <v>207.8</v>
      </c>
      <c r="DS4573" s="3">
        <v>207.8</v>
      </c>
      <c r="DT4573" s="3">
        <v>207.8</v>
      </c>
      <c r="DU4573" s="3">
        <v>207.8</v>
      </c>
    </row>
    <row r="4574" spans="1:125" x14ac:dyDescent="0.3">
      <c r="A4574" t="s">
        <v>27</v>
      </c>
      <c r="B4574" t="s">
        <v>308</v>
      </c>
      <c r="C4574">
        <v>1</v>
      </c>
      <c r="D4574">
        <v>10000</v>
      </c>
      <c r="E4574">
        <v>10000</v>
      </c>
      <c r="F4574">
        <v>10000</v>
      </c>
      <c r="G4574">
        <v>10000</v>
      </c>
      <c r="M4574">
        <v>1</v>
      </c>
      <c r="N4574">
        <v>15000</v>
      </c>
      <c r="O4574">
        <v>15000</v>
      </c>
      <c r="P4574">
        <v>15000</v>
      </c>
      <c r="Q4574">
        <v>15000</v>
      </c>
      <c r="AB4574">
        <v>1</v>
      </c>
      <c r="AC4574">
        <v>15000</v>
      </c>
      <c r="AD4574">
        <v>15000</v>
      </c>
      <c r="AE4574">
        <v>15000</v>
      </c>
      <c r="AF4574">
        <v>15000</v>
      </c>
      <c r="AV4574">
        <v>1</v>
      </c>
      <c r="AW4574">
        <v>4000</v>
      </c>
      <c r="AX4574">
        <v>4000</v>
      </c>
      <c r="AY4574">
        <v>4000</v>
      </c>
      <c r="AZ4574">
        <v>4000</v>
      </c>
      <c r="BL4574" t="s">
        <v>27</v>
      </c>
      <c r="BM4574" t="s">
        <v>308</v>
      </c>
      <c r="BN4574">
        <v>1</v>
      </c>
      <c r="BO4574">
        <v>5000</v>
      </c>
      <c r="BP4574">
        <v>5000</v>
      </c>
      <c r="BQ4574">
        <v>5000</v>
      </c>
      <c r="BR4574">
        <v>5000</v>
      </c>
      <c r="BX4574">
        <v>1</v>
      </c>
      <c r="BY4574">
        <v>7500</v>
      </c>
      <c r="BZ4574">
        <v>7500</v>
      </c>
      <c r="CA4574">
        <v>7500</v>
      </c>
      <c r="CB4574">
        <v>7500</v>
      </c>
      <c r="CM4574">
        <v>1</v>
      </c>
      <c r="CN4574">
        <v>7500</v>
      </c>
      <c r="CO4574">
        <v>7500</v>
      </c>
      <c r="CP4574">
        <v>7500</v>
      </c>
      <c r="CQ4574">
        <v>7500</v>
      </c>
      <c r="DG4574">
        <v>1</v>
      </c>
      <c r="DH4574">
        <v>2000</v>
      </c>
      <c r="DI4574">
        <v>2000</v>
      </c>
      <c r="DJ4574">
        <v>2000</v>
      </c>
      <c r="DK4574">
        <v>2000</v>
      </c>
    </row>
    <row r="4575" spans="1:125" x14ac:dyDescent="0.3">
      <c r="A4575" t="s">
        <v>41</v>
      </c>
      <c r="B4575" t="s">
        <v>311</v>
      </c>
      <c r="C4575">
        <v>278</v>
      </c>
      <c r="D4575">
        <v>9185.9599999999991</v>
      </c>
      <c r="E4575">
        <v>8000</v>
      </c>
      <c r="F4575">
        <v>1200</v>
      </c>
      <c r="G4575">
        <v>35000</v>
      </c>
      <c r="H4575">
        <v>71</v>
      </c>
      <c r="I4575">
        <v>6116.4</v>
      </c>
      <c r="J4575">
        <v>5000</v>
      </c>
      <c r="K4575">
        <v>260</v>
      </c>
      <c r="L4575">
        <v>20000</v>
      </c>
      <c r="M4575">
        <v>75</v>
      </c>
      <c r="N4575">
        <v>5581.39</v>
      </c>
      <c r="O4575">
        <v>5000</v>
      </c>
      <c r="P4575">
        <v>200</v>
      </c>
      <c r="Q4575">
        <v>19000</v>
      </c>
      <c r="R4575">
        <v>3</v>
      </c>
      <c r="S4575">
        <v>7260.01</v>
      </c>
      <c r="T4575">
        <v>10000</v>
      </c>
      <c r="U4575">
        <v>2500</v>
      </c>
      <c r="V4575">
        <v>12000</v>
      </c>
      <c r="W4575">
        <v>2</v>
      </c>
      <c r="X4575">
        <v>13377.38</v>
      </c>
      <c r="Y4575">
        <v>24000</v>
      </c>
      <c r="Z4575">
        <v>250</v>
      </c>
      <c r="AA4575">
        <v>24000</v>
      </c>
      <c r="AB4575">
        <v>59</v>
      </c>
      <c r="AC4575">
        <v>6071.28</v>
      </c>
      <c r="AD4575">
        <v>4000</v>
      </c>
      <c r="AE4575">
        <v>250</v>
      </c>
      <c r="AF4575">
        <v>25000</v>
      </c>
      <c r="AG4575">
        <v>788</v>
      </c>
      <c r="AH4575">
        <v>4912.34</v>
      </c>
      <c r="AI4575">
        <v>3900</v>
      </c>
      <c r="AJ4575">
        <v>700</v>
      </c>
      <c r="AK4575">
        <v>23800</v>
      </c>
      <c r="AL4575">
        <v>9</v>
      </c>
      <c r="AM4575">
        <v>3462.96</v>
      </c>
      <c r="AN4575">
        <v>4500</v>
      </c>
      <c r="AO4575">
        <v>100</v>
      </c>
      <c r="AP4575">
        <v>5000</v>
      </c>
      <c r="AQ4575">
        <v>80</v>
      </c>
      <c r="AR4575">
        <v>6057.61</v>
      </c>
      <c r="AS4575">
        <v>6600</v>
      </c>
      <c r="AT4575">
        <v>1000</v>
      </c>
      <c r="AU4575">
        <v>15000</v>
      </c>
      <c r="AV4575">
        <v>1325</v>
      </c>
      <c r="AW4575">
        <v>5654.1</v>
      </c>
      <c r="AX4575">
        <v>5000</v>
      </c>
      <c r="AY4575">
        <v>800</v>
      </c>
      <c r="AZ4575">
        <v>31000</v>
      </c>
      <c r="BA4575">
        <v>3</v>
      </c>
      <c r="BB4575">
        <v>2770.96</v>
      </c>
      <c r="BC4575">
        <v>2000</v>
      </c>
      <c r="BD4575">
        <v>2000</v>
      </c>
      <c r="BE4575">
        <v>5300</v>
      </c>
      <c r="BF4575">
        <v>22</v>
      </c>
      <c r="BG4575">
        <v>7098.97</v>
      </c>
      <c r="BH4575">
        <v>4000</v>
      </c>
      <c r="BI4575">
        <v>860</v>
      </c>
      <c r="BJ4575">
        <v>22000</v>
      </c>
      <c r="BL4575" t="s">
        <v>41</v>
      </c>
      <c r="BM4575" t="s">
        <v>311</v>
      </c>
      <c r="BN4575">
        <v>278</v>
      </c>
      <c r="BO4575">
        <v>3799.02</v>
      </c>
      <c r="BP4575">
        <v>3000</v>
      </c>
      <c r="BQ4575">
        <v>400</v>
      </c>
      <c r="BR4575">
        <v>30000</v>
      </c>
      <c r="BS4575">
        <v>71</v>
      </c>
      <c r="BT4575">
        <v>2398.9499999999998</v>
      </c>
      <c r="BU4575">
        <v>2000</v>
      </c>
      <c r="BV4575">
        <v>130</v>
      </c>
      <c r="BW4575">
        <v>20000</v>
      </c>
      <c r="BX4575">
        <v>75</v>
      </c>
      <c r="BY4575">
        <v>2247.13</v>
      </c>
      <c r="BZ4575">
        <v>1750</v>
      </c>
      <c r="CA4575">
        <v>100</v>
      </c>
      <c r="CB4575">
        <v>6000</v>
      </c>
      <c r="CC4575">
        <v>3</v>
      </c>
      <c r="CD4575">
        <v>2713.71</v>
      </c>
      <c r="CE4575">
        <v>4000</v>
      </c>
      <c r="CF4575">
        <v>625</v>
      </c>
      <c r="CG4575">
        <v>5000</v>
      </c>
      <c r="CH4575">
        <v>2</v>
      </c>
      <c r="CI4575">
        <v>13321.47</v>
      </c>
      <c r="CJ4575">
        <v>24000</v>
      </c>
      <c r="CK4575">
        <v>125</v>
      </c>
      <c r="CL4575">
        <v>24000</v>
      </c>
      <c r="CM4575">
        <v>59</v>
      </c>
      <c r="CN4575">
        <v>2847.24</v>
      </c>
      <c r="CO4575">
        <v>1500</v>
      </c>
      <c r="CP4575">
        <v>100</v>
      </c>
      <c r="CQ4575">
        <v>12500</v>
      </c>
      <c r="CR4575">
        <v>788</v>
      </c>
      <c r="CS4575">
        <v>2788.03</v>
      </c>
      <c r="CT4575">
        <v>2575</v>
      </c>
      <c r="CU4575">
        <v>333.33</v>
      </c>
      <c r="CV4575">
        <v>15000</v>
      </c>
      <c r="CW4575">
        <v>9</v>
      </c>
      <c r="CX4575">
        <v>2432.48</v>
      </c>
      <c r="CY4575">
        <v>2250</v>
      </c>
      <c r="CZ4575">
        <v>50</v>
      </c>
      <c r="DA4575">
        <v>5000</v>
      </c>
      <c r="DB4575">
        <v>80</v>
      </c>
      <c r="DC4575">
        <v>2395.54</v>
      </c>
      <c r="DD4575">
        <v>2333.33</v>
      </c>
      <c r="DE4575">
        <v>333.33</v>
      </c>
      <c r="DF4575">
        <v>11600</v>
      </c>
      <c r="DG4575">
        <v>1325</v>
      </c>
      <c r="DH4575">
        <v>2386.7399999999998</v>
      </c>
      <c r="DI4575">
        <v>2056.67</v>
      </c>
      <c r="DJ4575">
        <v>280</v>
      </c>
      <c r="DK4575">
        <v>8600</v>
      </c>
      <c r="DL4575">
        <v>3</v>
      </c>
      <c r="DM4575">
        <v>2151.86</v>
      </c>
      <c r="DN4575">
        <v>2000</v>
      </c>
      <c r="DO4575">
        <v>2000</v>
      </c>
      <c r="DP4575">
        <v>2650</v>
      </c>
      <c r="DQ4575">
        <v>22</v>
      </c>
      <c r="DR4575">
        <v>2802.44</v>
      </c>
      <c r="DS4575">
        <v>2200</v>
      </c>
      <c r="DT4575">
        <v>215</v>
      </c>
      <c r="DU4575">
        <v>10000</v>
      </c>
    </row>
    <row r="4576" spans="1:125" x14ac:dyDescent="0.3">
      <c r="A4576" t="s">
        <v>41</v>
      </c>
      <c r="B4576" t="s">
        <v>312</v>
      </c>
      <c r="C4576">
        <v>70</v>
      </c>
      <c r="D4576">
        <v>11042.05</v>
      </c>
      <c r="E4576">
        <v>8000</v>
      </c>
      <c r="F4576">
        <v>2000</v>
      </c>
      <c r="G4576">
        <v>40000</v>
      </c>
      <c r="H4576">
        <v>21</v>
      </c>
      <c r="I4576">
        <v>7519.4</v>
      </c>
      <c r="J4576">
        <v>6500</v>
      </c>
      <c r="K4576">
        <v>600</v>
      </c>
      <c r="L4576">
        <v>15000</v>
      </c>
      <c r="M4576">
        <v>20</v>
      </c>
      <c r="N4576">
        <v>6733.5</v>
      </c>
      <c r="O4576">
        <v>6500</v>
      </c>
      <c r="P4576">
        <v>1000</v>
      </c>
      <c r="Q4576">
        <v>15000</v>
      </c>
      <c r="R4576">
        <v>2</v>
      </c>
      <c r="S4576">
        <v>4198.3999999999996</v>
      </c>
      <c r="T4576">
        <v>6000</v>
      </c>
      <c r="U4576">
        <v>3000</v>
      </c>
      <c r="V4576">
        <v>6000</v>
      </c>
      <c r="AB4576">
        <v>8</v>
      </c>
      <c r="AC4576">
        <v>6873.86</v>
      </c>
      <c r="AD4576">
        <v>3000</v>
      </c>
      <c r="AE4576">
        <v>1500</v>
      </c>
      <c r="AF4576">
        <v>30000</v>
      </c>
      <c r="AG4576">
        <v>177</v>
      </c>
      <c r="AH4576">
        <v>6157.26</v>
      </c>
      <c r="AI4576">
        <v>5000</v>
      </c>
      <c r="AJ4576">
        <v>800</v>
      </c>
      <c r="AK4576">
        <v>18000</v>
      </c>
      <c r="AQ4576">
        <v>22</v>
      </c>
      <c r="AR4576">
        <v>6335.94</v>
      </c>
      <c r="AS4576">
        <v>6000</v>
      </c>
      <c r="AT4576">
        <v>2000</v>
      </c>
      <c r="AU4576">
        <v>15000</v>
      </c>
      <c r="AV4576">
        <v>341</v>
      </c>
      <c r="AW4576">
        <v>5388.75</v>
      </c>
      <c r="AX4576">
        <v>4000</v>
      </c>
      <c r="AY4576">
        <v>640</v>
      </c>
      <c r="AZ4576">
        <v>52000</v>
      </c>
      <c r="BF4576">
        <v>7</v>
      </c>
      <c r="BG4576">
        <v>5107.1499999999996</v>
      </c>
      <c r="BH4576">
        <v>5000</v>
      </c>
      <c r="BI4576">
        <v>1000</v>
      </c>
      <c r="BJ4576">
        <v>9000</v>
      </c>
      <c r="BL4576" t="s">
        <v>41</v>
      </c>
      <c r="BM4576" t="s">
        <v>312</v>
      </c>
      <c r="BN4576">
        <v>70</v>
      </c>
      <c r="BO4576">
        <v>4742.8999999999996</v>
      </c>
      <c r="BP4576">
        <v>3500</v>
      </c>
      <c r="BQ4576">
        <v>1000</v>
      </c>
      <c r="BR4576">
        <v>20000</v>
      </c>
      <c r="BS4576">
        <v>21</v>
      </c>
      <c r="BT4576">
        <v>4184.3500000000004</v>
      </c>
      <c r="BU4576">
        <v>3000</v>
      </c>
      <c r="BV4576">
        <v>166.67</v>
      </c>
      <c r="BW4576">
        <v>15000</v>
      </c>
      <c r="BX4576">
        <v>20</v>
      </c>
      <c r="BY4576">
        <v>3067.38</v>
      </c>
      <c r="BZ4576">
        <v>2500</v>
      </c>
      <c r="CA4576">
        <v>333.33</v>
      </c>
      <c r="CB4576">
        <v>12000</v>
      </c>
      <c r="CC4576">
        <v>2</v>
      </c>
      <c r="CD4576">
        <v>2997.34</v>
      </c>
      <c r="CE4576">
        <v>6000</v>
      </c>
      <c r="CF4576">
        <v>1000</v>
      </c>
      <c r="CG4576">
        <v>6000</v>
      </c>
      <c r="CM4576">
        <v>8</v>
      </c>
      <c r="CN4576">
        <v>4851.8900000000003</v>
      </c>
      <c r="CO4576">
        <v>3000</v>
      </c>
      <c r="CP4576">
        <v>750</v>
      </c>
      <c r="CQ4576">
        <v>30000</v>
      </c>
      <c r="CR4576">
        <v>177</v>
      </c>
      <c r="CS4576">
        <v>3378.88</v>
      </c>
      <c r="CT4576">
        <v>3200</v>
      </c>
      <c r="CU4576">
        <v>466.67</v>
      </c>
      <c r="CV4576">
        <v>10500</v>
      </c>
      <c r="DB4576">
        <v>22</v>
      </c>
      <c r="DC4576">
        <v>3439.8</v>
      </c>
      <c r="DD4576">
        <v>2000</v>
      </c>
      <c r="DE4576">
        <v>555</v>
      </c>
      <c r="DF4576">
        <v>15000</v>
      </c>
      <c r="DG4576">
        <v>340</v>
      </c>
      <c r="DH4576">
        <v>2448.56</v>
      </c>
      <c r="DI4576">
        <v>2000</v>
      </c>
      <c r="DJ4576">
        <v>213.33</v>
      </c>
      <c r="DK4576">
        <v>9000</v>
      </c>
      <c r="DQ4576">
        <v>7</v>
      </c>
      <c r="DR4576">
        <v>1978.63</v>
      </c>
      <c r="DS4576">
        <v>2000</v>
      </c>
      <c r="DT4576">
        <v>207.8</v>
      </c>
      <c r="DU4576">
        <v>3000</v>
      </c>
    </row>
    <row r="4577" spans="1:125" x14ac:dyDescent="0.3">
      <c r="A4577" t="s">
        <v>41</v>
      </c>
      <c r="B4577" t="s">
        <v>308</v>
      </c>
      <c r="C4577">
        <v>19</v>
      </c>
      <c r="D4577">
        <v>12468.01</v>
      </c>
      <c r="E4577">
        <v>13000</v>
      </c>
      <c r="F4577">
        <v>1500</v>
      </c>
      <c r="G4577">
        <v>26000</v>
      </c>
      <c r="H4577">
        <v>4</v>
      </c>
      <c r="I4577">
        <v>7942.19</v>
      </c>
      <c r="J4577">
        <v>7000</v>
      </c>
      <c r="K4577">
        <v>5000</v>
      </c>
      <c r="L4577">
        <v>10000</v>
      </c>
      <c r="M4577">
        <v>8</v>
      </c>
      <c r="N4577">
        <v>8790.68</v>
      </c>
      <c r="O4577">
        <v>10000</v>
      </c>
      <c r="P4577">
        <v>1500</v>
      </c>
      <c r="Q4577">
        <v>15000</v>
      </c>
      <c r="AB4577">
        <v>2</v>
      </c>
      <c r="AC4577">
        <v>2756.55</v>
      </c>
      <c r="AD4577">
        <v>15000</v>
      </c>
      <c r="AE4577">
        <v>2000</v>
      </c>
      <c r="AF4577">
        <v>15000</v>
      </c>
      <c r="AG4577">
        <v>26</v>
      </c>
      <c r="AH4577">
        <v>5935.15</v>
      </c>
      <c r="AI4577">
        <v>5500</v>
      </c>
      <c r="AJ4577">
        <v>1000</v>
      </c>
      <c r="AK4577">
        <v>13000</v>
      </c>
      <c r="AQ4577">
        <v>2</v>
      </c>
      <c r="AR4577">
        <v>3735.13</v>
      </c>
      <c r="AS4577">
        <v>4000</v>
      </c>
      <c r="AT4577">
        <v>2600</v>
      </c>
      <c r="AU4577">
        <v>4000</v>
      </c>
      <c r="AV4577">
        <v>53</v>
      </c>
      <c r="AW4577">
        <v>7941.15</v>
      </c>
      <c r="AX4577">
        <v>7000</v>
      </c>
      <c r="AY4577">
        <v>2700</v>
      </c>
      <c r="AZ4577">
        <v>40000</v>
      </c>
      <c r="BF4577">
        <v>1</v>
      </c>
      <c r="BG4577">
        <v>4000</v>
      </c>
      <c r="BH4577">
        <v>4000</v>
      </c>
      <c r="BI4577">
        <v>4000</v>
      </c>
      <c r="BJ4577">
        <v>4000</v>
      </c>
      <c r="BL4577" t="s">
        <v>41</v>
      </c>
      <c r="BM4577" t="s">
        <v>308</v>
      </c>
      <c r="BN4577">
        <v>19</v>
      </c>
      <c r="BO4577">
        <v>3902.03</v>
      </c>
      <c r="BP4577">
        <v>3333.33</v>
      </c>
      <c r="BQ4577">
        <v>375</v>
      </c>
      <c r="BR4577">
        <v>8666.67</v>
      </c>
      <c r="BS4577">
        <v>4</v>
      </c>
      <c r="BT4577">
        <v>2974.67</v>
      </c>
      <c r="BU4577">
        <v>2500</v>
      </c>
      <c r="BV4577">
        <v>1750</v>
      </c>
      <c r="BW4577">
        <v>5000</v>
      </c>
      <c r="BX4577">
        <v>8</v>
      </c>
      <c r="BY4577">
        <v>3028.39</v>
      </c>
      <c r="BZ4577">
        <v>2500</v>
      </c>
      <c r="CA4577">
        <v>500</v>
      </c>
      <c r="CB4577">
        <v>7500</v>
      </c>
      <c r="CM4577">
        <v>2</v>
      </c>
      <c r="CN4577">
        <v>1378.28</v>
      </c>
      <c r="CO4577">
        <v>7500</v>
      </c>
      <c r="CP4577">
        <v>1000</v>
      </c>
      <c r="CQ4577">
        <v>7500</v>
      </c>
      <c r="CR4577">
        <v>26</v>
      </c>
      <c r="CS4577">
        <v>2493</v>
      </c>
      <c r="CT4577">
        <v>2000</v>
      </c>
      <c r="CU4577">
        <v>357.14</v>
      </c>
      <c r="CV4577">
        <v>6500</v>
      </c>
      <c r="DB4577">
        <v>2</v>
      </c>
      <c r="DC4577">
        <v>1867.57</v>
      </c>
      <c r="DD4577">
        <v>2000</v>
      </c>
      <c r="DE4577">
        <v>1300</v>
      </c>
      <c r="DF4577">
        <v>2000</v>
      </c>
      <c r="DG4577">
        <v>53</v>
      </c>
      <c r="DH4577">
        <v>2278.77</v>
      </c>
      <c r="DI4577">
        <v>2250</v>
      </c>
      <c r="DJ4577">
        <v>1350</v>
      </c>
      <c r="DK4577">
        <v>3750</v>
      </c>
      <c r="DQ4577">
        <v>1</v>
      </c>
      <c r="DR4577">
        <v>2000</v>
      </c>
      <c r="DS4577">
        <v>2000</v>
      </c>
      <c r="DT4577">
        <v>2000</v>
      </c>
      <c r="DU4577">
        <v>2000</v>
      </c>
    </row>
    <row r="4578" spans="1:125" x14ac:dyDescent="0.3">
      <c r="A4578" t="s">
        <v>28</v>
      </c>
      <c r="B4578" t="s">
        <v>308</v>
      </c>
      <c r="AV4578">
        <v>1</v>
      </c>
      <c r="AW4578">
        <v>6000</v>
      </c>
      <c r="AX4578">
        <v>6000</v>
      </c>
      <c r="AY4578">
        <v>6000</v>
      </c>
      <c r="AZ4578">
        <v>6000</v>
      </c>
      <c r="BL4578" t="s">
        <v>28</v>
      </c>
      <c r="BM4578" t="s">
        <v>308</v>
      </c>
      <c r="DG4578">
        <v>1</v>
      </c>
      <c r="DH4578">
        <v>2000</v>
      </c>
      <c r="DI4578">
        <v>2000</v>
      </c>
      <c r="DJ4578">
        <v>2000</v>
      </c>
      <c r="DK4578">
        <v>2000</v>
      </c>
    </row>
    <row r="4580" spans="1:125" x14ac:dyDescent="0.3">
      <c r="A4580" t="s">
        <v>1826</v>
      </c>
      <c r="BL4580" t="s">
        <v>1827</v>
      </c>
    </row>
    <row r="4581" spans="1:125" x14ac:dyDescent="0.3">
      <c r="A4581" t="s">
        <v>36</v>
      </c>
      <c r="B4581" t="s">
        <v>307</v>
      </c>
      <c r="C4581" t="s">
        <v>1702</v>
      </c>
      <c r="D4581" t="s">
        <v>1703</v>
      </c>
      <c r="E4581" t="s">
        <v>1704</v>
      </c>
      <c r="F4581" t="s">
        <v>1705</v>
      </c>
      <c r="G4581" t="s">
        <v>1706</v>
      </c>
      <c r="H4581" t="s">
        <v>1707</v>
      </c>
      <c r="I4581" t="s">
        <v>1708</v>
      </c>
      <c r="J4581" t="s">
        <v>1709</v>
      </c>
      <c r="K4581" t="s">
        <v>1710</v>
      </c>
      <c r="L4581" t="s">
        <v>1711</v>
      </c>
      <c r="M4581" t="s">
        <v>1712</v>
      </c>
      <c r="N4581" t="s">
        <v>1713</v>
      </c>
      <c r="O4581" t="s">
        <v>1714</v>
      </c>
      <c r="P4581" t="s">
        <v>1715</v>
      </c>
      <c r="Q4581" t="s">
        <v>1716</v>
      </c>
      <c r="R4581" t="s">
        <v>1717</v>
      </c>
      <c r="S4581" t="s">
        <v>1718</v>
      </c>
      <c r="T4581" t="s">
        <v>1719</v>
      </c>
      <c r="U4581" t="s">
        <v>1720</v>
      </c>
      <c r="V4581" t="s">
        <v>1721</v>
      </c>
      <c r="W4581" t="s">
        <v>1722</v>
      </c>
      <c r="X4581" t="s">
        <v>1723</v>
      </c>
      <c r="Y4581" t="s">
        <v>1724</v>
      </c>
      <c r="Z4581" t="s">
        <v>1725</v>
      </c>
      <c r="AA4581" t="s">
        <v>1726</v>
      </c>
      <c r="AB4581" t="s">
        <v>1727</v>
      </c>
      <c r="AC4581" t="s">
        <v>1728</v>
      </c>
      <c r="AD4581" t="s">
        <v>1729</v>
      </c>
      <c r="AE4581" t="s">
        <v>1730</v>
      </c>
      <c r="AF4581" t="s">
        <v>1731</v>
      </c>
      <c r="AG4581" t="s">
        <v>1732</v>
      </c>
      <c r="AH4581" t="s">
        <v>1733</v>
      </c>
      <c r="AI4581" t="s">
        <v>1734</v>
      </c>
      <c r="AJ4581" t="s">
        <v>1735</v>
      </c>
      <c r="AK4581" t="s">
        <v>1736</v>
      </c>
      <c r="AL4581" t="s">
        <v>1737</v>
      </c>
      <c r="AM4581" t="s">
        <v>1738</v>
      </c>
      <c r="AN4581" t="s">
        <v>1739</v>
      </c>
      <c r="AO4581" t="s">
        <v>1740</v>
      </c>
      <c r="AP4581" t="s">
        <v>1741</v>
      </c>
      <c r="AQ4581" t="s">
        <v>1742</v>
      </c>
      <c r="AR4581" t="s">
        <v>1743</v>
      </c>
      <c r="AS4581" t="s">
        <v>1744</v>
      </c>
      <c r="AT4581" t="s">
        <v>1745</v>
      </c>
      <c r="AU4581" t="s">
        <v>1746</v>
      </c>
      <c r="AV4581" t="s">
        <v>1747</v>
      </c>
      <c r="AW4581" t="s">
        <v>1748</v>
      </c>
      <c r="AX4581" t="s">
        <v>1749</v>
      </c>
      <c r="AY4581" t="s">
        <v>1750</v>
      </c>
      <c r="AZ4581" t="s">
        <v>1751</v>
      </c>
      <c r="BA4581" t="s">
        <v>1752</v>
      </c>
      <c r="BB4581" t="s">
        <v>1753</v>
      </c>
      <c r="BC4581" t="s">
        <v>1754</v>
      </c>
      <c r="BD4581" t="s">
        <v>1755</v>
      </c>
      <c r="BE4581" t="s">
        <v>1756</v>
      </c>
      <c r="BF4581" t="s">
        <v>1757</v>
      </c>
      <c r="BG4581" t="s">
        <v>1758</v>
      </c>
      <c r="BH4581" t="s">
        <v>1759</v>
      </c>
      <c r="BI4581" t="s">
        <v>1760</v>
      </c>
      <c r="BJ4581" t="s">
        <v>1761</v>
      </c>
      <c r="BL4581" t="s">
        <v>36</v>
      </c>
      <c r="BM4581" t="s">
        <v>307</v>
      </c>
      <c r="BN4581" t="s">
        <v>1762</v>
      </c>
      <c r="BO4581" t="s">
        <v>1763</v>
      </c>
      <c r="BP4581" t="s">
        <v>1764</v>
      </c>
      <c r="BQ4581" t="s">
        <v>1765</v>
      </c>
      <c r="BR4581" t="s">
        <v>1766</v>
      </c>
      <c r="BS4581" t="s">
        <v>1767</v>
      </c>
      <c r="BT4581" t="s">
        <v>1768</v>
      </c>
      <c r="BU4581" t="s">
        <v>1769</v>
      </c>
      <c r="BV4581" t="s">
        <v>1770</v>
      </c>
      <c r="BW4581" t="s">
        <v>1771</v>
      </c>
      <c r="BX4581" t="s">
        <v>1772</v>
      </c>
      <c r="BY4581" t="s">
        <v>1773</v>
      </c>
      <c r="BZ4581" t="s">
        <v>1774</v>
      </c>
      <c r="CA4581" t="s">
        <v>1775</v>
      </c>
      <c r="CB4581" t="s">
        <v>1776</v>
      </c>
      <c r="CC4581" t="s">
        <v>1777</v>
      </c>
      <c r="CD4581" t="s">
        <v>1778</v>
      </c>
      <c r="CE4581" t="s">
        <v>1779</v>
      </c>
      <c r="CF4581" t="s">
        <v>1780</v>
      </c>
      <c r="CG4581" t="s">
        <v>1781</v>
      </c>
      <c r="CH4581" t="s">
        <v>1782</v>
      </c>
      <c r="CI4581" t="s">
        <v>1783</v>
      </c>
      <c r="CJ4581" t="s">
        <v>1784</v>
      </c>
      <c r="CK4581" t="s">
        <v>1785</v>
      </c>
      <c r="CL4581" t="s">
        <v>1786</v>
      </c>
      <c r="CM4581" t="s">
        <v>1787</v>
      </c>
      <c r="CN4581" t="s">
        <v>1788</v>
      </c>
      <c r="CO4581" t="s">
        <v>1789</v>
      </c>
      <c r="CP4581" t="s">
        <v>1790</v>
      </c>
      <c r="CQ4581" t="s">
        <v>1791</v>
      </c>
      <c r="CR4581" t="s">
        <v>1792</v>
      </c>
      <c r="CS4581" t="s">
        <v>1793</v>
      </c>
      <c r="CT4581" t="s">
        <v>1794</v>
      </c>
      <c r="CU4581" t="s">
        <v>1795</v>
      </c>
      <c r="CV4581" t="s">
        <v>1796</v>
      </c>
      <c r="CW4581" t="s">
        <v>1797</v>
      </c>
      <c r="CX4581" t="s">
        <v>1798</v>
      </c>
      <c r="CY4581" t="s">
        <v>1799</v>
      </c>
      <c r="CZ4581" t="s">
        <v>1800</v>
      </c>
      <c r="DA4581" t="s">
        <v>1801</v>
      </c>
      <c r="DB4581" t="s">
        <v>1802</v>
      </c>
      <c r="DC4581" t="s">
        <v>1803</v>
      </c>
      <c r="DD4581" t="s">
        <v>1804</v>
      </c>
      <c r="DE4581" t="s">
        <v>1805</v>
      </c>
      <c r="DF4581" t="s">
        <v>1806</v>
      </c>
      <c r="DG4581" t="s">
        <v>1807</v>
      </c>
      <c r="DH4581" t="s">
        <v>1808</v>
      </c>
      <c r="DI4581" t="s">
        <v>1809</v>
      </c>
      <c r="DJ4581" t="s">
        <v>1810</v>
      </c>
      <c r="DK4581" t="s">
        <v>1811</v>
      </c>
      <c r="DL4581" t="s">
        <v>1812</v>
      </c>
      <c r="DM4581" t="s">
        <v>1813</v>
      </c>
      <c r="DN4581" t="s">
        <v>1814</v>
      </c>
      <c r="DO4581" t="s">
        <v>1815</v>
      </c>
      <c r="DP4581" t="s">
        <v>1816</v>
      </c>
      <c r="DQ4581" t="s">
        <v>1817</v>
      </c>
      <c r="DR4581" t="s">
        <v>1818</v>
      </c>
      <c r="DS4581" t="s">
        <v>1819</v>
      </c>
      <c r="DT4581" t="s">
        <v>1820</v>
      </c>
      <c r="DU4581" t="s">
        <v>1821</v>
      </c>
    </row>
    <row r="4582" spans="1:125" s="3" customFormat="1" x14ac:dyDescent="0.3">
      <c r="A4582" s="3" t="s">
        <v>25</v>
      </c>
      <c r="B4582" s="3" t="s">
        <v>291</v>
      </c>
      <c r="C4582" s="3">
        <v>27</v>
      </c>
      <c r="D4582" s="3">
        <v>10277.6</v>
      </c>
      <c r="E4582" s="3">
        <v>8000</v>
      </c>
      <c r="F4582" s="3">
        <v>1200</v>
      </c>
      <c r="G4582" s="3">
        <v>35000</v>
      </c>
      <c r="H4582" s="3">
        <v>4</v>
      </c>
      <c r="I4582" s="3">
        <v>4768.0600000000004</v>
      </c>
      <c r="J4582" s="3">
        <v>4000</v>
      </c>
      <c r="K4582" s="3">
        <v>2000</v>
      </c>
      <c r="L4582" s="3">
        <v>7000</v>
      </c>
      <c r="M4582" s="3">
        <v>4</v>
      </c>
      <c r="N4582" s="3">
        <v>7128.62</v>
      </c>
      <c r="O4582" s="3">
        <v>6000</v>
      </c>
      <c r="P4582" s="3">
        <v>3000</v>
      </c>
      <c r="Q4582" s="3">
        <v>10000</v>
      </c>
      <c r="R4582" s="3">
        <v>1</v>
      </c>
      <c r="S4582" s="3">
        <v>10000</v>
      </c>
      <c r="T4582" s="3">
        <v>10000</v>
      </c>
      <c r="U4582" s="3">
        <v>10000</v>
      </c>
      <c r="V4582" s="3">
        <v>10000</v>
      </c>
      <c r="AB4582" s="3">
        <v>2</v>
      </c>
      <c r="AC4582" s="3">
        <v>1476.64</v>
      </c>
      <c r="AD4582" s="3">
        <v>2000</v>
      </c>
      <c r="AE4582" s="3">
        <v>1000</v>
      </c>
      <c r="AF4582" s="3">
        <v>2000</v>
      </c>
      <c r="AG4582" s="3">
        <v>110</v>
      </c>
      <c r="AH4582" s="3">
        <v>5825.37</v>
      </c>
      <c r="AI4582" s="3">
        <v>5000</v>
      </c>
      <c r="AJ4582" s="3">
        <v>2079</v>
      </c>
      <c r="AK4582" s="3">
        <v>20000</v>
      </c>
      <c r="AL4582" s="3">
        <v>1</v>
      </c>
      <c r="AM4582" s="3">
        <v>2000</v>
      </c>
      <c r="AN4582" s="3">
        <v>2000</v>
      </c>
      <c r="AO4582" s="3">
        <v>2000</v>
      </c>
      <c r="AP4582" s="3">
        <v>2000</v>
      </c>
      <c r="AV4582" s="3">
        <v>150</v>
      </c>
      <c r="AW4582" s="3">
        <v>6190.34</v>
      </c>
      <c r="AX4582" s="3">
        <v>5000</v>
      </c>
      <c r="AY4582" s="3">
        <v>2000</v>
      </c>
      <c r="AZ4582" s="3">
        <v>30000</v>
      </c>
      <c r="BL4582" s="3" t="s">
        <v>25</v>
      </c>
      <c r="BM4582" s="3" t="s">
        <v>291</v>
      </c>
      <c r="BN4582" s="3">
        <v>27</v>
      </c>
      <c r="BO4582" s="3">
        <v>2703.99</v>
      </c>
      <c r="BP4582" s="3">
        <v>2333.33</v>
      </c>
      <c r="BQ4582" s="3">
        <v>600</v>
      </c>
      <c r="BR4582" s="3">
        <v>7000</v>
      </c>
      <c r="BS4582" s="3">
        <v>4</v>
      </c>
      <c r="BT4582" s="3">
        <v>1823.19</v>
      </c>
      <c r="BU4582" s="3">
        <v>2000</v>
      </c>
      <c r="BV4582" s="3">
        <v>500</v>
      </c>
      <c r="BW4582" s="3">
        <v>3000</v>
      </c>
      <c r="BX4582" s="3">
        <v>4</v>
      </c>
      <c r="BY4582" s="3">
        <v>1613.96</v>
      </c>
      <c r="BZ4582" s="3">
        <v>1200</v>
      </c>
      <c r="CA4582" s="3">
        <v>600</v>
      </c>
      <c r="CB4582" s="3">
        <v>2500</v>
      </c>
      <c r="CC4582" s="3">
        <v>1</v>
      </c>
      <c r="CD4582" s="3">
        <v>5000</v>
      </c>
      <c r="CE4582" s="3">
        <v>5000</v>
      </c>
      <c r="CF4582" s="3">
        <v>5000</v>
      </c>
      <c r="CG4582" s="3">
        <v>5000</v>
      </c>
      <c r="CM4582" s="3">
        <v>2</v>
      </c>
      <c r="CN4582" s="3">
        <v>651.09</v>
      </c>
      <c r="CO4582" s="3">
        <v>1000</v>
      </c>
      <c r="CP4582" s="3">
        <v>333.33</v>
      </c>
      <c r="CQ4582" s="3">
        <v>1000</v>
      </c>
      <c r="CR4582" s="3">
        <v>110</v>
      </c>
      <c r="CS4582" s="3">
        <v>2859.93</v>
      </c>
      <c r="CT4582" s="3">
        <v>2760</v>
      </c>
      <c r="CU4582" s="3">
        <v>440</v>
      </c>
      <c r="CV4582" s="3">
        <v>9600</v>
      </c>
      <c r="CW4582" s="3">
        <v>1</v>
      </c>
      <c r="CX4582" s="3">
        <v>2000</v>
      </c>
      <c r="CY4582" s="3">
        <v>2000</v>
      </c>
      <c r="CZ4582" s="3">
        <v>2000</v>
      </c>
      <c r="DA4582" s="3">
        <v>2000</v>
      </c>
      <c r="DG4582" s="3">
        <v>150</v>
      </c>
      <c r="DH4582" s="3">
        <v>2433.91</v>
      </c>
      <c r="DI4582" s="3">
        <v>2000</v>
      </c>
      <c r="DJ4582" s="3">
        <v>333.33</v>
      </c>
      <c r="DK4582" s="3">
        <v>5760</v>
      </c>
    </row>
    <row r="4583" spans="1:125" x14ac:dyDescent="0.3">
      <c r="A4583" t="s">
        <v>25</v>
      </c>
      <c r="B4583" t="s">
        <v>292</v>
      </c>
      <c r="C4583">
        <v>54</v>
      </c>
      <c r="D4583">
        <v>9705.5300000000007</v>
      </c>
      <c r="E4583">
        <v>8000</v>
      </c>
      <c r="F4583">
        <v>2500</v>
      </c>
      <c r="G4583">
        <v>40000</v>
      </c>
      <c r="H4583">
        <v>8</v>
      </c>
      <c r="I4583">
        <v>9058.44</v>
      </c>
      <c r="J4583">
        <v>8000</v>
      </c>
      <c r="K4583">
        <v>1700</v>
      </c>
      <c r="L4583">
        <v>15000</v>
      </c>
      <c r="M4583">
        <v>15</v>
      </c>
      <c r="N4583">
        <v>6322.86</v>
      </c>
      <c r="O4583">
        <v>5000</v>
      </c>
      <c r="P4583">
        <v>1500</v>
      </c>
      <c r="Q4583">
        <v>19000</v>
      </c>
      <c r="R4583">
        <v>2</v>
      </c>
      <c r="S4583">
        <v>8584.6200000000008</v>
      </c>
      <c r="T4583">
        <v>12000</v>
      </c>
      <c r="U4583">
        <v>6000</v>
      </c>
      <c r="V4583">
        <v>12000</v>
      </c>
      <c r="AB4583">
        <v>10</v>
      </c>
      <c r="AC4583">
        <v>2771.52</v>
      </c>
      <c r="AD4583">
        <v>3000</v>
      </c>
      <c r="AE4583">
        <v>1000</v>
      </c>
      <c r="AF4583">
        <v>5000</v>
      </c>
      <c r="AG4583">
        <v>121</v>
      </c>
      <c r="AH4583">
        <v>5000.59</v>
      </c>
      <c r="AI4583">
        <v>4000</v>
      </c>
      <c r="AJ4583">
        <v>1400</v>
      </c>
      <c r="AK4583">
        <v>15000</v>
      </c>
      <c r="AL4583">
        <v>2</v>
      </c>
      <c r="AM4583">
        <v>1672.41</v>
      </c>
      <c r="AN4583">
        <v>2000</v>
      </c>
      <c r="AO4583">
        <v>1500</v>
      </c>
      <c r="AP4583">
        <v>2000</v>
      </c>
      <c r="AQ4583">
        <v>1</v>
      </c>
      <c r="AR4583">
        <v>12400</v>
      </c>
      <c r="AS4583">
        <v>12400</v>
      </c>
      <c r="AT4583">
        <v>12400</v>
      </c>
      <c r="AU4583">
        <v>12400</v>
      </c>
      <c r="AV4583">
        <v>237</v>
      </c>
      <c r="AW4583">
        <v>4873.66</v>
      </c>
      <c r="AX4583">
        <v>4000</v>
      </c>
      <c r="AY4583">
        <v>2000</v>
      </c>
      <c r="AZ4583">
        <v>20000</v>
      </c>
      <c r="BF4583">
        <v>1</v>
      </c>
      <c r="BG4583">
        <v>3200</v>
      </c>
      <c r="BH4583">
        <v>3200</v>
      </c>
      <c r="BI4583">
        <v>3200</v>
      </c>
      <c r="BJ4583">
        <v>3200</v>
      </c>
      <c r="BL4583" t="s">
        <v>25</v>
      </c>
      <c r="BM4583" t="s">
        <v>292</v>
      </c>
      <c r="BN4583">
        <v>54</v>
      </c>
      <c r="BO4583">
        <v>4432.76</v>
      </c>
      <c r="BP4583">
        <v>4000</v>
      </c>
      <c r="BQ4583">
        <v>722.22</v>
      </c>
      <c r="BR4583">
        <v>11666.67</v>
      </c>
      <c r="BS4583">
        <v>8</v>
      </c>
      <c r="BT4583">
        <v>3175.37</v>
      </c>
      <c r="BU4583">
        <v>2000</v>
      </c>
      <c r="BV4583">
        <v>566.66999999999996</v>
      </c>
      <c r="BW4583">
        <v>7500</v>
      </c>
      <c r="BX4583">
        <v>15</v>
      </c>
      <c r="BY4583">
        <v>2078.4</v>
      </c>
      <c r="BZ4583">
        <v>1666.67</v>
      </c>
      <c r="CA4583">
        <v>375</v>
      </c>
      <c r="CB4583">
        <v>5500</v>
      </c>
      <c r="CC4583">
        <v>2</v>
      </c>
      <c r="CD4583">
        <v>5138.46</v>
      </c>
      <c r="CE4583">
        <v>6000</v>
      </c>
      <c r="CF4583">
        <v>4000</v>
      </c>
      <c r="CG4583">
        <v>6000</v>
      </c>
      <c r="CM4583">
        <v>10</v>
      </c>
      <c r="CN4583">
        <v>1536.65</v>
      </c>
      <c r="CO4583">
        <v>1500</v>
      </c>
      <c r="CP4583">
        <v>333.33</v>
      </c>
      <c r="CQ4583">
        <v>3000</v>
      </c>
      <c r="CR4583">
        <v>121</v>
      </c>
      <c r="CS4583">
        <v>3138.19</v>
      </c>
      <c r="CT4583">
        <v>3000</v>
      </c>
      <c r="CU4583">
        <v>500</v>
      </c>
      <c r="CV4583">
        <v>10000</v>
      </c>
      <c r="CW4583">
        <v>2</v>
      </c>
      <c r="CX4583">
        <v>1181.03</v>
      </c>
      <c r="CY4583">
        <v>2000</v>
      </c>
      <c r="CZ4583">
        <v>750</v>
      </c>
      <c r="DA4583">
        <v>2000</v>
      </c>
      <c r="DB4583">
        <v>1</v>
      </c>
      <c r="DC4583">
        <v>6200</v>
      </c>
      <c r="DD4583">
        <v>6200</v>
      </c>
      <c r="DE4583">
        <v>6200</v>
      </c>
      <c r="DF4583">
        <v>6200</v>
      </c>
      <c r="DG4583">
        <v>237</v>
      </c>
      <c r="DH4583">
        <v>2273.41</v>
      </c>
      <c r="DI4583">
        <v>2000</v>
      </c>
      <c r="DJ4583">
        <v>1000</v>
      </c>
      <c r="DK4583">
        <v>6900</v>
      </c>
      <c r="DQ4583">
        <v>1</v>
      </c>
      <c r="DR4583">
        <v>1066.67</v>
      </c>
      <c r="DS4583">
        <v>1066.67</v>
      </c>
      <c r="DT4583">
        <v>1066.67</v>
      </c>
      <c r="DU4583">
        <v>1066.67</v>
      </c>
    </row>
    <row r="4584" spans="1:125" x14ac:dyDescent="0.3">
      <c r="A4584" t="s">
        <v>25</v>
      </c>
      <c r="B4584" t="s">
        <v>308</v>
      </c>
      <c r="C4584">
        <v>3</v>
      </c>
      <c r="D4584">
        <v>10234.17</v>
      </c>
      <c r="E4584">
        <v>6500</v>
      </c>
      <c r="F4584">
        <v>5000</v>
      </c>
      <c r="G4584">
        <v>20000</v>
      </c>
      <c r="AG4584">
        <v>2</v>
      </c>
      <c r="AH4584">
        <v>4081.08</v>
      </c>
      <c r="AI4584">
        <v>9000</v>
      </c>
      <c r="AJ4584">
        <v>2500</v>
      </c>
      <c r="AK4584">
        <v>9000</v>
      </c>
      <c r="AV4584">
        <v>4</v>
      </c>
      <c r="AW4584">
        <v>7881.74</v>
      </c>
      <c r="AX4584">
        <v>8000</v>
      </c>
      <c r="AY4584">
        <v>6000</v>
      </c>
      <c r="AZ4584">
        <v>10000</v>
      </c>
      <c r="BL4584" t="s">
        <v>25</v>
      </c>
      <c r="BM4584" t="s">
        <v>308</v>
      </c>
      <c r="BN4584">
        <v>3</v>
      </c>
      <c r="BO4584">
        <v>2733.21</v>
      </c>
      <c r="BP4584">
        <v>2166.67</v>
      </c>
      <c r="BQ4584">
        <v>1250</v>
      </c>
      <c r="BR4584">
        <v>5000</v>
      </c>
      <c r="CR4584">
        <v>2</v>
      </c>
      <c r="CS4584">
        <v>1360.36</v>
      </c>
      <c r="CT4584">
        <v>3000</v>
      </c>
      <c r="CU4584">
        <v>833.33</v>
      </c>
      <c r="CV4584">
        <v>3000</v>
      </c>
      <c r="DG4584">
        <v>4</v>
      </c>
      <c r="DH4584">
        <v>2163.48</v>
      </c>
      <c r="DI4584">
        <v>2000</v>
      </c>
      <c r="DJ4584">
        <v>2000</v>
      </c>
      <c r="DK4584">
        <v>2500</v>
      </c>
    </row>
    <row r="4585" spans="1:125" s="3" customFormat="1" x14ac:dyDescent="0.3">
      <c r="A4585" s="3" t="s">
        <v>26</v>
      </c>
      <c r="B4585" s="3" t="s">
        <v>291</v>
      </c>
      <c r="C4585" s="3">
        <v>24</v>
      </c>
      <c r="D4585" s="3">
        <v>7948.5</v>
      </c>
      <c r="E4585" s="3">
        <v>5700</v>
      </c>
      <c r="F4585" s="3">
        <v>1200</v>
      </c>
      <c r="G4585" s="3">
        <v>20000</v>
      </c>
      <c r="H4585" s="3">
        <v>4</v>
      </c>
      <c r="I4585" s="3">
        <v>4300</v>
      </c>
      <c r="J4585" s="3">
        <v>5000</v>
      </c>
      <c r="K4585" s="3">
        <v>1000</v>
      </c>
      <c r="L4585" s="3">
        <v>7000</v>
      </c>
      <c r="M4585" s="3">
        <v>9</v>
      </c>
      <c r="N4585" s="3">
        <v>2433.31</v>
      </c>
      <c r="O4585" s="3">
        <v>1500</v>
      </c>
      <c r="P4585" s="3">
        <v>200</v>
      </c>
      <c r="Q4585" s="3">
        <v>8000</v>
      </c>
      <c r="W4585" s="3">
        <v>1</v>
      </c>
      <c r="X4585" s="3">
        <v>24000</v>
      </c>
      <c r="Y4585" s="3">
        <v>24000</v>
      </c>
      <c r="Z4585" s="3">
        <v>24000</v>
      </c>
      <c r="AA4585" s="3">
        <v>24000</v>
      </c>
      <c r="AB4585" s="3">
        <v>2</v>
      </c>
      <c r="AC4585" s="3">
        <v>1000</v>
      </c>
      <c r="AD4585" s="3">
        <v>1000</v>
      </c>
      <c r="AE4585" s="3">
        <v>1000</v>
      </c>
      <c r="AF4585" s="3">
        <v>1000</v>
      </c>
      <c r="AG4585" s="3">
        <v>79</v>
      </c>
      <c r="AH4585" s="3">
        <v>5620.99</v>
      </c>
      <c r="AI4585" s="3">
        <v>4200</v>
      </c>
      <c r="AJ4585" s="3">
        <v>2000</v>
      </c>
      <c r="AK4585" s="3">
        <v>19600</v>
      </c>
      <c r="AQ4585" s="3">
        <v>3</v>
      </c>
      <c r="AR4585" s="3">
        <v>7929.52</v>
      </c>
      <c r="AS4585" s="3">
        <v>6600</v>
      </c>
      <c r="AT4585" s="3">
        <v>6500</v>
      </c>
      <c r="AU4585" s="3">
        <v>13200</v>
      </c>
      <c r="AV4585" s="3">
        <v>115</v>
      </c>
      <c r="AW4585" s="3">
        <v>5770.88</v>
      </c>
      <c r="AX4585" s="3">
        <v>5000</v>
      </c>
      <c r="AY4585" s="3">
        <v>2000</v>
      </c>
      <c r="AZ4585" s="3">
        <v>19881</v>
      </c>
      <c r="BL4585" s="3" t="s">
        <v>26</v>
      </c>
      <c r="BM4585" s="3" t="s">
        <v>291</v>
      </c>
      <c r="BN4585" s="3">
        <v>24</v>
      </c>
      <c r="BO4585" s="3">
        <v>3347.4</v>
      </c>
      <c r="BP4585" s="3">
        <v>2666.67</v>
      </c>
      <c r="BQ4585" s="3">
        <v>400</v>
      </c>
      <c r="BR4585" s="3">
        <v>12000</v>
      </c>
      <c r="BS4585" s="3">
        <v>4</v>
      </c>
      <c r="BT4585" s="3">
        <v>1306.25</v>
      </c>
      <c r="BU4585" s="3">
        <v>1666.67</v>
      </c>
      <c r="BV4585" s="3">
        <v>250</v>
      </c>
      <c r="BW4585" s="3">
        <v>1750</v>
      </c>
      <c r="BX4585" s="3">
        <v>9</v>
      </c>
      <c r="BY4585" s="3">
        <v>898.48</v>
      </c>
      <c r="BZ4585" s="3">
        <v>500</v>
      </c>
      <c r="CA4585" s="3">
        <v>100</v>
      </c>
      <c r="CB4585" s="3">
        <v>2333.33</v>
      </c>
      <c r="CH4585" s="3">
        <v>1</v>
      </c>
      <c r="CI4585" s="3">
        <v>24000</v>
      </c>
      <c r="CJ4585" s="3">
        <v>24000</v>
      </c>
      <c r="CK4585" s="3">
        <v>24000</v>
      </c>
      <c r="CL4585" s="3">
        <v>24000</v>
      </c>
      <c r="CM4585" s="3">
        <v>2</v>
      </c>
      <c r="CN4585" s="3">
        <v>418.67</v>
      </c>
      <c r="CO4585" s="3">
        <v>500</v>
      </c>
      <c r="CP4585" s="3">
        <v>333.33</v>
      </c>
      <c r="CQ4585" s="3">
        <v>500</v>
      </c>
      <c r="CR4585" s="3">
        <v>79</v>
      </c>
      <c r="CS4585" s="3">
        <v>2687.05</v>
      </c>
      <c r="CT4585" s="3">
        <v>2575</v>
      </c>
      <c r="CU4585" s="3">
        <v>525</v>
      </c>
      <c r="CV4585" s="3">
        <v>9800</v>
      </c>
      <c r="DB4585" s="3">
        <v>3</v>
      </c>
      <c r="DC4585" s="3">
        <v>3964.76</v>
      </c>
      <c r="DD4585" s="3">
        <v>3300</v>
      </c>
      <c r="DE4585" s="3">
        <v>3250</v>
      </c>
      <c r="DF4585" s="3">
        <v>6600</v>
      </c>
      <c r="DG4585" s="3">
        <v>115</v>
      </c>
      <c r="DH4585" s="3">
        <v>2580.89</v>
      </c>
      <c r="DI4585" s="3">
        <v>2000</v>
      </c>
      <c r="DJ4585" s="3">
        <v>1000</v>
      </c>
      <c r="DK4585" s="3">
        <v>7000</v>
      </c>
    </row>
    <row r="4586" spans="1:125" x14ac:dyDescent="0.3">
      <c r="A4586" t="s">
        <v>26</v>
      </c>
      <c r="B4586" t="s">
        <v>292</v>
      </c>
      <c r="C4586">
        <v>75</v>
      </c>
      <c r="D4586">
        <v>11535.14</v>
      </c>
      <c r="E4586">
        <v>9000</v>
      </c>
      <c r="F4586">
        <v>1500</v>
      </c>
      <c r="G4586">
        <v>40000</v>
      </c>
      <c r="H4586">
        <v>35</v>
      </c>
      <c r="I4586">
        <v>7632.54</v>
      </c>
      <c r="J4586">
        <v>6700</v>
      </c>
      <c r="K4586">
        <v>1000</v>
      </c>
      <c r="L4586">
        <v>20000</v>
      </c>
      <c r="M4586">
        <v>30</v>
      </c>
      <c r="N4586">
        <v>7011.68</v>
      </c>
      <c r="O4586">
        <v>6000</v>
      </c>
      <c r="P4586">
        <v>1000</v>
      </c>
      <c r="Q4586">
        <v>16000</v>
      </c>
      <c r="W4586">
        <v>1</v>
      </c>
      <c r="X4586">
        <v>250</v>
      </c>
      <c r="Y4586">
        <v>250</v>
      </c>
      <c r="Z4586">
        <v>250</v>
      </c>
      <c r="AA4586">
        <v>250</v>
      </c>
      <c r="AB4586">
        <v>15</v>
      </c>
      <c r="AC4586">
        <v>2479.14</v>
      </c>
      <c r="AD4586">
        <v>2000</v>
      </c>
      <c r="AE4586">
        <v>250</v>
      </c>
      <c r="AF4586">
        <v>10000</v>
      </c>
      <c r="AG4586">
        <v>139</v>
      </c>
      <c r="AH4586">
        <v>4801.3100000000004</v>
      </c>
      <c r="AI4586">
        <v>4000</v>
      </c>
      <c r="AJ4586">
        <v>1000</v>
      </c>
      <c r="AK4586">
        <v>15000</v>
      </c>
      <c r="AL4586">
        <v>3</v>
      </c>
      <c r="AM4586">
        <v>3355.92</v>
      </c>
      <c r="AN4586">
        <v>5000</v>
      </c>
      <c r="AO4586">
        <v>100</v>
      </c>
      <c r="AP4586">
        <v>5000</v>
      </c>
      <c r="AQ4586">
        <v>8</v>
      </c>
      <c r="AR4586">
        <v>6474.12</v>
      </c>
      <c r="AS4586">
        <v>6600</v>
      </c>
      <c r="AT4586">
        <v>2000</v>
      </c>
      <c r="AU4586">
        <v>13000</v>
      </c>
      <c r="AV4586">
        <v>325</v>
      </c>
      <c r="AW4586">
        <v>5287.78</v>
      </c>
      <c r="AX4586">
        <v>4000</v>
      </c>
      <c r="AY4586">
        <v>640</v>
      </c>
      <c r="AZ4586">
        <v>25000</v>
      </c>
      <c r="BA4586">
        <v>1</v>
      </c>
      <c r="BB4586">
        <v>2000</v>
      </c>
      <c r="BC4586">
        <v>2000</v>
      </c>
      <c r="BD4586">
        <v>2000</v>
      </c>
      <c r="BE4586">
        <v>2000</v>
      </c>
      <c r="BF4586">
        <v>1</v>
      </c>
      <c r="BG4586">
        <v>1000</v>
      </c>
      <c r="BH4586">
        <v>1000</v>
      </c>
      <c r="BI4586">
        <v>1000</v>
      </c>
      <c r="BJ4586">
        <v>1000</v>
      </c>
      <c r="BL4586" t="s">
        <v>26</v>
      </c>
      <c r="BM4586" t="s">
        <v>292</v>
      </c>
      <c r="BN4586">
        <v>75</v>
      </c>
      <c r="BO4586">
        <v>6135.83</v>
      </c>
      <c r="BP4586">
        <v>5000</v>
      </c>
      <c r="BQ4586">
        <v>375</v>
      </c>
      <c r="BR4586">
        <v>30000</v>
      </c>
      <c r="BS4586">
        <v>35</v>
      </c>
      <c r="BT4586">
        <v>3831.92</v>
      </c>
      <c r="BU4586">
        <v>2500</v>
      </c>
      <c r="BV4586">
        <v>166.67</v>
      </c>
      <c r="BW4586">
        <v>20000</v>
      </c>
      <c r="BX4586">
        <v>30</v>
      </c>
      <c r="BY4586">
        <v>3395.2</v>
      </c>
      <c r="BZ4586">
        <v>2500</v>
      </c>
      <c r="CA4586">
        <v>285.70999999999998</v>
      </c>
      <c r="CB4586">
        <v>12000</v>
      </c>
      <c r="CH4586">
        <v>1</v>
      </c>
      <c r="CI4586">
        <v>125</v>
      </c>
      <c r="CJ4586">
        <v>125</v>
      </c>
      <c r="CK4586">
        <v>125</v>
      </c>
      <c r="CL4586">
        <v>125</v>
      </c>
      <c r="CM4586">
        <v>15</v>
      </c>
      <c r="CN4586">
        <v>1140.8399999999999</v>
      </c>
      <c r="CO4586">
        <v>500</v>
      </c>
      <c r="CP4586">
        <v>100</v>
      </c>
      <c r="CQ4586">
        <v>5000</v>
      </c>
      <c r="CR4586">
        <v>139</v>
      </c>
      <c r="CS4586">
        <v>2993.44</v>
      </c>
      <c r="CT4586">
        <v>3000</v>
      </c>
      <c r="CU4586">
        <v>357.14</v>
      </c>
      <c r="CV4586">
        <v>7500</v>
      </c>
      <c r="CW4586">
        <v>3</v>
      </c>
      <c r="CX4586">
        <v>3344.01</v>
      </c>
      <c r="CY4586">
        <v>5000</v>
      </c>
      <c r="CZ4586">
        <v>50</v>
      </c>
      <c r="DA4586">
        <v>5000</v>
      </c>
      <c r="DB4586">
        <v>8</v>
      </c>
      <c r="DC4586">
        <v>3623.22</v>
      </c>
      <c r="DD4586">
        <v>2333.33</v>
      </c>
      <c r="DE4586">
        <v>942.86</v>
      </c>
      <c r="DF4586">
        <v>6600</v>
      </c>
      <c r="DG4586">
        <v>325</v>
      </c>
      <c r="DH4586">
        <v>2248.11</v>
      </c>
      <c r="DI4586">
        <v>2000</v>
      </c>
      <c r="DJ4586">
        <v>213.33</v>
      </c>
      <c r="DK4586">
        <v>6500</v>
      </c>
      <c r="DL4586">
        <v>1</v>
      </c>
      <c r="DM4586">
        <v>2000</v>
      </c>
      <c r="DN4586">
        <v>2000</v>
      </c>
      <c r="DO4586">
        <v>2000</v>
      </c>
      <c r="DP4586">
        <v>2000</v>
      </c>
      <c r="DQ4586">
        <v>1</v>
      </c>
      <c r="DR4586">
        <v>1000</v>
      </c>
      <c r="DS4586">
        <v>1000</v>
      </c>
      <c r="DT4586">
        <v>1000</v>
      </c>
      <c r="DU4586">
        <v>1000</v>
      </c>
    </row>
    <row r="4587" spans="1:125" s="3" customFormat="1" x14ac:dyDescent="0.3">
      <c r="A4587" s="3" t="s">
        <v>29</v>
      </c>
      <c r="B4587" s="3" t="s">
        <v>291</v>
      </c>
      <c r="C4587" s="3">
        <v>25</v>
      </c>
      <c r="D4587" s="3">
        <v>8630.67</v>
      </c>
      <c r="E4587" s="3">
        <v>7000</v>
      </c>
      <c r="F4587" s="3">
        <v>2800</v>
      </c>
      <c r="G4587" s="3">
        <v>30000</v>
      </c>
      <c r="H4587" s="3">
        <v>7</v>
      </c>
      <c r="I4587" s="3">
        <v>4592.93</v>
      </c>
      <c r="J4587" s="3">
        <v>5000</v>
      </c>
      <c r="K4587" s="3">
        <v>600</v>
      </c>
      <c r="L4587" s="3">
        <v>6000</v>
      </c>
      <c r="M4587" s="3">
        <v>7</v>
      </c>
      <c r="N4587" s="3">
        <v>6957.54</v>
      </c>
      <c r="O4587" s="3">
        <v>7000</v>
      </c>
      <c r="P4587" s="3">
        <v>1500</v>
      </c>
      <c r="Q4587" s="3">
        <v>12000</v>
      </c>
      <c r="AB4587" s="3">
        <v>2</v>
      </c>
      <c r="AC4587" s="3">
        <v>1329.9</v>
      </c>
      <c r="AD4587" s="3">
        <v>2500</v>
      </c>
      <c r="AE4587" s="3">
        <v>1000</v>
      </c>
      <c r="AF4587" s="3">
        <v>2500</v>
      </c>
      <c r="AG4587" s="3">
        <v>129</v>
      </c>
      <c r="AH4587" s="3">
        <v>5371.05</v>
      </c>
      <c r="AI4587" s="3">
        <v>4000</v>
      </c>
      <c r="AJ4587" s="3">
        <v>2000</v>
      </c>
      <c r="AK4587" s="3">
        <v>23800</v>
      </c>
      <c r="AQ4587" s="3">
        <v>24</v>
      </c>
      <c r="AR4587" s="3">
        <v>6700.3</v>
      </c>
      <c r="AS4587" s="3">
        <v>7000</v>
      </c>
      <c r="AT4587" s="3">
        <v>2000</v>
      </c>
      <c r="AU4587" s="3">
        <v>15000</v>
      </c>
      <c r="AV4587" s="3">
        <v>173</v>
      </c>
      <c r="AW4587" s="3">
        <v>6055.38</v>
      </c>
      <c r="AX4587" s="3">
        <v>5000</v>
      </c>
      <c r="AY4587" s="3">
        <v>1000</v>
      </c>
      <c r="AZ4587" s="3">
        <v>19000</v>
      </c>
      <c r="BF4587" s="3">
        <v>1</v>
      </c>
      <c r="BG4587" s="3">
        <v>4000</v>
      </c>
      <c r="BH4587" s="3">
        <v>4000</v>
      </c>
      <c r="BI4587" s="3">
        <v>4000</v>
      </c>
      <c r="BJ4587" s="3">
        <v>4000</v>
      </c>
      <c r="BL4587" s="3" t="s">
        <v>29</v>
      </c>
      <c r="BM4587" s="3" t="s">
        <v>291</v>
      </c>
      <c r="BN4587" s="3">
        <v>25</v>
      </c>
      <c r="BO4587" s="3">
        <v>2812.01</v>
      </c>
      <c r="BP4587" s="3">
        <v>2000</v>
      </c>
      <c r="BQ4587" s="3">
        <v>800</v>
      </c>
      <c r="BR4587" s="3">
        <v>9500</v>
      </c>
      <c r="BS4587" s="3">
        <v>7</v>
      </c>
      <c r="BT4587" s="3">
        <v>1513.67</v>
      </c>
      <c r="BU4587" s="3">
        <v>1425</v>
      </c>
      <c r="BV4587" s="3">
        <v>200</v>
      </c>
      <c r="BW4587" s="3">
        <v>2700</v>
      </c>
      <c r="BX4587" s="3">
        <v>7</v>
      </c>
      <c r="BY4587" s="3">
        <v>2608.1799999999998</v>
      </c>
      <c r="BZ4587" s="3">
        <v>2000</v>
      </c>
      <c r="CA4587" s="3">
        <v>750</v>
      </c>
      <c r="CB4587" s="3">
        <v>6000</v>
      </c>
      <c r="CM4587" s="3">
        <v>2</v>
      </c>
      <c r="CN4587" s="3">
        <v>469.93</v>
      </c>
      <c r="CO4587" s="3">
        <v>1250</v>
      </c>
      <c r="CP4587" s="3">
        <v>250</v>
      </c>
      <c r="CQ4587" s="3">
        <v>1250</v>
      </c>
      <c r="CR4587" s="3">
        <v>129</v>
      </c>
      <c r="CS4587" s="3">
        <v>2647.38</v>
      </c>
      <c r="CT4587" s="3">
        <v>2000</v>
      </c>
      <c r="CU4587" s="3">
        <v>333.33</v>
      </c>
      <c r="CV4587" s="3">
        <v>11900</v>
      </c>
      <c r="DB4587" s="3">
        <v>24</v>
      </c>
      <c r="DC4587" s="3">
        <v>2286.19</v>
      </c>
      <c r="DD4587" s="3">
        <v>2333.33</v>
      </c>
      <c r="DE4587" s="3">
        <v>1100</v>
      </c>
      <c r="DF4587" s="3">
        <v>4440</v>
      </c>
      <c r="DG4587" s="3">
        <v>173</v>
      </c>
      <c r="DH4587" s="3">
        <v>2509.1799999999998</v>
      </c>
      <c r="DI4587" s="3">
        <v>2200</v>
      </c>
      <c r="DJ4587" s="3">
        <v>400</v>
      </c>
      <c r="DK4587" s="3">
        <v>6000</v>
      </c>
      <c r="DQ4587" s="3">
        <v>1</v>
      </c>
      <c r="DR4587" s="3">
        <v>2000</v>
      </c>
      <c r="DS4587" s="3">
        <v>2000</v>
      </c>
      <c r="DT4587" s="3">
        <v>2000</v>
      </c>
      <c r="DU4587" s="3">
        <v>2000</v>
      </c>
    </row>
    <row r="4588" spans="1:125" x14ac:dyDescent="0.3">
      <c r="A4588" t="s">
        <v>29</v>
      </c>
      <c r="B4588" t="s">
        <v>292</v>
      </c>
      <c r="C4588">
        <v>71</v>
      </c>
      <c r="D4588">
        <v>9433.4599999999991</v>
      </c>
      <c r="E4588">
        <v>8000</v>
      </c>
      <c r="F4588">
        <v>3000</v>
      </c>
      <c r="G4588">
        <v>40000</v>
      </c>
      <c r="H4588">
        <v>16</v>
      </c>
      <c r="I4588">
        <v>6031.12</v>
      </c>
      <c r="J4588">
        <v>6500</v>
      </c>
      <c r="K4588">
        <v>700</v>
      </c>
      <c r="L4588">
        <v>20000</v>
      </c>
      <c r="M4588">
        <v>15</v>
      </c>
      <c r="N4588">
        <v>5590.09</v>
      </c>
      <c r="O4588">
        <v>5000</v>
      </c>
      <c r="P4588">
        <v>1000</v>
      </c>
      <c r="Q4588">
        <v>10000</v>
      </c>
      <c r="R4588">
        <v>2</v>
      </c>
      <c r="S4588">
        <v>2791.81</v>
      </c>
      <c r="T4588">
        <v>3000</v>
      </c>
      <c r="U4588">
        <v>2500</v>
      </c>
      <c r="V4588">
        <v>3000</v>
      </c>
      <c r="AB4588">
        <v>22</v>
      </c>
      <c r="AC4588">
        <v>8388.59</v>
      </c>
      <c r="AD4588">
        <v>6000</v>
      </c>
      <c r="AE4588">
        <v>1000</v>
      </c>
      <c r="AF4588">
        <v>25000</v>
      </c>
      <c r="AG4588">
        <v>118</v>
      </c>
      <c r="AH4588">
        <v>4885.8900000000003</v>
      </c>
      <c r="AI4588">
        <v>3800</v>
      </c>
      <c r="AJ4588">
        <v>800</v>
      </c>
      <c r="AK4588">
        <v>17000</v>
      </c>
      <c r="AL4588">
        <v>2</v>
      </c>
      <c r="AM4588">
        <v>4500</v>
      </c>
      <c r="AN4588">
        <v>4500</v>
      </c>
      <c r="AO4588">
        <v>4500</v>
      </c>
      <c r="AP4588">
        <v>4500</v>
      </c>
      <c r="AQ4588">
        <v>29</v>
      </c>
      <c r="AR4588">
        <v>5075.41</v>
      </c>
      <c r="AS4588">
        <v>4000</v>
      </c>
      <c r="AT4588">
        <v>1000</v>
      </c>
      <c r="AU4588">
        <v>15000</v>
      </c>
      <c r="AV4588">
        <v>270</v>
      </c>
      <c r="AW4588">
        <v>6190.14</v>
      </c>
      <c r="AX4588">
        <v>5000</v>
      </c>
      <c r="AY4588">
        <v>860</v>
      </c>
      <c r="AZ4588">
        <v>52000</v>
      </c>
      <c r="BA4588">
        <v>1</v>
      </c>
      <c r="BB4588">
        <v>5300</v>
      </c>
      <c r="BC4588">
        <v>5300</v>
      </c>
      <c r="BD4588">
        <v>5300</v>
      </c>
      <c r="BE4588">
        <v>5300</v>
      </c>
      <c r="BF4588">
        <v>13</v>
      </c>
      <c r="BG4588">
        <v>7273.18</v>
      </c>
      <c r="BH4588">
        <v>5000</v>
      </c>
      <c r="BI4588">
        <v>1200</v>
      </c>
      <c r="BJ4588">
        <v>22000</v>
      </c>
      <c r="BL4588" t="s">
        <v>29</v>
      </c>
      <c r="BM4588" t="s">
        <v>292</v>
      </c>
      <c r="BN4588">
        <v>71</v>
      </c>
      <c r="BO4588">
        <v>3186.89</v>
      </c>
      <c r="BP4588">
        <v>3000</v>
      </c>
      <c r="BQ4588">
        <v>666.67</v>
      </c>
      <c r="BR4588">
        <v>13333.33</v>
      </c>
      <c r="BS4588">
        <v>16</v>
      </c>
      <c r="BT4588">
        <v>2406.21</v>
      </c>
      <c r="BU4588">
        <v>2000</v>
      </c>
      <c r="BV4588">
        <v>250</v>
      </c>
      <c r="BW4588">
        <v>6500</v>
      </c>
      <c r="BX4588">
        <v>15</v>
      </c>
      <c r="BY4588">
        <v>2169.0300000000002</v>
      </c>
      <c r="BZ4588">
        <v>2500</v>
      </c>
      <c r="CA4588">
        <v>333.33</v>
      </c>
      <c r="CB4588">
        <v>4750</v>
      </c>
      <c r="CC4588">
        <v>2</v>
      </c>
      <c r="CD4588">
        <v>843.86</v>
      </c>
      <c r="CE4588">
        <v>1000</v>
      </c>
      <c r="CF4588">
        <v>625</v>
      </c>
      <c r="CG4588">
        <v>1000</v>
      </c>
      <c r="CM4588">
        <v>22</v>
      </c>
      <c r="CN4588">
        <v>3828.33</v>
      </c>
      <c r="CO4588">
        <v>3000</v>
      </c>
      <c r="CP4588">
        <v>250</v>
      </c>
      <c r="CQ4588">
        <v>12500</v>
      </c>
      <c r="CR4588">
        <v>118</v>
      </c>
      <c r="CS4588">
        <v>2830.67</v>
      </c>
      <c r="CT4588">
        <v>2500</v>
      </c>
      <c r="CU4588">
        <v>450</v>
      </c>
      <c r="CV4588">
        <v>15000</v>
      </c>
      <c r="CW4588">
        <v>2</v>
      </c>
      <c r="CX4588">
        <v>1864.49</v>
      </c>
      <c r="CY4588">
        <v>2250</v>
      </c>
      <c r="CZ4588">
        <v>1500</v>
      </c>
      <c r="DA4588">
        <v>2250</v>
      </c>
      <c r="DB4588">
        <v>29</v>
      </c>
      <c r="DC4588">
        <v>1930.38</v>
      </c>
      <c r="DD4588">
        <v>2000</v>
      </c>
      <c r="DE4588">
        <v>500</v>
      </c>
      <c r="DF4588">
        <v>6800</v>
      </c>
      <c r="DG4588">
        <v>270</v>
      </c>
      <c r="DH4588">
        <v>2398.87</v>
      </c>
      <c r="DI4588">
        <v>2250</v>
      </c>
      <c r="DJ4588">
        <v>286.67</v>
      </c>
      <c r="DK4588">
        <v>7750</v>
      </c>
      <c r="DL4588">
        <v>1</v>
      </c>
      <c r="DM4588">
        <v>2650</v>
      </c>
      <c r="DN4588">
        <v>2650</v>
      </c>
      <c r="DO4588">
        <v>2650</v>
      </c>
      <c r="DP4588">
        <v>2650</v>
      </c>
      <c r="DQ4588">
        <v>13</v>
      </c>
      <c r="DR4588">
        <v>2746.87</v>
      </c>
      <c r="DS4588">
        <v>2333.33</v>
      </c>
      <c r="DT4588">
        <v>240</v>
      </c>
      <c r="DU4588">
        <v>7333.33</v>
      </c>
    </row>
    <row r="4589" spans="1:125" s="3" customFormat="1" x14ac:dyDescent="0.3">
      <c r="A4589" s="3" t="s">
        <v>28</v>
      </c>
      <c r="B4589" s="3" t="s">
        <v>291</v>
      </c>
      <c r="C4589" s="3">
        <v>6</v>
      </c>
      <c r="D4589" s="3">
        <v>6828.63</v>
      </c>
      <c r="E4589" s="3">
        <v>7000</v>
      </c>
      <c r="F4589" s="3">
        <v>1200</v>
      </c>
      <c r="G4589" s="3">
        <v>15000</v>
      </c>
      <c r="H4589" s="3">
        <v>5</v>
      </c>
      <c r="I4589" s="3">
        <v>5328.31</v>
      </c>
      <c r="J4589" s="3">
        <v>6000</v>
      </c>
      <c r="K4589" s="3">
        <v>2000</v>
      </c>
      <c r="L4589" s="3">
        <v>10000</v>
      </c>
      <c r="M4589" s="3">
        <v>2</v>
      </c>
      <c r="N4589" s="3">
        <v>10078.82</v>
      </c>
      <c r="O4589" s="3">
        <v>12000</v>
      </c>
      <c r="P4589" s="3">
        <v>7000</v>
      </c>
      <c r="Q4589" s="3">
        <v>12000</v>
      </c>
      <c r="AB4589" s="3">
        <v>4</v>
      </c>
      <c r="AC4589" s="3">
        <v>9113.92</v>
      </c>
      <c r="AD4589" s="3">
        <v>8000</v>
      </c>
      <c r="AE4589" s="3">
        <v>8000</v>
      </c>
      <c r="AF4589" s="3">
        <v>12000</v>
      </c>
      <c r="AG4589" s="3">
        <v>71</v>
      </c>
      <c r="AH4589" s="3">
        <v>4710.96</v>
      </c>
      <c r="AI4589" s="3">
        <v>4500</v>
      </c>
      <c r="AJ4589" s="3">
        <v>1200</v>
      </c>
      <c r="AK4589" s="3">
        <v>12780</v>
      </c>
      <c r="AQ4589" s="3">
        <v>10</v>
      </c>
      <c r="AR4589" s="3">
        <v>7644.29</v>
      </c>
      <c r="AS4589" s="3">
        <v>6600</v>
      </c>
      <c r="AT4589" s="3">
        <v>2000</v>
      </c>
      <c r="AU4589" s="3">
        <v>13200</v>
      </c>
      <c r="AV4589" s="3">
        <v>77</v>
      </c>
      <c r="AW4589" s="3">
        <v>4757.1899999999996</v>
      </c>
      <c r="AX4589" s="3">
        <v>4000</v>
      </c>
      <c r="AY4589" s="3">
        <v>2000</v>
      </c>
      <c r="AZ4589" s="3">
        <v>15000</v>
      </c>
      <c r="BA4589" s="3">
        <v>1</v>
      </c>
      <c r="BB4589" s="3">
        <v>2000</v>
      </c>
      <c r="BC4589" s="3">
        <v>2000</v>
      </c>
      <c r="BD4589" s="3">
        <v>2000</v>
      </c>
      <c r="BE4589" s="3">
        <v>2000</v>
      </c>
      <c r="BF4589" s="3">
        <v>8</v>
      </c>
      <c r="BG4589" s="3">
        <v>3530.83</v>
      </c>
      <c r="BH4589" s="3">
        <v>4000</v>
      </c>
      <c r="BI4589" s="3">
        <v>860</v>
      </c>
      <c r="BJ4589" s="3">
        <v>8000</v>
      </c>
      <c r="BL4589" s="3" t="s">
        <v>28</v>
      </c>
      <c r="BM4589" s="3" t="s">
        <v>291</v>
      </c>
      <c r="BN4589" s="3">
        <v>6</v>
      </c>
      <c r="BO4589" s="3">
        <v>3850.32</v>
      </c>
      <c r="BP4589" s="3">
        <v>1750</v>
      </c>
      <c r="BQ4589" s="3">
        <v>400</v>
      </c>
      <c r="BR4589" s="3">
        <v>15000</v>
      </c>
      <c r="BS4589" s="3">
        <v>5</v>
      </c>
      <c r="BT4589" s="3">
        <v>4152.3599999999997</v>
      </c>
      <c r="BU4589" s="3">
        <v>6000</v>
      </c>
      <c r="BV4589" s="3">
        <v>666.67</v>
      </c>
      <c r="BW4589" s="3">
        <v>6500</v>
      </c>
      <c r="BX4589" s="3">
        <v>2</v>
      </c>
      <c r="BY4589" s="3">
        <v>2150.25</v>
      </c>
      <c r="BZ4589" s="3">
        <v>2400</v>
      </c>
      <c r="CA4589" s="3">
        <v>1750</v>
      </c>
      <c r="CB4589" s="3">
        <v>2400</v>
      </c>
      <c r="CM4589" s="3">
        <v>4</v>
      </c>
      <c r="CN4589" s="3">
        <v>6379.75</v>
      </c>
      <c r="CO4589" s="3">
        <v>8000</v>
      </c>
      <c r="CP4589" s="3">
        <v>3000</v>
      </c>
      <c r="CQ4589" s="3">
        <v>10000</v>
      </c>
      <c r="CR4589" s="3">
        <v>71</v>
      </c>
      <c r="CS4589" s="3">
        <v>3330.12</v>
      </c>
      <c r="CT4589" s="3">
        <v>3000</v>
      </c>
      <c r="CU4589" s="3">
        <v>625</v>
      </c>
      <c r="CV4589" s="3">
        <v>8300</v>
      </c>
      <c r="DB4589" s="3">
        <v>10</v>
      </c>
      <c r="DC4589" s="3">
        <v>4019.76</v>
      </c>
      <c r="DD4589" s="3">
        <v>3000</v>
      </c>
      <c r="DE4589" s="3">
        <v>333.33</v>
      </c>
      <c r="DF4589" s="3">
        <v>6660</v>
      </c>
      <c r="DG4589" s="3">
        <v>77</v>
      </c>
      <c r="DH4589" s="3">
        <v>2757.67</v>
      </c>
      <c r="DI4589" s="3">
        <v>2250</v>
      </c>
      <c r="DJ4589" s="3">
        <v>1000</v>
      </c>
      <c r="DK4589" s="3">
        <v>9000</v>
      </c>
      <c r="DL4589" s="3">
        <v>1</v>
      </c>
      <c r="DM4589" s="3">
        <v>2000</v>
      </c>
      <c r="DN4589" s="3">
        <v>2000</v>
      </c>
      <c r="DO4589" s="3">
        <v>2000</v>
      </c>
      <c r="DP4589" s="3">
        <v>2000</v>
      </c>
      <c r="DQ4589" s="3">
        <v>8</v>
      </c>
      <c r="DR4589" s="3">
        <v>1786.89</v>
      </c>
      <c r="DS4589" s="3">
        <v>2000</v>
      </c>
      <c r="DT4589" s="3">
        <v>215</v>
      </c>
      <c r="DU4589" s="3">
        <v>2000</v>
      </c>
    </row>
    <row r="4590" spans="1:125" s="3" customFormat="1" x14ac:dyDescent="0.3">
      <c r="A4590" s="3" t="s">
        <v>28</v>
      </c>
      <c r="B4590" s="3" t="s">
        <v>292</v>
      </c>
      <c r="C4590" s="3">
        <v>15</v>
      </c>
      <c r="D4590" s="3">
        <v>12006.97</v>
      </c>
      <c r="E4590" s="3">
        <v>15000</v>
      </c>
      <c r="F4590" s="3">
        <v>2500</v>
      </c>
      <c r="G4590" s="3">
        <v>18000</v>
      </c>
      <c r="H4590" s="3">
        <v>3</v>
      </c>
      <c r="I4590" s="3">
        <v>5179.8599999999997</v>
      </c>
      <c r="J4590" s="3">
        <v>6500</v>
      </c>
      <c r="K4590" s="3">
        <v>3000</v>
      </c>
      <c r="L4590" s="3">
        <v>7000</v>
      </c>
      <c r="M4590" s="3">
        <v>16</v>
      </c>
      <c r="N4590" s="3">
        <v>5470.32</v>
      </c>
      <c r="O4590" s="3">
        <v>5000</v>
      </c>
      <c r="P4590" s="3">
        <v>400</v>
      </c>
      <c r="Q4590" s="3">
        <v>12000</v>
      </c>
      <c r="AB4590" s="3">
        <v>8</v>
      </c>
      <c r="AC4590" s="3">
        <v>13281.27</v>
      </c>
      <c r="AD4590" s="3">
        <v>12000</v>
      </c>
      <c r="AE4590" s="3">
        <v>2500</v>
      </c>
      <c r="AF4590" s="3">
        <v>30000</v>
      </c>
      <c r="AG4590" s="3">
        <v>44</v>
      </c>
      <c r="AH4590" s="3">
        <v>3900.3</v>
      </c>
      <c r="AI4590" s="3">
        <v>3500</v>
      </c>
      <c r="AJ4590" s="3">
        <v>2000</v>
      </c>
      <c r="AK4590" s="3">
        <v>11000</v>
      </c>
      <c r="AQ4590" s="3">
        <v>19</v>
      </c>
      <c r="AR4590" s="3">
        <v>7724.67</v>
      </c>
      <c r="AS4590" s="3">
        <v>6600</v>
      </c>
      <c r="AT4590" s="3">
        <v>2000</v>
      </c>
      <c r="AU4590" s="3">
        <v>15000</v>
      </c>
      <c r="AV4590" s="3">
        <v>134</v>
      </c>
      <c r="AW4590" s="3">
        <v>4554.01</v>
      </c>
      <c r="AX4590" s="3">
        <v>4000</v>
      </c>
      <c r="AY4590" s="3">
        <v>2000</v>
      </c>
      <c r="AZ4590" s="3">
        <v>18000</v>
      </c>
      <c r="BF4590" s="3">
        <v>2</v>
      </c>
      <c r="BG4590" s="3">
        <v>2529.77</v>
      </c>
      <c r="BH4590" s="3">
        <v>3120</v>
      </c>
      <c r="BI4590" s="3">
        <v>2000</v>
      </c>
      <c r="BJ4590" s="3">
        <v>3120</v>
      </c>
      <c r="BL4590" s="3" t="s">
        <v>28</v>
      </c>
      <c r="BM4590" s="3" t="s">
        <v>292</v>
      </c>
      <c r="BN4590" s="3">
        <v>15</v>
      </c>
      <c r="BO4590" s="3">
        <v>5474.3</v>
      </c>
      <c r="BP4590" s="3">
        <v>6000</v>
      </c>
      <c r="BQ4590" s="3">
        <v>1250</v>
      </c>
      <c r="BR4590" s="3">
        <v>15000</v>
      </c>
      <c r="BS4590" s="3">
        <v>3</v>
      </c>
      <c r="BT4590" s="3">
        <v>1558.35</v>
      </c>
      <c r="BU4590" s="3">
        <v>2166.67</v>
      </c>
      <c r="BV4590" s="3">
        <v>600</v>
      </c>
      <c r="BW4590" s="3">
        <v>2333.33</v>
      </c>
      <c r="BX4590" s="3">
        <v>16</v>
      </c>
      <c r="BY4590" s="3">
        <v>2723.46</v>
      </c>
      <c r="BZ4590" s="3">
        <v>2500</v>
      </c>
      <c r="CA4590" s="3">
        <v>200</v>
      </c>
      <c r="CB4590" s="3">
        <v>8000</v>
      </c>
      <c r="CM4590" s="3">
        <v>8</v>
      </c>
      <c r="CN4590" s="3">
        <v>10423.33</v>
      </c>
      <c r="CO4590" s="3">
        <v>8333.33</v>
      </c>
      <c r="CP4590" s="3">
        <v>750</v>
      </c>
      <c r="CQ4590" s="3">
        <v>30000</v>
      </c>
      <c r="CR4590" s="3">
        <v>44</v>
      </c>
      <c r="CS4590" s="3">
        <v>3250.75</v>
      </c>
      <c r="CT4590" s="3">
        <v>3300</v>
      </c>
      <c r="CU4590" s="3">
        <v>625</v>
      </c>
      <c r="CV4590" s="3">
        <v>7000</v>
      </c>
      <c r="DB4590" s="3">
        <v>19</v>
      </c>
      <c r="DC4590" s="3">
        <v>7277.49</v>
      </c>
      <c r="DD4590" s="3">
        <v>6600</v>
      </c>
      <c r="DE4590" s="3">
        <v>1650</v>
      </c>
      <c r="DF4590" s="3">
        <v>15000</v>
      </c>
      <c r="DG4590" s="3">
        <v>133</v>
      </c>
      <c r="DH4590" s="3">
        <v>2710.64</v>
      </c>
      <c r="DI4590" s="3">
        <v>2000</v>
      </c>
      <c r="DJ4590" s="3">
        <v>666.67</v>
      </c>
      <c r="DK4590" s="3">
        <v>8600</v>
      </c>
      <c r="DQ4590" s="3">
        <v>2</v>
      </c>
      <c r="DR4590" s="3">
        <v>1791.87</v>
      </c>
      <c r="DS4590" s="3">
        <v>2000</v>
      </c>
      <c r="DT4590" s="3">
        <v>1560</v>
      </c>
      <c r="DU4590" s="3">
        <v>2000</v>
      </c>
    </row>
    <row r="4591" spans="1:125" x14ac:dyDescent="0.3">
      <c r="A4591" t="s">
        <v>28</v>
      </c>
      <c r="B4591" t="s">
        <v>308</v>
      </c>
      <c r="C4591">
        <v>1</v>
      </c>
      <c r="D4591">
        <v>9000</v>
      </c>
      <c r="E4591">
        <v>9000</v>
      </c>
      <c r="F4591">
        <v>9000</v>
      </c>
      <c r="G4591">
        <v>9000</v>
      </c>
      <c r="H4591">
        <v>1</v>
      </c>
      <c r="I4591">
        <v>5000</v>
      </c>
      <c r="J4591">
        <v>5000</v>
      </c>
      <c r="K4591">
        <v>5000</v>
      </c>
      <c r="L4591">
        <v>5000</v>
      </c>
      <c r="AG4591">
        <v>3</v>
      </c>
      <c r="AH4591">
        <v>4850.63</v>
      </c>
      <c r="AI4591">
        <v>4700</v>
      </c>
      <c r="AJ4591">
        <v>2100</v>
      </c>
      <c r="AK4591">
        <v>7100</v>
      </c>
      <c r="AQ4591">
        <v>1</v>
      </c>
      <c r="AR4591">
        <v>5000</v>
      </c>
      <c r="AS4591">
        <v>5000</v>
      </c>
      <c r="AT4591">
        <v>5000</v>
      </c>
      <c r="AU4591">
        <v>5000</v>
      </c>
      <c r="AV4591">
        <v>6</v>
      </c>
      <c r="AW4591">
        <v>10157.459999999999</v>
      </c>
      <c r="AX4591">
        <v>10000</v>
      </c>
      <c r="AY4591">
        <v>5000</v>
      </c>
      <c r="AZ4591">
        <v>17000</v>
      </c>
      <c r="BF4591">
        <v>1</v>
      </c>
      <c r="BG4591">
        <v>5000</v>
      </c>
      <c r="BH4591">
        <v>5000</v>
      </c>
      <c r="BI4591">
        <v>5000</v>
      </c>
      <c r="BJ4591">
        <v>5000</v>
      </c>
      <c r="BL4591" t="s">
        <v>28</v>
      </c>
      <c r="BM4591" t="s">
        <v>308</v>
      </c>
      <c r="BN4591">
        <v>1</v>
      </c>
      <c r="BO4591">
        <v>4500</v>
      </c>
      <c r="BP4591">
        <v>4500</v>
      </c>
      <c r="BQ4591">
        <v>4500</v>
      </c>
      <c r="BR4591">
        <v>4500</v>
      </c>
      <c r="BS4591">
        <v>1</v>
      </c>
      <c r="BT4591">
        <v>1000</v>
      </c>
      <c r="BU4591">
        <v>1000</v>
      </c>
      <c r="BV4591">
        <v>1000</v>
      </c>
      <c r="BW4591">
        <v>1000</v>
      </c>
      <c r="CR4591">
        <v>3</v>
      </c>
      <c r="CS4591">
        <v>1373.68</v>
      </c>
      <c r="CT4591">
        <v>940</v>
      </c>
      <c r="CU4591">
        <v>700</v>
      </c>
      <c r="CV4591">
        <v>2366.67</v>
      </c>
      <c r="DB4591">
        <v>1</v>
      </c>
      <c r="DC4591">
        <v>2500</v>
      </c>
      <c r="DD4591">
        <v>2500</v>
      </c>
      <c r="DE4591">
        <v>2500</v>
      </c>
      <c r="DF4591">
        <v>2500</v>
      </c>
      <c r="DG4591">
        <v>6</v>
      </c>
      <c r="DH4591">
        <v>2207.7199999999998</v>
      </c>
      <c r="DI4591">
        <v>2428.5700000000002</v>
      </c>
      <c r="DJ4591">
        <v>1750</v>
      </c>
      <c r="DK4591">
        <v>2600</v>
      </c>
      <c r="DQ4591">
        <v>1</v>
      </c>
      <c r="DR4591">
        <v>2500</v>
      </c>
      <c r="DS4591">
        <v>2500</v>
      </c>
      <c r="DT4591">
        <v>2500</v>
      </c>
      <c r="DU4591">
        <v>2500</v>
      </c>
    </row>
    <row r="4592" spans="1:125" s="3" customFormat="1" x14ac:dyDescent="0.3">
      <c r="A4592" s="3" t="s">
        <v>27</v>
      </c>
      <c r="B4592" s="3" t="s">
        <v>291</v>
      </c>
      <c r="C4592" s="3">
        <v>9</v>
      </c>
      <c r="D4592" s="3">
        <v>7969.98</v>
      </c>
      <c r="E4592" s="3">
        <v>6000</v>
      </c>
      <c r="F4592" s="3">
        <v>2500</v>
      </c>
      <c r="G4592" s="3">
        <v>15000</v>
      </c>
      <c r="H4592" s="3">
        <v>3</v>
      </c>
      <c r="I4592" s="3">
        <v>3422.24</v>
      </c>
      <c r="J4592" s="3">
        <v>3800</v>
      </c>
      <c r="K4592" s="3">
        <v>260</v>
      </c>
      <c r="L4592" s="3">
        <v>6000</v>
      </c>
      <c r="AG4592" s="3">
        <v>70</v>
      </c>
      <c r="AH4592" s="3">
        <v>5068.72</v>
      </c>
      <c r="AI4592" s="3">
        <v>3900</v>
      </c>
      <c r="AJ4592" s="3">
        <v>750</v>
      </c>
      <c r="AK4592" s="3">
        <v>18000</v>
      </c>
      <c r="AQ4592" s="3">
        <v>3</v>
      </c>
      <c r="AR4592" s="3">
        <v>4918.33</v>
      </c>
      <c r="AS4592" s="3">
        <v>6600</v>
      </c>
      <c r="AT4592" s="3">
        <v>2000</v>
      </c>
      <c r="AU4592" s="3">
        <v>6600</v>
      </c>
      <c r="AV4592" s="3">
        <v>68</v>
      </c>
      <c r="AW4592" s="3">
        <v>4526.16</v>
      </c>
      <c r="AX4592" s="3">
        <v>4000</v>
      </c>
      <c r="AY4592" s="3">
        <v>800</v>
      </c>
      <c r="AZ4592" s="3">
        <v>14000</v>
      </c>
      <c r="BL4592" s="3" t="s">
        <v>27</v>
      </c>
      <c r="BM4592" s="3" t="s">
        <v>291</v>
      </c>
      <c r="BN4592" s="3">
        <v>9</v>
      </c>
      <c r="BO4592" s="3">
        <v>3059.63</v>
      </c>
      <c r="BP4592" s="3">
        <v>2500</v>
      </c>
      <c r="BQ4592" s="3">
        <v>1333.33</v>
      </c>
      <c r="BR4592" s="3">
        <v>6000</v>
      </c>
      <c r="BS4592" s="3">
        <v>3</v>
      </c>
      <c r="BT4592" s="3">
        <v>1711.12</v>
      </c>
      <c r="BU4592" s="3">
        <v>1900</v>
      </c>
      <c r="BV4592" s="3">
        <v>130</v>
      </c>
      <c r="BW4592" s="3">
        <v>3000</v>
      </c>
      <c r="CR4592" s="3">
        <v>70</v>
      </c>
      <c r="CS4592" s="3">
        <v>3061.8</v>
      </c>
      <c r="CT4592" s="3">
        <v>3000</v>
      </c>
      <c r="CU4592" s="3">
        <v>450</v>
      </c>
      <c r="CV4592" s="3">
        <v>10500</v>
      </c>
      <c r="DB4592" s="3">
        <v>3</v>
      </c>
      <c r="DC4592" s="3">
        <v>1897.35</v>
      </c>
      <c r="DD4592" s="3">
        <v>2200</v>
      </c>
      <c r="DE4592" s="3">
        <v>1000</v>
      </c>
      <c r="DF4592" s="3">
        <v>2200</v>
      </c>
      <c r="DG4592" s="3">
        <v>68</v>
      </c>
      <c r="DH4592" s="3">
        <v>2305.94</v>
      </c>
      <c r="DI4592" s="3">
        <v>2000</v>
      </c>
      <c r="DJ4592" s="3">
        <v>800</v>
      </c>
      <c r="DK4592" s="3">
        <v>5760</v>
      </c>
    </row>
    <row r="4593" spans="1:125" x14ac:dyDescent="0.3">
      <c r="A4593" t="s">
        <v>27</v>
      </c>
      <c r="B4593" t="s">
        <v>292</v>
      </c>
      <c r="C4593">
        <v>53</v>
      </c>
      <c r="D4593">
        <v>8822.2000000000007</v>
      </c>
      <c r="E4593">
        <v>7000</v>
      </c>
      <c r="F4593">
        <v>3000</v>
      </c>
      <c r="G4593">
        <v>35000</v>
      </c>
      <c r="H4593">
        <v>10</v>
      </c>
      <c r="I4593">
        <v>6255.58</v>
      </c>
      <c r="J4593">
        <v>3800</v>
      </c>
      <c r="K4593">
        <v>2500</v>
      </c>
      <c r="L4593">
        <v>15000</v>
      </c>
      <c r="M4593">
        <v>5</v>
      </c>
      <c r="N4593">
        <v>8026.7</v>
      </c>
      <c r="O4593">
        <v>5000</v>
      </c>
      <c r="P4593">
        <v>5000</v>
      </c>
      <c r="Q4593">
        <v>15000</v>
      </c>
      <c r="AB4593">
        <v>3</v>
      </c>
      <c r="AC4593">
        <v>8410.14</v>
      </c>
      <c r="AD4593">
        <v>10000</v>
      </c>
      <c r="AE4593">
        <v>4000</v>
      </c>
      <c r="AF4593">
        <v>15000</v>
      </c>
      <c r="AG4593">
        <v>104</v>
      </c>
      <c r="AH4593">
        <v>4896.3999999999996</v>
      </c>
      <c r="AI4593">
        <v>3700</v>
      </c>
      <c r="AJ4593">
        <v>700</v>
      </c>
      <c r="AK4593">
        <v>18000</v>
      </c>
      <c r="AL4593">
        <v>1</v>
      </c>
      <c r="AM4593">
        <v>3000</v>
      </c>
      <c r="AN4593">
        <v>3000</v>
      </c>
      <c r="AO4593">
        <v>3000</v>
      </c>
      <c r="AP4593">
        <v>3000</v>
      </c>
      <c r="AQ4593">
        <v>6</v>
      </c>
      <c r="AR4593">
        <v>3975.3</v>
      </c>
      <c r="AS4593">
        <v>3000</v>
      </c>
      <c r="AT4593">
        <v>2000</v>
      </c>
      <c r="AU4593">
        <v>8000</v>
      </c>
      <c r="AV4593">
        <v>152</v>
      </c>
      <c r="AW4593">
        <v>4322.9799999999996</v>
      </c>
      <c r="AX4593">
        <v>4000</v>
      </c>
      <c r="AY4593">
        <v>800</v>
      </c>
      <c r="AZ4593">
        <v>15000</v>
      </c>
      <c r="BF4593">
        <v>3</v>
      </c>
      <c r="BG4593">
        <v>7669.68</v>
      </c>
      <c r="BH4593">
        <v>3000</v>
      </c>
      <c r="BI4593">
        <v>1039</v>
      </c>
      <c r="BJ4593">
        <v>20000</v>
      </c>
      <c r="BL4593" t="s">
        <v>27</v>
      </c>
      <c r="BM4593" t="s">
        <v>292</v>
      </c>
      <c r="BN4593">
        <v>53</v>
      </c>
      <c r="BO4593">
        <v>4666.53</v>
      </c>
      <c r="BP4593">
        <v>5000</v>
      </c>
      <c r="BQ4593">
        <v>1200</v>
      </c>
      <c r="BR4593">
        <v>15000</v>
      </c>
      <c r="BS4593">
        <v>10</v>
      </c>
      <c r="BT4593">
        <v>2847.96</v>
      </c>
      <c r="BU4593">
        <v>2500</v>
      </c>
      <c r="BV4593">
        <v>1000</v>
      </c>
      <c r="BW4593">
        <v>7500</v>
      </c>
      <c r="BX4593">
        <v>5</v>
      </c>
      <c r="BY4593">
        <v>3259.63</v>
      </c>
      <c r="BZ4593">
        <v>1666.67</v>
      </c>
      <c r="CA4593">
        <v>833.33</v>
      </c>
      <c r="CB4593">
        <v>7500</v>
      </c>
      <c r="CM4593">
        <v>3</v>
      </c>
      <c r="CN4593">
        <v>6673.07</v>
      </c>
      <c r="CO4593">
        <v>10000</v>
      </c>
      <c r="CP4593">
        <v>1333.33</v>
      </c>
      <c r="CQ4593">
        <v>10000</v>
      </c>
      <c r="CR4593">
        <v>104</v>
      </c>
      <c r="CS4593">
        <v>3260.54</v>
      </c>
      <c r="CT4593">
        <v>3200</v>
      </c>
      <c r="CU4593">
        <v>625</v>
      </c>
      <c r="CV4593">
        <v>9000</v>
      </c>
      <c r="CW4593">
        <v>1</v>
      </c>
      <c r="CX4593">
        <v>3000</v>
      </c>
      <c r="CY4593">
        <v>3000</v>
      </c>
      <c r="CZ4593">
        <v>3000</v>
      </c>
      <c r="DA4593">
        <v>3000</v>
      </c>
      <c r="DB4593">
        <v>6</v>
      </c>
      <c r="DC4593">
        <v>2440.36</v>
      </c>
      <c r="DD4593">
        <v>2500</v>
      </c>
      <c r="DE4593">
        <v>2000</v>
      </c>
      <c r="DF4593">
        <v>3000</v>
      </c>
      <c r="DG4593">
        <v>152</v>
      </c>
      <c r="DH4593">
        <v>2202.66</v>
      </c>
      <c r="DI4593">
        <v>2000</v>
      </c>
      <c r="DJ4593">
        <v>280</v>
      </c>
      <c r="DK4593">
        <v>5520</v>
      </c>
      <c r="DQ4593">
        <v>3</v>
      </c>
      <c r="DR4593">
        <v>3460.21</v>
      </c>
      <c r="DS4593">
        <v>750</v>
      </c>
      <c r="DT4593">
        <v>207.8</v>
      </c>
      <c r="DU4593">
        <v>10000</v>
      </c>
    </row>
    <row r="4594" spans="1:125" x14ac:dyDescent="0.3">
      <c r="A4594" t="s">
        <v>27</v>
      </c>
      <c r="B4594" t="s">
        <v>308</v>
      </c>
      <c r="C4594">
        <v>4</v>
      </c>
      <c r="D4594">
        <v>8665.36</v>
      </c>
      <c r="E4594">
        <v>12000</v>
      </c>
      <c r="F4594">
        <v>3400</v>
      </c>
      <c r="G4594">
        <v>12000</v>
      </c>
      <c r="AG4594">
        <v>1</v>
      </c>
      <c r="AH4594">
        <v>2100</v>
      </c>
      <c r="AI4594">
        <v>2100</v>
      </c>
      <c r="AJ4594">
        <v>2100</v>
      </c>
      <c r="AK4594">
        <v>2100</v>
      </c>
      <c r="AV4594">
        <v>5</v>
      </c>
      <c r="AW4594">
        <v>7769.26</v>
      </c>
      <c r="AX4594">
        <v>7000</v>
      </c>
      <c r="AY4594">
        <v>5000</v>
      </c>
      <c r="AZ4594">
        <v>10000</v>
      </c>
      <c r="BL4594" t="s">
        <v>27</v>
      </c>
      <c r="BM4594" t="s">
        <v>308</v>
      </c>
      <c r="BN4594">
        <v>4</v>
      </c>
      <c r="BO4594">
        <v>2269.7800000000002</v>
      </c>
      <c r="BP4594">
        <v>1750</v>
      </c>
      <c r="BQ4594">
        <v>1500</v>
      </c>
      <c r="BR4594">
        <v>4000</v>
      </c>
      <c r="CR4594">
        <v>1</v>
      </c>
      <c r="CS4594">
        <v>700</v>
      </c>
      <c r="CT4594">
        <v>700</v>
      </c>
      <c r="CU4594">
        <v>700</v>
      </c>
      <c r="CV4594">
        <v>700</v>
      </c>
      <c r="DG4594">
        <v>5</v>
      </c>
      <c r="DH4594">
        <v>2430.04</v>
      </c>
      <c r="DI4594">
        <v>2500</v>
      </c>
      <c r="DJ4594">
        <v>2333.33</v>
      </c>
      <c r="DK4594">
        <v>2500</v>
      </c>
    </row>
    <row r="4595" spans="1:125" x14ac:dyDescent="0.3">
      <c r="A4595" t="s">
        <v>41</v>
      </c>
      <c r="B4595" t="s">
        <v>291</v>
      </c>
      <c r="C4595">
        <v>91</v>
      </c>
      <c r="D4595">
        <v>8833.59</v>
      </c>
      <c r="E4595">
        <v>7000</v>
      </c>
      <c r="F4595">
        <v>1200</v>
      </c>
      <c r="G4595">
        <v>35000</v>
      </c>
      <c r="H4595">
        <v>23</v>
      </c>
      <c r="I4595">
        <v>4583.59</v>
      </c>
      <c r="J4595">
        <v>5000</v>
      </c>
      <c r="K4595">
        <v>260</v>
      </c>
      <c r="L4595">
        <v>10000</v>
      </c>
      <c r="M4595">
        <v>22</v>
      </c>
      <c r="N4595">
        <v>5466.64</v>
      </c>
      <c r="O4595">
        <v>6000</v>
      </c>
      <c r="P4595">
        <v>200</v>
      </c>
      <c r="Q4595">
        <v>12000</v>
      </c>
      <c r="R4595">
        <v>1</v>
      </c>
      <c r="S4595">
        <v>10000</v>
      </c>
      <c r="T4595">
        <v>10000</v>
      </c>
      <c r="U4595">
        <v>10000</v>
      </c>
      <c r="V4595">
        <v>10000</v>
      </c>
      <c r="W4595">
        <v>1</v>
      </c>
      <c r="X4595">
        <v>24000</v>
      </c>
      <c r="Y4595">
        <v>24000</v>
      </c>
      <c r="Z4595">
        <v>24000</v>
      </c>
      <c r="AA4595">
        <v>24000</v>
      </c>
      <c r="AB4595">
        <v>10</v>
      </c>
      <c r="AC4595">
        <v>2170.59</v>
      </c>
      <c r="AD4595">
        <v>1000</v>
      </c>
      <c r="AE4595">
        <v>1000</v>
      </c>
      <c r="AF4595">
        <v>12000</v>
      </c>
      <c r="AG4595">
        <v>459</v>
      </c>
      <c r="AH4595">
        <v>5475.9</v>
      </c>
      <c r="AI4595">
        <v>4000</v>
      </c>
      <c r="AJ4595">
        <v>750</v>
      </c>
      <c r="AK4595">
        <v>23800</v>
      </c>
      <c r="AL4595">
        <v>1</v>
      </c>
      <c r="AM4595">
        <v>2000</v>
      </c>
      <c r="AN4595">
        <v>2000</v>
      </c>
      <c r="AO4595">
        <v>2000</v>
      </c>
      <c r="AP4595">
        <v>2000</v>
      </c>
      <c r="AQ4595">
        <v>40</v>
      </c>
      <c r="AR4595">
        <v>6771.94</v>
      </c>
      <c r="AS4595">
        <v>7000</v>
      </c>
      <c r="AT4595">
        <v>2000</v>
      </c>
      <c r="AU4595">
        <v>15000</v>
      </c>
      <c r="AV4595">
        <v>583</v>
      </c>
      <c r="AW4595">
        <v>5921.44</v>
      </c>
      <c r="AX4595">
        <v>5000</v>
      </c>
      <c r="AY4595">
        <v>800</v>
      </c>
      <c r="AZ4595">
        <v>30000</v>
      </c>
      <c r="BA4595">
        <v>1</v>
      </c>
      <c r="BB4595">
        <v>2000</v>
      </c>
      <c r="BC4595">
        <v>2000</v>
      </c>
      <c r="BD4595">
        <v>2000</v>
      </c>
      <c r="BE4595">
        <v>2000</v>
      </c>
      <c r="BF4595">
        <v>9</v>
      </c>
      <c r="BG4595">
        <v>3732.98</v>
      </c>
      <c r="BH4595">
        <v>4000</v>
      </c>
      <c r="BI4595">
        <v>860</v>
      </c>
      <c r="BJ4595">
        <v>8000</v>
      </c>
      <c r="BL4595" t="s">
        <v>41</v>
      </c>
      <c r="BM4595" t="s">
        <v>291</v>
      </c>
      <c r="BN4595">
        <v>91</v>
      </c>
      <c r="BO4595">
        <v>2941.29</v>
      </c>
      <c r="BP4595">
        <v>2333.33</v>
      </c>
      <c r="BQ4595">
        <v>400</v>
      </c>
      <c r="BR4595">
        <v>15000</v>
      </c>
      <c r="BS4595">
        <v>23</v>
      </c>
      <c r="BT4595">
        <v>1742.9</v>
      </c>
      <c r="BU4595">
        <v>1666.67</v>
      </c>
      <c r="BV4595">
        <v>130</v>
      </c>
      <c r="BW4595">
        <v>6500</v>
      </c>
      <c r="BX4595">
        <v>22</v>
      </c>
      <c r="BY4595">
        <v>1861.21</v>
      </c>
      <c r="BZ4595">
        <v>1500</v>
      </c>
      <c r="CA4595">
        <v>100</v>
      </c>
      <c r="CB4595">
        <v>6000</v>
      </c>
      <c r="CC4595">
        <v>1</v>
      </c>
      <c r="CD4595">
        <v>5000</v>
      </c>
      <c r="CE4595">
        <v>5000</v>
      </c>
      <c r="CF4595">
        <v>5000</v>
      </c>
      <c r="CG4595">
        <v>5000</v>
      </c>
      <c r="CH4595">
        <v>1</v>
      </c>
      <c r="CI4595">
        <v>24000</v>
      </c>
      <c r="CJ4595">
        <v>24000</v>
      </c>
      <c r="CK4595">
        <v>24000</v>
      </c>
      <c r="CL4595">
        <v>24000</v>
      </c>
      <c r="CM4595">
        <v>10</v>
      </c>
      <c r="CN4595">
        <v>1176.48</v>
      </c>
      <c r="CO4595">
        <v>333.33</v>
      </c>
      <c r="CP4595">
        <v>250</v>
      </c>
      <c r="CQ4595">
        <v>10000</v>
      </c>
      <c r="CR4595">
        <v>459</v>
      </c>
      <c r="CS4595">
        <v>2757.99</v>
      </c>
      <c r="CT4595">
        <v>2500</v>
      </c>
      <c r="CU4595">
        <v>333.33</v>
      </c>
      <c r="CV4595">
        <v>11900</v>
      </c>
      <c r="CW4595">
        <v>1</v>
      </c>
      <c r="CX4595">
        <v>2000</v>
      </c>
      <c r="CY4595">
        <v>2000</v>
      </c>
      <c r="CZ4595">
        <v>2000</v>
      </c>
      <c r="DA4595">
        <v>2000</v>
      </c>
      <c r="DB4595">
        <v>40</v>
      </c>
      <c r="DC4595">
        <v>2444.2399999999998</v>
      </c>
      <c r="DD4595">
        <v>2333.33</v>
      </c>
      <c r="DE4595">
        <v>333.33</v>
      </c>
      <c r="DF4595">
        <v>6660</v>
      </c>
      <c r="DG4595">
        <v>583</v>
      </c>
      <c r="DH4595">
        <v>2508.21</v>
      </c>
      <c r="DI4595">
        <v>2056.67</v>
      </c>
      <c r="DJ4595">
        <v>333.33</v>
      </c>
      <c r="DK4595">
        <v>9000</v>
      </c>
      <c r="DL4595">
        <v>1</v>
      </c>
      <c r="DM4595">
        <v>2000</v>
      </c>
      <c r="DN4595">
        <v>2000</v>
      </c>
      <c r="DO4595">
        <v>2000</v>
      </c>
      <c r="DP4595">
        <v>2000</v>
      </c>
      <c r="DQ4595">
        <v>9</v>
      </c>
      <c r="DR4595">
        <v>1878.71</v>
      </c>
      <c r="DS4595">
        <v>2000</v>
      </c>
      <c r="DT4595">
        <v>215</v>
      </c>
      <c r="DU4595">
        <v>2000</v>
      </c>
    </row>
    <row r="4596" spans="1:125" x14ac:dyDescent="0.3">
      <c r="A4596" t="s">
        <v>41</v>
      </c>
      <c r="B4596" t="s">
        <v>292</v>
      </c>
      <c r="C4596">
        <v>268</v>
      </c>
      <c r="D4596">
        <v>10059.040000000001</v>
      </c>
      <c r="E4596">
        <v>8000</v>
      </c>
      <c r="F4596">
        <v>1500</v>
      </c>
      <c r="G4596">
        <v>40000</v>
      </c>
      <c r="H4596">
        <v>72</v>
      </c>
      <c r="I4596">
        <v>7076.7</v>
      </c>
      <c r="J4596">
        <v>6700</v>
      </c>
      <c r="K4596">
        <v>700</v>
      </c>
      <c r="L4596">
        <v>20000</v>
      </c>
      <c r="M4596">
        <v>81</v>
      </c>
      <c r="N4596">
        <v>6282.02</v>
      </c>
      <c r="O4596">
        <v>5000</v>
      </c>
      <c r="P4596">
        <v>400</v>
      </c>
      <c r="Q4596">
        <v>19000</v>
      </c>
      <c r="R4596">
        <v>4</v>
      </c>
      <c r="S4596">
        <v>5140.6499999999996</v>
      </c>
      <c r="T4596">
        <v>3000</v>
      </c>
      <c r="U4596">
        <v>2500</v>
      </c>
      <c r="V4596">
        <v>12000</v>
      </c>
      <c r="W4596">
        <v>1</v>
      </c>
      <c r="X4596">
        <v>250</v>
      </c>
      <c r="Y4596">
        <v>250</v>
      </c>
      <c r="Z4596">
        <v>250</v>
      </c>
      <c r="AA4596">
        <v>250</v>
      </c>
      <c r="AB4596">
        <v>58</v>
      </c>
      <c r="AC4596">
        <v>6531.51</v>
      </c>
      <c r="AD4596">
        <v>4000</v>
      </c>
      <c r="AE4596">
        <v>250</v>
      </c>
      <c r="AF4596">
        <v>30000</v>
      </c>
      <c r="AG4596">
        <v>526</v>
      </c>
      <c r="AH4596">
        <v>4863.8500000000004</v>
      </c>
      <c r="AI4596">
        <v>3920</v>
      </c>
      <c r="AJ4596">
        <v>700</v>
      </c>
      <c r="AK4596">
        <v>18000</v>
      </c>
      <c r="AL4596">
        <v>8</v>
      </c>
      <c r="AM4596">
        <v>3615.72</v>
      </c>
      <c r="AN4596">
        <v>4500</v>
      </c>
      <c r="AO4596">
        <v>100</v>
      </c>
      <c r="AP4596">
        <v>5000</v>
      </c>
      <c r="AQ4596">
        <v>63</v>
      </c>
      <c r="AR4596">
        <v>5474.25</v>
      </c>
      <c r="AS4596">
        <v>5000</v>
      </c>
      <c r="AT4596">
        <v>1000</v>
      </c>
      <c r="AU4596">
        <v>15000</v>
      </c>
      <c r="AV4596">
        <v>1118</v>
      </c>
      <c r="AW4596">
        <v>5522.17</v>
      </c>
      <c r="AX4596">
        <v>4400</v>
      </c>
      <c r="AY4596">
        <v>640</v>
      </c>
      <c r="AZ4596">
        <v>52000</v>
      </c>
      <c r="BA4596">
        <v>2</v>
      </c>
      <c r="BB4596">
        <v>2890.68</v>
      </c>
      <c r="BC4596">
        <v>5300</v>
      </c>
      <c r="BD4596">
        <v>2000</v>
      </c>
      <c r="BE4596">
        <v>5300</v>
      </c>
      <c r="BF4596">
        <v>20</v>
      </c>
      <c r="BG4596">
        <v>6785.76</v>
      </c>
      <c r="BH4596">
        <v>5000</v>
      </c>
      <c r="BI4596">
        <v>1000</v>
      </c>
      <c r="BJ4596">
        <v>22000</v>
      </c>
      <c r="BL4596" t="s">
        <v>41</v>
      </c>
      <c r="BM4596" t="s">
        <v>292</v>
      </c>
      <c r="BN4596">
        <v>268</v>
      </c>
      <c r="BO4596">
        <v>4386.8999999999996</v>
      </c>
      <c r="BP4596">
        <v>3500</v>
      </c>
      <c r="BQ4596">
        <v>375</v>
      </c>
      <c r="BR4596">
        <v>30000</v>
      </c>
      <c r="BS4596">
        <v>72</v>
      </c>
      <c r="BT4596">
        <v>3151.2</v>
      </c>
      <c r="BU4596">
        <v>2233.33</v>
      </c>
      <c r="BV4596">
        <v>166.67</v>
      </c>
      <c r="BW4596">
        <v>20000</v>
      </c>
      <c r="BX4596">
        <v>81</v>
      </c>
      <c r="BY4596">
        <v>2674.27</v>
      </c>
      <c r="BZ4596">
        <v>2500</v>
      </c>
      <c r="CA4596">
        <v>200</v>
      </c>
      <c r="CB4596">
        <v>12000</v>
      </c>
      <c r="CC4596">
        <v>4</v>
      </c>
      <c r="CD4596">
        <v>2585.21</v>
      </c>
      <c r="CE4596">
        <v>1000</v>
      </c>
      <c r="CF4596">
        <v>625</v>
      </c>
      <c r="CG4596">
        <v>6000</v>
      </c>
      <c r="CH4596">
        <v>1</v>
      </c>
      <c r="CI4596">
        <v>125</v>
      </c>
      <c r="CJ4596">
        <v>125</v>
      </c>
      <c r="CK4596">
        <v>125</v>
      </c>
      <c r="CL4596">
        <v>125</v>
      </c>
      <c r="CM4596">
        <v>58</v>
      </c>
      <c r="CN4596">
        <v>3136.54</v>
      </c>
      <c r="CO4596">
        <v>1500</v>
      </c>
      <c r="CP4596">
        <v>100</v>
      </c>
      <c r="CQ4596">
        <v>30000</v>
      </c>
      <c r="CR4596">
        <v>526</v>
      </c>
      <c r="CS4596">
        <v>2986.32</v>
      </c>
      <c r="CT4596">
        <v>2760</v>
      </c>
      <c r="CU4596">
        <v>357.14</v>
      </c>
      <c r="CV4596">
        <v>15000</v>
      </c>
      <c r="CW4596">
        <v>8</v>
      </c>
      <c r="CX4596">
        <v>2477.64</v>
      </c>
      <c r="CY4596">
        <v>2250</v>
      </c>
      <c r="CZ4596">
        <v>50</v>
      </c>
      <c r="DA4596">
        <v>5000</v>
      </c>
      <c r="DB4596">
        <v>63</v>
      </c>
      <c r="DC4596">
        <v>2579.96</v>
      </c>
      <c r="DD4596">
        <v>2200</v>
      </c>
      <c r="DE4596">
        <v>500</v>
      </c>
      <c r="DF4596">
        <v>15000</v>
      </c>
      <c r="DG4596">
        <v>1117</v>
      </c>
      <c r="DH4596">
        <v>2332.04</v>
      </c>
      <c r="DI4596">
        <v>2000</v>
      </c>
      <c r="DJ4596">
        <v>213.33</v>
      </c>
      <c r="DK4596">
        <v>8600</v>
      </c>
      <c r="DL4596">
        <v>2</v>
      </c>
      <c r="DM4596">
        <v>2175.44</v>
      </c>
      <c r="DN4596">
        <v>2650</v>
      </c>
      <c r="DO4596">
        <v>2000</v>
      </c>
      <c r="DP4596">
        <v>2650</v>
      </c>
      <c r="DQ4596">
        <v>20</v>
      </c>
      <c r="DR4596">
        <v>2626.5</v>
      </c>
      <c r="DS4596">
        <v>2200</v>
      </c>
      <c r="DT4596">
        <v>207.8</v>
      </c>
      <c r="DU4596">
        <v>10000</v>
      </c>
    </row>
    <row r="4597" spans="1:125" x14ac:dyDescent="0.3">
      <c r="A4597" t="s">
        <v>41</v>
      </c>
      <c r="B4597" t="s">
        <v>308</v>
      </c>
      <c r="C4597">
        <v>8</v>
      </c>
      <c r="D4597">
        <v>9714.74</v>
      </c>
      <c r="E4597">
        <v>6500</v>
      </c>
      <c r="F4597">
        <v>3400</v>
      </c>
      <c r="G4597">
        <v>20000</v>
      </c>
      <c r="H4597">
        <v>1</v>
      </c>
      <c r="I4597">
        <v>5000</v>
      </c>
      <c r="J4597">
        <v>5000</v>
      </c>
      <c r="K4597">
        <v>5000</v>
      </c>
      <c r="L4597">
        <v>5000</v>
      </c>
      <c r="AB4597">
        <v>1</v>
      </c>
      <c r="AC4597">
        <v>2000</v>
      </c>
      <c r="AD4597">
        <v>2000</v>
      </c>
      <c r="AE4597">
        <v>2000</v>
      </c>
      <c r="AF4597">
        <v>2000</v>
      </c>
      <c r="AG4597">
        <v>6</v>
      </c>
      <c r="AH4597">
        <v>4022.73</v>
      </c>
      <c r="AI4597">
        <v>2500</v>
      </c>
      <c r="AJ4597">
        <v>2100</v>
      </c>
      <c r="AK4597">
        <v>9000</v>
      </c>
      <c r="AQ4597">
        <v>1</v>
      </c>
      <c r="AR4597">
        <v>5000</v>
      </c>
      <c r="AS4597">
        <v>5000</v>
      </c>
      <c r="AT4597">
        <v>5000</v>
      </c>
      <c r="AU4597">
        <v>5000</v>
      </c>
      <c r="AV4597">
        <v>18</v>
      </c>
      <c r="AW4597">
        <v>8738.98</v>
      </c>
      <c r="AX4597">
        <v>8000</v>
      </c>
      <c r="AY4597">
        <v>5000</v>
      </c>
      <c r="AZ4597">
        <v>17000</v>
      </c>
      <c r="BF4597">
        <v>1</v>
      </c>
      <c r="BG4597">
        <v>5000</v>
      </c>
      <c r="BH4597">
        <v>5000</v>
      </c>
      <c r="BI4597">
        <v>5000</v>
      </c>
      <c r="BJ4597">
        <v>5000</v>
      </c>
      <c r="BL4597" t="s">
        <v>41</v>
      </c>
      <c r="BM4597" t="s">
        <v>308</v>
      </c>
      <c r="BN4597">
        <v>8</v>
      </c>
      <c r="BO4597">
        <v>2724.58</v>
      </c>
      <c r="BP4597">
        <v>2166.67</v>
      </c>
      <c r="BQ4597">
        <v>1250</v>
      </c>
      <c r="BR4597">
        <v>5000</v>
      </c>
      <c r="BS4597">
        <v>1</v>
      </c>
      <c r="BT4597">
        <v>1000</v>
      </c>
      <c r="BU4597">
        <v>1000</v>
      </c>
      <c r="BV4597">
        <v>1000</v>
      </c>
      <c r="BW4597">
        <v>1000</v>
      </c>
      <c r="CM4597">
        <v>1</v>
      </c>
      <c r="CN4597">
        <v>500</v>
      </c>
      <c r="CO4597">
        <v>500</v>
      </c>
      <c r="CP4597">
        <v>500</v>
      </c>
      <c r="CQ4597">
        <v>500</v>
      </c>
      <c r="CR4597">
        <v>6</v>
      </c>
      <c r="CS4597">
        <v>1266.53</v>
      </c>
      <c r="CT4597">
        <v>833.33</v>
      </c>
      <c r="CU4597">
        <v>700</v>
      </c>
      <c r="CV4597">
        <v>3000</v>
      </c>
      <c r="DB4597">
        <v>1</v>
      </c>
      <c r="DC4597">
        <v>2500</v>
      </c>
      <c r="DD4597">
        <v>2500</v>
      </c>
      <c r="DE4597">
        <v>2500</v>
      </c>
      <c r="DF4597">
        <v>2500</v>
      </c>
      <c r="DG4597">
        <v>18</v>
      </c>
      <c r="DH4597">
        <v>2417.3200000000002</v>
      </c>
      <c r="DI4597">
        <v>2500</v>
      </c>
      <c r="DJ4597">
        <v>1750</v>
      </c>
      <c r="DK4597">
        <v>3250</v>
      </c>
      <c r="DQ4597">
        <v>1</v>
      </c>
      <c r="DR4597">
        <v>2500</v>
      </c>
      <c r="DS4597">
        <v>2500</v>
      </c>
      <c r="DT4597">
        <v>2500</v>
      </c>
      <c r="DU4597">
        <v>2500</v>
      </c>
    </row>
    <row r="4598" spans="1:125" x14ac:dyDescent="0.3">
      <c r="A4598" t="s">
        <v>26</v>
      </c>
      <c r="B4598" t="s">
        <v>308</v>
      </c>
      <c r="AB4598">
        <v>1</v>
      </c>
      <c r="AC4598">
        <v>2000</v>
      </c>
      <c r="AD4598">
        <v>2000</v>
      </c>
      <c r="AE4598">
        <v>2000</v>
      </c>
      <c r="AF4598">
        <v>2000</v>
      </c>
      <c r="AV4598">
        <v>3</v>
      </c>
      <c r="AW4598">
        <v>9308.18</v>
      </c>
      <c r="AX4598">
        <v>8000</v>
      </c>
      <c r="AY4598">
        <v>8000</v>
      </c>
      <c r="AZ4598">
        <v>13000</v>
      </c>
      <c r="BL4598" t="s">
        <v>26</v>
      </c>
      <c r="BM4598" t="s">
        <v>308</v>
      </c>
      <c r="CM4598">
        <v>1</v>
      </c>
      <c r="CN4598">
        <v>500</v>
      </c>
      <c r="CO4598">
        <v>500</v>
      </c>
      <c r="CP4598">
        <v>500</v>
      </c>
      <c r="CQ4598">
        <v>500</v>
      </c>
      <c r="DG4598">
        <v>3</v>
      </c>
      <c r="DH4598">
        <v>2819.29</v>
      </c>
      <c r="DI4598">
        <v>2666.67</v>
      </c>
      <c r="DJ4598">
        <v>2666.67</v>
      </c>
      <c r="DK4598">
        <v>3250</v>
      </c>
    </row>
    <row r="4599" spans="1:125" x14ac:dyDescent="0.3">
      <c r="A4599" t="s">
        <v>29</v>
      </c>
      <c r="B4599" t="s">
        <v>308</v>
      </c>
      <c r="BL4599" t="s">
        <v>29</v>
      </c>
      <c r="BM4599" t="s">
        <v>308</v>
      </c>
    </row>
    <row r="4601" spans="1:125" x14ac:dyDescent="0.3">
      <c r="A4601" t="s">
        <v>1828</v>
      </c>
    </row>
    <row r="4602" spans="1:125" x14ac:dyDescent="0.3">
      <c r="A4602" t="s">
        <v>36</v>
      </c>
      <c r="B4602" t="s">
        <v>24</v>
      </c>
      <c r="C4602" t="s">
        <v>37</v>
      </c>
      <c r="D4602" t="s">
        <v>38</v>
      </c>
      <c r="E4602" t="s">
        <v>39</v>
      </c>
      <c r="F4602" t="s">
        <v>40</v>
      </c>
    </row>
    <row r="4603" spans="1:125" x14ac:dyDescent="0.3">
      <c r="A4603" t="s">
        <v>25</v>
      </c>
      <c r="B4603">
        <v>414</v>
      </c>
      <c r="C4603">
        <v>3721.23</v>
      </c>
      <c r="D4603">
        <v>3300</v>
      </c>
      <c r="E4603">
        <v>0</v>
      </c>
      <c r="F4603">
        <v>12900</v>
      </c>
    </row>
    <row r="4604" spans="1:125" x14ac:dyDescent="0.3">
      <c r="A4604" t="s">
        <v>26</v>
      </c>
      <c r="B4604">
        <v>477</v>
      </c>
      <c r="C4604">
        <v>4057.62</v>
      </c>
      <c r="D4604">
        <v>3800</v>
      </c>
      <c r="E4604">
        <v>0</v>
      </c>
      <c r="F4604">
        <v>12600</v>
      </c>
    </row>
    <row r="4605" spans="1:125" x14ac:dyDescent="0.3">
      <c r="A4605" t="s">
        <v>29</v>
      </c>
      <c r="B4605">
        <v>530</v>
      </c>
      <c r="C4605">
        <v>4067.11</v>
      </c>
      <c r="D4605">
        <v>4000</v>
      </c>
      <c r="E4605">
        <v>0</v>
      </c>
      <c r="F4605">
        <v>11500</v>
      </c>
    </row>
    <row r="4606" spans="1:125" x14ac:dyDescent="0.3">
      <c r="A4606" t="s">
        <v>28</v>
      </c>
      <c r="B4606">
        <v>317</v>
      </c>
      <c r="C4606">
        <v>2710.76</v>
      </c>
      <c r="D4606">
        <v>2200</v>
      </c>
      <c r="E4606">
        <v>0</v>
      </c>
      <c r="F4606">
        <v>10900</v>
      </c>
    </row>
    <row r="4607" spans="1:125" x14ac:dyDescent="0.3">
      <c r="A4607" t="s">
        <v>27</v>
      </c>
      <c r="B4607">
        <v>300</v>
      </c>
      <c r="C4607">
        <v>3279.29</v>
      </c>
      <c r="D4607">
        <v>2800</v>
      </c>
      <c r="E4607">
        <v>0</v>
      </c>
      <c r="F4607">
        <v>11600</v>
      </c>
    </row>
    <row r="4608" spans="1:125" x14ac:dyDescent="0.3">
      <c r="A4608" t="s">
        <v>41</v>
      </c>
      <c r="B4608">
        <v>2038</v>
      </c>
      <c r="C4608">
        <v>3893.48</v>
      </c>
      <c r="D4608">
        <v>3600</v>
      </c>
      <c r="E4608">
        <v>0</v>
      </c>
      <c r="F4608">
        <v>12900</v>
      </c>
    </row>
    <row r="4610" spans="1:7" x14ac:dyDescent="0.3">
      <c r="A4610" t="s">
        <v>1829</v>
      </c>
    </row>
    <row r="4611" spans="1:7" x14ac:dyDescent="0.3">
      <c r="A4611" t="s">
        <v>36</v>
      </c>
      <c r="B4611" t="s">
        <v>307</v>
      </c>
      <c r="C4611" t="s">
        <v>24</v>
      </c>
      <c r="D4611" t="s">
        <v>37</v>
      </c>
      <c r="E4611" t="s">
        <v>38</v>
      </c>
      <c r="F4611" t="s">
        <v>39</v>
      </c>
      <c r="G4611" t="s">
        <v>40</v>
      </c>
    </row>
    <row r="4612" spans="1:7" x14ac:dyDescent="0.3">
      <c r="A4612" t="s">
        <v>25</v>
      </c>
      <c r="B4612" t="s">
        <v>291</v>
      </c>
      <c r="C4612">
        <v>156</v>
      </c>
      <c r="D4612">
        <v>3487.5</v>
      </c>
      <c r="E4612">
        <v>3200</v>
      </c>
      <c r="F4612">
        <v>0</v>
      </c>
      <c r="G4612">
        <v>11500</v>
      </c>
    </row>
    <row r="4613" spans="1:7" x14ac:dyDescent="0.3">
      <c r="A4613" t="s">
        <v>25</v>
      </c>
      <c r="B4613" t="s">
        <v>292</v>
      </c>
      <c r="C4613">
        <v>254</v>
      </c>
      <c r="D4613">
        <v>3852.95</v>
      </c>
      <c r="E4613">
        <v>3500</v>
      </c>
      <c r="F4613">
        <v>0</v>
      </c>
      <c r="G4613">
        <v>12900</v>
      </c>
    </row>
    <row r="4614" spans="1:7" x14ac:dyDescent="0.3">
      <c r="A4614" t="s">
        <v>25</v>
      </c>
      <c r="B4614" t="s">
        <v>308</v>
      </c>
      <c r="C4614">
        <v>4</v>
      </c>
      <c r="D4614">
        <v>4685.1499999999996</v>
      </c>
      <c r="E4614">
        <v>4000</v>
      </c>
      <c r="F4614">
        <v>2620</v>
      </c>
      <c r="G4614">
        <v>7300</v>
      </c>
    </row>
    <row r="4615" spans="1:7" x14ac:dyDescent="0.3">
      <c r="A4615" t="s">
        <v>26</v>
      </c>
      <c r="B4615" t="s">
        <v>291</v>
      </c>
      <c r="C4615">
        <v>122</v>
      </c>
      <c r="D4615">
        <v>3840.06</v>
      </c>
      <c r="E4615">
        <v>3380</v>
      </c>
      <c r="F4615">
        <v>0</v>
      </c>
      <c r="G4615">
        <v>9600</v>
      </c>
    </row>
    <row r="4616" spans="1:7" x14ac:dyDescent="0.3">
      <c r="A4616" t="s">
        <v>26</v>
      </c>
      <c r="B4616" t="s">
        <v>292</v>
      </c>
      <c r="C4616">
        <v>352</v>
      </c>
      <c r="D4616">
        <v>4124.6899999999996</v>
      </c>
      <c r="E4616">
        <v>3900</v>
      </c>
      <c r="F4616">
        <v>0</v>
      </c>
      <c r="G4616">
        <v>12600</v>
      </c>
    </row>
    <row r="4617" spans="1:7" x14ac:dyDescent="0.3">
      <c r="A4617" t="s">
        <v>26</v>
      </c>
      <c r="B4617" t="s">
        <v>308</v>
      </c>
      <c r="C4617">
        <v>3</v>
      </c>
      <c r="D4617">
        <v>4863.04</v>
      </c>
      <c r="E4617">
        <v>4450</v>
      </c>
      <c r="F4617">
        <v>2500</v>
      </c>
      <c r="G4617">
        <v>8500</v>
      </c>
    </row>
    <row r="4618" spans="1:7" x14ac:dyDescent="0.3">
      <c r="A4618" t="s">
        <v>29</v>
      </c>
      <c r="B4618" t="s">
        <v>291</v>
      </c>
      <c r="C4618">
        <v>205</v>
      </c>
      <c r="D4618">
        <v>3974.09</v>
      </c>
      <c r="E4618">
        <v>4000</v>
      </c>
      <c r="F4618">
        <v>0</v>
      </c>
      <c r="G4618">
        <v>10000</v>
      </c>
    </row>
    <row r="4619" spans="1:7" x14ac:dyDescent="0.3">
      <c r="A4619" t="s">
        <v>29</v>
      </c>
      <c r="B4619" t="s">
        <v>292</v>
      </c>
      <c r="C4619">
        <v>325</v>
      </c>
      <c r="D4619">
        <v>4125.58</v>
      </c>
      <c r="E4619">
        <v>4000</v>
      </c>
      <c r="F4619">
        <v>0</v>
      </c>
      <c r="G4619">
        <v>11500</v>
      </c>
    </row>
    <row r="4620" spans="1:7" x14ac:dyDescent="0.3">
      <c r="A4620" t="s">
        <v>28</v>
      </c>
      <c r="B4620" t="s">
        <v>291</v>
      </c>
      <c r="C4620">
        <v>114</v>
      </c>
      <c r="D4620">
        <v>2624.96</v>
      </c>
      <c r="E4620">
        <v>2500</v>
      </c>
      <c r="F4620">
        <v>0</v>
      </c>
      <c r="G4620">
        <v>10900</v>
      </c>
    </row>
    <row r="4621" spans="1:7" x14ac:dyDescent="0.3">
      <c r="A4621" t="s">
        <v>28</v>
      </c>
      <c r="B4621" t="s">
        <v>292</v>
      </c>
      <c r="C4621">
        <v>191</v>
      </c>
      <c r="D4621">
        <v>2678.02</v>
      </c>
      <c r="E4621">
        <v>2100</v>
      </c>
      <c r="F4621">
        <v>0</v>
      </c>
      <c r="G4621">
        <v>10800</v>
      </c>
    </row>
    <row r="4622" spans="1:7" x14ac:dyDescent="0.3">
      <c r="A4622" t="s">
        <v>28</v>
      </c>
      <c r="B4622" t="s">
        <v>308</v>
      </c>
      <c r="C4622">
        <v>12</v>
      </c>
      <c r="D4622">
        <v>4112.45</v>
      </c>
      <c r="E4622">
        <v>4000</v>
      </c>
      <c r="F4622">
        <v>0</v>
      </c>
      <c r="G4622">
        <v>8300</v>
      </c>
    </row>
    <row r="4623" spans="1:7" x14ac:dyDescent="0.3">
      <c r="A4623" t="s">
        <v>27</v>
      </c>
      <c r="B4623" t="s">
        <v>291</v>
      </c>
      <c r="C4623">
        <v>95</v>
      </c>
      <c r="D4623">
        <v>2837.65</v>
      </c>
      <c r="E4623">
        <v>2700</v>
      </c>
      <c r="F4623">
        <v>0</v>
      </c>
      <c r="G4623">
        <v>8200</v>
      </c>
    </row>
    <row r="4624" spans="1:7" x14ac:dyDescent="0.3">
      <c r="A4624" t="s">
        <v>27</v>
      </c>
      <c r="B4624" t="s">
        <v>292</v>
      </c>
      <c r="C4624">
        <v>198</v>
      </c>
      <c r="D4624">
        <v>3440.64</v>
      </c>
      <c r="E4624">
        <v>2900</v>
      </c>
      <c r="F4624">
        <v>0</v>
      </c>
      <c r="G4624">
        <v>11600</v>
      </c>
    </row>
    <row r="4625" spans="1:7" x14ac:dyDescent="0.3">
      <c r="A4625" t="s">
        <v>27</v>
      </c>
      <c r="B4625" t="s">
        <v>308</v>
      </c>
      <c r="C4625">
        <v>7</v>
      </c>
      <c r="D4625">
        <v>3744.82</v>
      </c>
      <c r="E4625">
        <v>2900</v>
      </c>
      <c r="F4625">
        <v>2300</v>
      </c>
      <c r="G4625">
        <v>8000</v>
      </c>
    </row>
    <row r="4626" spans="1:7" x14ac:dyDescent="0.3">
      <c r="A4626" t="s">
        <v>41</v>
      </c>
      <c r="B4626" t="s">
        <v>291</v>
      </c>
      <c r="C4626">
        <v>692</v>
      </c>
      <c r="D4626">
        <v>3729.75</v>
      </c>
      <c r="E4626">
        <v>3400</v>
      </c>
      <c r="F4626">
        <v>0</v>
      </c>
      <c r="G4626">
        <v>11500</v>
      </c>
    </row>
    <row r="4627" spans="1:7" x14ac:dyDescent="0.3">
      <c r="A4627" t="s">
        <v>41</v>
      </c>
      <c r="B4627" t="s">
        <v>292</v>
      </c>
      <c r="C4627">
        <v>1320</v>
      </c>
      <c r="D4627">
        <v>3976.67</v>
      </c>
      <c r="E4627">
        <v>3700</v>
      </c>
      <c r="F4627">
        <v>0</v>
      </c>
      <c r="G4627">
        <v>12900</v>
      </c>
    </row>
    <row r="4628" spans="1:7" x14ac:dyDescent="0.3">
      <c r="A4628" t="s">
        <v>41</v>
      </c>
      <c r="B4628" t="s">
        <v>308</v>
      </c>
      <c r="C4628">
        <v>26</v>
      </c>
      <c r="D4628">
        <v>4387.7700000000004</v>
      </c>
      <c r="E4628">
        <v>4000</v>
      </c>
      <c r="F4628">
        <v>0</v>
      </c>
      <c r="G4628">
        <v>8500</v>
      </c>
    </row>
    <row r="4630" spans="1:7" x14ac:dyDescent="0.3">
      <c r="A4630" t="s">
        <v>1830</v>
      </c>
    </row>
    <row r="4631" spans="1:7" x14ac:dyDescent="0.3">
      <c r="A4631" t="s">
        <v>36</v>
      </c>
      <c r="B4631" t="s">
        <v>310</v>
      </c>
      <c r="C4631" t="s">
        <v>24</v>
      </c>
      <c r="D4631" t="s">
        <v>37</v>
      </c>
      <c r="E4631" t="s">
        <v>38</v>
      </c>
      <c r="F4631" t="s">
        <v>39</v>
      </c>
      <c r="G4631" t="s">
        <v>40</v>
      </c>
    </row>
    <row r="4632" spans="1:7" x14ac:dyDescent="0.3">
      <c r="A4632" t="s">
        <v>25</v>
      </c>
      <c r="B4632" t="s">
        <v>311</v>
      </c>
      <c r="C4632">
        <v>324</v>
      </c>
      <c r="D4632">
        <v>3717.72</v>
      </c>
      <c r="E4632">
        <v>3200</v>
      </c>
      <c r="F4632">
        <v>0</v>
      </c>
      <c r="G4632">
        <v>12900</v>
      </c>
    </row>
    <row r="4633" spans="1:7" x14ac:dyDescent="0.3">
      <c r="A4633" t="s">
        <v>25</v>
      </c>
      <c r="B4633" t="s">
        <v>312</v>
      </c>
      <c r="C4633">
        <v>80</v>
      </c>
      <c r="D4633">
        <v>3907.45</v>
      </c>
      <c r="E4633">
        <v>3500</v>
      </c>
      <c r="F4633">
        <v>0</v>
      </c>
      <c r="G4633">
        <v>10150</v>
      </c>
    </row>
    <row r="4634" spans="1:7" x14ac:dyDescent="0.3">
      <c r="A4634" t="s">
        <v>25</v>
      </c>
      <c r="B4634" t="s">
        <v>308</v>
      </c>
      <c r="C4634">
        <v>10</v>
      </c>
      <c r="D4634">
        <v>2709.25</v>
      </c>
      <c r="E4634">
        <v>2500</v>
      </c>
      <c r="F4634">
        <v>394</v>
      </c>
      <c r="G4634">
        <v>6000</v>
      </c>
    </row>
    <row r="4635" spans="1:7" x14ac:dyDescent="0.3">
      <c r="A4635" t="s">
        <v>26</v>
      </c>
      <c r="B4635" t="s">
        <v>311</v>
      </c>
      <c r="C4635">
        <v>343</v>
      </c>
      <c r="D4635">
        <v>3939.38</v>
      </c>
      <c r="E4635">
        <v>3700</v>
      </c>
      <c r="F4635">
        <v>0</v>
      </c>
      <c r="G4635">
        <v>12600</v>
      </c>
    </row>
    <row r="4636" spans="1:7" x14ac:dyDescent="0.3">
      <c r="A4636" t="s">
        <v>26</v>
      </c>
      <c r="B4636" t="s">
        <v>312</v>
      </c>
      <c r="C4636">
        <v>96</v>
      </c>
      <c r="D4636">
        <v>4095.17</v>
      </c>
      <c r="E4636">
        <v>3500</v>
      </c>
      <c r="F4636">
        <v>0</v>
      </c>
      <c r="G4636">
        <v>10450</v>
      </c>
    </row>
    <row r="4637" spans="1:7" x14ac:dyDescent="0.3">
      <c r="A4637" t="s">
        <v>26</v>
      </c>
      <c r="B4637" t="s">
        <v>308</v>
      </c>
      <c r="C4637">
        <v>38</v>
      </c>
      <c r="D4637">
        <v>4988.01</v>
      </c>
      <c r="E4637">
        <v>4600</v>
      </c>
      <c r="F4637">
        <v>100</v>
      </c>
      <c r="G4637">
        <v>9400</v>
      </c>
    </row>
    <row r="4638" spans="1:7" x14ac:dyDescent="0.3">
      <c r="A4638" t="s">
        <v>29</v>
      </c>
      <c r="B4638" t="s">
        <v>311</v>
      </c>
      <c r="C4638">
        <v>414</v>
      </c>
      <c r="D4638">
        <v>4133.42</v>
      </c>
      <c r="E4638">
        <v>4000</v>
      </c>
      <c r="F4638">
        <v>0</v>
      </c>
      <c r="G4638">
        <v>11500</v>
      </c>
    </row>
    <row r="4639" spans="1:7" x14ac:dyDescent="0.3">
      <c r="A4639" t="s">
        <v>29</v>
      </c>
      <c r="B4639" t="s">
        <v>312</v>
      </c>
      <c r="C4639">
        <v>103</v>
      </c>
      <c r="D4639">
        <v>3682.2</v>
      </c>
      <c r="E4639">
        <v>3400</v>
      </c>
      <c r="F4639">
        <v>0</v>
      </c>
      <c r="G4639">
        <v>10000</v>
      </c>
    </row>
    <row r="4640" spans="1:7" x14ac:dyDescent="0.3">
      <c r="A4640" t="s">
        <v>29</v>
      </c>
      <c r="B4640" t="s">
        <v>308</v>
      </c>
      <c r="C4640">
        <v>13</v>
      </c>
      <c r="D4640">
        <v>4994.99</v>
      </c>
      <c r="E4640">
        <v>5850</v>
      </c>
      <c r="F4640">
        <v>1400</v>
      </c>
      <c r="G4640">
        <v>7600</v>
      </c>
    </row>
    <row r="4641" spans="1:7" x14ac:dyDescent="0.3">
      <c r="A4641" t="s">
        <v>28</v>
      </c>
      <c r="B4641" t="s">
        <v>311</v>
      </c>
      <c r="C4641">
        <v>223</v>
      </c>
      <c r="D4641">
        <v>2931.21</v>
      </c>
      <c r="E4641">
        <v>2300</v>
      </c>
      <c r="F4641">
        <v>0</v>
      </c>
      <c r="G4641">
        <v>10900</v>
      </c>
    </row>
    <row r="4642" spans="1:7" x14ac:dyDescent="0.3">
      <c r="A4642" t="s">
        <v>28</v>
      </c>
      <c r="B4642" t="s">
        <v>312</v>
      </c>
      <c r="C4642">
        <v>93</v>
      </c>
      <c r="D4642">
        <v>2060.81</v>
      </c>
      <c r="E4642">
        <v>1700</v>
      </c>
      <c r="F4642">
        <v>0</v>
      </c>
      <c r="G4642">
        <v>8300</v>
      </c>
    </row>
    <row r="4643" spans="1:7" x14ac:dyDescent="0.3">
      <c r="A4643" t="s">
        <v>28</v>
      </c>
      <c r="B4643" t="s">
        <v>308</v>
      </c>
      <c r="C4643">
        <v>1</v>
      </c>
      <c r="D4643">
        <v>6000</v>
      </c>
      <c r="E4643">
        <v>6000</v>
      </c>
      <c r="F4643">
        <v>6000</v>
      </c>
      <c r="G4643">
        <v>6000</v>
      </c>
    </row>
    <row r="4644" spans="1:7" x14ac:dyDescent="0.3">
      <c r="A4644" t="s">
        <v>27</v>
      </c>
      <c r="B4644" t="s">
        <v>311</v>
      </c>
      <c r="C4644">
        <v>237</v>
      </c>
      <c r="D4644">
        <v>3319.84</v>
      </c>
      <c r="E4644">
        <v>2900</v>
      </c>
      <c r="F4644">
        <v>0</v>
      </c>
      <c r="G4644">
        <v>11600</v>
      </c>
    </row>
    <row r="4645" spans="1:7" x14ac:dyDescent="0.3">
      <c r="A4645" t="s">
        <v>27</v>
      </c>
      <c r="B4645" t="s">
        <v>312</v>
      </c>
      <c r="C4645">
        <v>60</v>
      </c>
      <c r="D4645">
        <v>3026.93</v>
      </c>
      <c r="E4645">
        <v>2500</v>
      </c>
      <c r="F4645">
        <v>0</v>
      </c>
      <c r="G4645">
        <v>10500</v>
      </c>
    </row>
    <row r="4646" spans="1:7" x14ac:dyDescent="0.3">
      <c r="A4646" t="s">
        <v>27</v>
      </c>
      <c r="B4646" t="s">
        <v>308</v>
      </c>
      <c r="C4646">
        <v>3</v>
      </c>
      <c r="D4646">
        <v>4615.2</v>
      </c>
      <c r="E4646">
        <v>5050</v>
      </c>
      <c r="F4646">
        <v>2150</v>
      </c>
      <c r="G4646">
        <v>5050</v>
      </c>
    </row>
    <row r="4647" spans="1:7" x14ac:dyDescent="0.3">
      <c r="A4647" t="s">
        <v>41</v>
      </c>
      <c r="B4647" t="s">
        <v>311</v>
      </c>
      <c r="C4647">
        <v>1541</v>
      </c>
      <c r="D4647">
        <v>3909.26</v>
      </c>
      <c r="E4647">
        <v>3600</v>
      </c>
      <c r="F4647">
        <v>0</v>
      </c>
      <c r="G4647">
        <v>12900</v>
      </c>
    </row>
    <row r="4648" spans="1:7" x14ac:dyDescent="0.3">
      <c r="A4648" t="s">
        <v>41</v>
      </c>
      <c r="B4648" t="s">
        <v>312</v>
      </c>
      <c r="C4648">
        <v>432</v>
      </c>
      <c r="D4648">
        <v>3683.97</v>
      </c>
      <c r="E4648">
        <v>3200</v>
      </c>
      <c r="F4648">
        <v>0</v>
      </c>
      <c r="G4648">
        <v>10500</v>
      </c>
    </row>
    <row r="4649" spans="1:7" x14ac:dyDescent="0.3">
      <c r="A4649" t="s">
        <v>41</v>
      </c>
      <c r="B4649" t="s">
        <v>308</v>
      </c>
      <c r="C4649">
        <v>65</v>
      </c>
      <c r="D4649">
        <v>4624.97</v>
      </c>
      <c r="E4649">
        <v>4600</v>
      </c>
      <c r="F4649">
        <v>100</v>
      </c>
      <c r="G4649">
        <v>9400</v>
      </c>
    </row>
    <row r="4651" spans="1:7" x14ac:dyDescent="0.3">
      <c r="A4651" t="s">
        <v>1831</v>
      </c>
    </row>
    <row r="4652" spans="1:7" x14ac:dyDescent="0.3">
      <c r="A4652" t="s">
        <v>36</v>
      </c>
      <c r="B4652" t="s">
        <v>197</v>
      </c>
      <c r="C4652" t="s">
        <v>24</v>
      </c>
      <c r="D4652" t="s">
        <v>37</v>
      </c>
      <c r="E4652" t="s">
        <v>38</v>
      </c>
      <c r="F4652" t="s">
        <v>39</v>
      </c>
      <c r="G4652" t="s">
        <v>40</v>
      </c>
    </row>
    <row r="4653" spans="1:7" x14ac:dyDescent="0.3">
      <c r="A4653" t="s">
        <v>25</v>
      </c>
      <c r="B4653" t="s">
        <v>198</v>
      </c>
      <c r="C4653">
        <v>104</v>
      </c>
      <c r="D4653">
        <v>3449.19</v>
      </c>
      <c r="E4653">
        <v>3000</v>
      </c>
      <c r="F4653">
        <v>0</v>
      </c>
      <c r="G4653">
        <v>10300</v>
      </c>
    </row>
    <row r="4654" spans="1:7" x14ac:dyDescent="0.3">
      <c r="A4654" t="s">
        <v>25</v>
      </c>
      <c r="B4654" t="s">
        <v>199</v>
      </c>
      <c r="C4654">
        <v>310</v>
      </c>
      <c r="D4654">
        <v>3794.66</v>
      </c>
      <c r="E4654">
        <v>3450</v>
      </c>
      <c r="F4654">
        <v>0</v>
      </c>
      <c r="G4654">
        <v>12900</v>
      </c>
    </row>
    <row r="4655" spans="1:7" x14ac:dyDescent="0.3">
      <c r="A4655" t="s">
        <v>26</v>
      </c>
      <c r="B4655" t="s">
        <v>198</v>
      </c>
      <c r="C4655">
        <v>41</v>
      </c>
      <c r="D4655">
        <v>3134.52</v>
      </c>
      <c r="E4655">
        <v>2600</v>
      </c>
      <c r="F4655">
        <v>100</v>
      </c>
      <c r="G4655">
        <v>8290</v>
      </c>
    </row>
    <row r="4656" spans="1:7" x14ac:dyDescent="0.3">
      <c r="A4656" t="s">
        <v>26</v>
      </c>
      <c r="B4656" t="s">
        <v>199</v>
      </c>
      <c r="C4656">
        <v>436</v>
      </c>
      <c r="D4656">
        <v>4111.28</v>
      </c>
      <c r="E4656">
        <v>3800</v>
      </c>
      <c r="F4656">
        <v>0</v>
      </c>
      <c r="G4656">
        <v>12600</v>
      </c>
    </row>
    <row r="4657" spans="1:7" x14ac:dyDescent="0.3">
      <c r="A4657" t="s">
        <v>29</v>
      </c>
      <c r="B4657" t="s">
        <v>198</v>
      </c>
      <c r="C4657">
        <v>170</v>
      </c>
      <c r="D4657">
        <v>3779.04</v>
      </c>
      <c r="E4657">
        <v>3700</v>
      </c>
      <c r="F4657">
        <v>0</v>
      </c>
      <c r="G4657">
        <v>11500</v>
      </c>
    </row>
    <row r="4658" spans="1:7" x14ac:dyDescent="0.3">
      <c r="A4658" t="s">
        <v>29</v>
      </c>
      <c r="B4658" t="s">
        <v>199</v>
      </c>
      <c r="C4658">
        <v>360</v>
      </c>
      <c r="D4658">
        <v>4197.99</v>
      </c>
      <c r="E4658">
        <v>4000</v>
      </c>
      <c r="F4658">
        <v>0</v>
      </c>
      <c r="G4658">
        <v>10900</v>
      </c>
    </row>
    <row r="4659" spans="1:7" x14ac:dyDescent="0.3">
      <c r="A4659" t="s">
        <v>28</v>
      </c>
      <c r="B4659" t="s">
        <v>198</v>
      </c>
      <c r="C4659">
        <v>70</v>
      </c>
      <c r="D4659">
        <v>2349.09</v>
      </c>
      <c r="E4659">
        <v>1700</v>
      </c>
      <c r="F4659">
        <v>0</v>
      </c>
      <c r="G4659">
        <v>10900</v>
      </c>
    </row>
    <row r="4660" spans="1:7" x14ac:dyDescent="0.3">
      <c r="A4660" t="s">
        <v>28</v>
      </c>
      <c r="B4660" t="s">
        <v>199</v>
      </c>
      <c r="C4660">
        <v>247</v>
      </c>
      <c r="D4660">
        <v>2828.39</v>
      </c>
      <c r="E4660">
        <v>2300</v>
      </c>
      <c r="F4660">
        <v>0</v>
      </c>
      <c r="G4660">
        <v>10800</v>
      </c>
    </row>
    <row r="4661" spans="1:7" x14ac:dyDescent="0.3">
      <c r="A4661" t="s">
        <v>27</v>
      </c>
      <c r="B4661" t="s">
        <v>198</v>
      </c>
      <c r="C4661">
        <v>136</v>
      </c>
      <c r="D4661">
        <v>3488.99</v>
      </c>
      <c r="E4661">
        <v>2900</v>
      </c>
      <c r="F4661">
        <v>0</v>
      </c>
      <c r="G4661">
        <v>11600</v>
      </c>
    </row>
    <row r="4662" spans="1:7" x14ac:dyDescent="0.3">
      <c r="A4662" t="s">
        <v>27</v>
      </c>
      <c r="B4662" t="s">
        <v>199</v>
      </c>
      <c r="C4662">
        <v>164</v>
      </c>
      <c r="D4662">
        <v>3082.35</v>
      </c>
      <c r="E4662">
        <v>2800</v>
      </c>
      <c r="F4662">
        <v>0</v>
      </c>
      <c r="G4662">
        <v>8200</v>
      </c>
    </row>
    <row r="4663" spans="1:7" x14ac:dyDescent="0.3">
      <c r="A4663" t="s">
        <v>41</v>
      </c>
      <c r="B4663" t="s">
        <v>198</v>
      </c>
      <c r="C4663">
        <v>521</v>
      </c>
      <c r="D4663">
        <v>3583.25</v>
      </c>
      <c r="E4663">
        <v>3150</v>
      </c>
      <c r="F4663">
        <v>0</v>
      </c>
      <c r="G4663">
        <v>11600</v>
      </c>
    </row>
    <row r="4664" spans="1:7" x14ac:dyDescent="0.3">
      <c r="A4664" t="s">
        <v>41</v>
      </c>
      <c r="B4664" t="s">
        <v>199</v>
      </c>
      <c r="C4664">
        <v>1517</v>
      </c>
      <c r="D4664">
        <v>3989</v>
      </c>
      <c r="E4664">
        <v>3700</v>
      </c>
      <c r="F4664">
        <v>0</v>
      </c>
      <c r="G4664">
        <v>12900</v>
      </c>
    </row>
    <row r="4666" spans="1:7" x14ac:dyDescent="0.3">
      <c r="A4666" t="s">
        <v>1832</v>
      </c>
    </row>
    <row r="4667" spans="1:7" x14ac:dyDescent="0.3">
      <c r="A4667" t="s">
        <v>36</v>
      </c>
      <c r="B4667" t="s">
        <v>1233</v>
      </c>
      <c r="C4667" t="s">
        <v>24</v>
      </c>
      <c r="D4667" t="s">
        <v>37</v>
      </c>
      <c r="E4667" t="s">
        <v>38</v>
      </c>
      <c r="F4667" t="s">
        <v>39</v>
      </c>
      <c r="G4667" t="s">
        <v>40</v>
      </c>
    </row>
    <row r="4668" spans="1:7" x14ac:dyDescent="0.3">
      <c r="A4668" t="s">
        <v>25</v>
      </c>
      <c r="B4668" t="s">
        <v>1234</v>
      </c>
      <c r="C4668">
        <v>257</v>
      </c>
      <c r="D4668">
        <v>4335.49</v>
      </c>
      <c r="E4668">
        <v>4000</v>
      </c>
      <c r="F4668">
        <v>0</v>
      </c>
      <c r="G4668">
        <v>12900</v>
      </c>
    </row>
    <row r="4669" spans="1:7" s="3" customFormat="1" x14ac:dyDescent="0.3">
      <c r="A4669" s="3" t="s">
        <v>25</v>
      </c>
      <c r="B4669" s="3" t="s">
        <v>1235</v>
      </c>
      <c r="C4669" s="3">
        <v>25</v>
      </c>
      <c r="D4669" s="3">
        <v>4873.3999999999996</v>
      </c>
      <c r="E4669" s="3">
        <v>4000</v>
      </c>
      <c r="F4669" s="3">
        <v>2400</v>
      </c>
      <c r="G4669" s="3">
        <v>10300</v>
      </c>
    </row>
    <row r="4670" spans="1:7" x14ac:dyDescent="0.3">
      <c r="A4670" t="s">
        <v>25</v>
      </c>
      <c r="B4670" t="s">
        <v>1237</v>
      </c>
      <c r="C4670">
        <v>132</v>
      </c>
      <c r="D4670">
        <v>2187.09</v>
      </c>
      <c r="E4670">
        <v>1800</v>
      </c>
      <c r="F4670">
        <v>0</v>
      </c>
      <c r="G4670">
        <v>10450</v>
      </c>
    </row>
    <row r="4671" spans="1:7" x14ac:dyDescent="0.3">
      <c r="A4671" t="s">
        <v>26</v>
      </c>
      <c r="B4671" t="s">
        <v>1234</v>
      </c>
      <c r="C4671">
        <v>296</v>
      </c>
      <c r="D4671">
        <v>4593.53</v>
      </c>
      <c r="E4671">
        <v>4450</v>
      </c>
      <c r="F4671">
        <v>0</v>
      </c>
      <c r="G4671">
        <v>12600</v>
      </c>
    </row>
    <row r="4672" spans="1:7" x14ac:dyDescent="0.3">
      <c r="A4672" t="s">
        <v>26</v>
      </c>
      <c r="B4672" t="s">
        <v>1235</v>
      </c>
      <c r="C4672">
        <v>37</v>
      </c>
      <c r="D4672">
        <v>5337.91</v>
      </c>
      <c r="E4672">
        <v>5600</v>
      </c>
      <c r="F4672">
        <v>2000</v>
      </c>
      <c r="G4672">
        <v>9200</v>
      </c>
    </row>
    <row r="4673" spans="1:7" x14ac:dyDescent="0.3">
      <c r="A4673" t="s">
        <v>26</v>
      </c>
      <c r="B4673" t="s">
        <v>1237</v>
      </c>
      <c r="C4673">
        <v>144</v>
      </c>
      <c r="D4673">
        <v>2489.3200000000002</v>
      </c>
      <c r="E4673">
        <v>2000</v>
      </c>
      <c r="F4673">
        <v>0</v>
      </c>
      <c r="G4673">
        <v>10700</v>
      </c>
    </row>
    <row r="4674" spans="1:7" x14ac:dyDescent="0.3">
      <c r="A4674" t="s">
        <v>29</v>
      </c>
      <c r="B4674" t="s">
        <v>1234</v>
      </c>
      <c r="C4674">
        <v>372</v>
      </c>
      <c r="D4674">
        <v>4529.2700000000004</v>
      </c>
      <c r="E4674">
        <v>4400</v>
      </c>
      <c r="F4674">
        <v>0</v>
      </c>
      <c r="G4674">
        <v>11500</v>
      </c>
    </row>
    <row r="4675" spans="1:7" x14ac:dyDescent="0.3">
      <c r="A4675" t="s">
        <v>29</v>
      </c>
      <c r="B4675" t="s">
        <v>1235</v>
      </c>
      <c r="C4675">
        <v>38</v>
      </c>
      <c r="D4675">
        <v>5622.28</v>
      </c>
      <c r="E4675">
        <v>5750</v>
      </c>
      <c r="F4675">
        <v>0</v>
      </c>
      <c r="G4675">
        <v>10550</v>
      </c>
    </row>
    <row r="4676" spans="1:7" x14ac:dyDescent="0.3">
      <c r="A4676" t="s">
        <v>29</v>
      </c>
      <c r="B4676" t="s">
        <v>1237</v>
      </c>
      <c r="C4676">
        <v>120</v>
      </c>
      <c r="D4676">
        <v>2020.1</v>
      </c>
      <c r="E4676">
        <v>1850</v>
      </c>
      <c r="F4676">
        <v>0</v>
      </c>
      <c r="G4676">
        <v>7500</v>
      </c>
    </row>
    <row r="4677" spans="1:7" x14ac:dyDescent="0.3">
      <c r="A4677" t="s">
        <v>28</v>
      </c>
      <c r="B4677" t="s">
        <v>1234</v>
      </c>
      <c r="C4677">
        <v>126</v>
      </c>
      <c r="D4677">
        <v>3447.95</v>
      </c>
      <c r="E4677">
        <v>3000</v>
      </c>
      <c r="F4677">
        <v>0</v>
      </c>
      <c r="G4677">
        <v>10800</v>
      </c>
    </row>
    <row r="4678" spans="1:7" s="3" customFormat="1" x14ac:dyDescent="0.3">
      <c r="A4678" s="3" t="s">
        <v>28</v>
      </c>
      <c r="B4678" s="3" t="s">
        <v>1235</v>
      </c>
      <c r="C4678" s="3">
        <v>17</v>
      </c>
      <c r="D4678" s="3">
        <v>4987.57</v>
      </c>
      <c r="E4678" s="3">
        <v>5000</v>
      </c>
      <c r="F4678" s="3">
        <v>0</v>
      </c>
      <c r="G4678" s="3">
        <v>10900</v>
      </c>
    </row>
    <row r="4679" spans="1:7" x14ac:dyDescent="0.3">
      <c r="A4679" t="s">
        <v>28</v>
      </c>
      <c r="B4679" t="s">
        <v>1237</v>
      </c>
      <c r="C4679">
        <v>174</v>
      </c>
      <c r="D4679">
        <v>1983.21</v>
      </c>
      <c r="E4679">
        <v>1600</v>
      </c>
      <c r="F4679">
        <v>0</v>
      </c>
      <c r="G4679">
        <v>7800</v>
      </c>
    </row>
    <row r="4680" spans="1:7" x14ac:dyDescent="0.3">
      <c r="A4680" t="s">
        <v>27</v>
      </c>
      <c r="B4680" t="s">
        <v>1234</v>
      </c>
      <c r="C4680">
        <v>149</v>
      </c>
      <c r="D4680">
        <v>4006.18</v>
      </c>
      <c r="E4680">
        <v>3900</v>
      </c>
      <c r="F4680">
        <v>0</v>
      </c>
      <c r="G4680">
        <v>11600</v>
      </c>
    </row>
    <row r="4681" spans="1:7" s="3" customFormat="1" x14ac:dyDescent="0.3">
      <c r="A4681" s="3" t="s">
        <v>27</v>
      </c>
      <c r="B4681" s="3" t="s">
        <v>1235</v>
      </c>
      <c r="C4681" s="3">
        <v>10</v>
      </c>
      <c r="D4681" s="3">
        <v>5623.52</v>
      </c>
      <c r="E4681" s="3">
        <v>4500</v>
      </c>
      <c r="F4681" s="3">
        <v>2650</v>
      </c>
      <c r="G4681" s="3">
        <v>11300</v>
      </c>
    </row>
    <row r="4682" spans="1:7" x14ac:dyDescent="0.3">
      <c r="A4682" t="s">
        <v>27</v>
      </c>
      <c r="B4682" t="s">
        <v>1237</v>
      </c>
      <c r="C4682">
        <v>141</v>
      </c>
      <c r="D4682">
        <v>2140.2800000000002</v>
      </c>
      <c r="E4682">
        <v>2050</v>
      </c>
      <c r="F4682">
        <v>0</v>
      </c>
      <c r="G4682">
        <v>6300</v>
      </c>
    </row>
    <row r="4683" spans="1:7" x14ac:dyDescent="0.3">
      <c r="A4683" t="s">
        <v>41</v>
      </c>
      <c r="B4683" t="s">
        <v>1234</v>
      </c>
      <c r="C4683">
        <v>1200</v>
      </c>
      <c r="D4683">
        <v>4456.05</v>
      </c>
      <c r="E4683">
        <v>4300</v>
      </c>
      <c r="F4683">
        <v>0</v>
      </c>
      <c r="G4683">
        <v>12900</v>
      </c>
    </row>
    <row r="4684" spans="1:7" x14ac:dyDescent="0.3">
      <c r="A4684" t="s">
        <v>41</v>
      </c>
      <c r="B4684" t="s">
        <v>1235</v>
      </c>
      <c r="C4684">
        <v>127</v>
      </c>
      <c r="D4684">
        <v>5383.45</v>
      </c>
      <c r="E4684">
        <v>5300</v>
      </c>
      <c r="F4684">
        <v>0</v>
      </c>
      <c r="G4684">
        <v>11300</v>
      </c>
    </row>
    <row r="4685" spans="1:7" x14ac:dyDescent="0.3">
      <c r="A4685" t="s">
        <v>41</v>
      </c>
      <c r="B4685" t="s">
        <v>1237</v>
      </c>
      <c r="C4685">
        <v>711</v>
      </c>
      <c r="D4685">
        <v>2178.4499999999998</v>
      </c>
      <c r="E4685">
        <v>1900</v>
      </c>
      <c r="F4685">
        <v>0</v>
      </c>
      <c r="G4685">
        <v>10700</v>
      </c>
    </row>
    <row r="4687" spans="1:7" x14ac:dyDescent="0.3">
      <c r="A4687" t="s">
        <v>1833</v>
      </c>
    </row>
    <row r="4688" spans="1:7" x14ac:dyDescent="0.3">
      <c r="A4688" t="s">
        <v>36</v>
      </c>
      <c r="B4688" t="s">
        <v>1834</v>
      </c>
      <c r="C4688" t="s">
        <v>24</v>
      </c>
      <c r="D4688" t="s">
        <v>37</v>
      </c>
      <c r="E4688" t="s">
        <v>38</v>
      </c>
      <c r="F4688" t="s">
        <v>39</v>
      </c>
      <c r="G4688" t="s">
        <v>40</v>
      </c>
    </row>
    <row r="4689" spans="1:7" x14ac:dyDescent="0.3">
      <c r="A4689" t="s">
        <v>25</v>
      </c>
      <c r="B4689" t="s">
        <v>1150</v>
      </c>
      <c r="C4689">
        <v>74</v>
      </c>
      <c r="D4689">
        <v>4061.95</v>
      </c>
      <c r="E4689">
        <v>3200</v>
      </c>
      <c r="F4689">
        <v>700</v>
      </c>
      <c r="G4689">
        <v>12900</v>
      </c>
    </row>
    <row r="4690" spans="1:7" x14ac:dyDescent="0.3">
      <c r="A4690" t="s">
        <v>25</v>
      </c>
      <c r="B4690" t="s">
        <v>1835</v>
      </c>
      <c r="C4690">
        <v>47</v>
      </c>
      <c r="D4690">
        <v>4295.26</v>
      </c>
      <c r="E4690">
        <v>3800</v>
      </c>
      <c r="F4690">
        <v>0</v>
      </c>
      <c r="G4690">
        <v>11500</v>
      </c>
    </row>
    <row r="4691" spans="1:7" x14ac:dyDescent="0.3">
      <c r="A4691" t="s">
        <v>25</v>
      </c>
      <c r="B4691" t="s">
        <v>1836</v>
      </c>
      <c r="C4691">
        <v>293</v>
      </c>
      <c r="D4691">
        <v>3552.03</v>
      </c>
      <c r="E4691">
        <v>3300</v>
      </c>
      <c r="F4691">
        <v>0</v>
      </c>
      <c r="G4691">
        <v>10300</v>
      </c>
    </row>
    <row r="4692" spans="1:7" x14ac:dyDescent="0.3">
      <c r="A4692" t="s">
        <v>26</v>
      </c>
      <c r="B4692" t="s">
        <v>1150</v>
      </c>
      <c r="C4692">
        <v>72</v>
      </c>
      <c r="D4692">
        <v>4024.01</v>
      </c>
      <c r="E4692">
        <v>3400</v>
      </c>
      <c r="F4692">
        <v>0</v>
      </c>
      <c r="G4692">
        <v>10500</v>
      </c>
    </row>
    <row r="4693" spans="1:7" s="3" customFormat="1" x14ac:dyDescent="0.3">
      <c r="A4693" s="3" t="s">
        <v>26</v>
      </c>
      <c r="B4693" s="3" t="s">
        <v>1835</v>
      </c>
      <c r="C4693" s="3">
        <v>14</v>
      </c>
      <c r="D4693" s="3">
        <v>3670.5</v>
      </c>
      <c r="E4693" s="3">
        <v>3300</v>
      </c>
      <c r="F4693" s="3">
        <v>0</v>
      </c>
      <c r="G4693" s="3">
        <v>9300</v>
      </c>
    </row>
    <row r="4694" spans="1:7" x14ac:dyDescent="0.3">
      <c r="A4694" t="s">
        <v>26</v>
      </c>
      <c r="B4694" t="s">
        <v>1836</v>
      </c>
      <c r="C4694">
        <v>391</v>
      </c>
      <c r="D4694">
        <v>4078.36</v>
      </c>
      <c r="E4694">
        <v>3800</v>
      </c>
      <c r="F4694">
        <v>0</v>
      </c>
      <c r="G4694">
        <v>12600</v>
      </c>
    </row>
    <row r="4695" spans="1:7" x14ac:dyDescent="0.3">
      <c r="A4695" t="s">
        <v>29</v>
      </c>
      <c r="B4695" t="s">
        <v>1150</v>
      </c>
      <c r="C4695">
        <v>133</v>
      </c>
      <c r="D4695">
        <v>3863.44</v>
      </c>
      <c r="E4695">
        <v>3500</v>
      </c>
      <c r="F4695">
        <v>0</v>
      </c>
      <c r="G4695">
        <v>10900</v>
      </c>
    </row>
    <row r="4696" spans="1:7" x14ac:dyDescent="0.3">
      <c r="A4696" t="s">
        <v>29</v>
      </c>
      <c r="B4696" t="s">
        <v>1835</v>
      </c>
      <c r="C4696">
        <v>50</v>
      </c>
      <c r="D4696">
        <v>4227.46</v>
      </c>
      <c r="E4696">
        <v>4200</v>
      </c>
      <c r="F4696">
        <v>300</v>
      </c>
      <c r="G4696">
        <v>9800</v>
      </c>
    </row>
    <row r="4697" spans="1:7" x14ac:dyDescent="0.3">
      <c r="A4697" t="s">
        <v>29</v>
      </c>
      <c r="B4697" t="s">
        <v>1836</v>
      </c>
      <c r="C4697">
        <v>340</v>
      </c>
      <c r="D4697">
        <v>4183.24</v>
      </c>
      <c r="E4697">
        <v>4200</v>
      </c>
      <c r="F4697">
        <v>0</v>
      </c>
      <c r="G4697">
        <v>11500</v>
      </c>
    </row>
    <row r="4698" spans="1:7" x14ac:dyDescent="0.3">
      <c r="A4698" t="s">
        <v>29</v>
      </c>
      <c r="B4698" t="s">
        <v>308</v>
      </c>
      <c r="C4698">
        <v>7</v>
      </c>
      <c r="D4698">
        <v>1064.23</v>
      </c>
      <c r="E4698">
        <v>1530</v>
      </c>
      <c r="F4698">
        <v>0</v>
      </c>
      <c r="G4698">
        <v>3950</v>
      </c>
    </row>
    <row r="4699" spans="1:7" x14ac:dyDescent="0.3">
      <c r="A4699" t="s">
        <v>28</v>
      </c>
      <c r="B4699" t="s">
        <v>1150</v>
      </c>
      <c r="C4699">
        <v>32</v>
      </c>
      <c r="D4699">
        <v>1844.97</v>
      </c>
      <c r="E4699">
        <v>1200</v>
      </c>
      <c r="F4699">
        <v>0</v>
      </c>
      <c r="G4699">
        <v>7000</v>
      </c>
    </row>
    <row r="4700" spans="1:7" x14ac:dyDescent="0.3">
      <c r="A4700" t="s">
        <v>28</v>
      </c>
      <c r="B4700" t="s">
        <v>1835</v>
      </c>
      <c r="C4700">
        <v>47</v>
      </c>
      <c r="D4700">
        <v>2946.38</v>
      </c>
      <c r="E4700">
        <v>2300</v>
      </c>
      <c r="F4700">
        <v>0</v>
      </c>
      <c r="G4700">
        <v>10900</v>
      </c>
    </row>
    <row r="4701" spans="1:7" x14ac:dyDescent="0.3">
      <c r="A4701" t="s">
        <v>28</v>
      </c>
      <c r="B4701" t="s">
        <v>1836</v>
      </c>
      <c r="C4701">
        <v>238</v>
      </c>
      <c r="D4701">
        <v>2772.24</v>
      </c>
      <c r="E4701">
        <v>2200</v>
      </c>
      <c r="F4701">
        <v>0</v>
      </c>
      <c r="G4701">
        <v>10800</v>
      </c>
    </row>
    <row r="4702" spans="1:7" x14ac:dyDescent="0.3">
      <c r="A4702" t="s">
        <v>27</v>
      </c>
      <c r="B4702" t="s">
        <v>1150</v>
      </c>
      <c r="C4702">
        <v>88</v>
      </c>
      <c r="D4702">
        <v>2416.4699999999998</v>
      </c>
      <c r="E4702">
        <v>2200</v>
      </c>
      <c r="F4702">
        <v>0</v>
      </c>
      <c r="G4702">
        <v>8200</v>
      </c>
    </row>
    <row r="4703" spans="1:7" x14ac:dyDescent="0.3">
      <c r="A4703" t="s">
        <v>27</v>
      </c>
      <c r="B4703" t="s">
        <v>1835</v>
      </c>
      <c r="C4703">
        <v>41</v>
      </c>
      <c r="D4703">
        <v>4425.8599999999997</v>
      </c>
      <c r="E4703">
        <v>3900</v>
      </c>
      <c r="F4703">
        <v>650</v>
      </c>
      <c r="G4703">
        <v>10500</v>
      </c>
    </row>
    <row r="4704" spans="1:7" x14ac:dyDescent="0.3">
      <c r="A4704" t="s">
        <v>27</v>
      </c>
      <c r="B4704" t="s">
        <v>1836</v>
      </c>
      <c r="C4704">
        <v>170</v>
      </c>
      <c r="D4704">
        <v>3397.52</v>
      </c>
      <c r="E4704">
        <v>3000</v>
      </c>
      <c r="F4704">
        <v>0</v>
      </c>
      <c r="G4704">
        <v>11600</v>
      </c>
    </row>
    <row r="4705" spans="1:7" x14ac:dyDescent="0.3">
      <c r="A4705" t="s">
        <v>27</v>
      </c>
      <c r="B4705" t="s">
        <v>308</v>
      </c>
      <c r="C4705">
        <v>1</v>
      </c>
      <c r="D4705">
        <v>1400</v>
      </c>
      <c r="E4705">
        <v>1400</v>
      </c>
      <c r="F4705">
        <v>1400</v>
      </c>
      <c r="G4705">
        <v>1400</v>
      </c>
    </row>
    <row r="4706" spans="1:7" x14ac:dyDescent="0.3">
      <c r="A4706" t="s">
        <v>41</v>
      </c>
      <c r="B4706" t="s">
        <v>1150</v>
      </c>
      <c r="C4706">
        <v>399</v>
      </c>
      <c r="D4706">
        <v>3788.66</v>
      </c>
      <c r="E4706">
        <v>3300</v>
      </c>
      <c r="F4706">
        <v>0</v>
      </c>
      <c r="G4706">
        <v>12900</v>
      </c>
    </row>
    <row r="4707" spans="1:7" x14ac:dyDescent="0.3">
      <c r="A4707" t="s">
        <v>41</v>
      </c>
      <c r="B4707" t="s">
        <v>1835</v>
      </c>
      <c r="C4707">
        <v>199</v>
      </c>
      <c r="D4707">
        <v>4120.57</v>
      </c>
      <c r="E4707">
        <v>3300</v>
      </c>
      <c r="F4707">
        <v>0</v>
      </c>
      <c r="G4707">
        <v>11500</v>
      </c>
    </row>
    <row r="4708" spans="1:7" x14ac:dyDescent="0.3">
      <c r="A4708" t="s">
        <v>41</v>
      </c>
      <c r="B4708" t="s">
        <v>1836</v>
      </c>
      <c r="C4708">
        <v>1432</v>
      </c>
      <c r="D4708">
        <v>3920.24</v>
      </c>
      <c r="E4708">
        <v>3700</v>
      </c>
      <c r="F4708">
        <v>0</v>
      </c>
      <c r="G4708">
        <v>12600</v>
      </c>
    </row>
    <row r="4709" spans="1:7" x14ac:dyDescent="0.3">
      <c r="A4709" t="s">
        <v>41</v>
      </c>
      <c r="B4709" t="s">
        <v>308</v>
      </c>
      <c r="C4709">
        <v>8</v>
      </c>
      <c r="D4709">
        <v>1078.53</v>
      </c>
      <c r="E4709">
        <v>1400</v>
      </c>
      <c r="F4709">
        <v>0</v>
      </c>
      <c r="G4709">
        <v>3950</v>
      </c>
    </row>
    <row r="4711" spans="1:7" x14ac:dyDescent="0.3">
      <c r="A4711" t="s">
        <v>1837</v>
      </c>
    </row>
    <row r="4712" spans="1:7" x14ac:dyDescent="0.3">
      <c r="A4712" t="s">
        <v>36</v>
      </c>
      <c r="B4712" t="s">
        <v>210</v>
      </c>
      <c r="C4712" t="s">
        <v>24</v>
      </c>
      <c r="D4712" t="s">
        <v>37</v>
      </c>
      <c r="E4712" t="s">
        <v>38</v>
      </c>
      <c r="F4712" t="s">
        <v>39</v>
      </c>
      <c r="G4712" t="s">
        <v>40</v>
      </c>
    </row>
    <row r="4713" spans="1:7" x14ac:dyDescent="0.3">
      <c r="A4713" t="s">
        <v>25</v>
      </c>
      <c r="B4713" t="s">
        <v>211</v>
      </c>
      <c r="C4713">
        <v>414</v>
      </c>
      <c r="D4713">
        <v>3721.23</v>
      </c>
      <c r="E4713">
        <v>3300</v>
      </c>
      <c r="F4713">
        <v>0</v>
      </c>
      <c r="G4713">
        <v>12900</v>
      </c>
    </row>
    <row r="4714" spans="1:7" x14ac:dyDescent="0.3">
      <c r="A4714" t="s">
        <v>26</v>
      </c>
      <c r="B4714" t="s">
        <v>211</v>
      </c>
      <c r="C4714">
        <v>223</v>
      </c>
      <c r="D4714">
        <v>3779.9</v>
      </c>
      <c r="E4714">
        <v>3500</v>
      </c>
      <c r="F4714">
        <v>0</v>
      </c>
      <c r="G4714">
        <v>10700</v>
      </c>
    </row>
    <row r="4715" spans="1:7" x14ac:dyDescent="0.3">
      <c r="A4715" t="s">
        <v>26</v>
      </c>
      <c r="B4715" t="s">
        <v>212</v>
      </c>
      <c r="C4715">
        <v>254</v>
      </c>
      <c r="D4715">
        <v>4309.04</v>
      </c>
      <c r="E4715">
        <v>4100</v>
      </c>
      <c r="F4715">
        <v>0</v>
      </c>
      <c r="G4715">
        <v>12600</v>
      </c>
    </row>
    <row r="4716" spans="1:7" x14ac:dyDescent="0.3">
      <c r="A4716" t="s">
        <v>29</v>
      </c>
      <c r="B4716" t="s">
        <v>211</v>
      </c>
      <c r="C4716">
        <v>530</v>
      </c>
      <c r="D4716">
        <v>4067.11</v>
      </c>
      <c r="E4716">
        <v>4000</v>
      </c>
      <c r="F4716">
        <v>0</v>
      </c>
      <c r="G4716">
        <v>11500</v>
      </c>
    </row>
    <row r="4717" spans="1:7" x14ac:dyDescent="0.3">
      <c r="A4717" t="s">
        <v>28</v>
      </c>
      <c r="B4717" t="s">
        <v>211</v>
      </c>
      <c r="C4717">
        <v>277</v>
      </c>
      <c r="D4717">
        <v>2783.87</v>
      </c>
      <c r="E4717">
        <v>2200</v>
      </c>
      <c r="F4717">
        <v>0</v>
      </c>
      <c r="G4717">
        <v>10900</v>
      </c>
    </row>
    <row r="4718" spans="1:7" x14ac:dyDescent="0.3">
      <c r="A4718" t="s">
        <v>28</v>
      </c>
      <c r="B4718" t="s">
        <v>212</v>
      </c>
      <c r="C4718">
        <v>40</v>
      </c>
      <c r="D4718">
        <v>2076.58</v>
      </c>
      <c r="E4718">
        <v>2100</v>
      </c>
      <c r="F4718">
        <v>0</v>
      </c>
      <c r="G4718">
        <v>4200</v>
      </c>
    </row>
    <row r="4719" spans="1:7" x14ac:dyDescent="0.3">
      <c r="A4719" t="s">
        <v>27</v>
      </c>
      <c r="B4719" t="s">
        <v>211</v>
      </c>
      <c r="C4719">
        <v>270</v>
      </c>
      <c r="D4719">
        <v>3313.26</v>
      </c>
      <c r="E4719">
        <v>2800</v>
      </c>
      <c r="F4719">
        <v>0</v>
      </c>
      <c r="G4719">
        <v>11600</v>
      </c>
    </row>
    <row r="4720" spans="1:7" s="3" customFormat="1" x14ac:dyDescent="0.3">
      <c r="A4720" s="3" t="s">
        <v>27</v>
      </c>
      <c r="B4720" s="3" t="s">
        <v>212</v>
      </c>
      <c r="C4720" s="3">
        <v>30</v>
      </c>
      <c r="D4720" s="3">
        <v>2666.95</v>
      </c>
      <c r="E4720" s="3">
        <v>2650</v>
      </c>
      <c r="F4720" s="3">
        <v>0</v>
      </c>
      <c r="G4720" s="3">
        <v>5550</v>
      </c>
    </row>
    <row r="4721" spans="1:52" x14ac:dyDescent="0.3">
      <c r="A4721" t="s">
        <v>41</v>
      </c>
      <c r="B4721" t="s">
        <v>211</v>
      </c>
      <c r="C4721">
        <v>1714</v>
      </c>
      <c r="D4721">
        <v>3846.5</v>
      </c>
      <c r="E4721">
        <v>3500</v>
      </c>
      <c r="F4721">
        <v>0</v>
      </c>
      <c r="G4721">
        <v>12900</v>
      </c>
    </row>
    <row r="4722" spans="1:52" x14ac:dyDescent="0.3">
      <c r="A4722" t="s">
        <v>41</v>
      </c>
      <c r="B4722" t="s">
        <v>212</v>
      </c>
      <c r="C4722">
        <v>324</v>
      </c>
      <c r="D4722">
        <v>4195.1099999999997</v>
      </c>
      <c r="E4722">
        <v>3800</v>
      </c>
      <c r="F4722">
        <v>0</v>
      </c>
      <c r="G4722">
        <v>12600</v>
      </c>
    </row>
    <row r="4724" spans="1:52" x14ac:dyDescent="0.3">
      <c r="A4724" t="s">
        <v>1838</v>
      </c>
    </row>
    <row r="4725" spans="1:52" x14ac:dyDescent="0.3">
      <c r="A4725" t="s">
        <v>36</v>
      </c>
      <c r="B4725" t="s">
        <v>1839</v>
      </c>
      <c r="C4725" t="s">
        <v>1840</v>
      </c>
      <c r="D4725" t="s">
        <v>1841</v>
      </c>
      <c r="E4725" t="s">
        <v>1842</v>
      </c>
      <c r="F4725" t="s">
        <v>1843</v>
      </c>
      <c r="G4725" t="s">
        <v>1844</v>
      </c>
      <c r="H4725" t="s">
        <v>1845</v>
      </c>
      <c r="I4725" t="s">
        <v>1846</v>
      </c>
      <c r="J4725" t="s">
        <v>1847</v>
      </c>
      <c r="K4725" t="s">
        <v>1848</v>
      </c>
      <c r="L4725" t="s">
        <v>1849</v>
      </c>
      <c r="M4725" t="s">
        <v>1850</v>
      </c>
      <c r="N4725" t="s">
        <v>1851</v>
      </c>
      <c r="O4725" t="s">
        <v>1852</v>
      </c>
      <c r="P4725" t="s">
        <v>1853</v>
      </c>
      <c r="Q4725" t="s">
        <v>1854</v>
      </c>
      <c r="R4725" t="s">
        <v>1855</v>
      </c>
      <c r="S4725" t="s">
        <v>1856</v>
      </c>
      <c r="T4725" t="s">
        <v>1857</v>
      </c>
      <c r="U4725" t="s">
        <v>1858</v>
      </c>
      <c r="V4725" t="s">
        <v>1859</v>
      </c>
      <c r="W4725" t="s">
        <v>1860</v>
      </c>
      <c r="X4725" t="s">
        <v>1861</v>
      </c>
      <c r="Y4725" t="s">
        <v>1862</v>
      </c>
      <c r="Z4725" t="s">
        <v>1863</v>
      </c>
      <c r="AA4725" t="s">
        <v>1864</v>
      </c>
      <c r="AB4725" t="s">
        <v>1865</v>
      </c>
      <c r="AC4725" t="s">
        <v>1866</v>
      </c>
      <c r="AD4725" t="s">
        <v>1867</v>
      </c>
      <c r="AE4725" t="s">
        <v>1868</v>
      </c>
      <c r="AF4725" t="s">
        <v>1869</v>
      </c>
      <c r="AG4725" t="s">
        <v>1870</v>
      </c>
      <c r="AH4725" t="s">
        <v>1871</v>
      </c>
      <c r="AI4725" t="s">
        <v>1872</v>
      </c>
      <c r="AJ4725" t="s">
        <v>1873</v>
      </c>
      <c r="AK4725" t="s">
        <v>1874</v>
      </c>
      <c r="AL4725" t="s">
        <v>1875</v>
      </c>
      <c r="AM4725" t="s">
        <v>1876</v>
      </c>
      <c r="AN4725" t="s">
        <v>1877</v>
      </c>
      <c r="AO4725" t="s">
        <v>1878</v>
      </c>
      <c r="AP4725" t="s">
        <v>1879</v>
      </c>
      <c r="AQ4725" t="s">
        <v>1880</v>
      </c>
      <c r="AR4725" t="s">
        <v>1881</v>
      </c>
      <c r="AS4725" t="s">
        <v>1882</v>
      </c>
      <c r="AT4725" t="s">
        <v>1883</v>
      </c>
      <c r="AU4725" t="s">
        <v>1884</v>
      </c>
      <c r="AV4725" t="s">
        <v>1885</v>
      </c>
      <c r="AW4725" t="s">
        <v>1886</v>
      </c>
      <c r="AX4725" t="s">
        <v>1887</v>
      </c>
      <c r="AY4725" t="s">
        <v>1888</v>
      </c>
    </row>
    <row r="4726" spans="1:52" x14ac:dyDescent="0.3">
      <c r="A4726" t="s">
        <v>25</v>
      </c>
      <c r="B4726">
        <v>369</v>
      </c>
      <c r="C4726">
        <v>640.65</v>
      </c>
      <c r="D4726">
        <v>500</v>
      </c>
      <c r="E4726">
        <v>0</v>
      </c>
      <c r="F4726">
        <v>2300</v>
      </c>
      <c r="G4726">
        <v>328</v>
      </c>
      <c r="H4726">
        <v>5.93</v>
      </c>
      <c r="I4726">
        <v>0</v>
      </c>
      <c r="J4726">
        <v>0</v>
      </c>
      <c r="K4726">
        <v>500</v>
      </c>
      <c r="L4726">
        <v>385</v>
      </c>
      <c r="M4726">
        <v>986.86</v>
      </c>
      <c r="N4726">
        <v>800</v>
      </c>
      <c r="O4726">
        <v>0</v>
      </c>
      <c r="P4726">
        <v>3000</v>
      </c>
      <c r="Q4726">
        <v>414</v>
      </c>
      <c r="R4726">
        <v>0</v>
      </c>
      <c r="S4726">
        <v>0</v>
      </c>
      <c r="T4726">
        <v>0</v>
      </c>
      <c r="U4726">
        <v>0</v>
      </c>
      <c r="V4726">
        <v>368</v>
      </c>
      <c r="W4726">
        <v>1435.2</v>
      </c>
      <c r="X4726">
        <v>1200</v>
      </c>
      <c r="Y4726">
        <v>0</v>
      </c>
      <c r="Z4726">
        <v>4400</v>
      </c>
      <c r="AA4726">
        <v>414</v>
      </c>
      <c r="AB4726">
        <v>0</v>
      </c>
      <c r="AC4726">
        <v>0</v>
      </c>
      <c r="AD4726">
        <v>0</v>
      </c>
      <c r="AE4726">
        <v>0</v>
      </c>
      <c r="AF4726">
        <v>377</v>
      </c>
      <c r="AG4726">
        <v>516.63</v>
      </c>
      <c r="AH4726">
        <v>400</v>
      </c>
      <c r="AI4726">
        <v>0</v>
      </c>
      <c r="AJ4726">
        <v>2000</v>
      </c>
      <c r="AK4726">
        <v>373</v>
      </c>
      <c r="AL4726">
        <v>238.45</v>
      </c>
      <c r="AM4726">
        <v>200</v>
      </c>
      <c r="AN4726">
        <v>0</v>
      </c>
      <c r="AO4726">
        <v>1200</v>
      </c>
      <c r="AP4726">
        <v>349</v>
      </c>
      <c r="AQ4726">
        <v>150.87</v>
      </c>
      <c r="AR4726">
        <v>0</v>
      </c>
      <c r="AS4726">
        <v>0</v>
      </c>
      <c r="AT4726">
        <v>2500</v>
      </c>
      <c r="AU4726">
        <v>347</v>
      </c>
      <c r="AV4726">
        <v>147.94</v>
      </c>
      <c r="AW4726">
        <v>0</v>
      </c>
      <c r="AX4726">
        <v>0</v>
      </c>
      <c r="AY4726">
        <v>4000</v>
      </c>
    </row>
    <row r="4727" spans="1:52" x14ac:dyDescent="0.3">
      <c r="A4727" t="s">
        <v>26</v>
      </c>
      <c r="B4727">
        <v>439</v>
      </c>
      <c r="C4727">
        <v>502.16</v>
      </c>
      <c r="D4727">
        <v>400</v>
      </c>
      <c r="E4727">
        <v>0</v>
      </c>
      <c r="F4727">
        <v>2100</v>
      </c>
      <c r="G4727">
        <v>411</v>
      </c>
      <c r="H4727">
        <v>3.88</v>
      </c>
      <c r="I4727">
        <v>0</v>
      </c>
      <c r="J4727">
        <v>0</v>
      </c>
      <c r="K4727">
        <v>500</v>
      </c>
      <c r="L4727">
        <v>446</v>
      </c>
      <c r="M4727">
        <v>1077.5</v>
      </c>
      <c r="N4727">
        <v>1000</v>
      </c>
      <c r="O4727">
        <v>0</v>
      </c>
      <c r="P4727">
        <v>3000</v>
      </c>
      <c r="Q4727">
        <v>477</v>
      </c>
      <c r="R4727">
        <v>0</v>
      </c>
      <c r="S4727">
        <v>0</v>
      </c>
      <c r="T4727">
        <v>0</v>
      </c>
      <c r="U4727">
        <v>0</v>
      </c>
      <c r="V4727">
        <v>438</v>
      </c>
      <c r="W4727">
        <v>1694.92</v>
      </c>
      <c r="X4727">
        <v>1500</v>
      </c>
      <c r="Y4727">
        <v>0</v>
      </c>
      <c r="Z4727">
        <v>4500</v>
      </c>
      <c r="AA4727">
        <v>477</v>
      </c>
      <c r="AB4727">
        <v>0</v>
      </c>
      <c r="AC4727">
        <v>0</v>
      </c>
      <c r="AD4727">
        <v>0</v>
      </c>
      <c r="AE4727">
        <v>0</v>
      </c>
      <c r="AF4727">
        <v>444</v>
      </c>
      <c r="AG4727">
        <v>507.4</v>
      </c>
      <c r="AH4727">
        <v>400</v>
      </c>
      <c r="AI4727">
        <v>0</v>
      </c>
      <c r="AJ4727">
        <v>2000</v>
      </c>
      <c r="AK4727">
        <v>450</v>
      </c>
      <c r="AL4727">
        <v>333.46</v>
      </c>
      <c r="AM4727">
        <v>300</v>
      </c>
      <c r="AN4727">
        <v>0</v>
      </c>
      <c r="AO4727">
        <v>1300</v>
      </c>
      <c r="AP4727">
        <v>395</v>
      </c>
      <c r="AQ4727">
        <v>156.27000000000001</v>
      </c>
      <c r="AR4727">
        <v>0</v>
      </c>
      <c r="AS4727">
        <v>0</v>
      </c>
      <c r="AT4727">
        <v>2000</v>
      </c>
      <c r="AU4727">
        <v>362</v>
      </c>
      <c r="AV4727">
        <v>164.71</v>
      </c>
      <c r="AW4727">
        <v>0</v>
      </c>
      <c r="AX4727">
        <v>0</v>
      </c>
      <c r="AY4727">
        <v>4500</v>
      </c>
    </row>
    <row r="4728" spans="1:52" x14ac:dyDescent="0.3">
      <c r="A4728" t="s">
        <v>29</v>
      </c>
      <c r="B4728">
        <v>463</v>
      </c>
      <c r="C4728">
        <v>684.47</v>
      </c>
      <c r="D4728">
        <v>600</v>
      </c>
      <c r="E4728">
        <v>0</v>
      </c>
      <c r="F4728">
        <v>2000</v>
      </c>
      <c r="G4728">
        <v>351</v>
      </c>
      <c r="H4728">
        <v>13.16</v>
      </c>
      <c r="I4728">
        <v>0</v>
      </c>
      <c r="J4728">
        <v>0</v>
      </c>
      <c r="K4728">
        <v>1000</v>
      </c>
      <c r="L4728">
        <v>493</v>
      </c>
      <c r="M4728">
        <v>962.27</v>
      </c>
      <c r="N4728">
        <v>800</v>
      </c>
      <c r="O4728">
        <v>0</v>
      </c>
      <c r="P4728">
        <v>3000</v>
      </c>
      <c r="Q4728">
        <v>530</v>
      </c>
      <c r="R4728">
        <v>0</v>
      </c>
      <c r="S4728">
        <v>0</v>
      </c>
      <c r="T4728">
        <v>0</v>
      </c>
      <c r="U4728">
        <v>0</v>
      </c>
      <c r="V4728">
        <v>487</v>
      </c>
      <c r="W4728">
        <v>1620.65</v>
      </c>
      <c r="X4728">
        <v>1500</v>
      </c>
      <c r="Y4728">
        <v>0</v>
      </c>
      <c r="Z4728">
        <v>4500</v>
      </c>
      <c r="AA4728">
        <v>530</v>
      </c>
      <c r="AB4728">
        <v>0</v>
      </c>
      <c r="AC4728">
        <v>0</v>
      </c>
      <c r="AD4728">
        <v>0</v>
      </c>
      <c r="AE4728">
        <v>0</v>
      </c>
      <c r="AF4728">
        <v>471</v>
      </c>
      <c r="AG4728">
        <v>604.53</v>
      </c>
      <c r="AH4728">
        <v>500</v>
      </c>
      <c r="AI4728">
        <v>0</v>
      </c>
      <c r="AJ4728">
        <v>2000</v>
      </c>
      <c r="AK4728">
        <v>453</v>
      </c>
      <c r="AL4728">
        <v>284.95999999999998</v>
      </c>
      <c r="AM4728">
        <v>250</v>
      </c>
      <c r="AN4728">
        <v>0</v>
      </c>
      <c r="AO4728">
        <v>1200</v>
      </c>
      <c r="AP4728">
        <v>366</v>
      </c>
      <c r="AQ4728">
        <v>281.75</v>
      </c>
      <c r="AR4728">
        <v>0</v>
      </c>
      <c r="AS4728">
        <v>0</v>
      </c>
      <c r="AT4728">
        <v>2500</v>
      </c>
      <c r="AU4728">
        <v>320</v>
      </c>
      <c r="AV4728">
        <v>250.08</v>
      </c>
      <c r="AW4728">
        <v>0</v>
      </c>
      <c r="AX4728">
        <v>0</v>
      </c>
      <c r="AY4728">
        <v>3500</v>
      </c>
    </row>
    <row r="4729" spans="1:52" x14ac:dyDescent="0.3">
      <c r="A4729" t="s">
        <v>28</v>
      </c>
      <c r="B4729">
        <v>207</v>
      </c>
      <c r="C4729">
        <v>380.34</v>
      </c>
      <c r="D4729">
        <v>200</v>
      </c>
      <c r="E4729">
        <v>0</v>
      </c>
      <c r="F4729">
        <v>2000</v>
      </c>
      <c r="G4729">
        <v>131</v>
      </c>
      <c r="H4729">
        <v>12.73</v>
      </c>
      <c r="I4729">
        <v>0</v>
      </c>
      <c r="J4729">
        <v>0</v>
      </c>
      <c r="K4729">
        <v>1500</v>
      </c>
      <c r="L4729">
        <v>261</v>
      </c>
      <c r="M4729">
        <v>1103.31</v>
      </c>
      <c r="N4729">
        <v>1000</v>
      </c>
      <c r="O4729">
        <v>0</v>
      </c>
      <c r="P4729">
        <v>3000</v>
      </c>
      <c r="Q4729">
        <v>317</v>
      </c>
      <c r="R4729">
        <v>0</v>
      </c>
      <c r="S4729">
        <v>0</v>
      </c>
      <c r="T4729">
        <v>0</v>
      </c>
      <c r="U4729">
        <v>0</v>
      </c>
      <c r="V4729">
        <v>246</v>
      </c>
      <c r="W4729">
        <v>1003.55</v>
      </c>
      <c r="X4729">
        <v>800</v>
      </c>
      <c r="Y4729">
        <v>0</v>
      </c>
      <c r="Z4729">
        <v>4000</v>
      </c>
      <c r="AA4729">
        <v>317</v>
      </c>
      <c r="AB4729">
        <v>0</v>
      </c>
      <c r="AC4729">
        <v>0</v>
      </c>
      <c r="AD4729">
        <v>0</v>
      </c>
      <c r="AE4729">
        <v>0</v>
      </c>
      <c r="AF4729">
        <v>236</v>
      </c>
      <c r="AG4729">
        <v>610.30999999999995</v>
      </c>
      <c r="AH4729">
        <v>500</v>
      </c>
      <c r="AI4729">
        <v>0</v>
      </c>
      <c r="AJ4729">
        <v>2000</v>
      </c>
      <c r="AK4729">
        <v>222</v>
      </c>
      <c r="AL4729">
        <v>303.43</v>
      </c>
      <c r="AM4729">
        <v>260</v>
      </c>
      <c r="AN4729">
        <v>0</v>
      </c>
      <c r="AO4729">
        <v>1200</v>
      </c>
      <c r="AP4729">
        <v>151</v>
      </c>
      <c r="AQ4729">
        <v>162.1</v>
      </c>
      <c r="AR4729">
        <v>0</v>
      </c>
      <c r="AS4729">
        <v>0</v>
      </c>
      <c r="AT4729">
        <v>2000</v>
      </c>
      <c r="AU4729">
        <v>141</v>
      </c>
      <c r="AV4729">
        <v>201.62</v>
      </c>
      <c r="AW4729">
        <v>0</v>
      </c>
      <c r="AX4729">
        <v>0</v>
      </c>
      <c r="AY4729">
        <v>5000</v>
      </c>
    </row>
    <row r="4730" spans="1:52" x14ac:dyDescent="0.3">
      <c r="A4730" t="s">
        <v>27</v>
      </c>
      <c r="B4730">
        <v>267</v>
      </c>
      <c r="C4730">
        <v>483.17</v>
      </c>
      <c r="D4730">
        <v>400</v>
      </c>
      <c r="E4730">
        <v>0</v>
      </c>
      <c r="F4730">
        <v>2000</v>
      </c>
      <c r="G4730">
        <v>174</v>
      </c>
      <c r="H4730">
        <v>47.82</v>
      </c>
      <c r="I4730">
        <v>0</v>
      </c>
      <c r="J4730">
        <v>0</v>
      </c>
      <c r="K4730">
        <v>800</v>
      </c>
      <c r="L4730">
        <v>278</v>
      </c>
      <c r="M4730">
        <v>625.54</v>
      </c>
      <c r="N4730">
        <v>500</v>
      </c>
      <c r="O4730">
        <v>0</v>
      </c>
      <c r="P4730">
        <v>3000</v>
      </c>
      <c r="Q4730">
        <v>300</v>
      </c>
      <c r="R4730">
        <v>0</v>
      </c>
      <c r="S4730">
        <v>0</v>
      </c>
      <c r="T4730">
        <v>0</v>
      </c>
      <c r="U4730">
        <v>0</v>
      </c>
      <c r="V4730">
        <v>272</v>
      </c>
      <c r="W4730">
        <v>1488.93</v>
      </c>
      <c r="X4730">
        <v>1200</v>
      </c>
      <c r="Y4730">
        <v>0</v>
      </c>
      <c r="Z4730">
        <v>4500</v>
      </c>
      <c r="AA4730">
        <v>300</v>
      </c>
      <c r="AB4730">
        <v>0</v>
      </c>
      <c r="AC4730">
        <v>0</v>
      </c>
      <c r="AD4730">
        <v>0</v>
      </c>
      <c r="AE4730">
        <v>0</v>
      </c>
      <c r="AF4730">
        <v>273</v>
      </c>
      <c r="AG4730">
        <v>482.16</v>
      </c>
      <c r="AH4730">
        <v>400</v>
      </c>
      <c r="AI4730">
        <v>0</v>
      </c>
      <c r="AJ4730">
        <v>2000</v>
      </c>
      <c r="AK4730">
        <v>212</v>
      </c>
      <c r="AL4730">
        <v>257.39999999999998</v>
      </c>
      <c r="AM4730">
        <v>200</v>
      </c>
      <c r="AN4730">
        <v>0</v>
      </c>
      <c r="AO4730">
        <v>1000</v>
      </c>
      <c r="AP4730">
        <v>171</v>
      </c>
      <c r="AQ4730">
        <v>160.03</v>
      </c>
      <c r="AR4730">
        <v>0</v>
      </c>
      <c r="AS4730">
        <v>0</v>
      </c>
      <c r="AT4730">
        <v>2000</v>
      </c>
      <c r="AU4730">
        <v>112</v>
      </c>
      <c r="AV4730">
        <v>142.12</v>
      </c>
      <c r="AW4730">
        <v>0</v>
      </c>
      <c r="AX4730">
        <v>0</v>
      </c>
      <c r="AY4730">
        <v>3300</v>
      </c>
    </row>
    <row r="4731" spans="1:52" x14ac:dyDescent="0.3">
      <c r="A4731" t="s">
        <v>41</v>
      </c>
      <c r="B4731">
        <v>1745</v>
      </c>
      <c r="C4731">
        <v>607.94000000000005</v>
      </c>
      <c r="D4731">
        <v>500</v>
      </c>
      <c r="E4731">
        <v>0</v>
      </c>
      <c r="F4731">
        <v>2300</v>
      </c>
      <c r="G4731">
        <v>1395</v>
      </c>
      <c r="H4731">
        <v>10.09</v>
      </c>
      <c r="I4731">
        <v>0</v>
      </c>
      <c r="J4731">
        <v>0</v>
      </c>
      <c r="K4731">
        <v>1500</v>
      </c>
      <c r="L4731">
        <v>1863</v>
      </c>
      <c r="M4731">
        <v>984.65</v>
      </c>
      <c r="N4731">
        <v>800</v>
      </c>
      <c r="O4731">
        <v>0</v>
      </c>
      <c r="P4731">
        <v>3000</v>
      </c>
      <c r="Q4731">
        <v>2038</v>
      </c>
      <c r="R4731">
        <v>0</v>
      </c>
      <c r="S4731">
        <v>0</v>
      </c>
      <c r="T4731">
        <v>0</v>
      </c>
      <c r="U4731">
        <v>0</v>
      </c>
      <c r="V4731">
        <v>1811</v>
      </c>
      <c r="W4731">
        <v>1570.75</v>
      </c>
      <c r="X4731">
        <v>1500</v>
      </c>
      <c r="Y4731">
        <v>0</v>
      </c>
      <c r="Z4731">
        <v>4500</v>
      </c>
      <c r="AA4731">
        <v>2038</v>
      </c>
      <c r="AB4731">
        <v>0</v>
      </c>
      <c r="AC4731">
        <v>0</v>
      </c>
      <c r="AD4731">
        <v>0</v>
      </c>
      <c r="AE4731">
        <v>0</v>
      </c>
      <c r="AF4731">
        <v>1801</v>
      </c>
      <c r="AG4731">
        <v>556.55999999999995</v>
      </c>
      <c r="AH4731">
        <v>500</v>
      </c>
      <c r="AI4731">
        <v>0</v>
      </c>
      <c r="AJ4731">
        <v>2000</v>
      </c>
      <c r="AK4731">
        <v>1710</v>
      </c>
      <c r="AL4731">
        <v>287.87</v>
      </c>
      <c r="AM4731">
        <v>200</v>
      </c>
      <c r="AN4731">
        <v>0</v>
      </c>
      <c r="AO4731">
        <v>1300</v>
      </c>
      <c r="AP4731">
        <v>1432</v>
      </c>
      <c r="AQ4731">
        <v>208.94</v>
      </c>
      <c r="AR4731">
        <v>0</v>
      </c>
      <c r="AS4731">
        <v>0</v>
      </c>
      <c r="AT4731">
        <v>2500</v>
      </c>
      <c r="AU4731">
        <v>1282</v>
      </c>
      <c r="AV4731">
        <v>195.64</v>
      </c>
      <c r="AW4731">
        <v>0</v>
      </c>
      <c r="AX4731">
        <v>0</v>
      </c>
      <c r="AY4731">
        <v>5000</v>
      </c>
    </row>
    <row r="4733" spans="1:52" x14ac:dyDescent="0.3">
      <c r="A4733" t="s">
        <v>1889</v>
      </c>
    </row>
    <row r="4734" spans="1:52" x14ac:dyDescent="0.3">
      <c r="A4734" t="s">
        <v>36</v>
      </c>
      <c r="B4734" t="s">
        <v>197</v>
      </c>
      <c r="C4734" t="s">
        <v>1839</v>
      </c>
      <c r="D4734" t="s">
        <v>1840</v>
      </c>
      <c r="E4734" t="s">
        <v>1841</v>
      </c>
      <c r="F4734" t="s">
        <v>1842</v>
      </c>
      <c r="G4734" t="s">
        <v>1843</v>
      </c>
      <c r="H4734" t="s">
        <v>1844</v>
      </c>
      <c r="I4734" t="s">
        <v>1845</v>
      </c>
      <c r="J4734" t="s">
        <v>1846</v>
      </c>
      <c r="K4734" t="s">
        <v>1847</v>
      </c>
      <c r="L4734" t="s">
        <v>1848</v>
      </c>
      <c r="M4734" t="s">
        <v>1849</v>
      </c>
      <c r="N4734" t="s">
        <v>1850</v>
      </c>
      <c r="O4734" t="s">
        <v>1851</v>
      </c>
      <c r="P4734" t="s">
        <v>1852</v>
      </c>
      <c r="Q4734" t="s">
        <v>1853</v>
      </c>
      <c r="R4734" t="s">
        <v>1854</v>
      </c>
      <c r="S4734" t="s">
        <v>1855</v>
      </c>
      <c r="T4734" t="s">
        <v>1856</v>
      </c>
      <c r="U4734" t="s">
        <v>1857</v>
      </c>
      <c r="V4734" t="s">
        <v>1858</v>
      </c>
      <c r="W4734" t="s">
        <v>1859</v>
      </c>
      <c r="X4734" t="s">
        <v>1860</v>
      </c>
      <c r="Y4734" t="s">
        <v>1861</v>
      </c>
      <c r="Z4734" t="s">
        <v>1862</v>
      </c>
      <c r="AA4734" t="s">
        <v>1863</v>
      </c>
      <c r="AB4734" t="s">
        <v>1864</v>
      </c>
      <c r="AC4734" t="s">
        <v>1865</v>
      </c>
      <c r="AD4734" t="s">
        <v>1866</v>
      </c>
      <c r="AE4734" t="s">
        <v>1867</v>
      </c>
      <c r="AF4734" t="s">
        <v>1868</v>
      </c>
      <c r="AG4734" t="s">
        <v>1869</v>
      </c>
      <c r="AH4734" t="s">
        <v>1870</v>
      </c>
      <c r="AI4734" t="s">
        <v>1871</v>
      </c>
      <c r="AJ4734" t="s">
        <v>1872</v>
      </c>
      <c r="AK4734" t="s">
        <v>1873</v>
      </c>
      <c r="AL4734" t="s">
        <v>1874</v>
      </c>
      <c r="AM4734" t="s">
        <v>1875</v>
      </c>
      <c r="AN4734" t="s">
        <v>1876</v>
      </c>
      <c r="AO4734" t="s">
        <v>1877</v>
      </c>
      <c r="AP4734" t="s">
        <v>1878</v>
      </c>
      <c r="AQ4734" t="s">
        <v>1879</v>
      </c>
      <c r="AR4734" t="s">
        <v>1880</v>
      </c>
      <c r="AS4734" t="s">
        <v>1881</v>
      </c>
      <c r="AT4734" t="s">
        <v>1882</v>
      </c>
      <c r="AU4734" t="s">
        <v>1883</v>
      </c>
      <c r="AV4734" t="s">
        <v>1884</v>
      </c>
      <c r="AW4734" t="s">
        <v>1885</v>
      </c>
      <c r="AX4734" t="s">
        <v>1886</v>
      </c>
      <c r="AY4734" t="s">
        <v>1887</v>
      </c>
      <c r="AZ4734" t="s">
        <v>1888</v>
      </c>
    </row>
    <row r="4735" spans="1:52" x14ac:dyDescent="0.3">
      <c r="A4735" t="s">
        <v>25</v>
      </c>
      <c r="B4735" t="s">
        <v>198</v>
      </c>
      <c r="C4735">
        <v>91</v>
      </c>
      <c r="D4735">
        <v>538.36</v>
      </c>
      <c r="E4735">
        <v>500</v>
      </c>
      <c r="F4735">
        <v>0</v>
      </c>
      <c r="G4735">
        <v>2000</v>
      </c>
      <c r="H4735">
        <v>82</v>
      </c>
      <c r="I4735">
        <v>24.97</v>
      </c>
      <c r="J4735">
        <v>0</v>
      </c>
      <c r="K4735">
        <v>0</v>
      </c>
      <c r="L4735">
        <v>500</v>
      </c>
      <c r="M4735">
        <v>95</v>
      </c>
      <c r="N4735">
        <v>830.61</v>
      </c>
      <c r="O4735">
        <v>700</v>
      </c>
      <c r="P4735">
        <v>0</v>
      </c>
      <c r="Q4735">
        <v>3000</v>
      </c>
      <c r="R4735">
        <v>104</v>
      </c>
      <c r="S4735">
        <v>0</v>
      </c>
      <c r="T4735">
        <v>0</v>
      </c>
      <c r="U4735">
        <v>0</v>
      </c>
      <c r="V4735">
        <v>0</v>
      </c>
      <c r="W4735">
        <v>93</v>
      </c>
      <c r="X4735">
        <v>1373.84</v>
      </c>
      <c r="Y4735">
        <v>1200</v>
      </c>
      <c r="Z4735">
        <v>0</v>
      </c>
      <c r="AA4735">
        <v>4000</v>
      </c>
      <c r="AB4735">
        <v>104</v>
      </c>
      <c r="AC4735">
        <v>0</v>
      </c>
      <c r="AD4735">
        <v>0</v>
      </c>
      <c r="AE4735">
        <v>0</v>
      </c>
      <c r="AF4735">
        <v>0</v>
      </c>
      <c r="AG4735">
        <v>96</v>
      </c>
      <c r="AH4735">
        <v>516.82000000000005</v>
      </c>
      <c r="AI4735">
        <v>400</v>
      </c>
      <c r="AJ4735">
        <v>0</v>
      </c>
      <c r="AK4735">
        <v>1800</v>
      </c>
      <c r="AL4735">
        <v>94</v>
      </c>
      <c r="AM4735">
        <v>169.03</v>
      </c>
      <c r="AN4735">
        <v>108</v>
      </c>
      <c r="AO4735">
        <v>0</v>
      </c>
      <c r="AP4735">
        <v>1200</v>
      </c>
      <c r="AQ4735">
        <v>93</v>
      </c>
      <c r="AR4735">
        <v>151.09</v>
      </c>
      <c r="AS4735">
        <v>0</v>
      </c>
      <c r="AT4735">
        <v>0</v>
      </c>
      <c r="AU4735">
        <v>2000</v>
      </c>
      <c r="AV4735">
        <v>89</v>
      </c>
      <c r="AW4735">
        <v>189.81</v>
      </c>
      <c r="AX4735">
        <v>0</v>
      </c>
      <c r="AY4735">
        <v>0</v>
      </c>
      <c r="AZ4735">
        <v>4000</v>
      </c>
    </row>
    <row r="4736" spans="1:52" x14ac:dyDescent="0.3">
      <c r="A4736" t="s">
        <v>25</v>
      </c>
      <c r="B4736" t="s">
        <v>199</v>
      </c>
      <c r="C4736">
        <v>278</v>
      </c>
      <c r="D4736">
        <v>668.61</v>
      </c>
      <c r="E4736">
        <v>500</v>
      </c>
      <c r="F4736">
        <v>0</v>
      </c>
      <c r="G4736">
        <v>2300</v>
      </c>
      <c r="H4736">
        <v>246</v>
      </c>
      <c r="I4736">
        <v>0.5</v>
      </c>
      <c r="J4736">
        <v>0</v>
      </c>
      <c r="K4736">
        <v>0</v>
      </c>
      <c r="L4736">
        <v>100</v>
      </c>
      <c r="M4736">
        <v>290</v>
      </c>
      <c r="N4736">
        <v>1029.1500000000001</v>
      </c>
      <c r="O4736">
        <v>800</v>
      </c>
      <c r="P4736">
        <v>0</v>
      </c>
      <c r="Q4736">
        <v>3000</v>
      </c>
      <c r="R4736">
        <v>310</v>
      </c>
      <c r="S4736">
        <v>0</v>
      </c>
      <c r="T4736">
        <v>0</v>
      </c>
      <c r="U4736">
        <v>0</v>
      </c>
      <c r="V4736">
        <v>0</v>
      </c>
      <c r="W4736">
        <v>275</v>
      </c>
      <c r="X4736">
        <v>1451.55</v>
      </c>
      <c r="Y4736">
        <v>1200</v>
      </c>
      <c r="Z4736">
        <v>0</v>
      </c>
      <c r="AA4736">
        <v>4400</v>
      </c>
      <c r="AB4736">
        <v>310</v>
      </c>
      <c r="AC4736">
        <v>0</v>
      </c>
      <c r="AD4736">
        <v>0</v>
      </c>
      <c r="AE4736">
        <v>0</v>
      </c>
      <c r="AF4736">
        <v>0</v>
      </c>
      <c r="AG4736">
        <v>281</v>
      </c>
      <c r="AH4736">
        <v>516.57000000000005</v>
      </c>
      <c r="AI4736">
        <v>400</v>
      </c>
      <c r="AJ4736">
        <v>0</v>
      </c>
      <c r="AK4736">
        <v>2000</v>
      </c>
      <c r="AL4736">
        <v>279</v>
      </c>
      <c r="AM4736">
        <v>257.63</v>
      </c>
      <c r="AN4736">
        <v>200</v>
      </c>
      <c r="AO4736">
        <v>0</v>
      </c>
      <c r="AP4736">
        <v>1120</v>
      </c>
      <c r="AQ4736">
        <v>256</v>
      </c>
      <c r="AR4736">
        <v>150.81</v>
      </c>
      <c r="AS4736">
        <v>0</v>
      </c>
      <c r="AT4736">
        <v>0</v>
      </c>
      <c r="AU4736">
        <v>2500</v>
      </c>
      <c r="AV4736">
        <v>258</v>
      </c>
      <c r="AW4736">
        <v>135.88</v>
      </c>
      <c r="AX4736">
        <v>0</v>
      </c>
      <c r="AY4736">
        <v>0</v>
      </c>
      <c r="AZ4736">
        <v>4000</v>
      </c>
    </row>
    <row r="4737" spans="1:52" x14ac:dyDescent="0.3">
      <c r="A4737" t="s">
        <v>26</v>
      </c>
      <c r="B4737" t="s">
        <v>198</v>
      </c>
      <c r="C4737">
        <v>40</v>
      </c>
      <c r="D4737">
        <v>294.07</v>
      </c>
      <c r="E4737">
        <v>220</v>
      </c>
      <c r="F4737">
        <v>0</v>
      </c>
      <c r="G4737">
        <v>1000</v>
      </c>
      <c r="H4737">
        <v>38</v>
      </c>
      <c r="I4737">
        <v>7.54</v>
      </c>
      <c r="J4737">
        <v>0</v>
      </c>
      <c r="K4737">
        <v>0</v>
      </c>
      <c r="L4737">
        <v>300</v>
      </c>
      <c r="M4737">
        <v>38</v>
      </c>
      <c r="N4737">
        <v>787.95</v>
      </c>
      <c r="O4737">
        <v>500</v>
      </c>
      <c r="P4737">
        <v>0</v>
      </c>
      <c r="Q4737">
        <v>2500</v>
      </c>
      <c r="R4737">
        <v>41</v>
      </c>
      <c r="S4737">
        <v>0</v>
      </c>
      <c r="T4737">
        <v>0</v>
      </c>
      <c r="U4737">
        <v>0</v>
      </c>
      <c r="V4737">
        <v>0</v>
      </c>
      <c r="W4737">
        <v>41</v>
      </c>
      <c r="X4737">
        <v>1226.76</v>
      </c>
      <c r="Y4737">
        <v>1000</v>
      </c>
      <c r="Z4737">
        <v>0</v>
      </c>
      <c r="AA4737">
        <v>4000</v>
      </c>
      <c r="AB4737">
        <v>41</v>
      </c>
      <c r="AC4737">
        <v>0</v>
      </c>
      <c r="AD4737">
        <v>0</v>
      </c>
      <c r="AE4737">
        <v>0</v>
      </c>
      <c r="AF4737">
        <v>0</v>
      </c>
      <c r="AG4737">
        <v>39</v>
      </c>
      <c r="AH4737">
        <v>446.08</v>
      </c>
      <c r="AI4737">
        <v>400</v>
      </c>
      <c r="AJ4737">
        <v>0</v>
      </c>
      <c r="AK4737">
        <v>1500</v>
      </c>
      <c r="AL4737">
        <v>40</v>
      </c>
      <c r="AM4737">
        <v>249.38</v>
      </c>
      <c r="AN4737">
        <v>150</v>
      </c>
      <c r="AO4737">
        <v>0</v>
      </c>
      <c r="AP4737">
        <v>1200</v>
      </c>
      <c r="AQ4737">
        <v>39</v>
      </c>
      <c r="AR4737">
        <v>138.49</v>
      </c>
      <c r="AS4737">
        <v>0</v>
      </c>
      <c r="AT4737">
        <v>0</v>
      </c>
      <c r="AU4737">
        <v>2000</v>
      </c>
      <c r="AV4737">
        <v>38</v>
      </c>
      <c r="AW4737">
        <v>42.84</v>
      </c>
      <c r="AX4737">
        <v>0</v>
      </c>
      <c r="AY4737">
        <v>0</v>
      </c>
      <c r="AZ4737">
        <v>1500</v>
      </c>
    </row>
    <row r="4738" spans="1:52" x14ac:dyDescent="0.3">
      <c r="A4738" t="s">
        <v>26</v>
      </c>
      <c r="B4738" t="s">
        <v>199</v>
      </c>
      <c r="C4738">
        <v>399</v>
      </c>
      <c r="D4738">
        <v>514.96</v>
      </c>
      <c r="E4738">
        <v>400</v>
      </c>
      <c r="F4738">
        <v>0</v>
      </c>
      <c r="G4738">
        <v>2100</v>
      </c>
      <c r="H4738">
        <v>373</v>
      </c>
      <c r="I4738">
        <v>3.66</v>
      </c>
      <c r="J4738">
        <v>0</v>
      </c>
      <c r="K4738">
        <v>0</v>
      </c>
      <c r="L4738">
        <v>500</v>
      </c>
      <c r="M4738">
        <v>408</v>
      </c>
      <c r="N4738">
        <v>1095.31</v>
      </c>
      <c r="O4738">
        <v>1000</v>
      </c>
      <c r="P4738">
        <v>0</v>
      </c>
      <c r="Q4738">
        <v>3000</v>
      </c>
      <c r="R4738">
        <v>436</v>
      </c>
      <c r="S4738">
        <v>0</v>
      </c>
      <c r="T4738">
        <v>0</v>
      </c>
      <c r="U4738">
        <v>0</v>
      </c>
      <c r="V4738">
        <v>0</v>
      </c>
      <c r="W4738">
        <v>397</v>
      </c>
      <c r="X4738">
        <v>1724.92</v>
      </c>
      <c r="Y4738">
        <v>1500</v>
      </c>
      <c r="Z4738">
        <v>0</v>
      </c>
      <c r="AA4738">
        <v>4500</v>
      </c>
      <c r="AB4738">
        <v>436</v>
      </c>
      <c r="AC4738">
        <v>0</v>
      </c>
      <c r="AD4738">
        <v>0</v>
      </c>
      <c r="AE4738">
        <v>0</v>
      </c>
      <c r="AF4738">
        <v>0</v>
      </c>
      <c r="AG4738">
        <v>405</v>
      </c>
      <c r="AH4738">
        <v>511.12</v>
      </c>
      <c r="AI4738">
        <v>400</v>
      </c>
      <c r="AJ4738">
        <v>0</v>
      </c>
      <c r="AK4738">
        <v>2000</v>
      </c>
      <c r="AL4738">
        <v>410</v>
      </c>
      <c r="AM4738">
        <v>338.5</v>
      </c>
      <c r="AN4738">
        <v>300</v>
      </c>
      <c r="AO4738">
        <v>0</v>
      </c>
      <c r="AP4738">
        <v>1300</v>
      </c>
      <c r="AQ4738">
        <v>356</v>
      </c>
      <c r="AR4738">
        <v>157.43</v>
      </c>
      <c r="AS4738">
        <v>0</v>
      </c>
      <c r="AT4738">
        <v>0</v>
      </c>
      <c r="AU4738">
        <v>2000</v>
      </c>
      <c r="AV4738">
        <v>324</v>
      </c>
      <c r="AW4738">
        <v>173.26</v>
      </c>
      <c r="AX4738">
        <v>0</v>
      </c>
      <c r="AY4738">
        <v>0</v>
      </c>
      <c r="AZ4738">
        <v>4500</v>
      </c>
    </row>
    <row r="4739" spans="1:52" x14ac:dyDescent="0.3">
      <c r="A4739" t="s">
        <v>29</v>
      </c>
      <c r="B4739" t="s">
        <v>198</v>
      </c>
      <c r="C4739">
        <v>154</v>
      </c>
      <c r="D4739">
        <v>622.91</v>
      </c>
      <c r="E4739">
        <v>500</v>
      </c>
      <c r="F4739">
        <v>0</v>
      </c>
      <c r="G4739">
        <v>2000</v>
      </c>
      <c r="H4739">
        <v>122</v>
      </c>
      <c r="I4739">
        <v>14.3</v>
      </c>
      <c r="J4739">
        <v>0</v>
      </c>
      <c r="K4739">
        <v>0</v>
      </c>
      <c r="L4739">
        <v>800</v>
      </c>
      <c r="M4739">
        <v>155</v>
      </c>
      <c r="N4739">
        <v>836.64</v>
      </c>
      <c r="O4739">
        <v>750</v>
      </c>
      <c r="P4739">
        <v>0</v>
      </c>
      <c r="Q4739">
        <v>3000</v>
      </c>
      <c r="R4739">
        <v>170</v>
      </c>
      <c r="S4739">
        <v>0</v>
      </c>
      <c r="T4739">
        <v>0</v>
      </c>
      <c r="U4739">
        <v>0</v>
      </c>
      <c r="V4739">
        <v>0</v>
      </c>
      <c r="W4739">
        <v>153</v>
      </c>
      <c r="X4739">
        <v>1578.83</v>
      </c>
      <c r="Y4739">
        <v>1200</v>
      </c>
      <c r="Z4739">
        <v>0</v>
      </c>
      <c r="AA4739">
        <v>4000</v>
      </c>
      <c r="AB4739">
        <v>170</v>
      </c>
      <c r="AC4739">
        <v>0</v>
      </c>
      <c r="AD4739">
        <v>0</v>
      </c>
      <c r="AE4739">
        <v>0</v>
      </c>
      <c r="AF4739">
        <v>0</v>
      </c>
      <c r="AG4739">
        <v>155</v>
      </c>
      <c r="AH4739">
        <v>559.19000000000005</v>
      </c>
      <c r="AI4739">
        <v>500</v>
      </c>
      <c r="AJ4739">
        <v>0</v>
      </c>
      <c r="AK4739">
        <v>2000</v>
      </c>
      <c r="AL4739">
        <v>151</v>
      </c>
      <c r="AM4739">
        <v>234.43</v>
      </c>
      <c r="AN4739">
        <v>200</v>
      </c>
      <c r="AO4739">
        <v>0</v>
      </c>
      <c r="AP4739">
        <v>1200</v>
      </c>
      <c r="AQ4739">
        <v>128</v>
      </c>
      <c r="AR4739">
        <v>215.06</v>
      </c>
      <c r="AS4739">
        <v>0</v>
      </c>
      <c r="AT4739">
        <v>0</v>
      </c>
      <c r="AU4739">
        <v>2000</v>
      </c>
      <c r="AV4739">
        <v>113</v>
      </c>
      <c r="AW4739">
        <v>245.6</v>
      </c>
      <c r="AX4739">
        <v>0</v>
      </c>
      <c r="AY4739">
        <v>0</v>
      </c>
      <c r="AZ4739">
        <v>3500</v>
      </c>
    </row>
    <row r="4740" spans="1:52" x14ac:dyDescent="0.3">
      <c r="A4740" t="s">
        <v>29</v>
      </c>
      <c r="B4740" t="s">
        <v>199</v>
      </c>
      <c r="C4740">
        <v>309</v>
      </c>
      <c r="D4740">
        <v>714.59</v>
      </c>
      <c r="E4740">
        <v>600</v>
      </c>
      <c r="F4740">
        <v>0</v>
      </c>
      <c r="G4740">
        <v>2000</v>
      </c>
      <c r="H4740">
        <v>229</v>
      </c>
      <c r="I4740">
        <v>12.57</v>
      </c>
      <c r="J4740">
        <v>0</v>
      </c>
      <c r="K4740">
        <v>0</v>
      </c>
      <c r="L4740">
        <v>1000</v>
      </c>
      <c r="M4740">
        <v>338</v>
      </c>
      <c r="N4740">
        <v>1017.04</v>
      </c>
      <c r="O4740">
        <v>800</v>
      </c>
      <c r="P4740">
        <v>0</v>
      </c>
      <c r="Q4740">
        <v>3000</v>
      </c>
      <c r="R4740">
        <v>360</v>
      </c>
      <c r="S4740">
        <v>0</v>
      </c>
      <c r="T4740">
        <v>0</v>
      </c>
      <c r="U4740">
        <v>0</v>
      </c>
      <c r="V4740">
        <v>0</v>
      </c>
      <c r="W4740">
        <v>334</v>
      </c>
      <c r="X4740">
        <v>1639.35</v>
      </c>
      <c r="Y4740">
        <v>1500</v>
      </c>
      <c r="Z4740">
        <v>0</v>
      </c>
      <c r="AA4740">
        <v>4500</v>
      </c>
      <c r="AB4740">
        <v>360</v>
      </c>
      <c r="AC4740">
        <v>0</v>
      </c>
      <c r="AD4740">
        <v>0</v>
      </c>
      <c r="AE4740">
        <v>0</v>
      </c>
      <c r="AF4740">
        <v>0</v>
      </c>
      <c r="AG4740">
        <v>316</v>
      </c>
      <c r="AH4740">
        <v>626.11</v>
      </c>
      <c r="AI4740">
        <v>500</v>
      </c>
      <c r="AJ4740">
        <v>0</v>
      </c>
      <c r="AK4740">
        <v>2000</v>
      </c>
      <c r="AL4740">
        <v>302</v>
      </c>
      <c r="AM4740">
        <v>309.54000000000002</v>
      </c>
      <c r="AN4740">
        <v>300</v>
      </c>
      <c r="AO4740">
        <v>0</v>
      </c>
      <c r="AP4740">
        <v>1000</v>
      </c>
      <c r="AQ4740">
        <v>238</v>
      </c>
      <c r="AR4740">
        <v>317.02</v>
      </c>
      <c r="AS4740">
        <v>0</v>
      </c>
      <c r="AT4740">
        <v>0</v>
      </c>
      <c r="AU4740">
        <v>2500</v>
      </c>
      <c r="AV4740">
        <v>207</v>
      </c>
      <c r="AW4740">
        <v>252.48</v>
      </c>
      <c r="AX4740">
        <v>0</v>
      </c>
      <c r="AY4740">
        <v>0</v>
      </c>
      <c r="AZ4740">
        <v>3500</v>
      </c>
    </row>
    <row r="4741" spans="1:52" x14ac:dyDescent="0.3">
      <c r="A4741" t="s">
        <v>28</v>
      </c>
      <c r="B4741" t="s">
        <v>198</v>
      </c>
      <c r="C4741">
        <v>38</v>
      </c>
      <c r="D4741">
        <v>309.89999999999998</v>
      </c>
      <c r="E4741">
        <v>100</v>
      </c>
      <c r="F4741">
        <v>0</v>
      </c>
      <c r="G4741">
        <v>2000</v>
      </c>
      <c r="H4741">
        <v>27</v>
      </c>
      <c r="I4741">
        <v>32.83</v>
      </c>
      <c r="J4741">
        <v>0</v>
      </c>
      <c r="K4741">
        <v>0</v>
      </c>
      <c r="L4741">
        <v>1500</v>
      </c>
      <c r="M4741">
        <v>54</v>
      </c>
      <c r="N4741">
        <v>950.43</v>
      </c>
      <c r="O4741">
        <v>1000</v>
      </c>
      <c r="P4741">
        <v>0</v>
      </c>
      <c r="Q4741">
        <v>3000</v>
      </c>
      <c r="R4741">
        <v>70</v>
      </c>
      <c r="S4741">
        <v>0</v>
      </c>
      <c r="T4741">
        <v>0</v>
      </c>
      <c r="U4741">
        <v>0</v>
      </c>
      <c r="V4741">
        <v>0</v>
      </c>
      <c r="W4741">
        <v>55</v>
      </c>
      <c r="X4741">
        <v>1078.19</v>
      </c>
      <c r="Y4741">
        <v>1000</v>
      </c>
      <c r="Z4741">
        <v>0</v>
      </c>
      <c r="AA4741">
        <v>3400</v>
      </c>
      <c r="AB4741">
        <v>70</v>
      </c>
      <c r="AC4741">
        <v>0</v>
      </c>
      <c r="AD4741">
        <v>0</v>
      </c>
      <c r="AE4741">
        <v>0</v>
      </c>
      <c r="AF4741">
        <v>0</v>
      </c>
      <c r="AG4741">
        <v>51</v>
      </c>
      <c r="AH4741">
        <v>454.48</v>
      </c>
      <c r="AI4741">
        <v>300</v>
      </c>
      <c r="AJ4741">
        <v>0</v>
      </c>
      <c r="AK4741">
        <v>2000</v>
      </c>
      <c r="AL4741">
        <v>40</v>
      </c>
      <c r="AM4741">
        <v>310.24</v>
      </c>
      <c r="AN4741">
        <v>300</v>
      </c>
      <c r="AO4741">
        <v>0</v>
      </c>
      <c r="AP4741">
        <v>1000</v>
      </c>
      <c r="AQ4741">
        <v>28</v>
      </c>
      <c r="AR4741">
        <v>79.48</v>
      </c>
      <c r="AS4741">
        <v>0</v>
      </c>
      <c r="AT4741">
        <v>0</v>
      </c>
      <c r="AU4741">
        <v>2000</v>
      </c>
      <c r="AV4741">
        <v>32</v>
      </c>
      <c r="AW4741">
        <v>230.8</v>
      </c>
      <c r="AX4741">
        <v>0</v>
      </c>
      <c r="AY4741">
        <v>0</v>
      </c>
      <c r="AZ4741">
        <v>3100</v>
      </c>
    </row>
    <row r="4742" spans="1:52" x14ac:dyDescent="0.3">
      <c r="A4742" t="s">
        <v>28</v>
      </c>
      <c r="B4742" t="s">
        <v>199</v>
      </c>
      <c r="C4742">
        <v>169</v>
      </c>
      <c r="D4742">
        <v>399.32</v>
      </c>
      <c r="E4742">
        <v>300</v>
      </c>
      <c r="F4742">
        <v>0</v>
      </c>
      <c r="G4742">
        <v>2000</v>
      </c>
      <c r="H4742">
        <v>104</v>
      </c>
      <c r="I4742">
        <v>4.8099999999999996</v>
      </c>
      <c r="J4742">
        <v>0</v>
      </c>
      <c r="K4742">
        <v>0</v>
      </c>
      <c r="L4742">
        <v>500</v>
      </c>
      <c r="M4742">
        <v>207</v>
      </c>
      <c r="N4742">
        <v>1147.73</v>
      </c>
      <c r="O4742">
        <v>1000</v>
      </c>
      <c r="P4742">
        <v>0</v>
      </c>
      <c r="Q4742">
        <v>3000</v>
      </c>
      <c r="R4742">
        <v>247</v>
      </c>
      <c r="S4742">
        <v>0</v>
      </c>
      <c r="T4742">
        <v>0</v>
      </c>
      <c r="U4742">
        <v>0</v>
      </c>
      <c r="V4742">
        <v>0</v>
      </c>
      <c r="W4742">
        <v>191</v>
      </c>
      <c r="X4742">
        <v>980.02</v>
      </c>
      <c r="Y4742">
        <v>800</v>
      </c>
      <c r="Z4742">
        <v>0</v>
      </c>
      <c r="AA4742">
        <v>4000</v>
      </c>
      <c r="AB4742">
        <v>247</v>
      </c>
      <c r="AC4742">
        <v>0</v>
      </c>
      <c r="AD4742">
        <v>0</v>
      </c>
      <c r="AE4742">
        <v>0</v>
      </c>
      <c r="AF4742">
        <v>0</v>
      </c>
      <c r="AG4742">
        <v>185</v>
      </c>
      <c r="AH4742">
        <v>659.09</v>
      </c>
      <c r="AI4742">
        <v>500</v>
      </c>
      <c r="AJ4742">
        <v>0</v>
      </c>
      <c r="AK4742">
        <v>2000</v>
      </c>
      <c r="AL4742">
        <v>182</v>
      </c>
      <c r="AM4742">
        <v>301.63</v>
      </c>
      <c r="AN4742">
        <v>225</v>
      </c>
      <c r="AO4742">
        <v>0</v>
      </c>
      <c r="AP4742">
        <v>1200</v>
      </c>
      <c r="AQ4742">
        <v>123</v>
      </c>
      <c r="AR4742">
        <v>191.18</v>
      </c>
      <c r="AS4742">
        <v>0</v>
      </c>
      <c r="AT4742">
        <v>0</v>
      </c>
      <c r="AU4742">
        <v>2000</v>
      </c>
      <c r="AV4742">
        <v>109</v>
      </c>
      <c r="AW4742">
        <v>189.37</v>
      </c>
      <c r="AX4742">
        <v>0</v>
      </c>
      <c r="AY4742">
        <v>0</v>
      </c>
      <c r="AZ4742">
        <v>5000</v>
      </c>
    </row>
    <row r="4743" spans="1:52" x14ac:dyDescent="0.3">
      <c r="A4743" t="s">
        <v>27</v>
      </c>
      <c r="B4743" t="s">
        <v>198</v>
      </c>
      <c r="C4743">
        <v>127</v>
      </c>
      <c r="D4743">
        <v>473.11</v>
      </c>
      <c r="E4743">
        <v>400</v>
      </c>
      <c r="F4743">
        <v>0</v>
      </c>
      <c r="G4743">
        <v>1800</v>
      </c>
      <c r="H4743">
        <v>84</v>
      </c>
      <c r="I4743">
        <v>76.14</v>
      </c>
      <c r="J4743">
        <v>0</v>
      </c>
      <c r="K4743">
        <v>0</v>
      </c>
      <c r="L4743">
        <v>800</v>
      </c>
      <c r="M4743">
        <v>131</v>
      </c>
      <c r="N4743">
        <v>595.78</v>
      </c>
      <c r="O4743">
        <v>500</v>
      </c>
      <c r="P4743">
        <v>0</v>
      </c>
      <c r="Q4743">
        <v>2000</v>
      </c>
      <c r="R4743">
        <v>136</v>
      </c>
      <c r="S4743">
        <v>0</v>
      </c>
      <c r="T4743">
        <v>0</v>
      </c>
      <c r="U4743">
        <v>0</v>
      </c>
      <c r="V4743">
        <v>0</v>
      </c>
      <c r="W4743">
        <v>129</v>
      </c>
      <c r="X4743">
        <v>1617.38</v>
      </c>
      <c r="Y4743">
        <v>1500</v>
      </c>
      <c r="Z4743">
        <v>0</v>
      </c>
      <c r="AA4743">
        <v>4500</v>
      </c>
      <c r="AB4743">
        <v>136</v>
      </c>
      <c r="AC4743">
        <v>0</v>
      </c>
      <c r="AD4743">
        <v>0</v>
      </c>
      <c r="AE4743">
        <v>0</v>
      </c>
      <c r="AF4743">
        <v>0</v>
      </c>
      <c r="AG4743">
        <v>128</v>
      </c>
      <c r="AH4743">
        <v>505.37</v>
      </c>
      <c r="AI4743">
        <v>350</v>
      </c>
      <c r="AJ4743">
        <v>0</v>
      </c>
      <c r="AK4743">
        <v>2000</v>
      </c>
      <c r="AL4743">
        <v>105</v>
      </c>
      <c r="AM4743">
        <v>257.41000000000003</v>
      </c>
      <c r="AN4743">
        <v>200</v>
      </c>
      <c r="AO4743">
        <v>0</v>
      </c>
      <c r="AP4743">
        <v>1000</v>
      </c>
      <c r="AQ4743">
        <v>91</v>
      </c>
      <c r="AR4743">
        <v>213.56</v>
      </c>
      <c r="AS4743">
        <v>0</v>
      </c>
      <c r="AT4743">
        <v>0</v>
      </c>
      <c r="AU4743">
        <v>2000</v>
      </c>
      <c r="AV4743">
        <v>56</v>
      </c>
      <c r="AW4743">
        <v>191.52</v>
      </c>
      <c r="AX4743">
        <v>0</v>
      </c>
      <c r="AY4743">
        <v>0</v>
      </c>
      <c r="AZ4743">
        <v>3300</v>
      </c>
    </row>
    <row r="4744" spans="1:52" x14ac:dyDescent="0.3">
      <c r="A4744" t="s">
        <v>27</v>
      </c>
      <c r="B4744" t="s">
        <v>199</v>
      </c>
      <c r="C4744">
        <v>140</v>
      </c>
      <c r="D4744">
        <v>492.49</v>
      </c>
      <c r="E4744">
        <v>500</v>
      </c>
      <c r="F4744">
        <v>0</v>
      </c>
      <c r="G4744">
        <v>2000</v>
      </c>
      <c r="H4744">
        <v>90</v>
      </c>
      <c r="I4744">
        <v>16.079999999999998</v>
      </c>
      <c r="J4744">
        <v>0</v>
      </c>
      <c r="K4744">
        <v>0</v>
      </c>
      <c r="L4744">
        <v>600</v>
      </c>
      <c r="M4744">
        <v>147</v>
      </c>
      <c r="N4744">
        <v>653.79999999999995</v>
      </c>
      <c r="O4744">
        <v>600</v>
      </c>
      <c r="P4744">
        <v>0</v>
      </c>
      <c r="Q4744">
        <v>3000</v>
      </c>
      <c r="R4744">
        <v>164</v>
      </c>
      <c r="S4744">
        <v>0</v>
      </c>
      <c r="T4744">
        <v>0</v>
      </c>
      <c r="U4744">
        <v>0</v>
      </c>
      <c r="V4744">
        <v>0</v>
      </c>
      <c r="W4744">
        <v>143</v>
      </c>
      <c r="X4744">
        <v>1367.84</v>
      </c>
      <c r="Y4744">
        <v>1000</v>
      </c>
      <c r="Z4744">
        <v>0</v>
      </c>
      <c r="AA4744">
        <v>4000</v>
      </c>
      <c r="AB4744">
        <v>164</v>
      </c>
      <c r="AC4744">
        <v>0</v>
      </c>
      <c r="AD4744">
        <v>0</v>
      </c>
      <c r="AE4744">
        <v>0</v>
      </c>
      <c r="AF4744">
        <v>0</v>
      </c>
      <c r="AG4744">
        <v>145</v>
      </c>
      <c r="AH4744">
        <v>460.29</v>
      </c>
      <c r="AI4744">
        <v>400</v>
      </c>
      <c r="AJ4744">
        <v>0</v>
      </c>
      <c r="AK4744">
        <v>2000</v>
      </c>
      <c r="AL4744">
        <v>107</v>
      </c>
      <c r="AM4744">
        <v>257.39</v>
      </c>
      <c r="AN4744">
        <v>200</v>
      </c>
      <c r="AO4744">
        <v>0</v>
      </c>
      <c r="AP4744">
        <v>1000</v>
      </c>
      <c r="AQ4744">
        <v>80</v>
      </c>
      <c r="AR4744">
        <v>95.35</v>
      </c>
      <c r="AS4744">
        <v>0</v>
      </c>
      <c r="AT4744">
        <v>0</v>
      </c>
      <c r="AU4744">
        <v>1000</v>
      </c>
      <c r="AV4744">
        <v>56</v>
      </c>
      <c r="AW4744">
        <v>91.59</v>
      </c>
      <c r="AX4744">
        <v>0</v>
      </c>
      <c r="AY4744">
        <v>0</v>
      </c>
      <c r="AZ4744">
        <v>1950</v>
      </c>
    </row>
    <row r="4745" spans="1:52" x14ac:dyDescent="0.3">
      <c r="A4745" t="s">
        <v>41</v>
      </c>
      <c r="B4745" t="s">
        <v>198</v>
      </c>
      <c r="C4745">
        <v>450</v>
      </c>
      <c r="D4745">
        <v>562.22</v>
      </c>
      <c r="E4745">
        <v>500</v>
      </c>
      <c r="F4745">
        <v>0</v>
      </c>
      <c r="G4745">
        <v>2000</v>
      </c>
      <c r="H4745">
        <v>353</v>
      </c>
      <c r="I4745">
        <v>21.69</v>
      </c>
      <c r="J4745">
        <v>0</v>
      </c>
      <c r="K4745">
        <v>0</v>
      </c>
      <c r="L4745">
        <v>1500</v>
      </c>
      <c r="M4745">
        <v>473</v>
      </c>
      <c r="N4745">
        <v>812.09</v>
      </c>
      <c r="O4745">
        <v>600</v>
      </c>
      <c r="P4745">
        <v>0</v>
      </c>
      <c r="Q4745">
        <v>3000</v>
      </c>
      <c r="R4745">
        <v>521</v>
      </c>
      <c r="S4745">
        <v>0</v>
      </c>
      <c r="T4745">
        <v>0</v>
      </c>
      <c r="U4745">
        <v>0</v>
      </c>
      <c r="V4745">
        <v>0</v>
      </c>
      <c r="W4745">
        <v>471</v>
      </c>
      <c r="X4745">
        <v>1504.11</v>
      </c>
      <c r="Y4745">
        <v>1200</v>
      </c>
      <c r="Z4745">
        <v>0</v>
      </c>
      <c r="AA4745">
        <v>4500</v>
      </c>
      <c r="AB4745">
        <v>521</v>
      </c>
      <c r="AC4745">
        <v>0</v>
      </c>
      <c r="AD4745">
        <v>0</v>
      </c>
      <c r="AE4745">
        <v>0</v>
      </c>
      <c r="AF4745">
        <v>0</v>
      </c>
      <c r="AG4745">
        <v>469</v>
      </c>
      <c r="AH4745">
        <v>535.04</v>
      </c>
      <c r="AI4745">
        <v>500</v>
      </c>
      <c r="AJ4745">
        <v>0</v>
      </c>
      <c r="AK4745">
        <v>2000</v>
      </c>
      <c r="AL4745">
        <v>430</v>
      </c>
      <c r="AM4745">
        <v>227.48</v>
      </c>
      <c r="AN4745">
        <v>200</v>
      </c>
      <c r="AO4745">
        <v>0</v>
      </c>
      <c r="AP4745">
        <v>1200</v>
      </c>
      <c r="AQ4745">
        <v>379</v>
      </c>
      <c r="AR4745">
        <v>191.88</v>
      </c>
      <c r="AS4745">
        <v>0</v>
      </c>
      <c r="AT4745">
        <v>0</v>
      </c>
      <c r="AU4745">
        <v>2000</v>
      </c>
      <c r="AV4745">
        <v>328</v>
      </c>
      <c r="AW4745">
        <v>213.12</v>
      </c>
      <c r="AX4745">
        <v>0</v>
      </c>
      <c r="AY4745">
        <v>0</v>
      </c>
      <c r="AZ4745">
        <v>4000</v>
      </c>
    </row>
    <row r="4746" spans="1:52" x14ac:dyDescent="0.3">
      <c r="A4746" t="s">
        <v>41</v>
      </c>
      <c r="B4746" t="s">
        <v>199</v>
      </c>
      <c r="C4746">
        <v>1295</v>
      </c>
      <c r="D4746">
        <v>622.4</v>
      </c>
      <c r="E4746">
        <v>500</v>
      </c>
      <c r="F4746">
        <v>0</v>
      </c>
      <c r="G4746">
        <v>2300</v>
      </c>
      <c r="H4746">
        <v>1042</v>
      </c>
      <c r="I4746">
        <v>6.5</v>
      </c>
      <c r="J4746">
        <v>0</v>
      </c>
      <c r="K4746">
        <v>0</v>
      </c>
      <c r="L4746">
        <v>1000</v>
      </c>
      <c r="M4746">
        <v>1390</v>
      </c>
      <c r="N4746">
        <v>1036.57</v>
      </c>
      <c r="O4746">
        <v>900</v>
      </c>
      <c r="P4746">
        <v>0</v>
      </c>
      <c r="Q4746">
        <v>3000</v>
      </c>
      <c r="R4746">
        <v>1517</v>
      </c>
      <c r="S4746">
        <v>0</v>
      </c>
      <c r="T4746">
        <v>0</v>
      </c>
      <c r="U4746">
        <v>0</v>
      </c>
      <c r="V4746">
        <v>0</v>
      </c>
      <c r="W4746">
        <v>1340</v>
      </c>
      <c r="X4746">
        <v>1591.23</v>
      </c>
      <c r="Y4746">
        <v>1500</v>
      </c>
      <c r="Z4746">
        <v>0</v>
      </c>
      <c r="AA4746">
        <v>4500</v>
      </c>
      <c r="AB4746">
        <v>1517</v>
      </c>
      <c r="AC4746">
        <v>0</v>
      </c>
      <c r="AD4746">
        <v>0</v>
      </c>
      <c r="AE4746">
        <v>0</v>
      </c>
      <c r="AF4746">
        <v>0</v>
      </c>
      <c r="AG4746">
        <v>1332</v>
      </c>
      <c r="AH4746">
        <v>563.36</v>
      </c>
      <c r="AI4746">
        <v>500</v>
      </c>
      <c r="AJ4746">
        <v>0</v>
      </c>
      <c r="AK4746">
        <v>2000</v>
      </c>
      <c r="AL4746">
        <v>1280</v>
      </c>
      <c r="AM4746">
        <v>306.49</v>
      </c>
      <c r="AN4746">
        <v>300</v>
      </c>
      <c r="AO4746">
        <v>0</v>
      </c>
      <c r="AP4746">
        <v>1300</v>
      </c>
      <c r="AQ4746">
        <v>1053</v>
      </c>
      <c r="AR4746">
        <v>214.49</v>
      </c>
      <c r="AS4746">
        <v>0</v>
      </c>
      <c r="AT4746">
        <v>0</v>
      </c>
      <c r="AU4746">
        <v>2500</v>
      </c>
      <c r="AV4746">
        <v>954</v>
      </c>
      <c r="AW4746">
        <v>190.1</v>
      </c>
      <c r="AX4746">
        <v>0</v>
      </c>
      <c r="AY4746">
        <v>0</v>
      </c>
      <c r="AZ4746">
        <v>5000</v>
      </c>
    </row>
    <row r="4748" spans="1:52" x14ac:dyDescent="0.3">
      <c r="A4748" t="s">
        <v>1890</v>
      </c>
    </row>
    <row r="4749" spans="1:52" x14ac:dyDescent="0.3">
      <c r="A4749" t="s">
        <v>36</v>
      </c>
      <c r="B4749" t="s">
        <v>310</v>
      </c>
      <c r="C4749" t="s">
        <v>1839</v>
      </c>
      <c r="D4749" t="s">
        <v>1840</v>
      </c>
      <c r="E4749" t="s">
        <v>1841</v>
      </c>
      <c r="F4749" t="s">
        <v>1842</v>
      </c>
      <c r="G4749" t="s">
        <v>1843</v>
      </c>
      <c r="H4749" t="s">
        <v>1844</v>
      </c>
      <c r="I4749" t="s">
        <v>1845</v>
      </c>
      <c r="J4749" t="s">
        <v>1846</v>
      </c>
      <c r="K4749" t="s">
        <v>1847</v>
      </c>
      <c r="L4749" t="s">
        <v>1848</v>
      </c>
      <c r="M4749" t="s">
        <v>1849</v>
      </c>
      <c r="N4749" t="s">
        <v>1850</v>
      </c>
      <c r="O4749" t="s">
        <v>1851</v>
      </c>
      <c r="P4749" t="s">
        <v>1852</v>
      </c>
      <c r="Q4749" t="s">
        <v>1853</v>
      </c>
      <c r="R4749" t="s">
        <v>1854</v>
      </c>
      <c r="S4749" t="s">
        <v>1855</v>
      </c>
      <c r="T4749" t="s">
        <v>1856</v>
      </c>
      <c r="U4749" t="s">
        <v>1857</v>
      </c>
      <c r="V4749" t="s">
        <v>1858</v>
      </c>
      <c r="W4749" t="s">
        <v>1859</v>
      </c>
      <c r="X4749" t="s">
        <v>1860</v>
      </c>
      <c r="Y4749" t="s">
        <v>1861</v>
      </c>
      <c r="Z4749" t="s">
        <v>1862</v>
      </c>
      <c r="AA4749" t="s">
        <v>1863</v>
      </c>
      <c r="AB4749" t="s">
        <v>1864</v>
      </c>
      <c r="AC4749" t="s">
        <v>1865</v>
      </c>
      <c r="AD4749" t="s">
        <v>1866</v>
      </c>
      <c r="AE4749" t="s">
        <v>1867</v>
      </c>
      <c r="AF4749" t="s">
        <v>1868</v>
      </c>
      <c r="AG4749" t="s">
        <v>1869</v>
      </c>
      <c r="AH4749" t="s">
        <v>1870</v>
      </c>
      <c r="AI4749" t="s">
        <v>1871</v>
      </c>
      <c r="AJ4749" t="s">
        <v>1872</v>
      </c>
      <c r="AK4749" t="s">
        <v>1873</v>
      </c>
      <c r="AL4749" t="s">
        <v>1874</v>
      </c>
      <c r="AM4749" t="s">
        <v>1875</v>
      </c>
      <c r="AN4749" t="s">
        <v>1876</v>
      </c>
      <c r="AO4749" t="s">
        <v>1877</v>
      </c>
      <c r="AP4749" t="s">
        <v>1878</v>
      </c>
      <c r="AQ4749" t="s">
        <v>1879</v>
      </c>
      <c r="AR4749" t="s">
        <v>1880</v>
      </c>
      <c r="AS4749" t="s">
        <v>1881</v>
      </c>
      <c r="AT4749" t="s">
        <v>1882</v>
      </c>
      <c r="AU4749" t="s">
        <v>1883</v>
      </c>
      <c r="AV4749" t="s">
        <v>1884</v>
      </c>
      <c r="AW4749" t="s">
        <v>1885</v>
      </c>
      <c r="AX4749" t="s">
        <v>1886</v>
      </c>
      <c r="AY4749" t="s">
        <v>1887</v>
      </c>
      <c r="AZ4749" t="s">
        <v>1888</v>
      </c>
    </row>
    <row r="4750" spans="1:52" x14ac:dyDescent="0.3">
      <c r="A4750" t="s">
        <v>25</v>
      </c>
      <c r="B4750" t="s">
        <v>311</v>
      </c>
      <c r="C4750">
        <v>295</v>
      </c>
      <c r="D4750">
        <v>650.02</v>
      </c>
      <c r="E4750">
        <v>500</v>
      </c>
      <c r="F4750">
        <v>0</v>
      </c>
      <c r="G4750">
        <v>2000</v>
      </c>
      <c r="H4750">
        <v>255</v>
      </c>
      <c r="I4750">
        <v>5.05</v>
      </c>
      <c r="J4750">
        <v>0</v>
      </c>
      <c r="K4750">
        <v>0</v>
      </c>
      <c r="L4750">
        <v>500</v>
      </c>
      <c r="M4750">
        <v>304</v>
      </c>
      <c r="N4750">
        <v>963.6</v>
      </c>
      <c r="O4750">
        <v>800</v>
      </c>
      <c r="P4750">
        <v>0</v>
      </c>
      <c r="Q4750">
        <v>3000</v>
      </c>
      <c r="R4750">
        <v>324</v>
      </c>
      <c r="S4750">
        <v>0</v>
      </c>
      <c r="T4750">
        <v>0</v>
      </c>
      <c r="U4750">
        <v>0</v>
      </c>
      <c r="V4750">
        <v>0</v>
      </c>
      <c r="W4750">
        <v>293</v>
      </c>
      <c r="X4750">
        <v>1406.36</v>
      </c>
      <c r="Y4750">
        <v>1000</v>
      </c>
      <c r="Z4750">
        <v>0</v>
      </c>
      <c r="AA4750">
        <v>4400</v>
      </c>
      <c r="AB4750">
        <v>324</v>
      </c>
      <c r="AC4750">
        <v>0</v>
      </c>
      <c r="AD4750">
        <v>0</v>
      </c>
      <c r="AE4750">
        <v>0</v>
      </c>
      <c r="AF4750">
        <v>0</v>
      </c>
      <c r="AG4750">
        <v>297</v>
      </c>
      <c r="AH4750">
        <v>516.53</v>
      </c>
      <c r="AI4750">
        <v>400</v>
      </c>
      <c r="AJ4750">
        <v>0</v>
      </c>
      <c r="AK4750">
        <v>2000</v>
      </c>
      <c r="AL4750">
        <v>294</v>
      </c>
      <c r="AM4750">
        <v>244.9</v>
      </c>
      <c r="AN4750">
        <v>200</v>
      </c>
      <c r="AO4750">
        <v>0</v>
      </c>
      <c r="AP4750">
        <v>1200</v>
      </c>
      <c r="AQ4750">
        <v>276</v>
      </c>
      <c r="AR4750">
        <v>159.1</v>
      </c>
      <c r="AS4750">
        <v>0</v>
      </c>
      <c r="AT4750">
        <v>0</v>
      </c>
      <c r="AU4750">
        <v>2500</v>
      </c>
      <c r="AV4750">
        <v>271</v>
      </c>
      <c r="AW4750">
        <v>128.30000000000001</v>
      </c>
      <c r="AX4750">
        <v>0</v>
      </c>
      <c r="AY4750">
        <v>0</v>
      </c>
      <c r="AZ4750">
        <v>4000</v>
      </c>
    </row>
    <row r="4751" spans="1:52" x14ac:dyDescent="0.3">
      <c r="A4751" t="s">
        <v>25</v>
      </c>
      <c r="B4751" t="s">
        <v>312</v>
      </c>
      <c r="C4751">
        <v>67</v>
      </c>
      <c r="D4751">
        <v>623.41</v>
      </c>
      <c r="E4751">
        <v>500</v>
      </c>
      <c r="F4751">
        <v>0</v>
      </c>
      <c r="G4751">
        <v>2300</v>
      </c>
      <c r="H4751">
        <v>64</v>
      </c>
      <c r="I4751">
        <v>10.82</v>
      </c>
      <c r="J4751">
        <v>0</v>
      </c>
      <c r="K4751">
        <v>0</v>
      </c>
      <c r="L4751">
        <v>500</v>
      </c>
      <c r="M4751">
        <v>73</v>
      </c>
      <c r="N4751">
        <v>1052.07</v>
      </c>
      <c r="O4751">
        <v>850</v>
      </c>
      <c r="P4751">
        <v>0</v>
      </c>
      <c r="Q4751">
        <v>3000</v>
      </c>
      <c r="R4751">
        <v>80</v>
      </c>
      <c r="S4751">
        <v>0</v>
      </c>
      <c r="T4751">
        <v>0</v>
      </c>
      <c r="U4751">
        <v>0</v>
      </c>
      <c r="V4751">
        <v>0</v>
      </c>
      <c r="W4751">
        <v>68</v>
      </c>
      <c r="X4751">
        <v>1610.16</v>
      </c>
      <c r="Y4751">
        <v>1500</v>
      </c>
      <c r="Z4751">
        <v>0</v>
      </c>
      <c r="AA4751">
        <v>4000</v>
      </c>
      <c r="AB4751">
        <v>80</v>
      </c>
      <c r="AC4751">
        <v>0</v>
      </c>
      <c r="AD4751">
        <v>0</v>
      </c>
      <c r="AE4751">
        <v>0</v>
      </c>
      <c r="AF4751">
        <v>0</v>
      </c>
      <c r="AG4751">
        <v>71</v>
      </c>
      <c r="AH4751">
        <v>498.91</v>
      </c>
      <c r="AI4751">
        <v>400</v>
      </c>
      <c r="AJ4751">
        <v>0</v>
      </c>
      <c r="AK4751">
        <v>2000</v>
      </c>
      <c r="AL4751">
        <v>70</v>
      </c>
      <c r="AM4751">
        <v>225.99</v>
      </c>
      <c r="AN4751">
        <v>200</v>
      </c>
      <c r="AO4751">
        <v>0</v>
      </c>
      <c r="AP4751">
        <v>1120</v>
      </c>
      <c r="AQ4751">
        <v>64</v>
      </c>
      <c r="AR4751">
        <v>136.12</v>
      </c>
      <c r="AS4751">
        <v>0</v>
      </c>
      <c r="AT4751">
        <v>0</v>
      </c>
      <c r="AU4751">
        <v>2000</v>
      </c>
      <c r="AV4751">
        <v>67</v>
      </c>
      <c r="AW4751">
        <v>259.17</v>
      </c>
      <c r="AX4751">
        <v>0</v>
      </c>
      <c r="AY4751">
        <v>0</v>
      </c>
      <c r="AZ4751">
        <v>4000</v>
      </c>
    </row>
    <row r="4752" spans="1:52" x14ac:dyDescent="0.3">
      <c r="A4752" t="s">
        <v>25</v>
      </c>
      <c r="B4752" t="s">
        <v>308</v>
      </c>
      <c r="C4752">
        <v>7</v>
      </c>
      <c r="D4752">
        <v>463.04</v>
      </c>
      <c r="E4752">
        <v>250</v>
      </c>
      <c r="F4752">
        <v>0</v>
      </c>
      <c r="G4752">
        <v>1500</v>
      </c>
      <c r="H4752">
        <v>9</v>
      </c>
      <c r="I4752">
        <v>0</v>
      </c>
      <c r="J4752">
        <v>0</v>
      </c>
      <c r="K4752">
        <v>0</v>
      </c>
      <c r="L4752">
        <v>0</v>
      </c>
      <c r="M4752">
        <v>8</v>
      </c>
      <c r="N4752">
        <v>1251.5999999999999</v>
      </c>
      <c r="O4752">
        <v>1500</v>
      </c>
      <c r="P4752">
        <v>0</v>
      </c>
      <c r="Q4752">
        <v>3000</v>
      </c>
      <c r="R4752">
        <v>10</v>
      </c>
      <c r="S4752">
        <v>0</v>
      </c>
      <c r="T4752">
        <v>0</v>
      </c>
      <c r="U4752">
        <v>0</v>
      </c>
      <c r="V4752">
        <v>0</v>
      </c>
      <c r="W4752">
        <v>7</v>
      </c>
      <c r="X4752">
        <v>1037.95</v>
      </c>
      <c r="Y4752">
        <v>500</v>
      </c>
      <c r="Z4752">
        <v>144</v>
      </c>
      <c r="AA4752">
        <v>3000</v>
      </c>
      <c r="AB4752">
        <v>10</v>
      </c>
      <c r="AC4752">
        <v>0</v>
      </c>
      <c r="AD4752">
        <v>0</v>
      </c>
      <c r="AE4752">
        <v>0</v>
      </c>
      <c r="AF4752">
        <v>0</v>
      </c>
      <c r="AG4752">
        <v>9</v>
      </c>
      <c r="AH4752">
        <v>621.26</v>
      </c>
      <c r="AI4752">
        <v>300</v>
      </c>
      <c r="AJ4752">
        <v>0</v>
      </c>
      <c r="AK4752">
        <v>2000</v>
      </c>
      <c r="AL4752">
        <v>9</v>
      </c>
      <c r="AM4752">
        <v>141.28</v>
      </c>
      <c r="AN4752">
        <v>0</v>
      </c>
      <c r="AO4752">
        <v>0</v>
      </c>
      <c r="AP4752">
        <v>1000</v>
      </c>
      <c r="AQ4752">
        <v>9</v>
      </c>
      <c r="AR4752">
        <v>24.39</v>
      </c>
      <c r="AS4752">
        <v>0</v>
      </c>
      <c r="AT4752">
        <v>0</v>
      </c>
      <c r="AU4752">
        <v>200</v>
      </c>
      <c r="AV4752">
        <v>9</v>
      </c>
      <c r="AW4752">
        <v>11.18</v>
      </c>
      <c r="AX4752">
        <v>0</v>
      </c>
      <c r="AY4752">
        <v>0</v>
      </c>
      <c r="AZ4752">
        <v>300</v>
      </c>
    </row>
    <row r="4753" spans="1:52" x14ac:dyDescent="0.3">
      <c r="A4753" t="s">
        <v>26</v>
      </c>
      <c r="B4753" t="s">
        <v>311</v>
      </c>
      <c r="C4753">
        <v>314</v>
      </c>
      <c r="D4753">
        <v>486.12</v>
      </c>
      <c r="E4753">
        <v>400</v>
      </c>
      <c r="F4753">
        <v>0</v>
      </c>
      <c r="G4753">
        <v>2100</v>
      </c>
      <c r="H4753">
        <v>294</v>
      </c>
      <c r="I4753">
        <v>5.08</v>
      </c>
      <c r="J4753">
        <v>0</v>
      </c>
      <c r="K4753">
        <v>0</v>
      </c>
      <c r="L4753">
        <v>500</v>
      </c>
      <c r="M4753">
        <v>318</v>
      </c>
      <c r="N4753">
        <v>1084.58</v>
      </c>
      <c r="O4753">
        <v>1000</v>
      </c>
      <c r="P4753">
        <v>0</v>
      </c>
      <c r="Q4753">
        <v>3000</v>
      </c>
      <c r="R4753">
        <v>343</v>
      </c>
      <c r="S4753">
        <v>0</v>
      </c>
      <c r="T4753">
        <v>0</v>
      </c>
      <c r="U4753">
        <v>0</v>
      </c>
      <c r="V4753">
        <v>0</v>
      </c>
      <c r="W4753">
        <v>316</v>
      </c>
      <c r="X4753">
        <v>1632.78</v>
      </c>
      <c r="Y4753">
        <v>1500</v>
      </c>
      <c r="Z4753">
        <v>0</v>
      </c>
      <c r="AA4753">
        <v>4500</v>
      </c>
      <c r="AB4753">
        <v>343</v>
      </c>
      <c r="AC4753">
        <v>0</v>
      </c>
      <c r="AD4753">
        <v>0</v>
      </c>
      <c r="AE4753">
        <v>0</v>
      </c>
      <c r="AF4753">
        <v>0</v>
      </c>
      <c r="AG4753">
        <v>318</v>
      </c>
      <c r="AH4753">
        <v>497.25</v>
      </c>
      <c r="AI4753">
        <v>400</v>
      </c>
      <c r="AJ4753">
        <v>0</v>
      </c>
      <c r="AK4753">
        <v>2000</v>
      </c>
      <c r="AL4753">
        <v>321</v>
      </c>
      <c r="AM4753">
        <v>314.37</v>
      </c>
      <c r="AN4753">
        <v>250</v>
      </c>
      <c r="AO4753">
        <v>0</v>
      </c>
      <c r="AP4753">
        <v>1200</v>
      </c>
      <c r="AQ4753">
        <v>287</v>
      </c>
      <c r="AR4753">
        <v>138.44999999999999</v>
      </c>
      <c r="AS4753">
        <v>0</v>
      </c>
      <c r="AT4753">
        <v>0</v>
      </c>
      <c r="AU4753">
        <v>2000</v>
      </c>
      <c r="AV4753">
        <v>270</v>
      </c>
      <c r="AW4753">
        <v>163.29</v>
      </c>
      <c r="AX4753">
        <v>0</v>
      </c>
      <c r="AY4753">
        <v>0</v>
      </c>
      <c r="AZ4753">
        <v>4500</v>
      </c>
    </row>
    <row r="4754" spans="1:52" x14ac:dyDescent="0.3">
      <c r="A4754" t="s">
        <v>26</v>
      </c>
      <c r="B4754" t="s">
        <v>312</v>
      </c>
      <c r="C4754">
        <v>89</v>
      </c>
      <c r="D4754">
        <v>549.4</v>
      </c>
      <c r="E4754">
        <v>500</v>
      </c>
      <c r="F4754">
        <v>0</v>
      </c>
      <c r="G4754">
        <v>2000</v>
      </c>
      <c r="H4754">
        <v>79</v>
      </c>
      <c r="I4754">
        <v>1.1200000000000001</v>
      </c>
      <c r="J4754">
        <v>0</v>
      </c>
      <c r="K4754">
        <v>0</v>
      </c>
      <c r="L4754">
        <v>300</v>
      </c>
      <c r="M4754">
        <v>92</v>
      </c>
      <c r="N4754">
        <v>892.22</v>
      </c>
      <c r="O4754">
        <v>800</v>
      </c>
      <c r="P4754">
        <v>0</v>
      </c>
      <c r="Q4754">
        <v>3000</v>
      </c>
      <c r="R4754">
        <v>96</v>
      </c>
      <c r="S4754">
        <v>0</v>
      </c>
      <c r="T4754">
        <v>0</v>
      </c>
      <c r="U4754">
        <v>0</v>
      </c>
      <c r="V4754">
        <v>0</v>
      </c>
      <c r="W4754">
        <v>92</v>
      </c>
      <c r="X4754">
        <v>1664.38</v>
      </c>
      <c r="Y4754">
        <v>1000</v>
      </c>
      <c r="Z4754">
        <v>0</v>
      </c>
      <c r="AA4754">
        <v>4000</v>
      </c>
      <c r="AB4754">
        <v>96</v>
      </c>
      <c r="AC4754">
        <v>0</v>
      </c>
      <c r="AD4754">
        <v>0</v>
      </c>
      <c r="AE4754">
        <v>0</v>
      </c>
      <c r="AF4754">
        <v>0</v>
      </c>
      <c r="AG4754">
        <v>91</v>
      </c>
      <c r="AH4754">
        <v>510.3</v>
      </c>
      <c r="AI4754">
        <v>400</v>
      </c>
      <c r="AJ4754">
        <v>0</v>
      </c>
      <c r="AK4754">
        <v>2000</v>
      </c>
      <c r="AL4754">
        <v>91</v>
      </c>
      <c r="AM4754">
        <v>335.55</v>
      </c>
      <c r="AN4754">
        <v>300</v>
      </c>
      <c r="AO4754">
        <v>0</v>
      </c>
      <c r="AP4754">
        <v>1300</v>
      </c>
      <c r="AQ4754">
        <v>71</v>
      </c>
      <c r="AR4754">
        <v>263.23</v>
      </c>
      <c r="AS4754">
        <v>0</v>
      </c>
      <c r="AT4754">
        <v>0</v>
      </c>
      <c r="AU4754">
        <v>2000</v>
      </c>
      <c r="AV4754">
        <v>69</v>
      </c>
      <c r="AW4754">
        <v>190.01</v>
      </c>
      <c r="AX4754">
        <v>0</v>
      </c>
      <c r="AY4754">
        <v>0</v>
      </c>
      <c r="AZ4754">
        <v>2700</v>
      </c>
    </row>
    <row r="4755" spans="1:52" x14ac:dyDescent="0.3">
      <c r="A4755" t="s">
        <v>26</v>
      </c>
      <c r="B4755" t="s">
        <v>308</v>
      </c>
      <c r="C4755">
        <v>36</v>
      </c>
      <c r="D4755">
        <v>534.04</v>
      </c>
      <c r="E4755">
        <v>400</v>
      </c>
      <c r="F4755">
        <v>0</v>
      </c>
      <c r="G4755">
        <v>2000</v>
      </c>
      <c r="H4755">
        <v>38</v>
      </c>
      <c r="I4755">
        <v>0</v>
      </c>
      <c r="J4755">
        <v>0</v>
      </c>
      <c r="K4755">
        <v>0</v>
      </c>
      <c r="L4755">
        <v>0</v>
      </c>
      <c r="M4755">
        <v>36</v>
      </c>
      <c r="N4755">
        <v>1417</v>
      </c>
      <c r="O4755">
        <v>1200</v>
      </c>
      <c r="P4755">
        <v>0</v>
      </c>
      <c r="Q4755">
        <v>3000</v>
      </c>
      <c r="R4755">
        <v>38</v>
      </c>
      <c r="S4755">
        <v>0</v>
      </c>
      <c r="T4755">
        <v>0</v>
      </c>
      <c r="U4755">
        <v>0</v>
      </c>
      <c r="V4755">
        <v>0</v>
      </c>
      <c r="W4755">
        <v>30</v>
      </c>
      <c r="X4755">
        <v>2379.04</v>
      </c>
      <c r="Y4755">
        <v>2000</v>
      </c>
      <c r="Z4755">
        <v>0</v>
      </c>
      <c r="AA4755">
        <v>4000</v>
      </c>
      <c r="AB4755">
        <v>38</v>
      </c>
      <c r="AC4755">
        <v>0</v>
      </c>
      <c r="AD4755">
        <v>0</v>
      </c>
      <c r="AE4755">
        <v>0</v>
      </c>
      <c r="AF4755">
        <v>0</v>
      </c>
      <c r="AG4755">
        <v>35</v>
      </c>
      <c r="AH4755">
        <v>587.89</v>
      </c>
      <c r="AI4755">
        <v>500</v>
      </c>
      <c r="AJ4755">
        <v>0</v>
      </c>
      <c r="AK4755">
        <v>2000</v>
      </c>
      <c r="AL4755">
        <v>38</v>
      </c>
      <c r="AM4755">
        <v>483.37</v>
      </c>
      <c r="AN4755">
        <v>400</v>
      </c>
      <c r="AO4755">
        <v>100</v>
      </c>
      <c r="AP4755">
        <v>1200</v>
      </c>
      <c r="AQ4755">
        <v>37</v>
      </c>
      <c r="AR4755">
        <v>109.09</v>
      </c>
      <c r="AS4755">
        <v>0</v>
      </c>
      <c r="AT4755">
        <v>0</v>
      </c>
      <c r="AU4755">
        <v>2000</v>
      </c>
      <c r="AV4755">
        <v>23</v>
      </c>
      <c r="AW4755">
        <v>120.39</v>
      </c>
      <c r="AX4755">
        <v>0</v>
      </c>
      <c r="AY4755">
        <v>0</v>
      </c>
      <c r="AZ4755">
        <v>2000</v>
      </c>
    </row>
    <row r="4756" spans="1:52" x14ac:dyDescent="0.3">
      <c r="A4756" t="s">
        <v>29</v>
      </c>
      <c r="B4756" t="s">
        <v>311</v>
      </c>
      <c r="C4756">
        <v>363</v>
      </c>
      <c r="D4756">
        <v>690.64</v>
      </c>
      <c r="E4756">
        <v>600</v>
      </c>
      <c r="F4756">
        <v>0</v>
      </c>
      <c r="G4756">
        <v>2000</v>
      </c>
      <c r="H4756">
        <v>269</v>
      </c>
      <c r="I4756">
        <v>12.64</v>
      </c>
      <c r="J4756">
        <v>0</v>
      </c>
      <c r="K4756">
        <v>0</v>
      </c>
      <c r="L4756">
        <v>900</v>
      </c>
      <c r="M4756">
        <v>387</v>
      </c>
      <c r="N4756">
        <v>975.53</v>
      </c>
      <c r="O4756">
        <v>800</v>
      </c>
      <c r="P4756">
        <v>0</v>
      </c>
      <c r="Q4756">
        <v>3000</v>
      </c>
      <c r="R4756">
        <v>414</v>
      </c>
      <c r="S4756">
        <v>0</v>
      </c>
      <c r="T4756">
        <v>0</v>
      </c>
      <c r="U4756">
        <v>0</v>
      </c>
      <c r="V4756">
        <v>0</v>
      </c>
      <c r="W4756">
        <v>383</v>
      </c>
      <c r="X4756">
        <v>1634.07</v>
      </c>
      <c r="Y4756">
        <v>1500</v>
      </c>
      <c r="Z4756">
        <v>0</v>
      </c>
      <c r="AA4756">
        <v>4500</v>
      </c>
      <c r="AB4756">
        <v>414</v>
      </c>
      <c r="AC4756">
        <v>0</v>
      </c>
      <c r="AD4756">
        <v>0</v>
      </c>
      <c r="AE4756">
        <v>0</v>
      </c>
      <c r="AF4756">
        <v>0</v>
      </c>
      <c r="AG4756">
        <v>370</v>
      </c>
      <c r="AH4756">
        <v>614.08000000000004</v>
      </c>
      <c r="AI4756">
        <v>500</v>
      </c>
      <c r="AJ4756">
        <v>0</v>
      </c>
      <c r="AK4756">
        <v>2000</v>
      </c>
      <c r="AL4756">
        <v>354</v>
      </c>
      <c r="AM4756">
        <v>295.26</v>
      </c>
      <c r="AN4756">
        <v>250</v>
      </c>
      <c r="AO4756">
        <v>0</v>
      </c>
      <c r="AP4756">
        <v>1200</v>
      </c>
      <c r="AQ4756">
        <v>277</v>
      </c>
      <c r="AR4756">
        <v>302.02</v>
      </c>
      <c r="AS4756">
        <v>0</v>
      </c>
      <c r="AT4756">
        <v>0</v>
      </c>
      <c r="AU4756">
        <v>2500</v>
      </c>
      <c r="AV4756">
        <v>250</v>
      </c>
      <c r="AW4756">
        <v>235.06</v>
      </c>
      <c r="AX4756">
        <v>0</v>
      </c>
      <c r="AY4756">
        <v>0</v>
      </c>
      <c r="AZ4756">
        <v>3500</v>
      </c>
    </row>
    <row r="4757" spans="1:52" x14ac:dyDescent="0.3">
      <c r="A4757" t="s">
        <v>29</v>
      </c>
      <c r="B4757" t="s">
        <v>312</v>
      </c>
      <c r="C4757">
        <v>91</v>
      </c>
      <c r="D4757">
        <v>603.04999999999995</v>
      </c>
      <c r="E4757">
        <v>500</v>
      </c>
      <c r="F4757">
        <v>0</v>
      </c>
      <c r="G4757">
        <v>2000</v>
      </c>
      <c r="H4757">
        <v>74</v>
      </c>
      <c r="I4757">
        <v>16.579999999999998</v>
      </c>
      <c r="J4757">
        <v>0</v>
      </c>
      <c r="K4757">
        <v>0</v>
      </c>
      <c r="L4757">
        <v>1000</v>
      </c>
      <c r="M4757">
        <v>94</v>
      </c>
      <c r="N4757">
        <v>860.73</v>
      </c>
      <c r="O4757">
        <v>600</v>
      </c>
      <c r="P4757">
        <v>0</v>
      </c>
      <c r="Q4757">
        <v>3000</v>
      </c>
      <c r="R4757">
        <v>103</v>
      </c>
      <c r="S4757">
        <v>0</v>
      </c>
      <c r="T4757">
        <v>0</v>
      </c>
      <c r="U4757">
        <v>0</v>
      </c>
      <c r="V4757">
        <v>0</v>
      </c>
      <c r="W4757">
        <v>92</v>
      </c>
      <c r="X4757">
        <v>1556.74</v>
      </c>
      <c r="Y4757">
        <v>1500</v>
      </c>
      <c r="Z4757">
        <v>0</v>
      </c>
      <c r="AA4757">
        <v>4000</v>
      </c>
      <c r="AB4757">
        <v>103</v>
      </c>
      <c r="AC4757">
        <v>0</v>
      </c>
      <c r="AD4757">
        <v>0</v>
      </c>
      <c r="AE4757">
        <v>0</v>
      </c>
      <c r="AF4757">
        <v>0</v>
      </c>
      <c r="AG4757">
        <v>92</v>
      </c>
      <c r="AH4757">
        <v>543.37</v>
      </c>
      <c r="AI4757">
        <v>500</v>
      </c>
      <c r="AJ4757">
        <v>0</v>
      </c>
      <c r="AK4757">
        <v>2000</v>
      </c>
      <c r="AL4757">
        <v>87</v>
      </c>
      <c r="AM4757">
        <v>229.04</v>
      </c>
      <c r="AN4757">
        <v>200</v>
      </c>
      <c r="AO4757">
        <v>0</v>
      </c>
      <c r="AP4757">
        <v>1000</v>
      </c>
      <c r="AQ4757">
        <v>81</v>
      </c>
      <c r="AR4757">
        <v>216.04</v>
      </c>
      <c r="AS4757">
        <v>0</v>
      </c>
      <c r="AT4757">
        <v>0</v>
      </c>
      <c r="AU4757">
        <v>2500</v>
      </c>
      <c r="AV4757">
        <v>63</v>
      </c>
      <c r="AW4757">
        <v>264.87</v>
      </c>
      <c r="AX4757">
        <v>0</v>
      </c>
      <c r="AY4757">
        <v>0</v>
      </c>
      <c r="AZ4757">
        <v>3000</v>
      </c>
    </row>
    <row r="4758" spans="1:52" x14ac:dyDescent="0.3">
      <c r="A4758" t="s">
        <v>29</v>
      </c>
      <c r="B4758" t="s">
        <v>308</v>
      </c>
      <c r="C4758">
        <v>9</v>
      </c>
      <c r="D4758">
        <v>1355.74</v>
      </c>
      <c r="E4758">
        <v>1200</v>
      </c>
      <c r="F4758">
        <v>500</v>
      </c>
      <c r="G4758">
        <v>2000</v>
      </c>
      <c r="H4758">
        <v>8</v>
      </c>
      <c r="I4758">
        <v>0</v>
      </c>
      <c r="J4758">
        <v>0</v>
      </c>
      <c r="K4758">
        <v>0</v>
      </c>
      <c r="L4758">
        <v>0</v>
      </c>
      <c r="M4758">
        <v>12</v>
      </c>
      <c r="N4758">
        <v>1374.98</v>
      </c>
      <c r="O4758">
        <v>1300</v>
      </c>
      <c r="P4758">
        <v>300</v>
      </c>
      <c r="Q4758">
        <v>3000</v>
      </c>
      <c r="R4758">
        <v>13</v>
      </c>
      <c r="S4758">
        <v>0</v>
      </c>
      <c r="T4758">
        <v>0</v>
      </c>
      <c r="U4758">
        <v>0</v>
      </c>
      <c r="V4758">
        <v>0</v>
      </c>
      <c r="W4758">
        <v>12</v>
      </c>
      <c r="X4758">
        <v>1668.6</v>
      </c>
      <c r="Y4758">
        <v>1800</v>
      </c>
      <c r="Z4758">
        <v>500</v>
      </c>
      <c r="AA4758">
        <v>4000</v>
      </c>
      <c r="AB4758">
        <v>13</v>
      </c>
      <c r="AC4758">
        <v>0</v>
      </c>
      <c r="AD4758">
        <v>0</v>
      </c>
      <c r="AE4758">
        <v>0</v>
      </c>
      <c r="AF4758">
        <v>0</v>
      </c>
      <c r="AG4758">
        <v>9</v>
      </c>
      <c r="AH4758">
        <v>844.57</v>
      </c>
      <c r="AI4758">
        <v>1000</v>
      </c>
      <c r="AJ4758">
        <v>300</v>
      </c>
      <c r="AK4758">
        <v>1500</v>
      </c>
      <c r="AL4758">
        <v>12</v>
      </c>
      <c r="AM4758">
        <v>361.75</v>
      </c>
      <c r="AN4758">
        <v>400</v>
      </c>
      <c r="AO4758">
        <v>0</v>
      </c>
      <c r="AP4758">
        <v>1000</v>
      </c>
      <c r="AQ4758">
        <v>8</v>
      </c>
      <c r="AR4758">
        <v>159.65</v>
      </c>
      <c r="AS4758">
        <v>0</v>
      </c>
      <c r="AT4758">
        <v>0</v>
      </c>
      <c r="AU4758">
        <v>1000</v>
      </c>
      <c r="AV4758">
        <v>7</v>
      </c>
      <c r="AW4758">
        <v>772.22</v>
      </c>
      <c r="AX4758">
        <v>0</v>
      </c>
      <c r="AY4758">
        <v>0</v>
      </c>
      <c r="AZ4758">
        <v>2100</v>
      </c>
    </row>
    <row r="4759" spans="1:52" x14ac:dyDescent="0.3">
      <c r="A4759" t="s">
        <v>28</v>
      </c>
      <c r="B4759" t="s">
        <v>311</v>
      </c>
      <c r="C4759">
        <v>147</v>
      </c>
      <c r="D4759">
        <v>412.97</v>
      </c>
      <c r="E4759">
        <v>300</v>
      </c>
      <c r="F4759">
        <v>0</v>
      </c>
      <c r="G4759">
        <v>2000</v>
      </c>
      <c r="H4759">
        <v>93</v>
      </c>
      <c r="I4759">
        <v>0</v>
      </c>
      <c r="J4759">
        <v>0</v>
      </c>
      <c r="K4759">
        <v>0</v>
      </c>
      <c r="L4759">
        <v>0</v>
      </c>
      <c r="M4759">
        <v>192</v>
      </c>
      <c r="N4759">
        <v>1139.8599999999999</v>
      </c>
      <c r="O4759">
        <v>1000</v>
      </c>
      <c r="P4759">
        <v>0</v>
      </c>
      <c r="Q4759">
        <v>3000</v>
      </c>
      <c r="R4759">
        <v>223</v>
      </c>
      <c r="S4759">
        <v>0</v>
      </c>
      <c r="T4759">
        <v>0</v>
      </c>
      <c r="U4759">
        <v>0</v>
      </c>
      <c r="V4759">
        <v>0</v>
      </c>
      <c r="W4759">
        <v>182</v>
      </c>
      <c r="X4759">
        <v>1051.28</v>
      </c>
      <c r="Y4759">
        <v>950</v>
      </c>
      <c r="Z4759">
        <v>0</v>
      </c>
      <c r="AA4759">
        <v>4000</v>
      </c>
      <c r="AB4759">
        <v>223</v>
      </c>
      <c r="AC4759">
        <v>0</v>
      </c>
      <c r="AD4759">
        <v>0</v>
      </c>
      <c r="AE4759">
        <v>0</v>
      </c>
      <c r="AF4759">
        <v>0</v>
      </c>
      <c r="AG4759">
        <v>174</v>
      </c>
      <c r="AH4759">
        <v>625.64</v>
      </c>
      <c r="AI4759">
        <v>500</v>
      </c>
      <c r="AJ4759">
        <v>0</v>
      </c>
      <c r="AK4759">
        <v>2000</v>
      </c>
      <c r="AL4759">
        <v>157</v>
      </c>
      <c r="AM4759">
        <v>315.75</v>
      </c>
      <c r="AN4759">
        <v>300</v>
      </c>
      <c r="AO4759">
        <v>0</v>
      </c>
      <c r="AP4759">
        <v>1000</v>
      </c>
      <c r="AQ4759">
        <v>104</v>
      </c>
      <c r="AR4759">
        <v>94.58</v>
      </c>
      <c r="AS4759">
        <v>0</v>
      </c>
      <c r="AT4759">
        <v>0</v>
      </c>
      <c r="AU4759">
        <v>2000</v>
      </c>
      <c r="AV4759">
        <v>103</v>
      </c>
      <c r="AW4759">
        <v>200.98</v>
      </c>
      <c r="AX4759">
        <v>0</v>
      </c>
      <c r="AY4759">
        <v>0</v>
      </c>
      <c r="AZ4759">
        <v>3100</v>
      </c>
    </row>
    <row r="4760" spans="1:52" x14ac:dyDescent="0.3">
      <c r="A4760" t="s">
        <v>28</v>
      </c>
      <c r="B4760" t="s">
        <v>312</v>
      </c>
      <c r="C4760">
        <v>59</v>
      </c>
      <c r="D4760">
        <v>270.94</v>
      </c>
      <c r="E4760">
        <v>0</v>
      </c>
      <c r="F4760">
        <v>0</v>
      </c>
      <c r="G4760">
        <v>2000</v>
      </c>
      <c r="H4760">
        <v>38</v>
      </c>
      <c r="I4760">
        <v>47.38</v>
      </c>
      <c r="J4760">
        <v>0</v>
      </c>
      <c r="K4760">
        <v>0</v>
      </c>
      <c r="L4760">
        <v>1500</v>
      </c>
      <c r="M4760">
        <v>68</v>
      </c>
      <c r="N4760">
        <v>967.49</v>
      </c>
      <c r="O4760">
        <v>800</v>
      </c>
      <c r="P4760">
        <v>0</v>
      </c>
      <c r="Q4760">
        <v>3000</v>
      </c>
      <c r="R4760">
        <v>93</v>
      </c>
      <c r="S4760">
        <v>0</v>
      </c>
      <c r="T4760">
        <v>0</v>
      </c>
      <c r="U4760">
        <v>0</v>
      </c>
      <c r="V4760">
        <v>0</v>
      </c>
      <c r="W4760">
        <v>63</v>
      </c>
      <c r="X4760">
        <v>815.49</v>
      </c>
      <c r="Y4760">
        <v>500</v>
      </c>
      <c r="Z4760">
        <v>0</v>
      </c>
      <c r="AA4760">
        <v>4000</v>
      </c>
      <c r="AB4760">
        <v>93</v>
      </c>
      <c r="AC4760">
        <v>0</v>
      </c>
      <c r="AD4760">
        <v>0</v>
      </c>
      <c r="AE4760">
        <v>0</v>
      </c>
      <c r="AF4760">
        <v>0</v>
      </c>
      <c r="AG4760">
        <v>61</v>
      </c>
      <c r="AH4760">
        <v>540.99</v>
      </c>
      <c r="AI4760">
        <v>500</v>
      </c>
      <c r="AJ4760">
        <v>0</v>
      </c>
      <c r="AK4760">
        <v>2000</v>
      </c>
      <c r="AL4760">
        <v>64</v>
      </c>
      <c r="AM4760">
        <v>262.26</v>
      </c>
      <c r="AN4760">
        <v>120</v>
      </c>
      <c r="AO4760">
        <v>0</v>
      </c>
      <c r="AP4760">
        <v>1200</v>
      </c>
      <c r="AQ4760">
        <v>47</v>
      </c>
      <c r="AR4760">
        <v>324.86</v>
      </c>
      <c r="AS4760">
        <v>0</v>
      </c>
      <c r="AT4760">
        <v>0</v>
      </c>
      <c r="AU4760">
        <v>2000</v>
      </c>
      <c r="AV4760">
        <v>38</v>
      </c>
      <c r="AW4760">
        <v>203.53</v>
      </c>
      <c r="AX4760">
        <v>0</v>
      </c>
      <c r="AY4760">
        <v>0</v>
      </c>
      <c r="AZ4760">
        <v>5000</v>
      </c>
    </row>
    <row r="4761" spans="1:52" x14ac:dyDescent="0.3">
      <c r="A4761" t="s">
        <v>28</v>
      </c>
      <c r="B4761" t="s">
        <v>308</v>
      </c>
      <c r="C4761">
        <v>1</v>
      </c>
      <c r="D4761">
        <v>500</v>
      </c>
      <c r="E4761">
        <v>500</v>
      </c>
      <c r="F4761">
        <v>500</v>
      </c>
      <c r="G4761">
        <v>500</v>
      </c>
      <c r="M4761">
        <v>1</v>
      </c>
      <c r="N4761">
        <v>1500</v>
      </c>
      <c r="O4761">
        <v>1500</v>
      </c>
      <c r="P4761">
        <v>1500</v>
      </c>
      <c r="Q4761">
        <v>1500</v>
      </c>
      <c r="R4761">
        <v>1</v>
      </c>
      <c r="S4761">
        <v>0</v>
      </c>
      <c r="T4761">
        <v>0</v>
      </c>
      <c r="U4761">
        <v>0</v>
      </c>
      <c r="V4761">
        <v>0</v>
      </c>
      <c r="W4761">
        <v>1</v>
      </c>
      <c r="X4761">
        <v>2000</v>
      </c>
      <c r="Y4761">
        <v>2000</v>
      </c>
      <c r="Z4761">
        <v>2000</v>
      </c>
      <c r="AA4761">
        <v>2000</v>
      </c>
      <c r="AB4761">
        <v>1</v>
      </c>
      <c r="AC4761">
        <v>0</v>
      </c>
      <c r="AD4761">
        <v>0</v>
      </c>
      <c r="AE4761">
        <v>0</v>
      </c>
      <c r="AF4761">
        <v>0</v>
      </c>
      <c r="AG4761">
        <v>1</v>
      </c>
      <c r="AH4761">
        <v>1500</v>
      </c>
      <c r="AI4761">
        <v>1500</v>
      </c>
      <c r="AJ4761">
        <v>1500</v>
      </c>
      <c r="AK4761">
        <v>1500</v>
      </c>
      <c r="AL4761">
        <v>1</v>
      </c>
      <c r="AM4761">
        <v>500</v>
      </c>
      <c r="AN4761">
        <v>500</v>
      </c>
      <c r="AO4761">
        <v>500</v>
      </c>
      <c r="AP4761">
        <v>500</v>
      </c>
    </row>
    <row r="4762" spans="1:52" x14ac:dyDescent="0.3">
      <c r="A4762" t="s">
        <v>27</v>
      </c>
      <c r="B4762" t="s">
        <v>311</v>
      </c>
      <c r="C4762">
        <v>215</v>
      </c>
      <c r="D4762">
        <v>475.74</v>
      </c>
      <c r="E4762">
        <v>400</v>
      </c>
      <c r="F4762">
        <v>0</v>
      </c>
      <c r="G4762">
        <v>2000</v>
      </c>
      <c r="H4762">
        <v>133</v>
      </c>
      <c r="I4762">
        <v>46.6</v>
      </c>
      <c r="J4762">
        <v>0</v>
      </c>
      <c r="K4762">
        <v>0</v>
      </c>
      <c r="L4762">
        <v>800</v>
      </c>
      <c r="M4762">
        <v>224</v>
      </c>
      <c r="N4762">
        <v>633.70000000000005</v>
      </c>
      <c r="O4762">
        <v>500</v>
      </c>
      <c r="P4762">
        <v>0</v>
      </c>
      <c r="Q4762">
        <v>3000</v>
      </c>
      <c r="R4762">
        <v>237</v>
      </c>
      <c r="S4762">
        <v>0</v>
      </c>
      <c r="T4762">
        <v>0</v>
      </c>
      <c r="U4762">
        <v>0</v>
      </c>
      <c r="V4762">
        <v>0</v>
      </c>
      <c r="W4762">
        <v>219</v>
      </c>
      <c r="X4762">
        <v>1493.36</v>
      </c>
      <c r="Y4762">
        <v>1200</v>
      </c>
      <c r="Z4762">
        <v>0</v>
      </c>
      <c r="AA4762">
        <v>4500</v>
      </c>
      <c r="AB4762">
        <v>237</v>
      </c>
      <c r="AC4762">
        <v>0</v>
      </c>
      <c r="AD4762">
        <v>0</v>
      </c>
      <c r="AE4762">
        <v>0</v>
      </c>
      <c r="AF4762">
        <v>0</v>
      </c>
      <c r="AG4762">
        <v>217</v>
      </c>
      <c r="AH4762">
        <v>496.53</v>
      </c>
      <c r="AI4762">
        <v>400</v>
      </c>
      <c r="AJ4762">
        <v>0</v>
      </c>
      <c r="AK4762">
        <v>2000</v>
      </c>
      <c r="AL4762">
        <v>168</v>
      </c>
      <c r="AM4762">
        <v>270.41000000000003</v>
      </c>
      <c r="AN4762">
        <v>200</v>
      </c>
      <c r="AO4762">
        <v>0</v>
      </c>
      <c r="AP4762">
        <v>1000</v>
      </c>
      <c r="AQ4762">
        <v>134</v>
      </c>
      <c r="AR4762">
        <v>146.68</v>
      </c>
      <c r="AS4762">
        <v>0</v>
      </c>
      <c r="AT4762">
        <v>0</v>
      </c>
      <c r="AU4762">
        <v>2000</v>
      </c>
      <c r="AV4762">
        <v>89</v>
      </c>
      <c r="AW4762">
        <v>127.62</v>
      </c>
      <c r="AX4762">
        <v>0</v>
      </c>
      <c r="AY4762">
        <v>0</v>
      </c>
      <c r="AZ4762">
        <v>3300</v>
      </c>
    </row>
    <row r="4763" spans="1:52" x14ac:dyDescent="0.3">
      <c r="A4763" t="s">
        <v>27</v>
      </c>
      <c r="B4763" t="s">
        <v>312</v>
      </c>
      <c r="C4763">
        <v>49</v>
      </c>
      <c r="D4763">
        <v>507.72</v>
      </c>
      <c r="E4763">
        <v>400</v>
      </c>
      <c r="F4763">
        <v>0</v>
      </c>
      <c r="G4763">
        <v>1800</v>
      </c>
      <c r="H4763">
        <v>38</v>
      </c>
      <c r="I4763">
        <v>47.9</v>
      </c>
      <c r="J4763">
        <v>0</v>
      </c>
      <c r="K4763">
        <v>0</v>
      </c>
      <c r="L4763">
        <v>500</v>
      </c>
      <c r="M4763">
        <v>51</v>
      </c>
      <c r="N4763">
        <v>590.23</v>
      </c>
      <c r="O4763">
        <v>500</v>
      </c>
      <c r="P4763">
        <v>0</v>
      </c>
      <c r="Q4763">
        <v>2000</v>
      </c>
      <c r="R4763">
        <v>60</v>
      </c>
      <c r="S4763">
        <v>0</v>
      </c>
      <c r="T4763">
        <v>0</v>
      </c>
      <c r="U4763">
        <v>0</v>
      </c>
      <c r="V4763">
        <v>0</v>
      </c>
      <c r="W4763">
        <v>50</v>
      </c>
      <c r="X4763">
        <v>1439.91</v>
      </c>
      <c r="Y4763">
        <v>1000</v>
      </c>
      <c r="Z4763">
        <v>0</v>
      </c>
      <c r="AA4763">
        <v>4500</v>
      </c>
      <c r="AB4763">
        <v>60</v>
      </c>
      <c r="AC4763">
        <v>0</v>
      </c>
      <c r="AD4763">
        <v>0</v>
      </c>
      <c r="AE4763">
        <v>0</v>
      </c>
      <c r="AF4763">
        <v>0</v>
      </c>
      <c r="AG4763">
        <v>53</v>
      </c>
      <c r="AH4763">
        <v>402.51</v>
      </c>
      <c r="AI4763">
        <v>300</v>
      </c>
      <c r="AJ4763">
        <v>0</v>
      </c>
      <c r="AK4763">
        <v>1500</v>
      </c>
      <c r="AL4763">
        <v>41</v>
      </c>
      <c r="AM4763">
        <v>188.61</v>
      </c>
      <c r="AN4763">
        <v>200</v>
      </c>
      <c r="AO4763">
        <v>0</v>
      </c>
      <c r="AP4763">
        <v>900</v>
      </c>
      <c r="AQ4763">
        <v>34</v>
      </c>
      <c r="AR4763">
        <v>222.81</v>
      </c>
      <c r="AS4763">
        <v>0</v>
      </c>
      <c r="AT4763">
        <v>0</v>
      </c>
      <c r="AU4763">
        <v>2000</v>
      </c>
      <c r="AV4763">
        <v>21</v>
      </c>
      <c r="AW4763">
        <v>237.01</v>
      </c>
      <c r="AX4763">
        <v>0</v>
      </c>
      <c r="AY4763">
        <v>0</v>
      </c>
      <c r="AZ4763">
        <v>3000</v>
      </c>
    </row>
    <row r="4764" spans="1:52" x14ac:dyDescent="0.3">
      <c r="A4764" t="s">
        <v>27</v>
      </c>
      <c r="B4764" t="s">
        <v>308</v>
      </c>
      <c r="C4764">
        <v>3</v>
      </c>
      <c r="D4764">
        <v>773.31</v>
      </c>
      <c r="E4764">
        <v>1000</v>
      </c>
      <c r="F4764">
        <v>300</v>
      </c>
      <c r="G4764">
        <v>1000</v>
      </c>
      <c r="H4764">
        <v>3</v>
      </c>
      <c r="I4764">
        <v>129.22</v>
      </c>
      <c r="J4764">
        <v>250</v>
      </c>
      <c r="K4764">
        <v>0</v>
      </c>
      <c r="L4764">
        <v>250</v>
      </c>
      <c r="M4764">
        <v>3</v>
      </c>
      <c r="N4764">
        <v>466.55</v>
      </c>
      <c r="O4764">
        <v>500</v>
      </c>
      <c r="P4764">
        <v>200</v>
      </c>
      <c r="Q4764">
        <v>500</v>
      </c>
      <c r="R4764">
        <v>3</v>
      </c>
      <c r="S4764">
        <v>0</v>
      </c>
      <c r="T4764">
        <v>0</v>
      </c>
      <c r="U4764">
        <v>0</v>
      </c>
      <c r="V4764">
        <v>0</v>
      </c>
      <c r="W4764">
        <v>3</v>
      </c>
      <c r="X4764">
        <v>2057.4299999999998</v>
      </c>
      <c r="Y4764">
        <v>1500</v>
      </c>
      <c r="Z4764">
        <v>1500</v>
      </c>
      <c r="AA4764">
        <v>3000</v>
      </c>
      <c r="AB4764">
        <v>3</v>
      </c>
      <c r="AC4764">
        <v>0</v>
      </c>
      <c r="AD4764">
        <v>0</v>
      </c>
      <c r="AE4764">
        <v>0</v>
      </c>
      <c r="AF4764">
        <v>0</v>
      </c>
      <c r="AG4764">
        <v>3</v>
      </c>
      <c r="AH4764">
        <v>719.43</v>
      </c>
      <c r="AI4764">
        <v>1000</v>
      </c>
      <c r="AJ4764">
        <v>150</v>
      </c>
      <c r="AK4764">
        <v>1000</v>
      </c>
      <c r="AL4764">
        <v>3</v>
      </c>
      <c r="AM4764">
        <v>210.81</v>
      </c>
      <c r="AN4764">
        <v>300</v>
      </c>
      <c r="AO4764">
        <v>0</v>
      </c>
      <c r="AP4764">
        <v>300</v>
      </c>
      <c r="AQ4764">
        <v>3</v>
      </c>
      <c r="AR4764">
        <v>258.45</v>
      </c>
      <c r="AS4764">
        <v>500</v>
      </c>
      <c r="AT4764">
        <v>0</v>
      </c>
      <c r="AU4764">
        <v>500</v>
      </c>
      <c r="AV4764">
        <v>2</v>
      </c>
      <c r="AW4764">
        <v>0</v>
      </c>
      <c r="AX4764">
        <v>0</v>
      </c>
      <c r="AY4764">
        <v>0</v>
      </c>
      <c r="AZ4764">
        <v>0</v>
      </c>
    </row>
    <row r="4765" spans="1:52" x14ac:dyDescent="0.3">
      <c r="A4765" t="s">
        <v>41</v>
      </c>
      <c r="B4765" t="s">
        <v>311</v>
      </c>
      <c r="C4765">
        <v>1334</v>
      </c>
      <c r="D4765">
        <v>611.92999999999995</v>
      </c>
      <c r="E4765">
        <v>500</v>
      </c>
      <c r="F4765">
        <v>0</v>
      </c>
      <c r="G4765">
        <v>2100</v>
      </c>
      <c r="H4765">
        <v>1044</v>
      </c>
      <c r="I4765">
        <v>9.86</v>
      </c>
      <c r="J4765">
        <v>0</v>
      </c>
      <c r="K4765">
        <v>0</v>
      </c>
      <c r="L4765">
        <v>900</v>
      </c>
      <c r="M4765">
        <v>1425</v>
      </c>
      <c r="N4765">
        <v>986.75</v>
      </c>
      <c r="O4765">
        <v>800</v>
      </c>
      <c r="P4765">
        <v>0</v>
      </c>
      <c r="Q4765">
        <v>3000</v>
      </c>
      <c r="R4765">
        <v>1541</v>
      </c>
      <c r="S4765">
        <v>0</v>
      </c>
      <c r="T4765">
        <v>0</v>
      </c>
      <c r="U4765">
        <v>0</v>
      </c>
      <c r="V4765">
        <v>0</v>
      </c>
      <c r="W4765">
        <v>1393</v>
      </c>
      <c r="X4765">
        <v>1557</v>
      </c>
      <c r="Y4765">
        <v>1500</v>
      </c>
      <c r="Z4765">
        <v>0</v>
      </c>
      <c r="AA4765">
        <v>4500</v>
      </c>
      <c r="AB4765">
        <v>1541</v>
      </c>
      <c r="AC4765">
        <v>0</v>
      </c>
      <c r="AD4765">
        <v>0</v>
      </c>
      <c r="AE4765">
        <v>0</v>
      </c>
      <c r="AF4765">
        <v>0</v>
      </c>
      <c r="AG4765">
        <v>1376</v>
      </c>
      <c r="AH4765">
        <v>560.89</v>
      </c>
      <c r="AI4765">
        <v>500</v>
      </c>
      <c r="AJ4765">
        <v>0</v>
      </c>
      <c r="AK4765">
        <v>2000</v>
      </c>
      <c r="AL4765">
        <v>1294</v>
      </c>
      <c r="AM4765">
        <v>289.14</v>
      </c>
      <c r="AN4765">
        <v>240</v>
      </c>
      <c r="AO4765">
        <v>0</v>
      </c>
      <c r="AP4765">
        <v>1200</v>
      </c>
      <c r="AQ4765">
        <v>1078</v>
      </c>
      <c r="AR4765">
        <v>213.02</v>
      </c>
      <c r="AS4765">
        <v>0</v>
      </c>
      <c r="AT4765">
        <v>0</v>
      </c>
      <c r="AU4765">
        <v>2500</v>
      </c>
      <c r="AV4765">
        <v>983</v>
      </c>
      <c r="AW4765">
        <v>184.21</v>
      </c>
      <c r="AX4765">
        <v>0</v>
      </c>
      <c r="AY4765">
        <v>0</v>
      </c>
      <c r="AZ4765">
        <v>4500</v>
      </c>
    </row>
    <row r="4766" spans="1:52" x14ac:dyDescent="0.3">
      <c r="A4766" t="s">
        <v>41</v>
      </c>
      <c r="B4766" t="s">
        <v>312</v>
      </c>
      <c r="C4766">
        <v>355</v>
      </c>
      <c r="D4766">
        <v>574.32000000000005</v>
      </c>
      <c r="E4766">
        <v>500</v>
      </c>
      <c r="F4766">
        <v>0</v>
      </c>
      <c r="G4766">
        <v>2300</v>
      </c>
      <c r="H4766">
        <v>293</v>
      </c>
      <c r="I4766">
        <v>13.18</v>
      </c>
      <c r="J4766">
        <v>0</v>
      </c>
      <c r="K4766">
        <v>0</v>
      </c>
      <c r="L4766">
        <v>1500</v>
      </c>
      <c r="M4766">
        <v>378</v>
      </c>
      <c r="N4766">
        <v>898.68</v>
      </c>
      <c r="O4766">
        <v>700</v>
      </c>
      <c r="P4766">
        <v>0</v>
      </c>
      <c r="Q4766">
        <v>3000</v>
      </c>
      <c r="R4766">
        <v>432</v>
      </c>
      <c r="S4766">
        <v>0</v>
      </c>
      <c r="T4766">
        <v>0</v>
      </c>
      <c r="U4766">
        <v>0</v>
      </c>
      <c r="V4766">
        <v>0</v>
      </c>
      <c r="W4766">
        <v>365</v>
      </c>
      <c r="X4766">
        <v>1552.98</v>
      </c>
      <c r="Y4766">
        <v>1300</v>
      </c>
      <c r="Z4766">
        <v>0</v>
      </c>
      <c r="AA4766">
        <v>4500</v>
      </c>
      <c r="AB4766">
        <v>432</v>
      </c>
      <c r="AC4766">
        <v>0</v>
      </c>
      <c r="AD4766">
        <v>0</v>
      </c>
      <c r="AE4766">
        <v>0</v>
      </c>
      <c r="AF4766">
        <v>0</v>
      </c>
      <c r="AG4766">
        <v>368</v>
      </c>
      <c r="AH4766">
        <v>519.97</v>
      </c>
      <c r="AI4766">
        <v>500</v>
      </c>
      <c r="AJ4766">
        <v>0</v>
      </c>
      <c r="AK4766">
        <v>2000</v>
      </c>
      <c r="AL4766">
        <v>353</v>
      </c>
      <c r="AM4766">
        <v>257.43</v>
      </c>
      <c r="AN4766">
        <v>200</v>
      </c>
      <c r="AO4766">
        <v>0</v>
      </c>
      <c r="AP4766">
        <v>1300</v>
      </c>
      <c r="AQ4766">
        <v>297</v>
      </c>
      <c r="AR4766">
        <v>216.1</v>
      </c>
      <c r="AS4766">
        <v>0</v>
      </c>
      <c r="AT4766">
        <v>0</v>
      </c>
      <c r="AU4766">
        <v>2500</v>
      </c>
      <c r="AV4766">
        <v>258</v>
      </c>
      <c r="AW4766">
        <v>240.03</v>
      </c>
      <c r="AX4766">
        <v>0</v>
      </c>
      <c r="AY4766">
        <v>0</v>
      </c>
      <c r="AZ4766">
        <v>5000</v>
      </c>
    </row>
    <row r="4767" spans="1:52" x14ac:dyDescent="0.3">
      <c r="A4767" t="s">
        <v>41</v>
      </c>
      <c r="B4767" t="s">
        <v>308</v>
      </c>
      <c r="C4767">
        <v>56</v>
      </c>
      <c r="D4767">
        <v>697.5</v>
      </c>
      <c r="E4767">
        <v>500</v>
      </c>
      <c r="F4767">
        <v>0</v>
      </c>
      <c r="G4767">
        <v>2000</v>
      </c>
      <c r="H4767">
        <v>58</v>
      </c>
      <c r="I4767">
        <v>1.29</v>
      </c>
      <c r="J4767">
        <v>0</v>
      </c>
      <c r="K4767">
        <v>0</v>
      </c>
      <c r="L4767">
        <v>250</v>
      </c>
      <c r="M4767">
        <v>60</v>
      </c>
      <c r="N4767">
        <v>1374.12</v>
      </c>
      <c r="O4767">
        <v>1300</v>
      </c>
      <c r="P4767">
        <v>0</v>
      </c>
      <c r="Q4767">
        <v>3000</v>
      </c>
      <c r="R4767">
        <v>65</v>
      </c>
      <c r="S4767">
        <v>0</v>
      </c>
      <c r="T4767">
        <v>0</v>
      </c>
      <c r="U4767">
        <v>0</v>
      </c>
      <c r="V4767">
        <v>0</v>
      </c>
      <c r="W4767">
        <v>53</v>
      </c>
      <c r="X4767">
        <v>1997.07</v>
      </c>
      <c r="Y4767">
        <v>2000</v>
      </c>
      <c r="Z4767">
        <v>0</v>
      </c>
      <c r="AA4767">
        <v>4000</v>
      </c>
      <c r="AB4767">
        <v>65</v>
      </c>
      <c r="AC4767">
        <v>0</v>
      </c>
      <c r="AD4767">
        <v>0</v>
      </c>
      <c r="AE4767">
        <v>0</v>
      </c>
      <c r="AF4767">
        <v>0</v>
      </c>
      <c r="AG4767">
        <v>57</v>
      </c>
      <c r="AH4767">
        <v>653.1</v>
      </c>
      <c r="AI4767">
        <v>600</v>
      </c>
      <c r="AJ4767">
        <v>0</v>
      </c>
      <c r="AK4767">
        <v>2000</v>
      </c>
      <c r="AL4767">
        <v>63</v>
      </c>
      <c r="AM4767">
        <v>398.62</v>
      </c>
      <c r="AN4767">
        <v>400</v>
      </c>
      <c r="AO4767">
        <v>0</v>
      </c>
      <c r="AP4767">
        <v>1200</v>
      </c>
      <c r="AQ4767">
        <v>57</v>
      </c>
      <c r="AR4767">
        <v>105.38</v>
      </c>
      <c r="AS4767">
        <v>0</v>
      </c>
      <c r="AT4767">
        <v>0</v>
      </c>
      <c r="AU4767">
        <v>2000</v>
      </c>
      <c r="AV4767">
        <v>41</v>
      </c>
      <c r="AW4767">
        <v>229.25</v>
      </c>
      <c r="AX4767">
        <v>0</v>
      </c>
      <c r="AY4767">
        <v>0</v>
      </c>
      <c r="AZ4767">
        <v>2100</v>
      </c>
    </row>
    <row r="4769" spans="1:52" x14ac:dyDescent="0.3">
      <c r="A4769" t="s">
        <v>1891</v>
      </c>
    </row>
    <row r="4770" spans="1:52" x14ac:dyDescent="0.3">
      <c r="A4770" t="s">
        <v>36</v>
      </c>
      <c r="B4770" t="s">
        <v>307</v>
      </c>
      <c r="C4770" t="s">
        <v>1839</v>
      </c>
      <c r="D4770" t="s">
        <v>1840</v>
      </c>
      <c r="E4770" t="s">
        <v>1841</v>
      </c>
      <c r="F4770" t="s">
        <v>1842</v>
      </c>
      <c r="G4770" t="s">
        <v>1843</v>
      </c>
      <c r="H4770" t="s">
        <v>1844</v>
      </c>
      <c r="I4770" t="s">
        <v>1845</v>
      </c>
      <c r="J4770" t="s">
        <v>1846</v>
      </c>
      <c r="K4770" t="s">
        <v>1847</v>
      </c>
      <c r="L4770" t="s">
        <v>1848</v>
      </c>
      <c r="M4770" t="s">
        <v>1849</v>
      </c>
      <c r="N4770" t="s">
        <v>1850</v>
      </c>
      <c r="O4770" t="s">
        <v>1851</v>
      </c>
      <c r="P4770" t="s">
        <v>1852</v>
      </c>
      <c r="Q4770" t="s">
        <v>1853</v>
      </c>
      <c r="R4770" t="s">
        <v>1854</v>
      </c>
      <c r="S4770" t="s">
        <v>1855</v>
      </c>
      <c r="T4770" t="s">
        <v>1856</v>
      </c>
      <c r="U4770" t="s">
        <v>1857</v>
      </c>
      <c r="V4770" t="s">
        <v>1858</v>
      </c>
      <c r="W4770" t="s">
        <v>1859</v>
      </c>
      <c r="X4770" t="s">
        <v>1860</v>
      </c>
      <c r="Y4770" t="s">
        <v>1861</v>
      </c>
      <c r="Z4770" t="s">
        <v>1862</v>
      </c>
      <c r="AA4770" t="s">
        <v>1863</v>
      </c>
      <c r="AB4770" t="s">
        <v>1864</v>
      </c>
      <c r="AC4770" t="s">
        <v>1865</v>
      </c>
      <c r="AD4770" t="s">
        <v>1866</v>
      </c>
      <c r="AE4770" t="s">
        <v>1867</v>
      </c>
      <c r="AF4770" t="s">
        <v>1868</v>
      </c>
      <c r="AG4770" t="s">
        <v>1869</v>
      </c>
      <c r="AH4770" t="s">
        <v>1870</v>
      </c>
      <c r="AI4770" t="s">
        <v>1871</v>
      </c>
      <c r="AJ4770" t="s">
        <v>1872</v>
      </c>
      <c r="AK4770" t="s">
        <v>1873</v>
      </c>
      <c r="AL4770" t="s">
        <v>1874</v>
      </c>
      <c r="AM4770" t="s">
        <v>1875</v>
      </c>
      <c r="AN4770" t="s">
        <v>1876</v>
      </c>
      <c r="AO4770" t="s">
        <v>1877</v>
      </c>
      <c r="AP4770" t="s">
        <v>1878</v>
      </c>
      <c r="AQ4770" t="s">
        <v>1879</v>
      </c>
      <c r="AR4770" t="s">
        <v>1880</v>
      </c>
      <c r="AS4770" t="s">
        <v>1881</v>
      </c>
      <c r="AT4770" t="s">
        <v>1882</v>
      </c>
      <c r="AU4770" t="s">
        <v>1883</v>
      </c>
      <c r="AV4770" t="s">
        <v>1884</v>
      </c>
      <c r="AW4770" t="s">
        <v>1885</v>
      </c>
      <c r="AX4770" t="s">
        <v>1886</v>
      </c>
      <c r="AY4770" t="s">
        <v>1887</v>
      </c>
      <c r="AZ4770" t="s">
        <v>1888</v>
      </c>
    </row>
    <row r="4771" spans="1:52" x14ac:dyDescent="0.3">
      <c r="A4771" t="s">
        <v>25</v>
      </c>
      <c r="B4771" t="s">
        <v>291</v>
      </c>
      <c r="C4771">
        <v>140</v>
      </c>
      <c r="D4771">
        <v>599.73</v>
      </c>
      <c r="E4771">
        <v>500</v>
      </c>
      <c r="F4771">
        <v>0</v>
      </c>
      <c r="G4771">
        <v>2000</v>
      </c>
      <c r="H4771">
        <v>128</v>
      </c>
      <c r="I4771">
        <v>3.17</v>
      </c>
      <c r="J4771">
        <v>0</v>
      </c>
      <c r="K4771">
        <v>0</v>
      </c>
      <c r="L4771">
        <v>200</v>
      </c>
      <c r="M4771">
        <v>143</v>
      </c>
      <c r="N4771">
        <v>965.42</v>
      </c>
      <c r="O4771">
        <v>800</v>
      </c>
      <c r="P4771">
        <v>0</v>
      </c>
      <c r="Q4771">
        <v>3000</v>
      </c>
      <c r="R4771">
        <v>156</v>
      </c>
      <c r="S4771">
        <v>0</v>
      </c>
      <c r="T4771">
        <v>0</v>
      </c>
      <c r="U4771">
        <v>0</v>
      </c>
      <c r="V4771">
        <v>0</v>
      </c>
      <c r="W4771">
        <v>134</v>
      </c>
      <c r="X4771">
        <v>1400.93</v>
      </c>
      <c r="Y4771">
        <v>1200</v>
      </c>
      <c r="Z4771">
        <v>0</v>
      </c>
      <c r="AA4771">
        <v>4000</v>
      </c>
      <c r="AB4771">
        <v>156</v>
      </c>
      <c r="AC4771">
        <v>0</v>
      </c>
      <c r="AD4771">
        <v>0</v>
      </c>
      <c r="AE4771">
        <v>0</v>
      </c>
      <c r="AF4771">
        <v>0</v>
      </c>
      <c r="AG4771">
        <v>140</v>
      </c>
      <c r="AH4771">
        <v>489.16</v>
      </c>
      <c r="AI4771">
        <v>400</v>
      </c>
      <c r="AJ4771">
        <v>0</v>
      </c>
      <c r="AK4771">
        <v>2000</v>
      </c>
      <c r="AL4771">
        <v>140</v>
      </c>
      <c r="AM4771">
        <v>238</v>
      </c>
      <c r="AN4771">
        <v>200</v>
      </c>
      <c r="AO4771">
        <v>0</v>
      </c>
      <c r="AP4771">
        <v>1200</v>
      </c>
      <c r="AQ4771">
        <v>135</v>
      </c>
      <c r="AR4771">
        <v>128.51</v>
      </c>
      <c r="AS4771">
        <v>0</v>
      </c>
      <c r="AT4771">
        <v>0</v>
      </c>
      <c r="AU4771">
        <v>2500</v>
      </c>
      <c r="AV4771">
        <v>133</v>
      </c>
      <c r="AW4771">
        <v>109.68</v>
      </c>
      <c r="AX4771">
        <v>0</v>
      </c>
      <c r="AY4771">
        <v>0</v>
      </c>
      <c r="AZ4771">
        <v>3000</v>
      </c>
    </row>
    <row r="4772" spans="1:52" x14ac:dyDescent="0.3">
      <c r="A4772" t="s">
        <v>25</v>
      </c>
      <c r="B4772" t="s">
        <v>292</v>
      </c>
      <c r="C4772">
        <v>227</v>
      </c>
      <c r="D4772">
        <v>659.74</v>
      </c>
      <c r="E4772">
        <v>500</v>
      </c>
      <c r="F4772">
        <v>0</v>
      </c>
      <c r="G4772">
        <v>2300</v>
      </c>
      <c r="H4772">
        <v>197</v>
      </c>
      <c r="I4772">
        <v>7.8</v>
      </c>
      <c r="J4772">
        <v>0</v>
      </c>
      <c r="K4772">
        <v>0</v>
      </c>
      <c r="L4772">
        <v>500</v>
      </c>
      <c r="M4772">
        <v>239</v>
      </c>
      <c r="N4772">
        <v>995.64</v>
      </c>
      <c r="O4772">
        <v>800</v>
      </c>
      <c r="P4772">
        <v>0</v>
      </c>
      <c r="Q4772">
        <v>3000</v>
      </c>
      <c r="R4772">
        <v>254</v>
      </c>
      <c r="S4772">
        <v>0</v>
      </c>
      <c r="T4772">
        <v>0</v>
      </c>
      <c r="U4772">
        <v>0</v>
      </c>
      <c r="V4772">
        <v>0</v>
      </c>
      <c r="W4772">
        <v>231</v>
      </c>
      <c r="X4772">
        <v>1433.02</v>
      </c>
      <c r="Y4772">
        <v>1000</v>
      </c>
      <c r="Z4772">
        <v>0</v>
      </c>
      <c r="AA4772">
        <v>4400</v>
      </c>
      <c r="AB4772">
        <v>254</v>
      </c>
      <c r="AC4772">
        <v>0</v>
      </c>
      <c r="AD4772">
        <v>0</v>
      </c>
      <c r="AE4772">
        <v>0</v>
      </c>
      <c r="AF4772">
        <v>0</v>
      </c>
      <c r="AG4772">
        <v>234</v>
      </c>
      <c r="AH4772">
        <v>532.61</v>
      </c>
      <c r="AI4772">
        <v>450</v>
      </c>
      <c r="AJ4772">
        <v>0</v>
      </c>
      <c r="AK4772">
        <v>2000</v>
      </c>
      <c r="AL4772">
        <v>230</v>
      </c>
      <c r="AM4772">
        <v>238.09</v>
      </c>
      <c r="AN4772">
        <v>200</v>
      </c>
      <c r="AO4772">
        <v>0</v>
      </c>
      <c r="AP4772">
        <v>1100</v>
      </c>
      <c r="AQ4772">
        <v>211</v>
      </c>
      <c r="AR4772">
        <v>166.78</v>
      </c>
      <c r="AS4772">
        <v>0</v>
      </c>
      <c r="AT4772">
        <v>0</v>
      </c>
      <c r="AU4772">
        <v>2250</v>
      </c>
      <c r="AV4772">
        <v>212</v>
      </c>
      <c r="AW4772">
        <v>172.59</v>
      </c>
      <c r="AX4772">
        <v>0</v>
      </c>
      <c r="AY4772">
        <v>0</v>
      </c>
      <c r="AZ4772">
        <v>4000</v>
      </c>
    </row>
    <row r="4773" spans="1:52" x14ac:dyDescent="0.3">
      <c r="A4773" t="s">
        <v>25</v>
      </c>
      <c r="B4773" t="s">
        <v>308</v>
      </c>
      <c r="C4773">
        <v>2</v>
      </c>
      <c r="D4773">
        <v>1620.66</v>
      </c>
      <c r="E4773">
        <v>2000</v>
      </c>
      <c r="F4773">
        <v>300</v>
      </c>
      <c r="G4773">
        <v>2000</v>
      </c>
      <c r="H4773">
        <v>3</v>
      </c>
      <c r="I4773">
        <v>0</v>
      </c>
      <c r="J4773">
        <v>0</v>
      </c>
      <c r="K4773">
        <v>0</v>
      </c>
      <c r="L4773">
        <v>0</v>
      </c>
      <c r="M4773">
        <v>3</v>
      </c>
      <c r="N4773">
        <v>1368.29</v>
      </c>
      <c r="O4773">
        <v>1500</v>
      </c>
      <c r="P4773">
        <v>500</v>
      </c>
      <c r="Q4773">
        <v>1500</v>
      </c>
      <c r="R4773">
        <v>4</v>
      </c>
      <c r="S4773">
        <v>0</v>
      </c>
      <c r="T4773">
        <v>0</v>
      </c>
      <c r="U4773">
        <v>0</v>
      </c>
      <c r="V4773">
        <v>0</v>
      </c>
      <c r="W4773">
        <v>3</v>
      </c>
      <c r="X4773">
        <v>3405.41</v>
      </c>
      <c r="Y4773">
        <v>3000</v>
      </c>
      <c r="Z4773">
        <v>3000</v>
      </c>
      <c r="AA4773">
        <v>4000</v>
      </c>
      <c r="AB4773">
        <v>4</v>
      </c>
      <c r="AC4773">
        <v>0</v>
      </c>
      <c r="AD4773">
        <v>0</v>
      </c>
      <c r="AE4773">
        <v>0</v>
      </c>
      <c r="AF4773">
        <v>0</v>
      </c>
      <c r="AG4773">
        <v>3</v>
      </c>
      <c r="AH4773">
        <v>570.24</v>
      </c>
      <c r="AI4773">
        <v>500</v>
      </c>
      <c r="AJ4773">
        <v>100</v>
      </c>
      <c r="AK4773">
        <v>800</v>
      </c>
      <c r="AL4773">
        <v>3</v>
      </c>
      <c r="AM4773">
        <v>295.02</v>
      </c>
      <c r="AN4773">
        <v>300</v>
      </c>
      <c r="AO4773">
        <v>200</v>
      </c>
      <c r="AP4773">
        <v>320</v>
      </c>
      <c r="AQ4773">
        <v>3</v>
      </c>
      <c r="AR4773">
        <v>0</v>
      </c>
      <c r="AS4773">
        <v>0</v>
      </c>
      <c r="AT4773">
        <v>0</v>
      </c>
      <c r="AU4773">
        <v>0</v>
      </c>
      <c r="AV4773">
        <v>2</v>
      </c>
      <c r="AW4773">
        <v>0</v>
      </c>
      <c r="AX4773">
        <v>0</v>
      </c>
      <c r="AY4773">
        <v>0</v>
      </c>
      <c r="AZ4773">
        <v>0</v>
      </c>
    </row>
    <row r="4774" spans="1:52" x14ac:dyDescent="0.3">
      <c r="A4774" t="s">
        <v>26</v>
      </c>
      <c r="B4774" t="s">
        <v>291</v>
      </c>
      <c r="C4774">
        <v>115</v>
      </c>
      <c r="D4774">
        <v>483.28</v>
      </c>
      <c r="E4774">
        <v>400</v>
      </c>
      <c r="F4774">
        <v>0</v>
      </c>
      <c r="G4774">
        <v>2000</v>
      </c>
      <c r="H4774">
        <v>103</v>
      </c>
      <c r="I4774">
        <v>0.54</v>
      </c>
      <c r="J4774">
        <v>0</v>
      </c>
      <c r="K4774">
        <v>0</v>
      </c>
      <c r="L4774">
        <v>300</v>
      </c>
      <c r="M4774">
        <v>116</v>
      </c>
      <c r="N4774">
        <v>1007.11</v>
      </c>
      <c r="O4774">
        <v>800</v>
      </c>
      <c r="P4774">
        <v>0</v>
      </c>
      <c r="Q4774">
        <v>3000</v>
      </c>
      <c r="R4774">
        <v>122</v>
      </c>
      <c r="S4774">
        <v>0</v>
      </c>
      <c r="T4774">
        <v>0</v>
      </c>
      <c r="U4774">
        <v>0</v>
      </c>
      <c r="V4774">
        <v>0</v>
      </c>
      <c r="W4774">
        <v>114</v>
      </c>
      <c r="X4774">
        <v>1553.12</v>
      </c>
      <c r="Y4774">
        <v>1200</v>
      </c>
      <c r="Z4774">
        <v>0</v>
      </c>
      <c r="AA4774">
        <v>4500</v>
      </c>
      <c r="AB4774">
        <v>122</v>
      </c>
      <c r="AC4774">
        <v>0</v>
      </c>
      <c r="AD4774">
        <v>0</v>
      </c>
      <c r="AE4774">
        <v>0</v>
      </c>
      <c r="AF4774">
        <v>0</v>
      </c>
      <c r="AG4774">
        <v>116</v>
      </c>
      <c r="AH4774">
        <v>470.71</v>
      </c>
      <c r="AI4774">
        <v>400</v>
      </c>
      <c r="AJ4774">
        <v>0</v>
      </c>
      <c r="AK4774">
        <v>2000</v>
      </c>
      <c r="AL4774">
        <v>118</v>
      </c>
      <c r="AM4774">
        <v>314.17</v>
      </c>
      <c r="AN4774">
        <v>240</v>
      </c>
      <c r="AO4774">
        <v>0</v>
      </c>
      <c r="AP4774">
        <v>1200</v>
      </c>
      <c r="AQ4774">
        <v>102</v>
      </c>
      <c r="AR4774">
        <v>78.09</v>
      </c>
      <c r="AS4774">
        <v>0</v>
      </c>
      <c r="AT4774">
        <v>0</v>
      </c>
      <c r="AU4774">
        <v>2000</v>
      </c>
      <c r="AV4774">
        <v>102</v>
      </c>
      <c r="AW4774">
        <v>156.68</v>
      </c>
      <c r="AX4774">
        <v>0</v>
      </c>
      <c r="AY4774">
        <v>0</v>
      </c>
      <c r="AZ4774">
        <v>2000</v>
      </c>
    </row>
    <row r="4775" spans="1:52" x14ac:dyDescent="0.3">
      <c r="A4775" t="s">
        <v>26</v>
      </c>
      <c r="B4775" t="s">
        <v>292</v>
      </c>
      <c r="C4775">
        <v>322</v>
      </c>
      <c r="D4775">
        <v>509.42</v>
      </c>
      <c r="E4775">
        <v>400</v>
      </c>
      <c r="F4775">
        <v>0</v>
      </c>
      <c r="G4775">
        <v>2100</v>
      </c>
      <c r="H4775">
        <v>307</v>
      </c>
      <c r="I4775">
        <v>4.97</v>
      </c>
      <c r="J4775">
        <v>0</v>
      </c>
      <c r="K4775">
        <v>0</v>
      </c>
      <c r="L4775">
        <v>500</v>
      </c>
      <c r="M4775">
        <v>327</v>
      </c>
      <c r="N4775">
        <v>1100.28</v>
      </c>
      <c r="O4775">
        <v>1000</v>
      </c>
      <c r="P4775">
        <v>0</v>
      </c>
      <c r="Q4775">
        <v>3000</v>
      </c>
      <c r="R4775">
        <v>352</v>
      </c>
      <c r="S4775">
        <v>0</v>
      </c>
      <c r="T4775">
        <v>0</v>
      </c>
      <c r="U4775">
        <v>0</v>
      </c>
      <c r="V4775">
        <v>0</v>
      </c>
      <c r="W4775">
        <v>321</v>
      </c>
      <c r="X4775">
        <v>1740.76</v>
      </c>
      <c r="Y4775">
        <v>1500</v>
      </c>
      <c r="Z4775">
        <v>0</v>
      </c>
      <c r="AA4775">
        <v>4000</v>
      </c>
      <c r="AB4775">
        <v>352</v>
      </c>
      <c r="AC4775">
        <v>0</v>
      </c>
      <c r="AD4775">
        <v>0</v>
      </c>
      <c r="AE4775">
        <v>0</v>
      </c>
      <c r="AF4775">
        <v>0</v>
      </c>
      <c r="AG4775">
        <v>325</v>
      </c>
      <c r="AH4775">
        <v>521.73</v>
      </c>
      <c r="AI4775">
        <v>400</v>
      </c>
      <c r="AJ4775">
        <v>0</v>
      </c>
      <c r="AK4775">
        <v>2000</v>
      </c>
      <c r="AL4775">
        <v>329</v>
      </c>
      <c r="AM4775">
        <v>340.81</v>
      </c>
      <c r="AN4775">
        <v>300</v>
      </c>
      <c r="AO4775">
        <v>0</v>
      </c>
      <c r="AP4775">
        <v>1300</v>
      </c>
      <c r="AQ4775">
        <v>291</v>
      </c>
      <c r="AR4775">
        <v>180.94</v>
      </c>
      <c r="AS4775">
        <v>0</v>
      </c>
      <c r="AT4775">
        <v>0</v>
      </c>
      <c r="AU4775">
        <v>2000</v>
      </c>
      <c r="AV4775">
        <v>259</v>
      </c>
      <c r="AW4775">
        <v>165.49</v>
      </c>
      <c r="AX4775">
        <v>0</v>
      </c>
      <c r="AY4775">
        <v>0</v>
      </c>
      <c r="AZ4775">
        <v>4500</v>
      </c>
    </row>
    <row r="4776" spans="1:52" x14ac:dyDescent="0.3">
      <c r="A4776" t="s">
        <v>26</v>
      </c>
      <c r="B4776" t="s">
        <v>308</v>
      </c>
      <c r="C4776">
        <v>2</v>
      </c>
      <c r="D4776">
        <v>408.73</v>
      </c>
      <c r="E4776">
        <v>800</v>
      </c>
      <c r="F4776">
        <v>100</v>
      </c>
      <c r="G4776">
        <v>800</v>
      </c>
      <c r="H4776">
        <v>1</v>
      </c>
      <c r="I4776">
        <v>0</v>
      </c>
      <c r="J4776">
        <v>0</v>
      </c>
      <c r="K4776">
        <v>0</v>
      </c>
      <c r="L4776">
        <v>0</v>
      </c>
      <c r="M4776">
        <v>3</v>
      </c>
      <c r="N4776">
        <v>1334.21</v>
      </c>
      <c r="O4776">
        <v>1500</v>
      </c>
      <c r="P4776">
        <v>1000</v>
      </c>
      <c r="Q4776">
        <v>1500</v>
      </c>
      <c r="R4776">
        <v>3</v>
      </c>
      <c r="S4776">
        <v>0</v>
      </c>
      <c r="T4776">
        <v>0</v>
      </c>
      <c r="U4776">
        <v>0</v>
      </c>
      <c r="V4776">
        <v>0</v>
      </c>
      <c r="W4776">
        <v>3</v>
      </c>
      <c r="X4776">
        <v>2133.4499999999998</v>
      </c>
      <c r="Y4776">
        <v>2500</v>
      </c>
      <c r="Z4776">
        <v>1000</v>
      </c>
      <c r="AA4776">
        <v>3000</v>
      </c>
      <c r="AB4776">
        <v>3</v>
      </c>
      <c r="AC4776">
        <v>0</v>
      </c>
      <c r="AD4776">
        <v>0</v>
      </c>
      <c r="AE4776">
        <v>0</v>
      </c>
      <c r="AF4776">
        <v>0</v>
      </c>
      <c r="AG4776">
        <v>3</v>
      </c>
      <c r="AH4776">
        <v>378.49</v>
      </c>
      <c r="AI4776">
        <v>300</v>
      </c>
      <c r="AJ4776">
        <v>300</v>
      </c>
      <c r="AK4776">
        <v>600</v>
      </c>
      <c r="AL4776">
        <v>3</v>
      </c>
      <c r="AM4776">
        <v>277.32</v>
      </c>
      <c r="AN4776">
        <v>150</v>
      </c>
      <c r="AO4776">
        <v>100</v>
      </c>
      <c r="AP4776">
        <v>700</v>
      </c>
      <c r="AQ4776">
        <v>2</v>
      </c>
      <c r="AR4776">
        <v>441.05</v>
      </c>
      <c r="AS4776">
        <v>1000</v>
      </c>
      <c r="AT4776">
        <v>0</v>
      </c>
      <c r="AU4776">
        <v>1000</v>
      </c>
      <c r="AV4776">
        <v>1</v>
      </c>
      <c r="AW4776">
        <v>900</v>
      </c>
      <c r="AX4776">
        <v>900</v>
      </c>
      <c r="AY4776">
        <v>900</v>
      </c>
      <c r="AZ4776">
        <v>900</v>
      </c>
    </row>
    <row r="4777" spans="1:52" x14ac:dyDescent="0.3">
      <c r="A4777" t="s">
        <v>29</v>
      </c>
      <c r="B4777" t="s">
        <v>291</v>
      </c>
      <c r="C4777">
        <v>175</v>
      </c>
      <c r="D4777">
        <v>698.05</v>
      </c>
      <c r="E4777">
        <v>550</v>
      </c>
      <c r="F4777">
        <v>0</v>
      </c>
      <c r="G4777">
        <v>2000</v>
      </c>
      <c r="H4777">
        <v>135</v>
      </c>
      <c r="I4777">
        <v>24.01</v>
      </c>
      <c r="J4777">
        <v>0</v>
      </c>
      <c r="K4777">
        <v>0</v>
      </c>
      <c r="L4777">
        <v>1000</v>
      </c>
      <c r="M4777">
        <v>186</v>
      </c>
      <c r="N4777">
        <v>963.65</v>
      </c>
      <c r="O4777">
        <v>800</v>
      </c>
      <c r="P4777">
        <v>0</v>
      </c>
      <c r="Q4777">
        <v>3000</v>
      </c>
      <c r="R4777">
        <v>205</v>
      </c>
      <c r="S4777">
        <v>0</v>
      </c>
      <c r="T4777">
        <v>0</v>
      </c>
      <c r="U4777">
        <v>0</v>
      </c>
      <c r="V4777">
        <v>0</v>
      </c>
      <c r="W4777">
        <v>187</v>
      </c>
      <c r="X4777">
        <v>1643.69</v>
      </c>
      <c r="Y4777">
        <v>1500</v>
      </c>
      <c r="Z4777">
        <v>0</v>
      </c>
      <c r="AA4777">
        <v>4500</v>
      </c>
      <c r="AB4777">
        <v>205</v>
      </c>
      <c r="AC4777">
        <v>0</v>
      </c>
      <c r="AD4777">
        <v>0</v>
      </c>
      <c r="AE4777">
        <v>0</v>
      </c>
      <c r="AF4777">
        <v>0</v>
      </c>
      <c r="AG4777">
        <v>183</v>
      </c>
      <c r="AH4777">
        <v>590.13</v>
      </c>
      <c r="AI4777">
        <v>500</v>
      </c>
      <c r="AJ4777">
        <v>0</v>
      </c>
      <c r="AK4777">
        <v>2000</v>
      </c>
      <c r="AL4777">
        <v>173</v>
      </c>
      <c r="AM4777">
        <v>273.99</v>
      </c>
      <c r="AN4777">
        <v>200</v>
      </c>
      <c r="AO4777">
        <v>0</v>
      </c>
      <c r="AP4777">
        <v>1000</v>
      </c>
      <c r="AQ4777">
        <v>137</v>
      </c>
      <c r="AR4777">
        <v>180.72</v>
      </c>
      <c r="AS4777">
        <v>0</v>
      </c>
      <c r="AT4777">
        <v>0</v>
      </c>
      <c r="AU4777">
        <v>2500</v>
      </c>
      <c r="AV4777">
        <v>120</v>
      </c>
      <c r="AW4777">
        <v>226.53</v>
      </c>
      <c r="AX4777">
        <v>0</v>
      </c>
      <c r="AY4777">
        <v>0</v>
      </c>
      <c r="AZ4777">
        <v>3000</v>
      </c>
    </row>
    <row r="4778" spans="1:52" x14ac:dyDescent="0.3">
      <c r="A4778" t="s">
        <v>29</v>
      </c>
      <c r="B4778" t="s">
        <v>292</v>
      </c>
      <c r="C4778">
        <v>288</v>
      </c>
      <c r="D4778">
        <v>676.38</v>
      </c>
      <c r="E4778">
        <v>600</v>
      </c>
      <c r="F4778">
        <v>0</v>
      </c>
      <c r="G4778">
        <v>2000</v>
      </c>
      <c r="H4778">
        <v>216</v>
      </c>
      <c r="I4778">
        <v>6.45</v>
      </c>
      <c r="J4778">
        <v>0</v>
      </c>
      <c r="K4778">
        <v>0</v>
      </c>
      <c r="L4778">
        <v>600</v>
      </c>
      <c r="M4778">
        <v>307</v>
      </c>
      <c r="N4778">
        <v>961.43</v>
      </c>
      <c r="O4778">
        <v>800</v>
      </c>
      <c r="P4778">
        <v>0</v>
      </c>
      <c r="Q4778">
        <v>3000</v>
      </c>
      <c r="R4778">
        <v>325</v>
      </c>
      <c r="S4778">
        <v>0</v>
      </c>
      <c r="T4778">
        <v>0</v>
      </c>
      <c r="U4778">
        <v>0</v>
      </c>
      <c r="V4778">
        <v>0</v>
      </c>
      <c r="W4778">
        <v>300</v>
      </c>
      <c r="X4778">
        <v>1606.05</v>
      </c>
      <c r="Y4778">
        <v>1500</v>
      </c>
      <c r="Z4778">
        <v>0</v>
      </c>
      <c r="AA4778">
        <v>4000</v>
      </c>
      <c r="AB4778">
        <v>325</v>
      </c>
      <c r="AC4778">
        <v>0</v>
      </c>
      <c r="AD4778">
        <v>0</v>
      </c>
      <c r="AE4778">
        <v>0</v>
      </c>
      <c r="AF4778">
        <v>0</v>
      </c>
      <c r="AG4778">
        <v>288</v>
      </c>
      <c r="AH4778">
        <v>613.80999999999995</v>
      </c>
      <c r="AI4778">
        <v>500</v>
      </c>
      <c r="AJ4778">
        <v>0</v>
      </c>
      <c r="AK4778">
        <v>2000</v>
      </c>
      <c r="AL4778">
        <v>280</v>
      </c>
      <c r="AM4778">
        <v>291.63</v>
      </c>
      <c r="AN4778">
        <v>250</v>
      </c>
      <c r="AO4778">
        <v>0</v>
      </c>
      <c r="AP4778">
        <v>1200</v>
      </c>
      <c r="AQ4778">
        <v>229</v>
      </c>
      <c r="AR4778">
        <v>341.47</v>
      </c>
      <c r="AS4778">
        <v>0</v>
      </c>
      <c r="AT4778">
        <v>0</v>
      </c>
      <c r="AU4778">
        <v>2500</v>
      </c>
      <c r="AV4778">
        <v>200</v>
      </c>
      <c r="AW4778">
        <v>264.12</v>
      </c>
      <c r="AX4778">
        <v>0</v>
      </c>
      <c r="AY4778">
        <v>0</v>
      </c>
      <c r="AZ4778">
        <v>3500</v>
      </c>
    </row>
    <row r="4779" spans="1:52" x14ac:dyDescent="0.3">
      <c r="A4779" t="s">
        <v>28</v>
      </c>
      <c r="B4779" t="s">
        <v>291</v>
      </c>
      <c r="C4779">
        <v>70</v>
      </c>
      <c r="D4779">
        <v>363.67</v>
      </c>
      <c r="E4779">
        <v>300</v>
      </c>
      <c r="F4779">
        <v>0</v>
      </c>
      <c r="G4779">
        <v>2000</v>
      </c>
      <c r="H4779">
        <v>42</v>
      </c>
      <c r="I4779">
        <v>0</v>
      </c>
      <c r="J4779">
        <v>0</v>
      </c>
      <c r="K4779">
        <v>0</v>
      </c>
      <c r="L4779">
        <v>0</v>
      </c>
      <c r="M4779">
        <v>95</v>
      </c>
      <c r="N4779">
        <v>999.53</v>
      </c>
      <c r="O4779">
        <v>800</v>
      </c>
      <c r="P4779">
        <v>0</v>
      </c>
      <c r="Q4779">
        <v>3000</v>
      </c>
      <c r="R4779">
        <v>114</v>
      </c>
      <c r="S4779">
        <v>0</v>
      </c>
      <c r="T4779">
        <v>0</v>
      </c>
      <c r="U4779">
        <v>0</v>
      </c>
      <c r="V4779">
        <v>0</v>
      </c>
      <c r="W4779">
        <v>92</v>
      </c>
      <c r="X4779">
        <v>1002.31</v>
      </c>
      <c r="Y4779">
        <v>950</v>
      </c>
      <c r="Z4779">
        <v>0</v>
      </c>
      <c r="AA4779">
        <v>3600</v>
      </c>
      <c r="AB4779">
        <v>114</v>
      </c>
      <c r="AC4779">
        <v>0</v>
      </c>
      <c r="AD4779">
        <v>0</v>
      </c>
      <c r="AE4779">
        <v>0</v>
      </c>
      <c r="AF4779">
        <v>0</v>
      </c>
      <c r="AG4779">
        <v>80</v>
      </c>
      <c r="AH4779">
        <v>527.85</v>
      </c>
      <c r="AI4779">
        <v>500</v>
      </c>
      <c r="AJ4779">
        <v>0</v>
      </c>
      <c r="AK4779">
        <v>2000</v>
      </c>
      <c r="AL4779">
        <v>74</v>
      </c>
      <c r="AM4779">
        <v>349.66</v>
      </c>
      <c r="AN4779">
        <v>200</v>
      </c>
      <c r="AO4779">
        <v>0</v>
      </c>
      <c r="AP4779">
        <v>1000</v>
      </c>
      <c r="AQ4779">
        <v>48</v>
      </c>
      <c r="AR4779">
        <v>169.11</v>
      </c>
      <c r="AS4779">
        <v>0</v>
      </c>
      <c r="AT4779">
        <v>0</v>
      </c>
      <c r="AU4779">
        <v>2000</v>
      </c>
      <c r="AV4779">
        <v>48</v>
      </c>
      <c r="AW4779">
        <v>292.72000000000003</v>
      </c>
      <c r="AX4779">
        <v>0</v>
      </c>
      <c r="AY4779">
        <v>0</v>
      </c>
      <c r="AZ4779">
        <v>3100</v>
      </c>
    </row>
    <row r="4780" spans="1:52" x14ac:dyDescent="0.3">
      <c r="A4780" t="s">
        <v>28</v>
      </c>
      <c r="B4780" t="s">
        <v>292</v>
      </c>
      <c r="C4780">
        <v>131</v>
      </c>
      <c r="D4780">
        <v>360.7</v>
      </c>
      <c r="E4780">
        <v>100</v>
      </c>
      <c r="F4780">
        <v>0</v>
      </c>
      <c r="G4780">
        <v>2000</v>
      </c>
      <c r="H4780">
        <v>86</v>
      </c>
      <c r="I4780">
        <v>20.75</v>
      </c>
      <c r="J4780">
        <v>0</v>
      </c>
      <c r="K4780">
        <v>0</v>
      </c>
      <c r="L4780">
        <v>1500</v>
      </c>
      <c r="M4780">
        <v>156</v>
      </c>
      <c r="N4780">
        <v>1167.47</v>
      </c>
      <c r="O4780">
        <v>1000</v>
      </c>
      <c r="P4780">
        <v>0</v>
      </c>
      <c r="Q4780">
        <v>3000</v>
      </c>
      <c r="R4780">
        <v>191</v>
      </c>
      <c r="S4780">
        <v>0</v>
      </c>
      <c r="T4780">
        <v>0</v>
      </c>
      <c r="U4780">
        <v>0</v>
      </c>
      <c r="V4780">
        <v>0</v>
      </c>
      <c r="W4780">
        <v>143</v>
      </c>
      <c r="X4780">
        <v>969.85</v>
      </c>
      <c r="Y4780">
        <v>500</v>
      </c>
      <c r="Z4780">
        <v>0</v>
      </c>
      <c r="AA4780">
        <v>4000</v>
      </c>
      <c r="AB4780">
        <v>191</v>
      </c>
      <c r="AC4780">
        <v>0</v>
      </c>
      <c r="AD4780">
        <v>0</v>
      </c>
      <c r="AE4780">
        <v>0</v>
      </c>
      <c r="AF4780">
        <v>0</v>
      </c>
      <c r="AG4780">
        <v>146</v>
      </c>
      <c r="AH4780">
        <v>654.94000000000005</v>
      </c>
      <c r="AI4780">
        <v>500</v>
      </c>
      <c r="AJ4780">
        <v>0</v>
      </c>
      <c r="AK4780">
        <v>2000</v>
      </c>
      <c r="AL4780">
        <v>138</v>
      </c>
      <c r="AM4780">
        <v>265.2</v>
      </c>
      <c r="AN4780">
        <v>260</v>
      </c>
      <c r="AO4780">
        <v>0</v>
      </c>
      <c r="AP4780">
        <v>1200</v>
      </c>
      <c r="AQ4780">
        <v>99</v>
      </c>
      <c r="AR4780">
        <v>163.32</v>
      </c>
      <c r="AS4780">
        <v>0</v>
      </c>
      <c r="AT4780">
        <v>0</v>
      </c>
      <c r="AU4780">
        <v>2000</v>
      </c>
      <c r="AV4780">
        <v>89</v>
      </c>
      <c r="AW4780">
        <v>130.26</v>
      </c>
      <c r="AX4780">
        <v>0</v>
      </c>
      <c r="AY4780">
        <v>0</v>
      </c>
      <c r="AZ4780">
        <v>5000</v>
      </c>
    </row>
    <row r="4781" spans="1:52" x14ac:dyDescent="0.3">
      <c r="A4781" t="s">
        <v>28</v>
      </c>
      <c r="B4781" t="s">
        <v>308</v>
      </c>
      <c r="C4781">
        <v>6</v>
      </c>
      <c r="D4781">
        <v>980.67</v>
      </c>
      <c r="E4781">
        <v>1000</v>
      </c>
      <c r="F4781">
        <v>80</v>
      </c>
      <c r="G4781">
        <v>2000</v>
      </c>
      <c r="H4781">
        <v>3</v>
      </c>
      <c r="I4781">
        <v>0</v>
      </c>
      <c r="J4781">
        <v>0</v>
      </c>
      <c r="K4781">
        <v>0</v>
      </c>
      <c r="L4781">
        <v>0</v>
      </c>
      <c r="M4781">
        <v>10</v>
      </c>
      <c r="N4781">
        <v>1201.68</v>
      </c>
      <c r="O4781">
        <v>1000</v>
      </c>
      <c r="P4781">
        <v>500</v>
      </c>
      <c r="Q4781">
        <v>2000</v>
      </c>
      <c r="R4781">
        <v>12</v>
      </c>
      <c r="S4781">
        <v>0</v>
      </c>
      <c r="T4781">
        <v>0</v>
      </c>
      <c r="U4781">
        <v>0</v>
      </c>
      <c r="V4781">
        <v>0</v>
      </c>
      <c r="W4781">
        <v>11</v>
      </c>
      <c r="X4781">
        <v>1428.48</v>
      </c>
      <c r="Y4781">
        <v>1500</v>
      </c>
      <c r="Z4781">
        <v>50</v>
      </c>
      <c r="AA4781">
        <v>3000</v>
      </c>
      <c r="AB4781">
        <v>12</v>
      </c>
      <c r="AC4781">
        <v>0</v>
      </c>
      <c r="AD4781">
        <v>0</v>
      </c>
      <c r="AE4781">
        <v>0</v>
      </c>
      <c r="AF4781">
        <v>0</v>
      </c>
      <c r="AG4781">
        <v>10</v>
      </c>
      <c r="AH4781">
        <v>722</v>
      </c>
      <c r="AI4781">
        <v>500</v>
      </c>
      <c r="AJ4781">
        <v>80</v>
      </c>
      <c r="AK4781">
        <v>2000</v>
      </c>
      <c r="AL4781">
        <v>10</v>
      </c>
      <c r="AM4781">
        <v>430.29</v>
      </c>
      <c r="AN4781">
        <v>600</v>
      </c>
      <c r="AO4781">
        <v>0</v>
      </c>
      <c r="AP4781">
        <v>900</v>
      </c>
      <c r="AQ4781">
        <v>4</v>
      </c>
      <c r="AR4781">
        <v>62.21</v>
      </c>
      <c r="AS4781">
        <v>0</v>
      </c>
      <c r="AT4781">
        <v>0</v>
      </c>
      <c r="AU4781">
        <v>300</v>
      </c>
      <c r="AV4781">
        <v>4</v>
      </c>
      <c r="AW4781">
        <v>430.02</v>
      </c>
      <c r="AX4781">
        <v>0</v>
      </c>
      <c r="AY4781">
        <v>0</v>
      </c>
      <c r="AZ4781">
        <v>2000</v>
      </c>
    </row>
    <row r="4782" spans="1:52" x14ac:dyDescent="0.3">
      <c r="A4782" t="s">
        <v>27</v>
      </c>
      <c r="B4782" t="s">
        <v>291</v>
      </c>
      <c r="C4782">
        <v>77</v>
      </c>
      <c r="D4782">
        <v>408.02</v>
      </c>
      <c r="E4782">
        <v>300</v>
      </c>
      <c r="F4782">
        <v>0</v>
      </c>
      <c r="G4782">
        <v>2000</v>
      </c>
      <c r="H4782">
        <v>66</v>
      </c>
      <c r="I4782">
        <v>40.24</v>
      </c>
      <c r="J4782">
        <v>0</v>
      </c>
      <c r="K4782">
        <v>0</v>
      </c>
      <c r="L4782">
        <v>500</v>
      </c>
      <c r="M4782">
        <v>81</v>
      </c>
      <c r="N4782">
        <v>534.49</v>
      </c>
      <c r="O4782">
        <v>500</v>
      </c>
      <c r="P4782">
        <v>0</v>
      </c>
      <c r="Q4782">
        <v>2000</v>
      </c>
      <c r="R4782">
        <v>95</v>
      </c>
      <c r="S4782">
        <v>0</v>
      </c>
      <c r="T4782">
        <v>0</v>
      </c>
      <c r="U4782">
        <v>0</v>
      </c>
      <c r="V4782">
        <v>0</v>
      </c>
      <c r="W4782">
        <v>79</v>
      </c>
      <c r="X4782">
        <v>1366.14</v>
      </c>
      <c r="Y4782">
        <v>1500</v>
      </c>
      <c r="Z4782">
        <v>0</v>
      </c>
      <c r="AA4782">
        <v>4000</v>
      </c>
      <c r="AB4782">
        <v>95</v>
      </c>
      <c r="AC4782">
        <v>0</v>
      </c>
      <c r="AD4782">
        <v>0</v>
      </c>
      <c r="AE4782">
        <v>0</v>
      </c>
      <c r="AF4782">
        <v>0</v>
      </c>
      <c r="AG4782">
        <v>84</v>
      </c>
      <c r="AH4782">
        <v>441.93</v>
      </c>
      <c r="AI4782">
        <v>300</v>
      </c>
      <c r="AJ4782">
        <v>0</v>
      </c>
      <c r="AK4782">
        <v>2000</v>
      </c>
      <c r="AL4782">
        <v>69</v>
      </c>
      <c r="AM4782">
        <v>205.24</v>
      </c>
      <c r="AN4782">
        <v>200</v>
      </c>
      <c r="AO4782">
        <v>0</v>
      </c>
      <c r="AP4782">
        <v>800</v>
      </c>
      <c r="AQ4782">
        <v>60</v>
      </c>
      <c r="AR4782">
        <v>41.5</v>
      </c>
      <c r="AS4782">
        <v>0</v>
      </c>
      <c r="AT4782">
        <v>0</v>
      </c>
      <c r="AU4782">
        <v>1000</v>
      </c>
      <c r="AV4782">
        <v>37</v>
      </c>
      <c r="AW4782">
        <v>107.65</v>
      </c>
      <c r="AX4782">
        <v>0</v>
      </c>
      <c r="AY4782">
        <v>0</v>
      </c>
      <c r="AZ4782">
        <v>3000</v>
      </c>
    </row>
    <row r="4783" spans="1:52" x14ac:dyDescent="0.3">
      <c r="A4783" t="s">
        <v>27</v>
      </c>
      <c r="B4783" t="s">
        <v>292</v>
      </c>
      <c r="C4783">
        <v>183</v>
      </c>
      <c r="D4783">
        <v>498.67</v>
      </c>
      <c r="E4783">
        <v>500</v>
      </c>
      <c r="F4783">
        <v>0</v>
      </c>
      <c r="G4783">
        <v>1800</v>
      </c>
      <c r="H4783">
        <v>107</v>
      </c>
      <c r="I4783">
        <v>51.96</v>
      </c>
      <c r="J4783">
        <v>0</v>
      </c>
      <c r="K4783">
        <v>0</v>
      </c>
      <c r="L4783">
        <v>800</v>
      </c>
      <c r="M4783">
        <v>190</v>
      </c>
      <c r="N4783">
        <v>656.95</v>
      </c>
      <c r="O4783">
        <v>500</v>
      </c>
      <c r="P4783">
        <v>0</v>
      </c>
      <c r="Q4783">
        <v>3000</v>
      </c>
      <c r="R4783">
        <v>198</v>
      </c>
      <c r="S4783">
        <v>0</v>
      </c>
      <c r="T4783">
        <v>0</v>
      </c>
      <c r="U4783">
        <v>0</v>
      </c>
      <c r="V4783">
        <v>0</v>
      </c>
      <c r="W4783">
        <v>187</v>
      </c>
      <c r="X4783">
        <v>1548.67</v>
      </c>
      <c r="Y4783">
        <v>1200</v>
      </c>
      <c r="Z4783">
        <v>0</v>
      </c>
      <c r="AA4783">
        <v>4500</v>
      </c>
      <c r="AB4783">
        <v>198</v>
      </c>
      <c r="AC4783">
        <v>0</v>
      </c>
      <c r="AD4783">
        <v>0</v>
      </c>
      <c r="AE4783">
        <v>0</v>
      </c>
      <c r="AF4783">
        <v>0</v>
      </c>
      <c r="AG4783">
        <v>183</v>
      </c>
      <c r="AH4783">
        <v>493.91</v>
      </c>
      <c r="AI4783">
        <v>400</v>
      </c>
      <c r="AJ4783">
        <v>0</v>
      </c>
      <c r="AK4783">
        <v>2000</v>
      </c>
      <c r="AL4783">
        <v>140</v>
      </c>
      <c r="AM4783">
        <v>270.88</v>
      </c>
      <c r="AN4783">
        <v>200</v>
      </c>
      <c r="AO4783">
        <v>0</v>
      </c>
      <c r="AP4783">
        <v>1000</v>
      </c>
      <c r="AQ4783">
        <v>109</v>
      </c>
      <c r="AR4783">
        <v>195.65</v>
      </c>
      <c r="AS4783">
        <v>0</v>
      </c>
      <c r="AT4783">
        <v>0</v>
      </c>
      <c r="AU4783">
        <v>2000</v>
      </c>
      <c r="AV4783">
        <v>75</v>
      </c>
      <c r="AW4783">
        <v>155.54</v>
      </c>
      <c r="AX4783">
        <v>0</v>
      </c>
      <c r="AY4783">
        <v>0</v>
      </c>
      <c r="AZ4783">
        <v>3300</v>
      </c>
    </row>
    <row r="4784" spans="1:52" x14ac:dyDescent="0.3">
      <c r="A4784" t="s">
        <v>27</v>
      </c>
      <c r="B4784" t="s">
        <v>308</v>
      </c>
      <c r="C4784">
        <v>7</v>
      </c>
      <c r="D4784">
        <v>844.99</v>
      </c>
      <c r="E4784">
        <v>700</v>
      </c>
      <c r="F4784">
        <v>400</v>
      </c>
      <c r="G4784">
        <v>1500</v>
      </c>
      <c r="H4784">
        <v>1</v>
      </c>
      <c r="I4784">
        <v>0</v>
      </c>
      <c r="J4784">
        <v>0</v>
      </c>
      <c r="K4784">
        <v>0</v>
      </c>
      <c r="L4784">
        <v>0</v>
      </c>
      <c r="M4784">
        <v>7</v>
      </c>
      <c r="N4784">
        <v>755.75</v>
      </c>
      <c r="O4784">
        <v>700</v>
      </c>
      <c r="P4784">
        <v>400</v>
      </c>
      <c r="Q4784">
        <v>1000</v>
      </c>
      <c r="R4784">
        <v>7</v>
      </c>
      <c r="S4784">
        <v>0</v>
      </c>
      <c r="T4784">
        <v>0</v>
      </c>
      <c r="U4784">
        <v>0</v>
      </c>
      <c r="V4784">
        <v>0</v>
      </c>
      <c r="W4784">
        <v>6</v>
      </c>
      <c r="X4784">
        <v>1152.96</v>
      </c>
      <c r="Y4784">
        <v>1000</v>
      </c>
      <c r="Z4784">
        <v>600</v>
      </c>
      <c r="AA4784">
        <v>2000</v>
      </c>
      <c r="AB4784">
        <v>7</v>
      </c>
      <c r="AC4784">
        <v>0</v>
      </c>
      <c r="AD4784">
        <v>0</v>
      </c>
      <c r="AE4784">
        <v>0</v>
      </c>
      <c r="AF4784">
        <v>0</v>
      </c>
      <c r="AG4784">
        <v>6</v>
      </c>
      <c r="AH4784">
        <v>629.75</v>
      </c>
      <c r="AI4784">
        <v>600</v>
      </c>
      <c r="AJ4784">
        <v>500</v>
      </c>
      <c r="AK4784">
        <v>1000</v>
      </c>
      <c r="AL4784">
        <v>3</v>
      </c>
      <c r="AM4784">
        <v>668.41</v>
      </c>
      <c r="AN4784">
        <v>500</v>
      </c>
      <c r="AO4784">
        <v>500</v>
      </c>
      <c r="AP4784">
        <v>1000</v>
      </c>
      <c r="AQ4784">
        <v>2</v>
      </c>
      <c r="AR4784">
        <v>1237.26</v>
      </c>
      <c r="AS4784">
        <v>2000</v>
      </c>
      <c r="AT4784">
        <v>500</v>
      </c>
      <c r="AU4784">
        <v>2000</v>
      </c>
    </row>
    <row r="4785" spans="1:52" x14ac:dyDescent="0.3">
      <c r="A4785" t="s">
        <v>41</v>
      </c>
      <c r="B4785" t="s">
        <v>291</v>
      </c>
      <c r="C4785">
        <v>577</v>
      </c>
      <c r="D4785">
        <v>608.76</v>
      </c>
      <c r="E4785">
        <v>500</v>
      </c>
      <c r="F4785">
        <v>0</v>
      </c>
      <c r="G4785">
        <v>2000</v>
      </c>
      <c r="H4785">
        <v>474</v>
      </c>
      <c r="I4785">
        <v>13.7</v>
      </c>
      <c r="J4785">
        <v>0</v>
      </c>
      <c r="K4785">
        <v>0</v>
      </c>
      <c r="L4785">
        <v>1000</v>
      </c>
      <c r="M4785">
        <v>621</v>
      </c>
      <c r="N4785">
        <v>956.68</v>
      </c>
      <c r="O4785">
        <v>800</v>
      </c>
      <c r="P4785">
        <v>0</v>
      </c>
      <c r="Q4785">
        <v>3000</v>
      </c>
      <c r="R4785">
        <v>692</v>
      </c>
      <c r="S4785">
        <v>0</v>
      </c>
      <c r="T4785">
        <v>0</v>
      </c>
      <c r="U4785">
        <v>0</v>
      </c>
      <c r="V4785">
        <v>0</v>
      </c>
      <c r="W4785">
        <v>606</v>
      </c>
      <c r="X4785">
        <v>1536.1</v>
      </c>
      <c r="Y4785">
        <v>1400</v>
      </c>
      <c r="Z4785">
        <v>0</v>
      </c>
      <c r="AA4785">
        <v>4500</v>
      </c>
      <c r="AB4785">
        <v>692</v>
      </c>
      <c r="AC4785">
        <v>0</v>
      </c>
      <c r="AD4785">
        <v>0</v>
      </c>
      <c r="AE4785">
        <v>0</v>
      </c>
      <c r="AF4785">
        <v>0</v>
      </c>
      <c r="AG4785">
        <v>603</v>
      </c>
      <c r="AH4785">
        <v>537.28</v>
      </c>
      <c r="AI4785">
        <v>500</v>
      </c>
      <c r="AJ4785">
        <v>0</v>
      </c>
      <c r="AK4785">
        <v>2000</v>
      </c>
      <c r="AL4785">
        <v>574</v>
      </c>
      <c r="AM4785">
        <v>274.52999999999997</v>
      </c>
      <c r="AN4785">
        <v>200</v>
      </c>
      <c r="AO4785">
        <v>0</v>
      </c>
      <c r="AP4785">
        <v>1200</v>
      </c>
      <c r="AQ4785">
        <v>482</v>
      </c>
      <c r="AR4785">
        <v>140.79</v>
      </c>
      <c r="AS4785">
        <v>0</v>
      </c>
      <c r="AT4785">
        <v>0</v>
      </c>
      <c r="AU4785">
        <v>2500</v>
      </c>
      <c r="AV4785">
        <v>440</v>
      </c>
      <c r="AW4785">
        <v>177.53</v>
      </c>
      <c r="AX4785">
        <v>0</v>
      </c>
      <c r="AY4785">
        <v>0</v>
      </c>
      <c r="AZ4785">
        <v>3100</v>
      </c>
    </row>
    <row r="4786" spans="1:52" x14ac:dyDescent="0.3">
      <c r="A4786" t="s">
        <v>41</v>
      </c>
      <c r="B4786" t="s">
        <v>292</v>
      </c>
      <c r="C4786">
        <v>1151</v>
      </c>
      <c r="D4786">
        <v>605.42999999999995</v>
      </c>
      <c r="E4786">
        <v>500</v>
      </c>
      <c r="F4786">
        <v>0</v>
      </c>
      <c r="G4786">
        <v>2300</v>
      </c>
      <c r="H4786">
        <v>913</v>
      </c>
      <c r="I4786">
        <v>8.2799999999999994</v>
      </c>
      <c r="J4786">
        <v>0</v>
      </c>
      <c r="K4786">
        <v>0</v>
      </c>
      <c r="L4786">
        <v>1500</v>
      </c>
      <c r="M4786">
        <v>1219</v>
      </c>
      <c r="N4786">
        <v>997.7</v>
      </c>
      <c r="O4786">
        <v>800</v>
      </c>
      <c r="P4786">
        <v>0</v>
      </c>
      <c r="Q4786">
        <v>3000</v>
      </c>
      <c r="R4786">
        <v>1320</v>
      </c>
      <c r="S4786">
        <v>0</v>
      </c>
      <c r="T4786">
        <v>0</v>
      </c>
      <c r="U4786">
        <v>0</v>
      </c>
      <c r="V4786">
        <v>0</v>
      </c>
      <c r="W4786">
        <v>1182</v>
      </c>
      <c r="X4786">
        <v>1585.11</v>
      </c>
      <c r="Y4786">
        <v>1500</v>
      </c>
      <c r="Z4786">
        <v>0</v>
      </c>
      <c r="AA4786">
        <v>4500</v>
      </c>
      <c r="AB4786">
        <v>1320</v>
      </c>
      <c r="AC4786">
        <v>0</v>
      </c>
      <c r="AD4786">
        <v>0</v>
      </c>
      <c r="AE4786">
        <v>0</v>
      </c>
      <c r="AF4786">
        <v>0</v>
      </c>
      <c r="AG4786">
        <v>1176</v>
      </c>
      <c r="AH4786">
        <v>566.89</v>
      </c>
      <c r="AI4786">
        <v>500</v>
      </c>
      <c r="AJ4786">
        <v>0</v>
      </c>
      <c r="AK4786">
        <v>2000</v>
      </c>
      <c r="AL4786">
        <v>1117</v>
      </c>
      <c r="AM4786">
        <v>294.17</v>
      </c>
      <c r="AN4786">
        <v>250</v>
      </c>
      <c r="AO4786">
        <v>0</v>
      </c>
      <c r="AP4786">
        <v>1300</v>
      </c>
      <c r="AQ4786">
        <v>939</v>
      </c>
      <c r="AR4786">
        <v>243.59</v>
      </c>
      <c r="AS4786">
        <v>0</v>
      </c>
      <c r="AT4786">
        <v>0</v>
      </c>
      <c r="AU4786">
        <v>2500</v>
      </c>
      <c r="AV4786">
        <v>835</v>
      </c>
      <c r="AW4786">
        <v>204.5</v>
      </c>
      <c r="AX4786">
        <v>0</v>
      </c>
      <c r="AY4786">
        <v>0</v>
      </c>
      <c r="AZ4786">
        <v>5000</v>
      </c>
    </row>
    <row r="4787" spans="1:52" x14ac:dyDescent="0.3">
      <c r="A4787" t="s">
        <v>41</v>
      </c>
      <c r="B4787" t="s">
        <v>308</v>
      </c>
      <c r="C4787">
        <v>17</v>
      </c>
      <c r="D4787">
        <v>918.6</v>
      </c>
      <c r="E4787">
        <v>800</v>
      </c>
      <c r="F4787">
        <v>80</v>
      </c>
      <c r="G4787">
        <v>2000</v>
      </c>
      <c r="H4787">
        <v>8</v>
      </c>
      <c r="I4787">
        <v>0</v>
      </c>
      <c r="J4787">
        <v>0</v>
      </c>
      <c r="K4787">
        <v>0</v>
      </c>
      <c r="L4787">
        <v>0</v>
      </c>
      <c r="M4787">
        <v>23</v>
      </c>
      <c r="N4787">
        <v>1180.19</v>
      </c>
      <c r="O4787">
        <v>1200</v>
      </c>
      <c r="P4787">
        <v>400</v>
      </c>
      <c r="Q4787">
        <v>2000</v>
      </c>
      <c r="R4787">
        <v>26</v>
      </c>
      <c r="S4787">
        <v>0</v>
      </c>
      <c r="T4787">
        <v>0</v>
      </c>
      <c r="U4787">
        <v>0</v>
      </c>
      <c r="V4787">
        <v>0</v>
      </c>
      <c r="W4787">
        <v>23</v>
      </c>
      <c r="X4787">
        <v>2014.92</v>
      </c>
      <c r="Y4787">
        <v>2000</v>
      </c>
      <c r="Z4787">
        <v>50</v>
      </c>
      <c r="AA4787">
        <v>4000</v>
      </c>
      <c r="AB4787">
        <v>26</v>
      </c>
      <c r="AC4787">
        <v>0</v>
      </c>
      <c r="AD4787">
        <v>0</v>
      </c>
      <c r="AE4787">
        <v>0</v>
      </c>
      <c r="AF4787">
        <v>0</v>
      </c>
      <c r="AG4787">
        <v>22</v>
      </c>
      <c r="AH4787">
        <v>569.32000000000005</v>
      </c>
      <c r="AI4787">
        <v>500</v>
      </c>
      <c r="AJ4787">
        <v>80</v>
      </c>
      <c r="AK4787">
        <v>2000</v>
      </c>
      <c r="AL4787">
        <v>19</v>
      </c>
      <c r="AM4787">
        <v>370.53</v>
      </c>
      <c r="AN4787">
        <v>300</v>
      </c>
      <c r="AO4787">
        <v>0</v>
      </c>
      <c r="AP4787">
        <v>1000</v>
      </c>
      <c r="AQ4787">
        <v>11</v>
      </c>
      <c r="AR4787">
        <v>270.67</v>
      </c>
      <c r="AS4787">
        <v>0</v>
      </c>
      <c r="AT4787">
        <v>0</v>
      </c>
      <c r="AU4787">
        <v>2000</v>
      </c>
      <c r="AV4787">
        <v>7</v>
      </c>
      <c r="AW4787">
        <v>364.83</v>
      </c>
      <c r="AX4787">
        <v>0</v>
      </c>
      <c r="AY4787">
        <v>0</v>
      </c>
      <c r="AZ4787">
        <v>2000</v>
      </c>
    </row>
    <row r="4789" spans="1:52" x14ac:dyDescent="0.3">
      <c r="A4789" t="s">
        <v>1892</v>
      </c>
    </row>
    <row r="4790" spans="1:52" x14ac:dyDescent="0.3">
      <c r="A4790" t="s">
        <v>36</v>
      </c>
      <c r="B4790" t="s">
        <v>24</v>
      </c>
      <c r="C4790" t="s">
        <v>37</v>
      </c>
      <c r="D4790" t="s">
        <v>38</v>
      </c>
      <c r="E4790" t="s">
        <v>39</v>
      </c>
      <c r="F4790" t="s">
        <v>40</v>
      </c>
    </row>
    <row r="4791" spans="1:52" x14ac:dyDescent="0.3">
      <c r="A4791" t="s">
        <v>25</v>
      </c>
      <c r="B4791">
        <v>414</v>
      </c>
      <c r="C4791">
        <v>3946.13</v>
      </c>
      <c r="D4791">
        <v>3058.33</v>
      </c>
      <c r="E4791">
        <v>0</v>
      </c>
      <c r="F4791">
        <v>25433.33</v>
      </c>
    </row>
    <row r="4792" spans="1:52" x14ac:dyDescent="0.3">
      <c r="A4792" t="s">
        <v>26</v>
      </c>
      <c r="B4792">
        <v>477</v>
      </c>
      <c r="C4792">
        <v>5130.68</v>
      </c>
      <c r="D4792">
        <v>4016.67</v>
      </c>
      <c r="E4792">
        <v>0</v>
      </c>
      <c r="F4792">
        <v>39205</v>
      </c>
    </row>
    <row r="4793" spans="1:52" x14ac:dyDescent="0.3">
      <c r="A4793" t="s">
        <v>29</v>
      </c>
      <c r="B4793">
        <v>530</v>
      </c>
      <c r="C4793">
        <v>4101.6400000000003</v>
      </c>
      <c r="D4793">
        <v>2981.67</v>
      </c>
      <c r="E4793">
        <v>0</v>
      </c>
      <c r="F4793">
        <v>37000</v>
      </c>
    </row>
    <row r="4794" spans="1:52" x14ac:dyDescent="0.3">
      <c r="A4794" t="s">
        <v>28</v>
      </c>
      <c r="B4794">
        <v>317</v>
      </c>
      <c r="C4794">
        <v>3376.87</v>
      </c>
      <c r="D4794">
        <v>2353.33</v>
      </c>
      <c r="E4794">
        <v>0</v>
      </c>
      <c r="F4794">
        <v>41900</v>
      </c>
    </row>
    <row r="4795" spans="1:52" x14ac:dyDescent="0.3">
      <c r="A4795" t="s">
        <v>27</v>
      </c>
      <c r="B4795">
        <v>300</v>
      </c>
      <c r="C4795">
        <v>3574.73</v>
      </c>
      <c r="D4795">
        <v>2366.67</v>
      </c>
      <c r="E4795">
        <v>0</v>
      </c>
      <c r="F4795">
        <v>59066.67</v>
      </c>
    </row>
    <row r="4796" spans="1:52" x14ac:dyDescent="0.3">
      <c r="A4796" t="s">
        <v>41</v>
      </c>
      <c r="B4796">
        <v>2038</v>
      </c>
      <c r="C4796">
        <v>4260.18</v>
      </c>
      <c r="D4796">
        <v>3179</v>
      </c>
      <c r="E4796">
        <v>0</v>
      </c>
      <c r="F4796">
        <v>59066.67</v>
      </c>
    </row>
    <row r="4798" spans="1:52" x14ac:dyDescent="0.3">
      <c r="A4798" t="s">
        <v>1893</v>
      </c>
    </row>
    <row r="4799" spans="1:52" x14ac:dyDescent="0.3">
      <c r="A4799" t="s">
        <v>36</v>
      </c>
      <c r="B4799" t="s">
        <v>307</v>
      </c>
      <c r="C4799" t="s">
        <v>24</v>
      </c>
      <c r="D4799" t="s">
        <v>37</v>
      </c>
      <c r="E4799" t="s">
        <v>38</v>
      </c>
      <c r="F4799" t="s">
        <v>39</v>
      </c>
      <c r="G4799" t="s">
        <v>40</v>
      </c>
    </row>
    <row r="4800" spans="1:52" x14ac:dyDescent="0.3">
      <c r="A4800" t="s">
        <v>25</v>
      </c>
      <c r="B4800" t="s">
        <v>291</v>
      </c>
      <c r="C4800">
        <v>156</v>
      </c>
      <c r="D4800">
        <v>4644.3900000000003</v>
      </c>
      <c r="E4800">
        <v>3476.67</v>
      </c>
      <c r="F4800">
        <v>0</v>
      </c>
      <c r="G4800">
        <v>24016.67</v>
      </c>
    </row>
    <row r="4801" spans="1:7" x14ac:dyDescent="0.3">
      <c r="A4801" t="s">
        <v>25</v>
      </c>
      <c r="B4801" t="s">
        <v>292</v>
      </c>
      <c r="C4801">
        <v>254</v>
      </c>
      <c r="D4801">
        <v>3513.99</v>
      </c>
      <c r="E4801">
        <v>2866.67</v>
      </c>
      <c r="F4801">
        <v>0</v>
      </c>
      <c r="G4801">
        <v>25433.33</v>
      </c>
    </row>
    <row r="4802" spans="1:7" x14ac:dyDescent="0.3">
      <c r="A4802" t="s">
        <v>25</v>
      </c>
      <c r="B4802" t="s">
        <v>308</v>
      </c>
      <c r="C4802">
        <v>4</v>
      </c>
      <c r="D4802">
        <v>3721.17</v>
      </c>
      <c r="E4802">
        <v>3675</v>
      </c>
      <c r="F4802">
        <v>2825</v>
      </c>
      <c r="G4802">
        <v>4500</v>
      </c>
    </row>
    <row r="4803" spans="1:7" x14ac:dyDescent="0.3">
      <c r="A4803" t="s">
        <v>26</v>
      </c>
      <c r="B4803" t="s">
        <v>291</v>
      </c>
      <c r="C4803">
        <v>122</v>
      </c>
      <c r="D4803">
        <v>5066.88</v>
      </c>
      <c r="E4803">
        <v>4300</v>
      </c>
      <c r="F4803">
        <v>150</v>
      </c>
      <c r="G4803">
        <v>39205</v>
      </c>
    </row>
    <row r="4804" spans="1:7" x14ac:dyDescent="0.3">
      <c r="A4804" t="s">
        <v>26</v>
      </c>
      <c r="B4804" t="s">
        <v>292</v>
      </c>
      <c r="C4804">
        <v>352</v>
      </c>
      <c r="D4804">
        <v>5166.6899999999996</v>
      </c>
      <c r="E4804">
        <v>3996.67</v>
      </c>
      <c r="F4804">
        <v>0</v>
      </c>
      <c r="G4804">
        <v>19600</v>
      </c>
    </row>
    <row r="4805" spans="1:7" x14ac:dyDescent="0.3">
      <c r="A4805" t="s">
        <v>26</v>
      </c>
      <c r="B4805" t="s">
        <v>308</v>
      </c>
      <c r="C4805">
        <v>3</v>
      </c>
      <c r="D4805">
        <v>3521.74</v>
      </c>
      <c r="E4805">
        <v>3766.67</v>
      </c>
      <c r="F4805">
        <v>2200</v>
      </c>
      <c r="G4805">
        <v>4950</v>
      </c>
    </row>
    <row r="4806" spans="1:7" x14ac:dyDescent="0.3">
      <c r="A4806" t="s">
        <v>29</v>
      </c>
      <c r="B4806" t="s">
        <v>291</v>
      </c>
      <c r="C4806">
        <v>205</v>
      </c>
      <c r="D4806">
        <v>4327.2700000000004</v>
      </c>
      <c r="E4806">
        <v>3311.67</v>
      </c>
      <c r="F4806">
        <v>0</v>
      </c>
      <c r="G4806">
        <v>22416.67</v>
      </c>
    </row>
    <row r="4807" spans="1:7" x14ac:dyDescent="0.3">
      <c r="A4807" t="s">
        <v>29</v>
      </c>
      <c r="B4807" t="s">
        <v>292</v>
      </c>
      <c r="C4807">
        <v>325</v>
      </c>
      <c r="D4807">
        <v>3959.84</v>
      </c>
      <c r="E4807">
        <v>2733.33</v>
      </c>
      <c r="F4807">
        <v>0</v>
      </c>
      <c r="G4807">
        <v>37000</v>
      </c>
    </row>
    <row r="4808" spans="1:7" x14ac:dyDescent="0.3">
      <c r="A4808" t="s">
        <v>28</v>
      </c>
      <c r="B4808" t="s">
        <v>291</v>
      </c>
      <c r="C4808">
        <v>114</v>
      </c>
      <c r="D4808">
        <v>4128.18</v>
      </c>
      <c r="E4808">
        <v>2666.67</v>
      </c>
      <c r="F4808">
        <v>0</v>
      </c>
      <c r="G4808">
        <v>41900</v>
      </c>
    </row>
    <row r="4809" spans="1:7" x14ac:dyDescent="0.3">
      <c r="A4809" t="s">
        <v>28</v>
      </c>
      <c r="B4809" t="s">
        <v>292</v>
      </c>
      <c r="C4809">
        <v>191</v>
      </c>
      <c r="D4809">
        <v>2866.32</v>
      </c>
      <c r="E4809">
        <v>2050</v>
      </c>
      <c r="F4809">
        <v>0</v>
      </c>
      <c r="G4809">
        <v>15000</v>
      </c>
    </row>
    <row r="4810" spans="1:7" x14ac:dyDescent="0.3">
      <c r="A4810" t="s">
        <v>28</v>
      </c>
      <c r="B4810" t="s">
        <v>308</v>
      </c>
      <c r="C4810">
        <v>12</v>
      </c>
      <c r="D4810">
        <v>3559.65</v>
      </c>
      <c r="E4810">
        <v>1550</v>
      </c>
      <c r="F4810">
        <v>100</v>
      </c>
      <c r="G4810">
        <v>21933.33</v>
      </c>
    </row>
    <row r="4811" spans="1:7" x14ac:dyDescent="0.3">
      <c r="A4811" t="s">
        <v>27</v>
      </c>
      <c r="B4811" t="s">
        <v>291</v>
      </c>
      <c r="C4811">
        <v>95</v>
      </c>
      <c r="D4811">
        <v>3567.77</v>
      </c>
      <c r="E4811">
        <v>2283.33</v>
      </c>
      <c r="F4811">
        <v>0</v>
      </c>
      <c r="G4811">
        <v>17729.169999999998</v>
      </c>
    </row>
    <row r="4812" spans="1:7" x14ac:dyDescent="0.3">
      <c r="A4812" t="s">
        <v>27</v>
      </c>
      <c r="B4812" t="s">
        <v>292</v>
      </c>
      <c r="C4812">
        <v>198</v>
      </c>
      <c r="D4812">
        <v>3595.5</v>
      </c>
      <c r="E4812">
        <v>2450</v>
      </c>
      <c r="F4812">
        <v>0</v>
      </c>
      <c r="G4812">
        <v>59066.67</v>
      </c>
    </row>
    <row r="4813" spans="1:7" x14ac:dyDescent="0.3">
      <c r="A4813" t="s">
        <v>27</v>
      </c>
      <c r="B4813" t="s">
        <v>308</v>
      </c>
      <c r="C4813">
        <v>7</v>
      </c>
      <c r="D4813">
        <v>3080.97</v>
      </c>
      <c r="E4813">
        <v>2200</v>
      </c>
      <c r="F4813">
        <v>1100</v>
      </c>
      <c r="G4813">
        <v>7000</v>
      </c>
    </row>
    <row r="4814" spans="1:7" x14ac:dyDescent="0.3">
      <c r="A4814" t="s">
        <v>41</v>
      </c>
      <c r="B4814" t="s">
        <v>291</v>
      </c>
      <c r="C4814">
        <v>692</v>
      </c>
      <c r="D4814">
        <v>4485.6000000000004</v>
      </c>
      <c r="E4814">
        <v>3333.33</v>
      </c>
      <c r="F4814">
        <v>0</v>
      </c>
      <c r="G4814">
        <v>41900</v>
      </c>
    </row>
    <row r="4815" spans="1:7" x14ac:dyDescent="0.3">
      <c r="A4815" t="s">
        <v>41</v>
      </c>
      <c r="B4815" t="s">
        <v>292</v>
      </c>
      <c r="C4815">
        <v>1320</v>
      </c>
      <c r="D4815">
        <v>4146.3900000000003</v>
      </c>
      <c r="E4815">
        <v>3150</v>
      </c>
      <c r="F4815">
        <v>0</v>
      </c>
      <c r="G4815">
        <v>59066.67</v>
      </c>
    </row>
    <row r="4816" spans="1:7" x14ac:dyDescent="0.3">
      <c r="A4816" t="s">
        <v>41</v>
      </c>
      <c r="B4816" t="s">
        <v>308</v>
      </c>
      <c r="C4816">
        <v>26</v>
      </c>
      <c r="D4816">
        <v>3503.23</v>
      </c>
      <c r="E4816">
        <v>3583.33</v>
      </c>
      <c r="F4816">
        <v>100</v>
      </c>
      <c r="G4816">
        <v>21933.33</v>
      </c>
    </row>
    <row r="4818" spans="1:7" x14ac:dyDescent="0.3">
      <c r="A4818" t="s">
        <v>1894</v>
      </c>
    </row>
    <row r="4819" spans="1:7" x14ac:dyDescent="0.3">
      <c r="A4819" t="s">
        <v>36</v>
      </c>
      <c r="B4819" t="s">
        <v>310</v>
      </c>
      <c r="C4819" t="s">
        <v>24</v>
      </c>
      <c r="D4819" t="s">
        <v>37</v>
      </c>
      <c r="E4819" t="s">
        <v>38</v>
      </c>
      <c r="F4819" t="s">
        <v>39</v>
      </c>
      <c r="G4819" t="s">
        <v>40</v>
      </c>
    </row>
    <row r="4820" spans="1:7" x14ac:dyDescent="0.3">
      <c r="A4820" t="s">
        <v>25</v>
      </c>
      <c r="B4820" t="s">
        <v>311</v>
      </c>
      <c r="C4820">
        <v>324</v>
      </c>
      <c r="D4820">
        <v>4052.78</v>
      </c>
      <c r="E4820">
        <v>3120</v>
      </c>
      <c r="F4820">
        <v>0</v>
      </c>
      <c r="G4820">
        <v>25433.33</v>
      </c>
    </row>
    <row r="4821" spans="1:7" x14ac:dyDescent="0.3">
      <c r="A4821" t="s">
        <v>25</v>
      </c>
      <c r="B4821" t="s">
        <v>312</v>
      </c>
      <c r="C4821">
        <v>80</v>
      </c>
      <c r="D4821">
        <v>3536.66</v>
      </c>
      <c r="E4821">
        <v>3000</v>
      </c>
      <c r="F4821">
        <v>0</v>
      </c>
      <c r="G4821">
        <v>23166.67</v>
      </c>
    </row>
    <row r="4822" spans="1:7" x14ac:dyDescent="0.3">
      <c r="A4822" t="s">
        <v>25</v>
      </c>
      <c r="B4822" t="s">
        <v>308</v>
      </c>
      <c r="C4822">
        <v>10</v>
      </c>
      <c r="D4822">
        <v>3594.06</v>
      </c>
      <c r="E4822">
        <v>1983.33</v>
      </c>
      <c r="F4822">
        <v>0</v>
      </c>
      <c r="G4822">
        <v>11193.33</v>
      </c>
    </row>
    <row r="4823" spans="1:7" x14ac:dyDescent="0.3">
      <c r="A4823" t="s">
        <v>26</v>
      </c>
      <c r="B4823" t="s">
        <v>311</v>
      </c>
      <c r="C4823">
        <v>343</v>
      </c>
      <c r="D4823">
        <v>4964.6000000000004</v>
      </c>
      <c r="E4823">
        <v>3850</v>
      </c>
      <c r="F4823">
        <v>150</v>
      </c>
      <c r="G4823">
        <v>39205</v>
      </c>
    </row>
    <row r="4824" spans="1:7" x14ac:dyDescent="0.3">
      <c r="A4824" t="s">
        <v>26</v>
      </c>
      <c r="B4824" t="s">
        <v>312</v>
      </c>
      <c r="C4824">
        <v>96</v>
      </c>
      <c r="D4824">
        <v>4641.93</v>
      </c>
      <c r="E4824">
        <v>3833.33</v>
      </c>
      <c r="F4824">
        <v>0</v>
      </c>
      <c r="G4824">
        <v>17026.669999999998</v>
      </c>
    </row>
    <row r="4825" spans="1:7" x14ac:dyDescent="0.3">
      <c r="A4825" t="s">
        <v>26</v>
      </c>
      <c r="B4825" t="s">
        <v>308</v>
      </c>
      <c r="C4825">
        <v>38</v>
      </c>
      <c r="D4825">
        <v>7597.83</v>
      </c>
      <c r="E4825">
        <v>6533.33</v>
      </c>
      <c r="F4825">
        <v>150</v>
      </c>
      <c r="G4825">
        <v>19600</v>
      </c>
    </row>
    <row r="4826" spans="1:7" x14ac:dyDescent="0.3">
      <c r="A4826" t="s">
        <v>29</v>
      </c>
      <c r="B4826" t="s">
        <v>311</v>
      </c>
      <c r="C4826">
        <v>414</v>
      </c>
      <c r="D4826">
        <v>3896.66</v>
      </c>
      <c r="E4826">
        <v>2883.33</v>
      </c>
      <c r="F4826">
        <v>0</v>
      </c>
      <c r="G4826">
        <v>21050</v>
      </c>
    </row>
    <row r="4827" spans="1:7" x14ac:dyDescent="0.3">
      <c r="A4827" t="s">
        <v>29</v>
      </c>
      <c r="B4827" t="s">
        <v>312</v>
      </c>
      <c r="C4827">
        <v>103</v>
      </c>
      <c r="D4827">
        <v>4787.95</v>
      </c>
      <c r="E4827">
        <v>3020</v>
      </c>
      <c r="F4827">
        <v>0</v>
      </c>
      <c r="G4827">
        <v>37000</v>
      </c>
    </row>
    <row r="4828" spans="1:7" x14ac:dyDescent="0.3">
      <c r="A4828" t="s">
        <v>29</v>
      </c>
      <c r="B4828" t="s">
        <v>308</v>
      </c>
      <c r="C4828">
        <v>13</v>
      </c>
      <c r="D4828">
        <v>5658.31</v>
      </c>
      <c r="E4828">
        <v>5096.67</v>
      </c>
      <c r="F4828">
        <v>1516.67</v>
      </c>
      <c r="G4828">
        <v>17166.669999999998</v>
      </c>
    </row>
    <row r="4829" spans="1:7" x14ac:dyDescent="0.3">
      <c r="A4829" t="s">
        <v>28</v>
      </c>
      <c r="B4829" t="s">
        <v>311</v>
      </c>
      <c r="C4829">
        <v>223</v>
      </c>
      <c r="D4829">
        <v>3240.54</v>
      </c>
      <c r="E4829">
        <v>2353.33</v>
      </c>
      <c r="F4829">
        <v>0</v>
      </c>
      <c r="G4829">
        <v>41900</v>
      </c>
    </row>
    <row r="4830" spans="1:7" x14ac:dyDescent="0.3">
      <c r="A4830" t="s">
        <v>28</v>
      </c>
      <c r="B4830" t="s">
        <v>312</v>
      </c>
      <c r="C4830">
        <v>93</v>
      </c>
      <c r="D4830">
        <v>3665.2</v>
      </c>
      <c r="E4830">
        <v>2253.33</v>
      </c>
      <c r="F4830">
        <v>0</v>
      </c>
      <c r="G4830">
        <v>21933.33</v>
      </c>
    </row>
    <row r="4831" spans="1:7" x14ac:dyDescent="0.3">
      <c r="A4831" t="s">
        <v>28</v>
      </c>
      <c r="B4831" t="s">
        <v>308</v>
      </c>
      <c r="C4831">
        <v>1</v>
      </c>
      <c r="D4831">
        <v>13416.67</v>
      </c>
      <c r="E4831">
        <v>13416.67</v>
      </c>
      <c r="F4831">
        <v>13416.67</v>
      </c>
      <c r="G4831">
        <v>13416.67</v>
      </c>
    </row>
    <row r="4832" spans="1:7" x14ac:dyDescent="0.3">
      <c r="A4832" t="s">
        <v>27</v>
      </c>
      <c r="B4832" t="s">
        <v>311</v>
      </c>
      <c r="C4832">
        <v>237</v>
      </c>
      <c r="D4832">
        <v>3448.31</v>
      </c>
      <c r="E4832">
        <v>2583.33</v>
      </c>
      <c r="F4832">
        <v>0</v>
      </c>
      <c r="G4832">
        <v>17729.169999999998</v>
      </c>
    </row>
    <row r="4833" spans="1:7" x14ac:dyDescent="0.3">
      <c r="A4833" t="s">
        <v>27</v>
      </c>
      <c r="B4833" t="s">
        <v>312</v>
      </c>
      <c r="C4833">
        <v>60</v>
      </c>
      <c r="D4833">
        <v>4268.2299999999996</v>
      </c>
      <c r="E4833">
        <v>2273.33</v>
      </c>
      <c r="F4833">
        <v>0</v>
      </c>
      <c r="G4833">
        <v>59066.67</v>
      </c>
    </row>
    <row r="4834" spans="1:7" x14ac:dyDescent="0.3">
      <c r="A4834" t="s">
        <v>27</v>
      </c>
      <c r="B4834" t="s">
        <v>308</v>
      </c>
      <c r="C4834">
        <v>3</v>
      </c>
      <c r="D4834">
        <v>1747.67</v>
      </c>
      <c r="E4834">
        <v>2183.33</v>
      </c>
      <c r="F4834">
        <v>1253.33</v>
      </c>
      <c r="G4834">
        <v>2183.33</v>
      </c>
    </row>
    <row r="4835" spans="1:7" x14ac:dyDescent="0.3">
      <c r="A4835" t="s">
        <v>41</v>
      </c>
      <c r="B4835" t="s">
        <v>311</v>
      </c>
      <c r="C4835">
        <v>1541</v>
      </c>
      <c r="D4835">
        <v>4118.8500000000004</v>
      </c>
      <c r="E4835">
        <v>3150</v>
      </c>
      <c r="F4835">
        <v>0</v>
      </c>
      <c r="G4835">
        <v>41900</v>
      </c>
    </row>
    <row r="4836" spans="1:7" x14ac:dyDescent="0.3">
      <c r="A4836" t="s">
        <v>41</v>
      </c>
      <c r="B4836" t="s">
        <v>312</v>
      </c>
      <c r="C4836">
        <v>432</v>
      </c>
      <c r="D4836">
        <v>4420.6400000000003</v>
      </c>
      <c r="E4836">
        <v>3020</v>
      </c>
      <c r="F4836">
        <v>0</v>
      </c>
      <c r="G4836">
        <v>59066.67</v>
      </c>
    </row>
    <row r="4837" spans="1:7" x14ac:dyDescent="0.3">
      <c r="A4837" t="s">
        <v>41</v>
      </c>
      <c r="B4837" t="s">
        <v>308</v>
      </c>
      <c r="C4837">
        <v>65</v>
      </c>
      <c r="D4837">
        <v>6404.19</v>
      </c>
      <c r="E4837">
        <v>5550</v>
      </c>
      <c r="F4837">
        <v>0</v>
      </c>
      <c r="G4837">
        <v>19600</v>
      </c>
    </row>
    <row r="4839" spans="1:7" x14ac:dyDescent="0.3">
      <c r="A4839" t="s">
        <v>1895</v>
      </c>
    </row>
    <row r="4840" spans="1:7" x14ac:dyDescent="0.3">
      <c r="A4840" t="s">
        <v>36</v>
      </c>
      <c r="B4840" t="s">
        <v>197</v>
      </c>
      <c r="C4840" t="s">
        <v>24</v>
      </c>
      <c r="D4840" t="s">
        <v>37</v>
      </c>
      <c r="E4840" t="s">
        <v>38</v>
      </c>
      <c r="F4840" t="s">
        <v>39</v>
      </c>
      <c r="G4840" t="s">
        <v>40</v>
      </c>
    </row>
    <row r="4841" spans="1:7" x14ac:dyDescent="0.3">
      <c r="A4841" t="s">
        <v>25</v>
      </c>
      <c r="B4841" t="s">
        <v>198</v>
      </c>
      <c r="C4841">
        <v>104</v>
      </c>
      <c r="D4841">
        <v>3047.27</v>
      </c>
      <c r="E4841">
        <v>2483.33</v>
      </c>
      <c r="F4841">
        <v>0</v>
      </c>
      <c r="G4841">
        <v>14500</v>
      </c>
    </row>
    <row r="4842" spans="1:7" x14ac:dyDescent="0.3">
      <c r="A4842" t="s">
        <v>25</v>
      </c>
      <c r="B4842" t="s">
        <v>199</v>
      </c>
      <c r="C4842">
        <v>310</v>
      </c>
      <c r="D4842">
        <v>4188.75</v>
      </c>
      <c r="E4842">
        <v>3333.33</v>
      </c>
      <c r="F4842">
        <v>0</v>
      </c>
      <c r="G4842">
        <v>25433.33</v>
      </c>
    </row>
    <row r="4843" spans="1:7" x14ac:dyDescent="0.3">
      <c r="A4843" t="s">
        <v>26</v>
      </c>
      <c r="B4843" t="s">
        <v>198</v>
      </c>
      <c r="C4843">
        <v>41</v>
      </c>
      <c r="D4843">
        <v>3480.71</v>
      </c>
      <c r="E4843">
        <v>2816.67</v>
      </c>
      <c r="F4843">
        <v>570</v>
      </c>
      <c r="G4843">
        <v>10358</v>
      </c>
    </row>
    <row r="4844" spans="1:7" x14ac:dyDescent="0.3">
      <c r="A4844" t="s">
        <v>26</v>
      </c>
      <c r="B4844" t="s">
        <v>199</v>
      </c>
      <c r="C4844">
        <v>436</v>
      </c>
      <c r="D4844">
        <v>5226.6000000000004</v>
      </c>
      <c r="E4844">
        <v>4200</v>
      </c>
      <c r="F4844">
        <v>0</v>
      </c>
      <c r="G4844">
        <v>39205</v>
      </c>
    </row>
    <row r="4845" spans="1:7" x14ac:dyDescent="0.3">
      <c r="A4845" t="s">
        <v>29</v>
      </c>
      <c r="B4845" t="s">
        <v>198</v>
      </c>
      <c r="C4845">
        <v>170</v>
      </c>
      <c r="D4845">
        <v>4367.24</v>
      </c>
      <c r="E4845">
        <v>3030</v>
      </c>
      <c r="F4845">
        <v>0</v>
      </c>
      <c r="G4845">
        <v>37000</v>
      </c>
    </row>
    <row r="4846" spans="1:7" x14ac:dyDescent="0.3">
      <c r="A4846" t="s">
        <v>29</v>
      </c>
      <c r="B4846" t="s">
        <v>199</v>
      </c>
      <c r="C4846">
        <v>360</v>
      </c>
      <c r="D4846">
        <v>3980.98</v>
      </c>
      <c r="E4846">
        <v>2916.67</v>
      </c>
      <c r="F4846">
        <v>0</v>
      </c>
      <c r="G4846">
        <v>22700</v>
      </c>
    </row>
    <row r="4847" spans="1:7" x14ac:dyDescent="0.3">
      <c r="A4847" t="s">
        <v>28</v>
      </c>
      <c r="B4847" t="s">
        <v>198</v>
      </c>
      <c r="C4847">
        <v>70</v>
      </c>
      <c r="D4847">
        <v>3090.73</v>
      </c>
      <c r="E4847">
        <v>2300</v>
      </c>
      <c r="F4847">
        <v>0</v>
      </c>
      <c r="G4847">
        <v>21933.33</v>
      </c>
    </row>
    <row r="4848" spans="1:7" x14ac:dyDescent="0.3">
      <c r="A4848" t="s">
        <v>28</v>
      </c>
      <c r="B4848" t="s">
        <v>199</v>
      </c>
      <c r="C4848">
        <v>247</v>
      </c>
      <c r="D4848">
        <v>3469.93</v>
      </c>
      <c r="E4848">
        <v>2365</v>
      </c>
      <c r="F4848">
        <v>0</v>
      </c>
      <c r="G4848">
        <v>41900</v>
      </c>
    </row>
    <row r="4849" spans="1:7" x14ac:dyDescent="0.3">
      <c r="A4849" t="s">
        <v>27</v>
      </c>
      <c r="B4849" t="s">
        <v>198</v>
      </c>
      <c r="C4849">
        <v>136</v>
      </c>
      <c r="D4849">
        <v>3963.37</v>
      </c>
      <c r="E4849">
        <v>2383.33</v>
      </c>
      <c r="F4849">
        <v>0</v>
      </c>
      <c r="G4849">
        <v>59066.67</v>
      </c>
    </row>
    <row r="4850" spans="1:7" x14ac:dyDescent="0.3">
      <c r="A4850" t="s">
        <v>27</v>
      </c>
      <c r="B4850" t="s">
        <v>199</v>
      </c>
      <c r="C4850">
        <v>164</v>
      </c>
      <c r="D4850">
        <v>3209.74</v>
      </c>
      <c r="E4850">
        <v>2333.33</v>
      </c>
      <c r="F4850">
        <v>0</v>
      </c>
      <c r="G4850">
        <v>17466.669999999998</v>
      </c>
    </row>
    <row r="4851" spans="1:7" x14ac:dyDescent="0.3">
      <c r="A4851" t="s">
        <v>41</v>
      </c>
      <c r="B4851" t="s">
        <v>198</v>
      </c>
      <c r="C4851">
        <v>521</v>
      </c>
      <c r="D4851">
        <v>3979.43</v>
      </c>
      <c r="E4851">
        <v>2783.33</v>
      </c>
      <c r="F4851">
        <v>0</v>
      </c>
      <c r="G4851">
        <v>59066.67</v>
      </c>
    </row>
    <row r="4852" spans="1:7" x14ac:dyDescent="0.3">
      <c r="A4852" t="s">
        <v>41</v>
      </c>
      <c r="B4852" t="s">
        <v>199</v>
      </c>
      <c r="C4852">
        <v>1517</v>
      </c>
      <c r="D4852">
        <v>4346.63</v>
      </c>
      <c r="E4852">
        <v>3336.67</v>
      </c>
      <c r="F4852">
        <v>0</v>
      </c>
      <c r="G4852">
        <v>41900</v>
      </c>
    </row>
    <row r="4854" spans="1:7" x14ac:dyDescent="0.3">
      <c r="A4854" t="s">
        <v>1896</v>
      </c>
    </row>
    <row r="4855" spans="1:7" x14ac:dyDescent="0.3">
      <c r="A4855" t="s">
        <v>36</v>
      </c>
      <c r="B4855" t="s">
        <v>1233</v>
      </c>
      <c r="C4855" t="s">
        <v>24</v>
      </c>
      <c r="D4855" t="s">
        <v>37</v>
      </c>
      <c r="E4855" t="s">
        <v>38</v>
      </c>
      <c r="F4855" t="s">
        <v>39</v>
      </c>
      <c r="G4855" t="s">
        <v>40</v>
      </c>
    </row>
    <row r="4856" spans="1:7" x14ac:dyDescent="0.3">
      <c r="A4856" t="s">
        <v>25</v>
      </c>
      <c r="B4856" t="s">
        <v>1234</v>
      </c>
      <c r="C4856">
        <v>257</v>
      </c>
      <c r="D4856">
        <v>4163.99</v>
      </c>
      <c r="E4856">
        <v>3525</v>
      </c>
      <c r="F4856">
        <v>0</v>
      </c>
      <c r="G4856">
        <v>22316.67</v>
      </c>
    </row>
    <row r="4857" spans="1:7" s="3" customFormat="1" x14ac:dyDescent="0.3">
      <c r="A4857" s="3" t="s">
        <v>25</v>
      </c>
      <c r="B4857" s="3" t="s">
        <v>1235</v>
      </c>
      <c r="C4857" s="3">
        <v>25</v>
      </c>
      <c r="D4857" s="3">
        <v>8785.86</v>
      </c>
      <c r="E4857" s="3">
        <v>7900</v>
      </c>
      <c r="F4857" s="3">
        <v>0</v>
      </c>
      <c r="G4857" s="3">
        <v>25433.33</v>
      </c>
    </row>
    <row r="4858" spans="1:7" x14ac:dyDescent="0.3">
      <c r="A4858" t="s">
        <v>25</v>
      </c>
      <c r="B4858" t="s">
        <v>1237</v>
      </c>
      <c r="C4858">
        <v>132</v>
      </c>
      <c r="D4858">
        <v>2444.65</v>
      </c>
      <c r="E4858">
        <v>1820</v>
      </c>
      <c r="F4858">
        <v>0</v>
      </c>
      <c r="G4858">
        <v>15066.67</v>
      </c>
    </row>
    <row r="4859" spans="1:7" x14ac:dyDescent="0.3">
      <c r="A4859" t="s">
        <v>26</v>
      </c>
      <c r="B4859" t="s">
        <v>1234</v>
      </c>
      <c r="C4859">
        <v>296</v>
      </c>
      <c r="D4859">
        <v>5523.88</v>
      </c>
      <c r="E4859">
        <v>4983.33</v>
      </c>
      <c r="F4859">
        <v>150</v>
      </c>
      <c r="G4859">
        <v>19266.669999999998</v>
      </c>
    </row>
    <row r="4860" spans="1:7" x14ac:dyDescent="0.3">
      <c r="A4860" t="s">
        <v>26</v>
      </c>
      <c r="B4860" t="s">
        <v>1235</v>
      </c>
      <c r="C4860">
        <v>37</v>
      </c>
      <c r="D4860">
        <v>8913.5400000000009</v>
      </c>
      <c r="E4860">
        <v>7100</v>
      </c>
      <c r="F4860">
        <v>1010</v>
      </c>
      <c r="G4860">
        <v>39205</v>
      </c>
    </row>
    <row r="4861" spans="1:7" x14ac:dyDescent="0.3">
      <c r="A4861" t="s">
        <v>26</v>
      </c>
      <c r="B4861" t="s">
        <v>1237</v>
      </c>
      <c r="C4861">
        <v>144</v>
      </c>
      <c r="D4861">
        <v>3112.23</v>
      </c>
      <c r="E4861">
        <v>2535</v>
      </c>
      <c r="F4861">
        <v>0</v>
      </c>
      <c r="G4861">
        <v>14726.67</v>
      </c>
    </row>
    <row r="4862" spans="1:7" x14ac:dyDescent="0.3">
      <c r="A4862" t="s">
        <v>29</v>
      </c>
      <c r="B4862" t="s">
        <v>1234</v>
      </c>
      <c r="C4862">
        <v>372</v>
      </c>
      <c r="D4862">
        <v>4329.97</v>
      </c>
      <c r="E4862">
        <v>3383.33</v>
      </c>
      <c r="F4862">
        <v>66.67</v>
      </c>
      <c r="G4862">
        <v>22700</v>
      </c>
    </row>
    <row r="4863" spans="1:7" x14ac:dyDescent="0.3">
      <c r="A4863" t="s">
        <v>29</v>
      </c>
      <c r="B4863" t="s">
        <v>1235</v>
      </c>
      <c r="C4863">
        <v>38</v>
      </c>
      <c r="D4863">
        <v>7870.01</v>
      </c>
      <c r="E4863">
        <v>6116.67</v>
      </c>
      <c r="F4863">
        <v>1183.33</v>
      </c>
      <c r="G4863">
        <v>37000</v>
      </c>
    </row>
    <row r="4864" spans="1:7" x14ac:dyDescent="0.3">
      <c r="A4864" t="s">
        <v>29</v>
      </c>
      <c r="B4864" t="s">
        <v>1237</v>
      </c>
      <c r="C4864">
        <v>120</v>
      </c>
      <c r="D4864">
        <v>2080.2399999999998</v>
      </c>
      <c r="E4864">
        <v>1691.67</v>
      </c>
      <c r="F4864">
        <v>0</v>
      </c>
      <c r="G4864">
        <v>10150</v>
      </c>
    </row>
    <row r="4865" spans="1:7" x14ac:dyDescent="0.3">
      <c r="A4865" t="s">
        <v>28</v>
      </c>
      <c r="B4865" t="s">
        <v>1234</v>
      </c>
      <c r="C4865">
        <v>126</v>
      </c>
      <c r="D4865">
        <v>4076.42</v>
      </c>
      <c r="E4865">
        <v>3100</v>
      </c>
      <c r="F4865">
        <v>100</v>
      </c>
      <c r="G4865">
        <v>41900</v>
      </c>
    </row>
    <row r="4866" spans="1:7" s="3" customFormat="1" x14ac:dyDescent="0.3">
      <c r="A4866" s="3" t="s">
        <v>28</v>
      </c>
      <c r="B4866" s="3" t="s">
        <v>1235</v>
      </c>
      <c r="C4866" s="3">
        <v>17</v>
      </c>
      <c r="D4866" s="3">
        <v>7670.8</v>
      </c>
      <c r="E4866" s="3">
        <v>5500</v>
      </c>
      <c r="F4866" s="3">
        <v>950</v>
      </c>
      <c r="G4866" s="3">
        <v>22916.67</v>
      </c>
    </row>
    <row r="4867" spans="1:7" x14ac:dyDescent="0.3">
      <c r="A4867" t="s">
        <v>28</v>
      </c>
      <c r="B4867" t="s">
        <v>1237</v>
      </c>
      <c r="C4867">
        <v>174</v>
      </c>
      <c r="D4867">
        <v>2475.06</v>
      </c>
      <c r="E4867">
        <v>1866.67</v>
      </c>
      <c r="F4867">
        <v>0</v>
      </c>
      <c r="G4867">
        <v>13436.67</v>
      </c>
    </row>
    <row r="4868" spans="1:7" x14ac:dyDescent="0.3">
      <c r="A4868" t="s">
        <v>27</v>
      </c>
      <c r="B4868" t="s">
        <v>1234</v>
      </c>
      <c r="C4868">
        <v>149</v>
      </c>
      <c r="D4868">
        <v>4315.7700000000004</v>
      </c>
      <c r="E4868">
        <v>3646.67</v>
      </c>
      <c r="F4868">
        <v>0</v>
      </c>
      <c r="G4868">
        <v>17729.169999999998</v>
      </c>
    </row>
    <row r="4869" spans="1:7" s="3" customFormat="1" x14ac:dyDescent="0.3">
      <c r="A4869" s="3" t="s">
        <v>27</v>
      </c>
      <c r="B4869" s="3" t="s">
        <v>1235</v>
      </c>
      <c r="C4869" s="3">
        <v>10</v>
      </c>
      <c r="D4869" s="3">
        <v>10499.57</v>
      </c>
      <c r="E4869" s="3">
        <v>6400</v>
      </c>
      <c r="F4869" s="3">
        <v>1466.67</v>
      </c>
      <c r="G4869" s="3">
        <v>59066.67</v>
      </c>
    </row>
    <row r="4870" spans="1:7" x14ac:dyDescent="0.3">
      <c r="A4870" t="s">
        <v>27</v>
      </c>
      <c r="B4870" t="s">
        <v>1237</v>
      </c>
      <c r="C4870">
        <v>141</v>
      </c>
      <c r="D4870">
        <v>1974.98</v>
      </c>
      <c r="E4870">
        <v>1616.67</v>
      </c>
      <c r="F4870">
        <v>0</v>
      </c>
      <c r="G4870">
        <v>9650</v>
      </c>
    </row>
    <row r="4871" spans="1:7" x14ac:dyDescent="0.3">
      <c r="A4871" t="s">
        <v>41</v>
      </c>
      <c r="B4871" t="s">
        <v>1234</v>
      </c>
      <c r="C4871">
        <v>1200</v>
      </c>
      <c r="D4871">
        <v>4569.45</v>
      </c>
      <c r="E4871">
        <v>3675</v>
      </c>
      <c r="F4871">
        <v>0</v>
      </c>
      <c r="G4871">
        <v>41900</v>
      </c>
    </row>
    <row r="4872" spans="1:7" x14ac:dyDescent="0.3">
      <c r="A4872" t="s">
        <v>41</v>
      </c>
      <c r="B4872" t="s">
        <v>1235</v>
      </c>
      <c r="C4872">
        <v>127</v>
      </c>
      <c r="D4872">
        <v>8399.98</v>
      </c>
      <c r="E4872">
        <v>6400</v>
      </c>
      <c r="F4872">
        <v>0</v>
      </c>
      <c r="G4872">
        <v>59066.67</v>
      </c>
    </row>
    <row r="4873" spans="1:7" x14ac:dyDescent="0.3">
      <c r="A4873" t="s">
        <v>41</v>
      </c>
      <c r="B4873" t="s">
        <v>1237</v>
      </c>
      <c r="C4873">
        <v>711</v>
      </c>
      <c r="D4873">
        <v>2447.8000000000002</v>
      </c>
      <c r="E4873">
        <v>1850</v>
      </c>
      <c r="F4873">
        <v>0</v>
      </c>
      <c r="G4873">
        <v>15066.67</v>
      </c>
    </row>
    <row r="4875" spans="1:7" x14ac:dyDescent="0.3">
      <c r="A4875" t="s">
        <v>1897</v>
      </c>
    </row>
    <row r="4876" spans="1:7" x14ac:dyDescent="0.3">
      <c r="A4876" t="s">
        <v>36</v>
      </c>
      <c r="B4876" t="s">
        <v>1552</v>
      </c>
      <c r="C4876" t="s">
        <v>24</v>
      </c>
      <c r="D4876" t="s">
        <v>37</v>
      </c>
      <c r="E4876" t="s">
        <v>38</v>
      </c>
      <c r="F4876" t="s">
        <v>39</v>
      </c>
      <c r="G4876" t="s">
        <v>40</v>
      </c>
    </row>
    <row r="4877" spans="1:7" x14ac:dyDescent="0.3">
      <c r="A4877" t="s">
        <v>25</v>
      </c>
      <c r="B4877" t="s">
        <v>1553</v>
      </c>
      <c r="C4877">
        <v>280</v>
      </c>
      <c r="D4877">
        <v>4423.63</v>
      </c>
      <c r="E4877">
        <v>3430</v>
      </c>
      <c r="F4877">
        <v>0</v>
      </c>
      <c r="G4877">
        <v>25433.33</v>
      </c>
    </row>
    <row r="4878" spans="1:7" x14ac:dyDescent="0.3">
      <c r="A4878" t="s">
        <v>25</v>
      </c>
      <c r="B4878" t="s">
        <v>1554</v>
      </c>
      <c r="C4878">
        <v>134</v>
      </c>
      <c r="D4878">
        <v>2968.28</v>
      </c>
      <c r="E4878">
        <v>2120</v>
      </c>
      <c r="F4878">
        <v>0</v>
      </c>
      <c r="G4878">
        <v>11675</v>
      </c>
    </row>
    <row r="4879" spans="1:7" x14ac:dyDescent="0.3">
      <c r="A4879" t="s">
        <v>26</v>
      </c>
      <c r="B4879" t="s">
        <v>1553</v>
      </c>
      <c r="C4879">
        <v>337</v>
      </c>
      <c r="D4879">
        <v>5825.16</v>
      </c>
      <c r="E4879">
        <v>4950</v>
      </c>
      <c r="F4879">
        <v>0</v>
      </c>
      <c r="G4879">
        <v>39205</v>
      </c>
    </row>
    <row r="4880" spans="1:7" x14ac:dyDescent="0.3">
      <c r="A4880" t="s">
        <v>26</v>
      </c>
      <c r="B4880" t="s">
        <v>1554</v>
      </c>
      <c r="C4880">
        <v>140</v>
      </c>
      <c r="D4880">
        <v>3243.37</v>
      </c>
      <c r="E4880">
        <v>2683.33</v>
      </c>
      <c r="F4880">
        <v>283.33</v>
      </c>
      <c r="G4880">
        <v>17220</v>
      </c>
    </row>
    <row r="4881" spans="1:7" x14ac:dyDescent="0.3">
      <c r="A4881" t="s">
        <v>29</v>
      </c>
      <c r="B4881" t="s">
        <v>1553</v>
      </c>
      <c r="C4881">
        <v>395</v>
      </c>
      <c r="D4881">
        <v>4516.8</v>
      </c>
      <c r="E4881">
        <v>3433.33</v>
      </c>
      <c r="F4881">
        <v>0</v>
      </c>
      <c r="G4881">
        <v>37000</v>
      </c>
    </row>
    <row r="4882" spans="1:7" x14ac:dyDescent="0.3">
      <c r="A4882" t="s">
        <v>29</v>
      </c>
      <c r="B4882" t="s">
        <v>1554</v>
      </c>
      <c r="C4882">
        <v>135</v>
      </c>
      <c r="D4882">
        <v>2777.04</v>
      </c>
      <c r="E4882">
        <v>1866.67</v>
      </c>
      <c r="F4882">
        <v>0</v>
      </c>
      <c r="G4882">
        <v>18603.330000000002</v>
      </c>
    </row>
    <row r="4883" spans="1:7" x14ac:dyDescent="0.3">
      <c r="A4883" t="s">
        <v>28</v>
      </c>
      <c r="B4883" t="s">
        <v>1553</v>
      </c>
      <c r="C4883">
        <v>224</v>
      </c>
      <c r="D4883">
        <v>3791.99</v>
      </c>
      <c r="E4883">
        <v>2483.33</v>
      </c>
      <c r="F4883">
        <v>0</v>
      </c>
      <c r="G4883">
        <v>41900</v>
      </c>
    </row>
    <row r="4884" spans="1:7" x14ac:dyDescent="0.3">
      <c r="A4884" t="s">
        <v>28</v>
      </c>
      <c r="B4884" t="s">
        <v>1554</v>
      </c>
      <c r="C4884">
        <v>93</v>
      </c>
      <c r="D4884">
        <v>2516.86</v>
      </c>
      <c r="E4884">
        <v>2033.33</v>
      </c>
      <c r="F4884">
        <v>0</v>
      </c>
      <c r="G4884">
        <v>13196.67</v>
      </c>
    </row>
    <row r="4885" spans="1:7" x14ac:dyDescent="0.3">
      <c r="A4885" t="s">
        <v>27</v>
      </c>
      <c r="B4885" t="s">
        <v>1553</v>
      </c>
      <c r="C4885">
        <v>162</v>
      </c>
      <c r="D4885">
        <v>4347.4799999999996</v>
      </c>
      <c r="E4885">
        <v>3400</v>
      </c>
      <c r="F4885">
        <v>0</v>
      </c>
      <c r="G4885">
        <v>59066.67</v>
      </c>
    </row>
    <row r="4886" spans="1:7" x14ac:dyDescent="0.3">
      <c r="A4886" t="s">
        <v>27</v>
      </c>
      <c r="B4886" t="s">
        <v>1554</v>
      </c>
      <c r="C4886">
        <v>138</v>
      </c>
      <c r="D4886">
        <v>2471.21</v>
      </c>
      <c r="E4886">
        <v>1723.33</v>
      </c>
      <c r="F4886">
        <v>0</v>
      </c>
      <c r="G4886">
        <v>17729.169999999998</v>
      </c>
    </row>
    <row r="4887" spans="1:7" x14ac:dyDescent="0.3">
      <c r="A4887" t="s">
        <v>41</v>
      </c>
      <c r="B4887" t="s">
        <v>1553</v>
      </c>
      <c r="C4887">
        <v>1398</v>
      </c>
      <c r="D4887">
        <v>4780.6499999999996</v>
      </c>
      <c r="E4887">
        <v>3650</v>
      </c>
      <c r="F4887">
        <v>0</v>
      </c>
      <c r="G4887">
        <v>59066.67</v>
      </c>
    </row>
    <row r="4888" spans="1:7" x14ac:dyDescent="0.3">
      <c r="A4888" t="s">
        <v>41</v>
      </c>
      <c r="B4888" t="s">
        <v>1554</v>
      </c>
      <c r="C4888">
        <v>640</v>
      </c>
      <c r="D4888">
        <v>2894.94</v>
      </c>
      <c r="E4888">
        <v>2120</v>
      </c>
      <c r="F4888">
        <v>0</v>
      </c>
      <c r="G4888">
        <v>18603.330000000002</v>
      </c>
    </row>
    <row r="4890" spans="1:7" x14ac:dyDescent="0.3">
      <c r="A4890" t="s">
        <v>1898</v>
      </c>
    </row>
    <row r="4891" spans="1:7" x14ac:dyDescent="0.3">
      <c r="A4891" t="s">
        <v>36</v>
      </c>
      <c r="B4891" t="s">
        <v>1899</v>
      </c>
      <c r="C4891" t="s">
        <v>24</v>
      </c>
      <c r="D4891" t="s">
        <v>37</v>
      </c>
      <c r="E4891" t="s">
        <v>38</v>
      </c>
      <c r="F4891" t="s">
        <v>39</v>
      </c>
      <c r="G4891" t="s">
        <v>40</v>
      </c>
    </row>
    <row r="4892" spans="1:7" x14ac:dyDescent="0.3">
      <c r="A4892" t="s">
        <v>25</v>
      </c>
      <c r="B4892" t="s">
        <v>1900</v>
      </c>
      <c r="C4892">
        <v>340</v>
      </c>
      <c r="D4892">
        <v>4024.46</v>
      </c>
      <c r="E4892">
        <v>3076.67</v>
      </c>
      <c r="F4892">
        <v>0</v>
      </c>
      <c r="G4892">
        <v>25433.33</v>
      </c>
    </row>
    <row r="4893" spans="1:7" x14ac:dyDescent="0.3">
      <c r="A4893" t="s">
        <v>25</v>
      </c>
      <c r="B4893" t="s">
        <v>1901</v>
      </c>
      <c r="C4893">
        <v>73</v>
      </c>
      <c r="D4893">
        <v>3584.66</v>
      </c>
      <c r="E4893">
        <v>3000</v>
      </c>
      <c r="F4893">
        <v>286.67</v>
      </c>
      <c r="G4893">
        <v>12450</v>
      </c>
    </row>
    <row r="4894" spans="1:7" x14ac:dyDescent="0.3">
      <c r="A4894" t="s">
        <v>25</v>
      </c>
      <c r="B4894" t="s">
        <v>308</v>
      </c>
      <c r="C4894">
        <v>1</v>
      </c>
      <c r="D4894">
        <v>900</v>
      </c>
      <c r="E4894">
        <v>900</v>
      </c>
      <c r="F4894">
        <v>900</v>
      </c>
      <c r="G4894">
        <v>900</v>
      </c>
    </row>
    <row r="4895" spans="1:7" x14ac:dyDescent="0.3">
      <c r="A4895" t="s">
        <v>26</v>
      </c>
      <c r="B4895" t="s">
        <v>1900</v>
      </c>
      <c r="C4895">
        <v>399</v>
      </c>
      <c r="D4895">
        <v>5467.5</v>
      </c>
      <c r="E4895">
        <v>4414.17</v>
      </c>
      <c r="F4895">
        <v>150</v>
      </c>
      <c r="G4895">
        <v>19600</v>
      </c>
    </row>
    <row r="4896" spans="1:7" x14ac:dyDescent="0.3">
      <c r="A4896" t="s">
        <v>26</v>
      </c>
      <c r="B4896" t="s">
        <v>1901</v>
      </c>
      <c r="C4896">
        <v>76</v>
      </c>
      <c r="D4896">
        <v>3435.05</v>
      </c>
      <c r="E4896">
        <v>2323.33</v>
      </c>
      <c r="F4896">
        <v>150</v>
      </c>
      <c r="G4896">
        <v>39205</v>
      </c>
    </row>
    <row r="4897" spans="1:7" x14ac:dyDescent="0.3">
      <c r="A4897" t="s">
        <v>26</v>
      </c>
      <c r="B4897" t="s">
        <v>308</v>
      </c>
      <c r="C4897">
        <v>2</v>
      </c>
      <c r="D4897">
        <v>1189.0999999999999</v>
      </c>
      <c r="E4897">
        <v>2091.67</v>
      </c>
      <c r="F4897">
        <v>0</v>
      </c>
      <c r="G4897">
        <v>2091.67</v>
      </c>
    </row>
    <row r="4898" spans="1:7" x14ac:dyDescent="0.3">
      <c r="A4898" t="s">
        <v>29</v>
      </c>
      <c r="B4898" t="s">
        <v>1900</v>
      </c>
      <c r="C4898">
        <v>396</v>
      </c>
      <c r="D4898">
        <v>4237.3599999999997</v>
      </c>
      <c r="E4898">
        <v>3150</v>
      </c>
      <c r="F4898">
        <v>0</v>
      </c>
      <c r="G4898">
        <v>37000</v>
      </c>
    </row>
    <row r="4899" spans="1:7" x14ac:dyDescent="0.3">
      <c r="A4899" t="s">
        <v>29</v>
      </c>
      <c r="B4899" t="s">
        <v>1901</v>
      </c>
      <c r="C4899">
        <v>132</v>
      </c>
      <c r="D4899">
        <v>3734.71</v>
      </c>
      <c r="E4899">
        <v>2581.67</v>
      </c>
      <c r="F4899">
        <v>0</v>
      </c>
      <c r="G4899">
        <v>28230</v>
      </c>
    </row>
    <row r="4900" spans="1:7" x14ac:dyDescent="0.3">
      <c r="A4900" t="s">
        <v>29</v>
      </c>
      <c r="B4900" t="s">
        <v>308</v>
      </c>
      <c r="C4900">
        <v>2</v>
      </c>
      <c r="D4900">
        <v>0</v>
      </c>
      <c r="E4900">
        <v>0</v>
      </c>
      <c r="F4900">
        <v>0</v>
      </c>
      <c r="G4900">
        <v>0</v>
      </c>
    </row>
    <row r="4901" spans="1:7" x14ac:dyDescent="0.3">
      <c r="A4901" t="s">
        <v>28</v>
      </c>
      <c r="B4901" t="s">
        <v>1900</v>
      </c>
      <c r="C4901">
        <v>175</v>
      </c>
      <c r="D4901">
        <v>3687.84</v>
      </c>
      <c r="E4901">
        <v>2700</v>
      </c>
      <c r="F4901">
        <v>0</v>
      </c>
      <c r="G4901">
        <v>41900</v>
      </c>
    </row>
    <row r="4902" spans="1:7" x14ac:dyDescent="0.3">
      <c r="A4902" t="s">
        <v>28</v>
      </c>
      <c r="B4902" t="s">
        <v>1901</v>
      </c>
      <c r="C4902">
        <v>138</v>
      </c>
      <c r="D4902">
        <v>2917.8</v>
      </c>
      <c r="E4902">
        <v>2016.67</v>
      </c>
      <c r="F4902">
        <v>0</v>
      </c>
      <c r="G4902">
        <v>22916.67</v>
      </c>
    </row>
    <row r="4903" spans="1:7" x14ac:dyDescent="0.3">
      <c r="A4903" t="s">
        <v>28</v>
      </c>
      <c r="B4903" t="s">
        <v>308</v>
      </c>
      <c r="C4903">
        <v>4</v>
      </c>
      <c r="D4903">
        <v>3964.97</v>
      </c>
      <c r="E4903">
        <v>0</v>
      </c>
      <c r="F4903">
        <v>0</v>
      </c>
      <c r="G4903">
        <v>21933.33</v>
      </c>
    </row>
    <row r="4904" spans="1:7" x14ac:dyDescent="0.3">
      <c r="A4904" t="s">
        <v>27</v>
      </c>
      <c r="B4904" t="s">
        <v>1900</v>
      </c>
      <c r="C4904">
        <v>245</v>
      </c>
      <c r="D4904">
        <v>3685.87</v>
      </c>
      <c r="E4904">
        <v>2350</v>
      </c>
      <c r="F4904">
        <v>0</v>
      </c>
      <c r="G4904">
        <v>59066.67</v>
      </c>
    </row>
    <row r="4905" spans="1:7" x14ac:dyDescent="0.3">
      <c r="A4905" t="s">
        <v>27</v>
      </c>
      <c r="B4905" t="s">
        <v>1901</v>
      </c>
      <c r="C4905">
        <v>51</v>
      </c>
      <c r="D4905">
        <v>3236.74</v>
      </c>
      <c r="E4905">
        <v>3136.67</v>
      </c>
      <c r="F4905">
        <v>0</v>
      </c>
      <c r="G4905">
        <v>13073.33</v>
      </c>
    </row>
    <row r="4906" spans="1:7" x14ac:dyDescent="0.3">
      <c r="A4906" t="s">
        <v>27</v>
      </c>
      <c r="B4906" t="s">
        <v>308</v>
      </c>
      <c r="C4906">
        <v>4</v>
      </c>
      <c r="D4906">
        <v>0</v>
      </c>
      <c r="E4906">
        <v>0</v>
      </c>
      <c r="F4906">
        <v>0</v>
      </c>
      <c r="G4906">
        <v>0</v>
      </c>
    </row>
    <row r="4907" spans="1:7" x14ac:dyDescent="0.3">
      <c r="A4907" t="s">
        <v>41</v>
      </c>
      <c r="B4907" t="s">
        <v>1900</v>
      </c>
      <c r="C4907">
        <v>1555</v>
      </c>
      <c r="D4907">
        <v>4465.1099999999997</v>
      </c>
      <c r="E4907">
        <v>3433.33</v>
      </c>
      <c r="F4907">
        <v>0</v>
      </c>
      <c r="G4907">
        <v>59066.67</v>
      </c>
    </row>
    <row r="4908" spans="1:7" x14ac:dyDescent="0.3">
      <c r="A4908" t="s">
        <v>41</v>
      </c>
      <c r="B4908" t="s">
        <v>1901</v>
      </c>
      <c r="C4908">
        <v>470</v>
      </c>
      <c r="D4908">
        <v>3565.38</v>
      </c>
      <c r="E4908">
        <v>2563.33</v>
      </c>
      <c r="F4908">
        <v>0</v>
      </c>
      <c r="G4908">
        <v>39205</v>
      </c>
    </row>
    <row r="4909" spans="1:7" x14ac:dyDescent="0.3">
      <c r="A4909" t="s">
        <v>41</v>
      </c>
      <c r="B4909" t="s">
        <v>308</v>
      </c>
      <c r="C4909">
        <v>13</v>
      </c>
      <c r="D4909">
        <v>1135.31</v>
      </c>
      <c r="E4909">
        <v>0</v>
      </c>
      <c r="F4909">
        <v>0</v>
      </c>
      <c r="G4909">
        <v>21933.33</v>
      </c>
    </row>
    <row r="4911" spans="1:7" x14ac:dyDescent="0.3">
      <c r="A4911" t="s">
        <v>1902</v>
      </c>
    </row>
    <row r="4912" spans="1:7" x14ac:dyDescent="0.3">
      <c r="A4912" t="s">
        <v>36</v>
      </c>
      <c r="B4912" t="s">
        <v>210</v>
      </c>
      <c r="C4912" t="s">
        <v>24</v>
      </c>
      <c r="D4912" t="s">
        <v>37</v>
      </c>
      <c r="E4912" t="s">
        <v>38</v>
      </c>
      <c r="F4912" t="s">
        <v>39</v>
      </c>
      <c r="G4912" t="s">
        <v>40</v>
      </c>
    </row>
    <row r="4913" spans="1:51" x14ac:dyDescent="0.3">
      <c r="A4913" t="s">
        <v>25</v>
      </c>
      <c r="B4913" t="s">
        <v>211</v>
      </c>
      <c r="C4913">
        <v>414</v>
      </c>
      <c r="D4913">
        <v>3946.13</v>
      </c>
      <c r="E4913">
        <v>3058.33</v>
      </c>
      <c r="F4913">
        <v>0</v>
      </c>
      <c r="G4913">
        <v>25433.33</v>
      </c>
    </row>
    <row r="4914" spans="1:51" x14ac:dyDescent="0.3">
      <c r="A4914" t="s">
        <v>26</v>
      </c>
      <c r="B4914" t="s">
        <v>211</v>
      </c>
      <c r="C4914">
        <v>223</v>
      </c>
      <c r="D4914">
        <v>5334.41</v>
      </c>
      <c r="E4914">
        <v>4600</v>
      </c>
      <c r="F4914">
        <v>0</v>
      </c>
      <c r="G4914">
        <v>19600</v>
      </c>
    </row>
    <row r="4915" spans="1:51" x14ac:dyDescent="0.3">
      <c r="A4915" t="s">
        <v>26</v>
      </c>
      <c r="B4915" t="s">
        <v>212</v>
      </c>
      <c r="C4915">
        <v>254</v>
      </c>
      <c r="D4915">
        <v>4946.22</v>
      </c>
      <c r="E4915">
        <v>3815</v>
      </c>
      <c r="F4915">
        <v>150</v>
      </c>
      <c r="G4915">
        <v>39205</v>
      </c>
    </row>
    <row r="4916" spans="1:51" x14ac:dyDescent="0.3">
      <c r="A4916" t="s">
        <v>29</v>
      </c>
      <c r="B4916" t="s">
        <v>211</v>
      </c>
      <c r="C4916">
        <v>530</v>
      </c>
      <c r="D4916">
        <v>4101.6400000000003</v>
      </c>
      <c r="E4916">
        <v>2981.67</v>
      </c>
      <c r="F4916">
        <v>0</v>
      </c>
      <c r="G4916">
        <v>37000</v>
      </c>
    </row>
    <row r="4917" spans="1:51" x14ac:dyDescent="0.3">
      <c r="A4917" t="s">
        <v>28</v>
      </c>
      <c r="B4917" t="s">
        <v>211</v>
      </c>
      <c r="C4917">
        <v>277</v>
      </c>
      <c r="D4917">
        <v>3445.89</v>
      </c>
      <c r="E4917">
        <v>2368.33</v>
      </c>
      <c r="F4917">
        <v>0</v>
      </c>
      <c r="G4917">
        <v>41900</v>
      </c>
    </row>
    <row r="4918" spans="1:51" x14ac:dyDescent="0.3">
      <c r="A4918" t="s">
        <v>28</v>
      </c>
      <c r="B4918" t="s">
        <v>212</v>
      </c>
      <c r="C4918">
        <v>40</v>
      </c>
      <c r="D4918">
        <v>2778.06</v>
      </c>
      <c r="E4918">
        <v>2183.33</v>
      </c>
      <c r="F4918">
        <v>533.33000000000004</v>
      </c>
      <c r="G4918">
        <v>7266.67</v>
      </c>
    </row>
    <row r="4919" spans="1:51" x14ac:dyDescent="0.3">
      <c r="A4919" t="s">
        <v>27</v>
      </c>
      <c r="B4919" t="s">
        <v>211</v>
      </c>
      <c r="C4919">
        <v>270</v>
      </c>
      <c r="D4919">
        <v>3646.65</v>
      </c>
      <c r="E4919">
        <v>2466.67</v>
      </c>
      <c r="F4919">
        <v>0</v>
      </c>
      <c r="G4919">
        <v>59066.67</v>
      </c>
    </row>
    <row r="4920" spans="1:51" s="3" customFormat="1" x14ac:dyDescent="0.3">
      <c r="A4920" s="3" t="s">
        <v>27</v>
      </c>
      <c r="B4920" s="3" t="s">
        <v>212</v>
      </c>
      <c r="C4920" s="3">
        <v>30</v>
      </c>
      <c r="D4920" s="3">
        <v>2278.37</v>
      </c>
      <c r="E4920" s="3">
        <v>1813.33</v>
      </c>
      <c r="F4920" s="3">
        <v>0</v>
      </c>
      <c r="G4920" s="3">
        <v>6400</v>
      </c>
    </row>
    <row r="4921" spans="1:51" x14ac:dyDescent="0.3">
      <c r="A4921" t="s">
        <v>41</v>
      </c>
      <c r="B4921" t="s">
        <v>211</v>
      </c>
      <c r="C4921">
        <v>1714</v>
      </c>
      <c r="D4921">
        <v>4173.6899999999996</v>
      </c>
      <c r="E4921">
        <v>3130</v>
      </c>
      <c r="F4921">
        <v>0</v>
      </c>
      <c r="G4921">
        <v>59066.67</v>
      </c>
    </row>
    <row r="4922" spans="1:51" x14ac:dyDescent="0.3">
      <c r="A4922" t="s">
        <v>41</v>
      </c>
      <c r="B4922" t="s">
        <v>212</v>
      </c>
      <c r="C4922">
        <v>324</v>
      </c>
      <c r="D4922">
        <v>4815.5600000000004</v>
      </c>
      <c r="E4922">
        <v>3700</v>
      </c>
      <c r="F4922">
        <v>0</v>
      </c>
      <c r="G4922">
        <v>39205</v>
      </c>
    </row>
    <row r="4924" spans="1:51" x14ac:dyDescent="0.3">
      <c r="A4924" t="s">
        <v>1903</v>
      </c>
    </row>
    <row r="4925" spans="1:51" x14ac:dyDescent="0.3">
      <c r="A4925" t="s">
        <v>36</v>
      </c>
      <c r="B4925" t="s">
        <v>1904</v>
      </c>
      <c r="C4925" t="s">
        <v>1905</v>
      </c>
      <c r="D4925" t="s">
        <v>1906</v>
      </c>
      <c r="E4925" t="s">
        <v>1907</v>
      </c>
      <c r="F4925" t="s">
        <v>1908</v>
      </c>
      <c r="G4925" t="s">
        <v>1909</v>
      </c>
      <c r="H4925" t="s">
        <v>1910</v>
      </c>
      <c r="I4925" t="s">
        <v>1911</v>
      </c>
      <c r="J4925" t="s">
        <v>1912</v>
      </c>
      <c r="K4925" t="s">
        <v>1913</v>
      </c>
      <c r="L4925" t="s">
        <v>1914</v>
      </c>
      <c r="M4925" t="s">
        <v>1915</v>
      </c>
      <c r="N4925" t="s">
        <v>1916</v>
      </c>
      <c r="O4925" t="s">
        <v>1917</v>
      </c>
      <c r="P4925" t="s">
        <v>1918</v>
      </c>
      <c r="Q4925" t="s">
        <v>1919</v>
      </c>
      <c r="R4925" t="s">
        <v>1920</v>
      </c>
      <c r="S4925" t="s">
        <v>1921</v>
      </c>
      <c r="T4925" t="s">
        <v>1922</v>
      </c>
      <c r="U4925" t="s">
        <v>1923</v>
      </c>
      <c r="V4925" t="s">
        <v>1924</v>
      </c>
      <c r="W4925" t="s">
        <v>1925</v>
      </c>
      <c r="X4925" t="s">
        <v>1926</v>
      </c>
      <c r="Y4925" t="s">
        <v>1927</v>
      </c>
      <c r="Z4925" t="s">
        <v>1928</v>
      </c>
      <c r="AA4925" t="s">
        <v>1929</v>
      </c>
      <c r="AB4925" t="s">
        <v>1930</v>
      </c>
      <c r="AC4925" t="s">
        <v>1931</v>
      </c>
      <c r="AD4925" t="s">
        <v>1932</v>
      </c>
      <c r="AE4925" t="s">
        <v>1933</v>
      </c>
      <c r="AF4925" t="s">
        <v>1934</v>
      </c>
      <c r="AG4925" t="s">
        <v>1935</v>
      </c>
      <c r="AH4925" t="s">
        <v>1936</v>
      </c>
      <c r="AI4925" t="s">
        <v>1937</v>
      </c>
      <c r="AJ4925" t="s">
        <v>1938</v>
      </c>
      <c r="AK4925" t="s">
        <v>1939</v>
      </c>
      <c r="AL4925" t="s">
        <v>1940</v>
      </c>
      <c r="AM4925" t="s">
        <v>1941</v>
      </c>
      <c r="AN4925" t="s">
        <v>1942</v>
      </c>
      <c r="AO4925" t="s">
        <v>1943</v>
      </c>
      <c r="AP4925" t="s">
        <v>1944</v>
      </c>
      <c r="AQ4925" t="s">
        <v>1945</v>
      </c>
      <c r="AR4925" t="s">
        <v>1946</v>
      </c>
      <c r="AS4925" t="s">
        <v>1947</v>
      </c>
      <c r="AT4925" t="s">
        <v>1948</v>
      </c>
      <c r="AU4925" t="s">
        <v>1949</v>
      </c>
      <c r="AV4925" t="s">
        <v>1950</v>
      </c>
      <c r="AW4925" t="s">
        <v>1951</v>
      </c>
      <c r="AX4925" t="s">
        <v>1952</v>
      </c>
      <c r="AY4925" t="s">
        <v>1953</v>
      </c>
    </row>
    <row r="4926" spans="1:51" x14ac:dyDescent="0.3">
      <c r="A4926" t="s">
        <v>25</v>
      </c>
      <c r="B4926">
        <v>378</v>
      </c>
      <c r="C4926">
        <v>635.42999999999995</v>
      </c>
      <c r="D4926">
        <v>0</v>
      </c>
      <c r="E4926">
        <v>0</v>
      </c>
      <c r="F4926">
        <v>10700</v>
      </c>
      <c r="G4926">
        <v>361</v>
      </c>
      <c r="H4926">
        <v>35.630000000000003</v>
      </c>
      <c r="I4926">
        <v>0</v>
      </c>
      <c r="J4926">
        <v>0</v>
      </c>
      <c r="K4926">
        <v>1000</v>
      </c>
      <c r="L4926">
        <v>360</v>
      </c>
      <c r="M4926">
        <v>373.98</v>
      </c>
      <c r="N4926">
        <v>300</v>
      </c>
      <c r="O4926">
        <v>0</v>
      </c>
      <c r="P4926">
        <v>3000</v>
      </c>
      <c r="Q4926">
        <v>372</v>
      </c>
      <c r="R4926">
        <v>126.77</v>
      </c>
      <c r="S4926">
        <v>0</v>
      </c>
      <c r="T4926">
        <v>0</v>
      </c>
      <c r="U4926">
        <v>4500</v>
      </c>
      <c r="V4926">
        <v>341</v>
      </c>
      <c r="W4926">
        <v>160.94999999999999</v>
      </c>
      <c r="X4926">
        <v>0</v>
      </c>
      <c r="Y4926">
        <v>0</v>
      </c>
      <c r="Z4926">
        <v>4500</v>
      </c>
      <c r="AA4926">
        <v>376</v>
      </c>
      <c r="AB4926">
        <v>229.71</v>
      </c>
      <c r="AC4926">
        <v>60</v>
      </c>
      <c r="AD4926">
        <v>0</v>
      </c>
      <c r="AE4926">
        <v>6000</v>
      </c>
      <c r="AF4926">
        <v>402</v>
      </c>
      <c r="AG4926">
        <v>393.53</v>
      </c>
      <c r="AH4926">
        <v>350</v>
      </c>
      <c r="AI4926">
        <v>0</v>
      </c>
      <c r="AJ4926">
        <v>1500</v>
      </c>
      <c r="AK4926">
        <v>337</v>
      </c>
      <c r="AL4926">
        <v>137.97999999999999</v>
      </c>
      <c r="AM4926">
        <v>0</v>
      </c>
      <c r="AN4926">
        <v>0</v>
      </c>
      <c r="AO4926">
        <v>8000</v>
      </c>
      <c r="AP4926">
        <v>333</v>
      </c>
      <c r="AQ4926">
        <v>11.89</v>
      </c>
      <c r="AR4926">
        <v>0</v>
      </c>
      <c r="AS4926">
        <v>0</v>
      </c>
      <c r="AT4926">
        <v>2000</v>
      </c>
      <c r="AU4926">
        <v>349</v>
      </c>
      <c r="AV4926">
        <v>278.31</v>
      </c>
      <c r="AW4926">
        <v>0</v>
      </c>
      <c r="AX4926">
        <v>0</v>
      </c>
      <c r="AY4926">
        <v>4500</v>
      </c>
    </row>
    <row r="4927" spans="1:51" x14ac:dyDescent="0.3">
      <c r="A4927" t="s">
        <v>26</v>
      </c>
      <c r="B4927">
        <v>439</v>
      </c>
      <c r="C4927">
        <v>1005.82</v>
      </c>
      <c r="D4927">
        <v>0</v>
      </c>
      <c r="E4927">
        <v>0</v>
      </c>
      <c r="F4927">
        <v>7500</v>
      </c>
      <c r="G4927">
        <v>330</v>
      </c>
      <c r="H4927">
        <v>40.69</v>
      </c>
      <c r="I4927">
        <v>0</v>
      </c>
      <c r="J4927">
        <v>0</v>
      </c>
      <c r="K4927">
        <v>1500</v>
      </c>
      <c r="L4927">
        <v>449</v>
      </c>
      <c r="M4927">
        <v>440.2</v>
      </c>
      <c r="N4927">
        <v>300</v>
      </c>
      <c r="O4927">
        <v>0</v>
      </c>
      <c r="P4927">
        <v>5000</v>
      </c>
      <c r="Q4927">
        <v>347</v>
      </c>
      <c r="R4927">
        <v>128.27000000000001</v>
      </c>
      <c r="S4927">
        <v>0</v>
      </c>
      <c r="T4927">
        <v>0</v>
      </c>
      <c r="U4927">
        <v>5500</v>
      </c>
      <c r="V4927">
        <v>400</v>
      </c>
      <c r="W4927">
        <v>323.39</v>
      </c>
      <c r="X4927">
        <v>0</v>
      </c>
      <c r="Y4927">
        <v>0</v>
      </c>
      <c r="Z4927">
        <v>9000</v>
      </c>
      <c r="AA4927">
        <v>457</v>
      </c>
      <c r="AB4927">
        <v>243.69</v>
      </c>
      <c r="AC4927">
        <v>100</v>
      </c>
      <c r="AD4927">
        <v>0</v>
      </c>
      <c r="AE4927">
        <v>3000</v>
      </c>
      <c r="AF4927">
        <v>468</v>
      </c>
      <c r="AG4927">
        <v>451.44</v>
      </c>
      <c r="AH4927">
        <v>400</v>
      </c>
      <c r="AI4927">
        <v>0</v>
      </c>
      <c r="AJ4927">
        <v>1400</v>
      </c>
      <c r="AK4927">
        <v>408</v>
      </c>
      <c r="AL4927">
        <v>191.95</v>
      </c>
      <c r="AM4927">
        <v>0</v>
      </c>
      <c r="AN4927">
        <v>0</v>
      </c>
      <c r="AO4927">
        <v>6000</v>
      </c>
      <c r="AP4927">
        <v>416</v>
      </c>
      <c r="AQ4927">
        <v>16.05</v>
      </c>
      <c r="AR4927">
        <v>0</v>
      </c>
      <c r="AS4927">
        <v>0</v>
      </c>
      <c r="AT4927">
        <v>2000</v>
      </c>
      <c r="AU4927">
        <v>358</v>
      </c>
      <c r="AV4927">
        <v>430.55</v>
      </c>
      <c r="AW4927">
        <v>0</v>
      </c>
      <c r="AX4927">
        <v>0</v>
      </c>
      <c r="AY4927">
        <v>8000</v>
      </c>
    </row>
    <row r="4928" spans="1:51" x14ac:dyDescent="0.3">
      <c r="A4928" t="s">
        <v>29</v>
      </c>
      <c r="B4928">
        <v>397</v>
      </c>
      <c r="C4928">
        <v>369.23</v>
      </c>
      <c r="D4928">
        <v>0</v>
      </c>
      <c r="E4928">
        <v>0</v>
      </c>
      <c r="F4928">
        <v>18000</v>
      </c>
      <c r="G4928">
        <v>382</v>
      </c>
      <c r="H4928">
        <v>36.19</v>
      </c>
      <c r="I4928">
        <v>0</v>
      </c>
      <c r="J4928">
        <v>0</v>
      </c>
      <c r="K4928">
        <v>600</v>
      </c>
      <c r="L4928">
        <v>444</v>
      </c>
      <c r="M4928">
        <v>497.03</v>
      </c>
      <c r="N4928">
        <v>300</v>
      </c>
      <c r="O4928">
        <v>0</v>
      </c>
      <c r="P4928">
        <v>8500</v>
      </c>
      <c r="Q4928">
        <v>386</v>
      </c>
      <c r="R4928">
        <v>166.91</v>
      </c>
      <c r="S4928">
        <v>0</v>
      </c>
      <c r="T4928">
        <v>0</v>
      </c>
      <c r="U4928">
        <v>8000</v>
      </c>
      <c r="V4928">
        <v>362</v>
      </c>
      <c r="W4928">
        <v>104.52</v>
      </c>
      <c r="X4928">
        <v>0</v>
      </c>
      <c r="Y4928">
        <v>0</v>
      </c>
      <c r="Z4928">
        <v>4000</v>
      </c>
      <c r="AA4928">
        <v>436</v>
      </c>
      <c r="AB4928">
        <v>371.2</v>
      </c>
      <c r="AC4928">
        <v>200</v>
      </c>
      <c r="AD4928">
        <v>0</v>
      </c>
      <c r="AE4928">
        <v>4000</v>
      </c>
      <c r="AF4928">
        <v>520</v>
      </c>
      <c r="AG4928">
        <v>415.43</v>
      </c>
      <c r="AH4928">
        <v>360</v>
      </c>
      <c r="AI4928">
        <v>0</v>
      </c>
      <c r="AJ4928">
        <v>1400</v>
      </c>
      <c r="AK4928">
        <v>362</v>
      </c>
      <c r="AL4928">
        <v>250.25</v>
      </c>
      <c r="AM4928">
        <v>0</v>
      </c>
      <c r="AN4928">
        <v>0</v>
      </c>
      <c r="AO4928">
        <v>8000</v>
      </c>
      <c r="AP4928">
        <v>346</v>
      </c>
      <c r="AQ4928">
        <v>55.05</v>
      </c>
      <c r="AR4928">
        <v>0</v>
      </c>
      <c r="AS4928">
        <v>0</v>
      </c>
      <c r="AT4928">
        <v>10000</v>
      </c>
      <c r="AU4928">
        <v>347</v>
      </c>
      <c r="AV4928">
        <v>363.04</v>
      </c>
      <c r="AW4928">
        <v>0</v>
      </c>
      <c r="AX4928">
        <v>0</v>
      </c>
      <c r="AY4928">
        <v>8000</v>
      </c>
    </row>
    <row r="4929" spans="1:52" x14ac:dyDescent="0.3">
      <c r="A4929" t="s">
        <v>28</v>
      </c>
      <c r="B4929">
        <v>143</v>
      </c>
      <c r="C4929">
        <v>399.89</v>
      </c>
      <c r="D4929">
        <v>0</v>
      </c>
      <c r="E4929">
        <v>0</v>
      </c>
      <c r="F4929">
        <v>7000</v>
      </c>
      <c r="G4929">
        <v>129</v>
      </c>
      <c r="H4929">
        <v>13.61</v>
      </c>
      <c r="I4929">
        <v>0</v>
      </c>
      <c r="J4929">
        <v>0</v>
      </c>
      <c r="K4929">
        <v>450</v>
      </c>
      <c r="L4929">
        <v>174</v>
      </c>
      <c r="M4929">
        <v>446.59</v>
      </c>
      <c r="N4929">
        <v>200</v>
      </c>
      <c r="O4929">
        <v>0</v>
      </c>
      <c r="P4929">
        <v>5000</v>
      </c>
      <c r="Q4929">
        <v>153</v>
      </c>
      <c r="R4929">
        <v>334.31</v>
      </c>
      <c r="S4929">
        <v>0</v>
      </c>
      <c r="T4929">
        <v>0</v>
      </c>
      <c r="U4929">
        <v>13000</v>
      </c>
      <c r="V4929">
        <v>133</v>
      </c>
      <c r="W4929">
        <v>218.87</v>
      </c>
      <c r="X4929">
        <v>0</v>
      </c>
      <c r="Y4929">
        <v>0</v>
      </c>
      <c r="Z4929">
        <v>6500</v>
      </c>
      <c r="AA4929">
        <v>221</v>
      </c>
      <c r="AB4929">
        <v>435.57</v>
      </c>
      <c r="AC4929">
        <v>250</v>
      </c>
      <c r="AD4929">
        <v>0</v>
      </c>
      <c r="AE4929">
        <v>4000</v>
      </c>
      <c r="AF4929">
        <v>296</v>
      </c>
      <c r="AG4929">
        <v>348.82</v>
      </c>
      <c r="AH4929">
        <v>250</v>
      </c>
      <c r="AI4929">
        <v>0</v>
      </c>
      <c r="AJ4929">
        <v>2500</v>
      </c>
      <c r="AK4929">
        <v>139</v>
      </c>
      <c r="AL4929">
        <v>177.46</v>
      </c>
      <c r="AM4929">
        <v>0</v>
      </c>
      <c r="AN4929">
        <v>0</v>
      </c>
      <c r="AO4929">
        <v>5000</v>
      </c>
      <c r="AP4929">
        <v>126</v>
      </c>
      <c r="AQ4929">
        <v>0</v>
      </c>
      <c r="AR4929">
        <v>0</v>
      </c>
      <c r="AS4929">
        <v>0</v>
      </c>
      <c r="AT4929">
        <v>0</v>
      </c>
      <c r="AU4929">
        <v>147</v>
      </c>
      <c r="AV4929">
        <v>286.66000000000003</v>
      </c>
      <c r="AW4929">
        <v>0</v>
      </c>
      <c r="AX4929">
        <v>0</v>
      </c>
      <c r="AY4929">
        <v>5000</v>
      </c>
    </row>
    <row r="4930" spans="1:52" x14ac:dyDescent="0.3">
      <c r="A4930" t="s">
        <v>27</v>
      </c>
      <c r="B4930">
        <v>193</v>
      </c>
      <c r="C4930">
        <v>577.08000000000004</v>
      </c>
      <c r="D4930">
        <v>0</v>
      </c>
      <c r="E4930">
        <v>0</v>
      </c>
      <c r="F4930">
        <v>8000</v>
      </c>
      <c r="G4930">
        <v>177</v>
      </c>
      <c r="H4930">
        <v>26.33</v>
      </c>
      <c r="I4930">
        <v>0</v>
      </c>
      <c r="J4930">
        <v>0</v>
      </c>
      <c r="K4930">
        <v>800</v>
      </c>
      <c r="L4930">
        <v>244</v>
      </c>
      <c r="M4930">
        <v>509.41</v>
      </c>
      <c r="N4930">
        <v>400</v>
      </c>
      <c r="O4930">
        <v>0</v>
      </c>
      <c r="P4930">
        <v>5000</v>
      </c>
      <c r="Q4930">
        <v>168</v>
      </c>
      <c r="R4930">
        <v>111.91</v>
      </c>
      <c r="S4930">
        <v>0</v>
      </c>
      <c r="T4930">
        <v>0</v>
      </c>
      <c r="U4930">
        <v>4000</v>
      </c>
      <c r="V4930">
        <v>171</v>
      </c>
      <c r="W4930">
        <v>363.65</v>
      </c>
      <c r="X4930">
        <v>0</v>
      </c>
      <c r="Y4930">
        <v>0</v>
      </c>
      <c r="Z4930">
        <v>7000</v>
      </c>
      <c r="AA4930">
        <v>198</v>
      </c>
      <c r="AB4930">
        <v>355.33</v>
      </c>
      <c r="AC4930">
        <v>200</v>
      </c>
      <c r="AD4930">
        <v>0</v>
      </c>
      <c r="AE4930">
        <v>2500</v>
      </c>
      <c r="AF4930">
        <v>288</v>
      </c>
      <c r="AG4930">
        <v>358.49</v>
      </c>
      <c r="AH4930">
        <v>300</v>
      </c>
      <c r="AI4930">
        <v>0</v>
      </c>
      <c r="AJ4930">
        <v>1200</v>
      </c>
      <c r="AK4930">
        <v>165</v>
      </c>
      <c r="AL4930">
        <v>101.16</v>
      </c>
      <c r="AM4930">
        <v>0</v>
      </c>
      <c r="AN4930">
        <v>0</v>
      </c>
      <c r="AO4930">
        <v>3000</v>
      </c>
      <c r="AP4930">
        <v>161</v>
      </c>
      <c r="AQ4930">
        <v>2.35</v>
      </c>
      <c r="AR4930">
        <v>0</v>
      </c>
      <c r="AS4930">
        <v>0</v>
      </c>
      <c r="AT4930">
        <v>360</v>
      </c>
      <c r="AU4930">
        <v>117</v>
      </c>
      <c r="AV4930">
        <v>735.07</v>
      </c>
      <c r="AW4930">
        <v>0</v>
      </c>
      <c r="AX4930">
        <v>0</v>
      </c>
      <c r="AY4930">
        <v>50000</v>
      </c>
    </row>
    <row r="4931" spans="1:52" x14ac:dyDescent="0.3">
      <c r="A4931" t="s">
        <v>41</v>
      </c>
      <c r="B4931">
        <v>1550</v>
      </c>
      <c r="C4931">
        <v>617.77</v>
      </c>
      <c r="D4931">
        <v>0</v>
      </c>
      <c r="E4931">
        <v>0</v>
      </c>
      <c r="F4931">
        <v>18000</v>
      </c>
      <c r="G4931">
        <v>1379</v>
      </c>
      <c r="H4931">
        <v>36.14</v>
      </c>
      <c r="I4931">
        <v>0</v>
      </c>
      <c r="J4931">
        <v>0</v>
      </c>
      <c r="K4931">
        <v>1500</v>
      </c>
      <c r="L4931">
        <v>1671</v>
      </c>
      <c r="M4931">
        <v>456.17</v>
      </c>
      <c r="N4931">
        <v>300</v>
      </c>
      <c r="O4931">
        <v>0</v>
      </c>
      <c r="P4931">
        <v>8500</v>
      </c>
      <c r="Q4931">
        <v>1426</v>
      </c>
      <c r="R4931">
        <v>150.77000000000001</v>
      </c>
      <c r="S4931">
        <v>0</v>
      </c>
      <c r="T4931">
        <v>0</v>
      </c>
      <c r="U4931">
        <v>13000</v>
      </c>
      <c r="V4931">
        <v>1407</v>
      </c>
      <c r="W4931">
        <v>191.85</v>
      </c>
      <c r="X4931">
        <v>0</v>
      </c>
      <c r="Y4931">
        <v>0</v>
      </c>
      <c r="Z4931">
        <v>9000</v>
      </c>
      <c r="AA4931">
        <v>1688</v>
      </c>
      <c r="AB4931">
        <v>308.82</v>
      </c>
      <c r="AC4931">
        <v>200</v>
      </c>
      <c r="AD4931">
        <v>0</v>
      </c>
      <c r="AE4931">
        <v>6000</v>
      </c>
      <c r="AF4931">
        <v>1974</v>
      </c>
      <c r="AG4931">
        <v>414.2</v>
      </c>
      <c r="AH4931">
        <v>350</v>
      </c>
      <c r="AI4931">
        <v>0</v>
      </c>
      <c r="AJ4931">
        <v>2500</v>
      </c>
      <c r="AK4931">
        <v>1411</v>
      </c>
      <c r="AL4931">
        <v>201.14</v>
      </c>
      <c r="AM4931">
        <v>0</v>
      </c>
      <c r="AN4931">
        <v>0</v>
      </c>
      <c r="AO4931">
        <v>8000</v>
      </c>
      <c r="AP4931">
        <v>1382</v>
      </c>
      <c r="AQ4931">
        <v>30.42</v>
      </c>
      <c r="AR4931">
        <v>0</v>
      </c>
      <c r="AS4931">
        <v>0</v>
      </c>
      <c r="AT4931">
        <v>10000</v>
      </c>
      <c r="AU4931">
        <v>1318</v>
      </c>
      <c r="AV4931">
        <v>368.86</v>
      </c>
      <c r="AW4931">
        <v>0</v>
      </c>
      <c r="AX4931">
        <v>0</v>
      </c>
      <c r="AY4931">
        <v>50000</v>
      </c>
    </row>
    <row r="4933" spans="1:52" x14ac:dyDescent="0.3">
      <c r="A4933" t="s">
        <v>1954</v>
      </c>
    </row>
    <row r="4934" spans="1:52" x14ac:dyDescent="0.3">
      <c r="A4934" t="s">
        <v>36</v>
      </c>
      <c r="B4934" t="s">
        <v>307</v>
      </c>
      <c r="C4934" t="s">
        <v>1904</v>
      </c>
      <c r="D4934" t="s">
        <v>1905</v>
      </c>
      <c r="E4934" t="s">
        <v>1906</v>
      </c>
      <c r="F4934" t="s">
        <v>1907</v>
      </c>
      <c r="G4934" t="s">
        <v>1908</v>
      </c>
      <c r="H4934" t="s">
        <v>1909</v>
      </c>
      <c r="I4934" t="s">
        <v>1910</v>
      </c>
      <c r="J4934" t="s">
        <v>1911</v>
      </c>
      <c r="K4934" t="s">
        <v>1912</v>
      </c>
      <c r="L4934" t="s">
        <v>1913</v>
      </c>
      <c r="M4934" t="s">
        <v>1914</v>
      </c>
      <c r="N4934" t="s">
        <v>1915</v>
      </c>
      <c r="O4934" t="s">
        <v>1916</v>
      </c>
      <c r="P4934" t="s">
        <v>1917</v>
      </c>
      <c r="Q4934" t="s">
        <v>1918</v>
      </c>
      <c r="R4934" t="s">
        <v>1919</v>
      </c>
      <c r="S4934" t="s">
        <v>1920</v>
      </c>
      <c r="T4934" t="s">
        <v>1921</v>
      </c>
      <c r="U4934" t="s">
        <v>1922</v>
      </c>
      <c r="V4934" t="s">
        <v>1923</v>
      </c>
      <c r="W4934" t="s">
        <v>1924</v>
      </c>
      <c r="X4934" t="s">
        <v>1925</v>
      </c>
      <c r="Y4934" t="s">
        <v>1926</v>
      </c>
      <c r="Z4934" t="s">
        <v>1927</v>
      </c>
      <c r="AA4934" t="s">
        <v>1928</v>
      </c>
      <c r="AB4934" t="s">
        <v>1929</v>
      </c>
      <c r="AC4934" t="s">
        <v>1930</v>
      </c>
      <c r="AD4934" t="s">
        <v>1931</v>
      </c>
      <c r="AE4934" t="s">
        <v>1932</v>
      </c>
      <c r="AF4934" t="s">
        <v>1933</v>
      </c>
      <c r="AG4934" t="s">
        <v>1934</v>
      </c>
      <c r="AH4934" t="s">
        <v>1935</v>
      </c>
      <c r="AI4934" t="s">
        <v>1936</v>
      </c>
      <c r="AJ4934" t="s">
        <v>1937</v>
      </c>
      <c r="AK4934" t="s">
        <v>1938</v>
      </c>
      <c r="AL4934" t="s">
        <v>1939</v>
      </c>
      <c r="AM4934" t="s">
        <v>1940</v>
      </c>
      <c r="AN4934" t="s">
        <v>1941</v>
      </c>
      <c r="AO4934" t="s">
        <v>1942</v>
      </c>
      <c r="AP4934" t="s">
        <v>1943</v>
      </c>
      <c r="AQ4934" t="s">
        <v>1944</v>
      </c>
      <c r="AR4934" t="s">
        <v>1945</v>
      </c>
      <c r="AS4934" t="s">
        <v>1946</v>
      </c>
      <c r="AT4934" t="s">
        <v>1947</v>
      </c>
      <c r="AU4934" t="s">
        <v>1948</v>
      </c>
      <c r="AV4934" t="s">
        <v>1949</v>
      </c>
      <c r="AW4934" t="s">
        <v>1950</v>
      </c>
      <c r="AX4934" t="s">
        <v>1951</v>
      </c>
      <c r="AY4934" t="s">
        <v>1952</v>
      </c>
      <c r="AZ4934" t="s">
        <v>1953</v>
      </c>
    </row>
    <row r="4935" spans="1:52" x14ac:dyDescent="0.3">
      <c r="A4935" t="s">
        <v>25</v>
      </c>
      <c r="B4935" t="s">
        <v>291</v>
      </c>
      <c r="C4935">
        <v>145</v>
      </c>
      <c r="D4935">
        <v>691.62</v>
      </c>
      <c r="E4935">
        <v>0</v>
      </c>
      <c r="F4935">
        <v>0</v>
      </c>
      <c r="G4935">
        <v>10700</v>
      </c>
      <c r="H4935">
        <v>138</v>
      </c>
      <c r="I4935">
        <v>30.31</v>
      </c>
      <c r="J4935">
        <v>0</v>
      </c>
      <c r="K4935">
        <v>0</v>
      </c>
      <c r="L4935">
        <v>1000</v>
      </c>
      <c r="M4935">
        <v>141</v>
      </c>
      <c r="N4935">
        <v>370.88</v>
      </c>
      <c r="O4935">
        <v>250</v>
      </c>
      <c r="P4935">
        <v>0</v>
      </c>
      <c r="Q4935">
        <v>3000</v>
      </c>
      <c r="R4935">
        <v>143</v>
      </c>
      <c r="S4935">
        <v>124.39</v>
      </c>
      <c r="T4935">
        <v>0</v>
      </c>
      <c r="U4935">
        <v>0</v>
      </c>
      <c r="V4935">
        <v>4500</v>
      </c>
      <c r="W4935">
        <v>133</v>
      </c>
      <c r="X4935">
        <v>152.91999999999999</v>
      </c>
      <c r="Y4935">
        <v>0</v>
      </c>
      <c r="Z4935">
        <v>0</v>
      </c>
      <c r="AA4935">
        <v>4500</v>
      </c>
      <c r="AB4935">
        <v>141</v>
      </c>
      <c r="AC4935">
        <v>266.49</v>
      </c>
      <c r="AD4935">
        <v>50</v>
      </c>
      <c r="AE4935">
        <v>0</v>
      </c>
      <c r="AF4935">
        <v>6000</v>
      </c>
      <c r="AG4935">
        <v>153</v>
      </c>
      <c r="AH4935">
        <v>429.68</v>
      </c>
      <c r="AI4935">
        <v>360</v>
      </c>
      <c r="AJ4935">
        <v>0</v>
      </c>
      <c r="AK4935">
        <v>1500</v>
      </c>
      <c r="AL4935">
        <v>130</v>
      </c>
      <c r="AM4935">
        <v>94.99</v>
      </c>
      <c r="AN4935">
        <v>0</v>
      </c>
      <c r="AO4935">
        <v>0</v>
      </c>
      <c r="AP4935">
        <v>4000</v>
      </c>
      <c r="AQ4935">
        <v>130</v>
      </c>
      <c r="AR4935">
        <v>16.78</v>
      </c>
      <c r="AS4935">
        <v>0</v>
      </c>
      <c r="AT4935">
        <v>0</v>
      </c>
      <c r="AU4935">
        <v>1000</v>
      </c>
      <c r="AV4935">
        <v>135</v>
      </c>
      <c r="AW4935">
        <v>271.12</v>
      </c>
      <c r="AX4935">
        <v>0</v>
      </c>
      <c r="AY4935">
        <v>0</v>
      </c>
      <c r="AZ4935">
        <v>4000</v>
      </c>
    </row>
    <row r="4936" spans="1:52" x14ac:dyDescent="0.3">
      <c r="A4936" t="s">
        <v>25</v>
      </c>
      <c r="B4936" t="s">
        <v>292</v>
      </c>
      <c r="C4936">
        <v>230</v>
      </c>
      <c r="D4936">
        <v>607.04</v>
      </c>
      <c r="E4936">
        <v>0</v>
      </c>
      <c r="F4936">
        <v>0</v>
      </c>
      <c r="G4936">
        <v>7050</v>
      </c>
      <c r="H4936">
        <v>220</v>
      </c>
      <c r="I4936">
        <v>39.44</v>
      </c>
      <c r="J4936">
        <v>0</v>
      </c>
      <c r="K4936">
        <v>0</v>
      </c>
      <c r="L4936">
        <v>1000</v>
      </c>
      <c r="M4936">
        <v>216</v>
      </c>
      <c r="N4936">
        <v>363.98</v>
      </c>
      <c r="O4936">
        <v>300</v>
      </c>
      <c r="P4936">
        <v>0</v>
      </c>
      <c r="Q4936">
        <v>3000</v>
      </c>
      <c r="R4936">
        <v>225</v>
      </c>
      <c r="S4936">
        <v>125.15</v>
      </c>
      <c r="T4936">
        <v>0</v>
      </c>
      <c r="U4936">
        <v>0</v>
      </c>
      <c r="V4936">
        <v>2400</v>
      </c>
      <c r="W4936">
        <v>205</v>
      </c>
      <c r="X4936">
        <v>163.26</v>
      </c>
      <c r="Y4936">
        <v>0</v>
      </c>
      <c r="Z4936">
        <v>0</v>
      </c>
      <c r="AA4936">
        <v>4500</v>
      </c>
      <c r="AB4936">
        <v>231</v>
      </c>
      <c r="AC4936">
        <v>205.29</v>
      </c>
      <c r="AD4936">
        <v>80</v>
      </c>
      <c r="AE4936">
        <v>0</v>
      </c>
      <c r="AF4936">
        <v>3000</v>
      </c>
      <c r="AG4936">
        <v>246</v>
      </c>
      <c r="AH4936">
        <v>368.04</v>
      </c>
      <c r="AI4936">
        <v>300</v>
      </c>
      <c r="AJ4936">
        <v>0</v>
      </c>
      <c r="AK4936">
        <v>1500</v>
      </c>
      <c r="AL4936">
        <v>204</v>
      </c>
      <c r="AM4936">
        <v>167.3</v>
      </c>
      <c r="AN4936">
        <v>0</v>
      </c>
      <c r="AO4936">
        <v>0</v>
      </c>
      <c r="AP4936">
        <v>8000</v>
      </c>
      <c r="AQ4936">
        <v>200</v>
      </c>
      <c r="AR4936">
        <v>8.83</v>
      </c>
      <c r="AS4936">
        <v>0</v>
      </c>
      <c r="AT4936">
        <v>0</v>
      </c>
      <c r="AU4936">
        <v>2000</v>
      </c>
      <c r="AV4936">
        <v>211</v>
      </c>
      <c r="AW4936">
        <v>286.33999999999997</v>
      </c>
      <c r="AX4936">
        <v>0</v>
      </c>
      <c r="AY4936">
        <v>0</v>
      </c>
      <c r="AZ4936">
        <v>4500</v>
      </c>
    </row>
    <row r="4937" spans="1:52" x14ac:dyDescent="0.3">
      <c r="A4937" t="s">
        <v>25</v>
      </c>
      <c r="B4937" t="s">
        <v>308</v>
      </c>
      <c r="C4937">
        <v>3</v>
      </c>
      <c r="D4937">
        <v>0</v>
      </c>
      <c r="E4937">
        <v>0</v>
      </c>
      <c r="F4937">
        <v>0</v>
      </c>
      <c r="G4937">
        <v>0</v>
      </c>
      <c r="H4937">
        <v>3</v>
      </c>
      <c r="I4937">
        <v>0</v>
      </c>
      <c r="J4937">
        <v>0</v>
      </c>
      <c r="K4937">
        <v>0</v>
      </c>
      <c r="L4937">
        <v>0</v>
      </c>
      <c r="M4937">
        <v>3</v>
      </c>
      <c r="N4937">
        <v>1366.34</v>
      </c>
      <c r="O4937">
        <v>1000</v>
      </c>
      <c r="P4937">
        <v>300</v>
      </c>
      <c r="Q4937">
        <v>2000</v>
      </c>
      <c r="R4937">
        <v>4</v>
      </c>
      <c r="S4937">
        <v>322.83</v>
      </c>
      <c r="T4937">
        <v>0</v>
      </c>
      <c r="U4937">
        <v>0</v>
      </c>
      <c r="V4937">
        <v>1125</v>
      </c>
      <c r="W4937">
        <v>3</v>
      </c>
      <c r="X4937">
        <v>395.12</v>
      </c>
      <c r="Y4937">
        <v>0</v>
      </c>
      <c r="Z4937">
        <v>0</v>
      </c>
      <c r="AA4937">
        <v>3000</v>
      </c>
      <c r="AB4937">
        <v>4</v>
      </c>
      <c r="AC4937">
        <v>335.65</v>
      </c>
      <c r="AD4937">
        <v>500</v>
      </c>
      <c r="AE4937">
        <v>0</v>
      </c>
      <c r="AF4937">
        <v>600</v>
      </c>
      <c r="AG4937">
        <v>3</v>
      </c>
      <c r="AH4937">
        <v>640.70000000000005</v>
      </c>
      <c r="AI4937">
        <v>600</v>
      </c>
      <c r="AJ4937">
        <v>425</v>
      </c>
      <c r="AK4937">
        <v>750</v>
      </c>
      <c r="AL4937">
        <v>3</v>
      </c>
      <c r="AM4937">
        <v>0</v>
      </c>
      <c r="AN4937">
        <v>0</v>
      </c>
      <c r="AO4937">
        <v>0</v>
      </c>
      <c r="AP4937">
        <v>0</v>
      </c>
      <c r="AQ4937">
        <v>3</v>
      </c>
      <c r="AR4937">
        <v>0</v>
      </c>
      <c r="AS4937">
        <v>0</v>
      </c>
      <c r="AT4937">
        <v>0</v>
      </c>
      <c r="AU4937">
        <v>0</v>
      </c>
      <c r="AV4937">
        <v>3</v>
      </c>
      <c r="AW4937">
        <v>0</v>
      </c>
      <c r="AX4937">
        <v>0</v>
      </c>
      <c r="AY4937">
        <v>0</v>
      </c>
      <c r="AZ4937">
        <v>0</v>
      </c>
    </row>
    <row r="4938" spans="1:52" x14ac:dyDescent="0.3">
      <c r="A4938" t="s">
        <v>26</v>
      </c>
      <c r="B4938" t="s">
        <v>291</v>
      </c>
      <c r="C4938">
        <v>112</v>
      </c>
      <c r="D4938">
        <v>905.35</v>
      </c>
      <c r="E4938">
        <v>0</v>
      </c>
      <c r="F4938">
        <v>0</v>
      </c>
      <c r="G4938">
        <v>7200</v>
      </c>
      <c r="H4938">
        <v>93</v>
      </c>
      <c r="I4938">
        <v>13.93</v>
      </c>
      <c r="J4938">
        <v>0</v>
      </c>
      <c r="K4938">
        <v>0</v>
      </c>
      <c r="L4938">
        <v>1000</v>
      </c>
      <c r="M4938">
        <v>112</v>
      </c>
      <c r="N4938">
        <v>304.47000000000003</v>
      </c>
      <c r="O4938">
        <v>100</v>
      </c>
      <c r="P4938">
        <v>0</v>
      </c>
      <c r="Q4938">
        <v>3000</v>
      </c>
      <c r="R4938">
        <v>94</v>
      </c>
      <c r="S4938">
        <v>33.200000000000003</v>
      </c>
      <c r="T4938">
        <v>0</v>
      </c>
      <c r="U4938">
        <v>0</v>
      </c>
      <c r="V4938">
        <v>1250</v>
      </c>
      <c r="W4938">
        <v>105</v>
      </c>
      <c r="X4938">
        <v>183.04</v>
      </c>
      <c r="Y4938">
        <v>0</v>
      </c>
      <c r="Z4938">
        <v>0</v>
      </c>
      <c r="AA4938">
        <v>5000</v>
      </c>
      <c r="AB4938">
        <v>116</v>
      </c>
      <c r="AC4938">
        <v>213.11</v>
      </c>
      <c r="AD4938">
        <v>0</v>
      </c>
      <c r="AE4938">
        <v>0</v>
      </c>
      <c r="AF4938">
        <v>3000</v>
      </c>
      <c r="AG4938">
        <v>119</v>
      </c>
      <c r="AH4938">
        <v>405.77</v>
      </c>
      <c r="AI4938">
        <v>400</v>
      </c>
      <c r="AJ4938">
        <v>0</v>
      </c>
      <c r="AK4938">
        <v>1300</v>
      </c>
      <c r="AL4938">
        <v>105</v>
      </c>
      <c r="AM4938">
        <v>6.02</v>
      </c>
      <c r="AN4938">
        <v>0</v>
      </c>
      <c r="AO4938">
        <v>0</v>
      </c>
      <c r="AP4938">
        <v>600</v>
      </c>
      <c r="AQ4938">
        <v>106</v>
      </c>
      <c r="AR4938">
        <v>2.76</v>
      </c>
      <c r="AS4938">
        <v>0</v>
      </c>
      <c r="AT4938">
        <v>0</v>
      </c>
      <c r="AU4938">
        <v>115</v>
      </c>
      <c r="AV4938">
        <v>96</v>
      </c>
      <c r="AW4938">
        <v>324.17</v>
      </c>
      <c r="AX4938">
        <v>0</v>
      </c>
      <c r="AY4938">
        <v>0</v>
      </c>
      <c r="AZ4938">
        <v>7000</v>
      </c>
    </row>
    <row r="4939" spans="1:52" x14ac:dyDescent="0.3">
      <c r="A4939" t="s">
        <v>26</v>
      </c>
      <c r="B4939" t="s">
        <v>292</v>
      </c>
      <c r="C4939">
        <v>325</v>
      </c>
      <c r="D4939">
        <v>1029.57</v>
      </c>
      <c r="E4939">
        <v>500</v>
      </c>
      <c r="F4939">
        <v>0</v>
      </c>
      <c r="G4939">
        <v>7500</v>
      </c>
      <c r="H4939">
        <v>237</v>
      </c>
      <c r="I4939">
        <v>51.15</v>
      </c>
      <c r="J4939">
        <v>0</v>
      </c>
      <c r="K4939">
        <v>0</v>
      </c>
      <c r="L4939">
        <v>1500</v>
      </c>
      <c r="M4939">
        <v>335</v>
      </c>
      <c r="N4939">
        <v>483.69</v>
      </c>
      <c r="O4939">
        <v>300</v>
      </c>
      <c r="P4939">
        <v>0</v>
      </c>
      <c r="Q4939">
        <v>5000</v>
      </c>
      <c r="R4939">
        <v>253</v>
      </c>
      <c r="S4939">
        <v>163.75</v>
      </c>
      <c r="T4939">
        <v>0</v>
      </c>
      <c r="U4939">
        <v>0</v>
      </c>
      <c r="V4939">
        <v>5500</v>
      </c>
      <c r="W4939">
        <v>294</v>
      </c>
      <c r="X4939">
        <v>373.81</v>
      </c>
      <c r="Y4939">
        <v>0</v>
      </c>
      <c r="Z4939">
        <v>0</v>
      </c>
      <c r="AA4939">
        <v>9000</v>
      </c>
      <c r="AB4939">
        <v>339</v>
      </c>
      <c r="AC4939">
        <v>253.77</v>
      </c>
      <c r="AD4939">
        <v>100</v>
      </c>
      <c r="AE4939">
        <v>0</v>
      </c>
      <c r="AF4939">
        <v>3000</v>
      </c>
      <c r="AG4939">
        <v>346</v>
      </c>
      <c r="AH4939">
        <v>466.96</v>
      </c>
      <c r="AI4939">
        <v>400</v>
      </c>
      <c r="AJ4939">
        <v>50</v>
      </c>
      <c r="AK4939">
        <v>1400</v>
      </c>
      <c r="AL4939">
        <v>302</v>
      </c>
      <c r="AM4939">
        <v>255.48</v>
      </c>
      <c r="AN4939">
        <v>0</v>
      </c>
      <c r="AO4939">
        <v>0</v>
      </c>
      <c r="AP4939">
        <v>6000</v>
      </c>
      <c r="AQ4939">
        <v>309</v>
      </c>
      <c r="AR4939">
        <v>20.55</v>
      </c>
      <c r="AS4939">
        <v>0</v>
      </c>
      <c r="AT4939">
        <v>0</v>
      </c>
      <c r="AU4939">
        <v>2000</v>
      </c>
      <c r="AV4939">
        <v>262</v>
      </c>
      <c r="AW4939">
        <v>468.44</v>
      </c>
      <c r="AX4939">
        <v>0</v>
      </c>
      <c r="AY4939">
        <v>0</v>
      </c>
      <c r="AZ4939">
        <v>8000</v>
      </c>
    </row>
    <row r="4940" spans="1:52" x14ac:dyDescent="0.3">
      <c r="A4940" t="s">
        <v>26</v>
      </c>
      <c r="B4940" t="s">
        <v>308</v>
      </c>
      <c r="C4940">
        <v>2</v>
      </c>
      <c r="D4940">
        <v>2443.06</v>
      </c>
      <c r="E4940">
        <v>3600</v>
      </c>
      <c r="F4940">
        <v>1500</v>
      </c>
      <c r="G4940">
        <v>3600</v>
      </c>
      <c r="M4940">
        <v>2</v>
      </c>
      <c r="N4940">
        <v>717.46</v>
      </c>
      <c r="O4940">
        <v>1500</v>
      </c>
      <c r="P4940">
        <v>100</v>
      </c>
      <c r="Q4940">
        <v>1500</v>
      </c>
      <c r="W4940">
        <v>1</v>
      </c>
      <c r="X4940">
        <v>0</v>
      </c>
      <c r="Y4940">
        <v>0</v>
      </c>
      <c r="Z4940">
        <v>0</v>
      </c>
      <c r="AA4940">
        <v>0</v>
      </c>
      <c r="AB4940">
        <v>2</v>
      </c>
      <c r="AC4940">
        <v>288.20999999999998</v>
      </c>
      <c r="AD4940">
        <v>400</v>
      </c>
      <c r="AE4940">
        <v>200</v>
      </c>
      <c r="AF4940">
        <v>400</v>
      </c>
      <c r="AG4940">
        <v>3</v>
      </c>
      <c r="AH4940">
        <v>430.29</v>
      </c>
      <c r="AI4940">
        <v>500</v>
      </c>
      <c r="AJ4940">
        <v>200</v>
      </c>
      <c r="AK4940">
        <v>700</v>
      </c>
      <c r="AL4940">
        <v>1</v>
      </c>
      <c r="AM4940">
        <v>0</v>
      </c>
      <c r="AN4940">
        <v>0</v>
      </c>
      <c r="AO4940">
        <v>0</v>
      </c>
      <c r="AP4940">
        <v>0</v>
      </c>
      <c r="AQ4940">
        <v>1</v>
      </c>
      <c r="AR4940">
        <v>0</v>
      </c>
      <c r="AS4940">
        <v>0</v>
      </c>
      <c r="AT4940">
        <v>0</v>
      </c>
      <c r="AU4940">
        <v>0</v>
      </c>
    </row>
    <row r="4941" spans="1:52" x14ac:dyDescent="0.3">
      <c r="A4941" t="s">
        <v>29</v>
      </c>
      <c r="B4941" t="s">
        <v>291</v>
      </c>
      <c r="C4941">
        <v>150</v>
      </c>
      <c r="D4941">
        <v>502.36</v>
      </c>
      <c r="E4941">
        <v>0</v>
      </c>
      <c r="F4941">
        <v>0</v>
      </c>
      <c r="G4941">
        <v>18000</v>
      </c>
      <c r="H4941">
        <v>140</v>
      </c>
      <c r="I4941">
        <v>44.58</v>
      </c>
      <c r="J4941">
        <v>0</v>
      </c>
      <c r="K4941">
        <v>0</v>
      </c>
      <c r="L4941">
        <v>600</v>
      </c>
      <c r="M4941">
        <v>170</v>
      </c>
      <c r="N4941">
        <v>429.23</v>
      </c>
      <c r="O4941">
        <v>240</v>
      </c>
      <c r="P4941">
        <v>0</v>
      </c>
      <c r="Q4941">
        <v>3500</v>
      </c>
      <c r="R4941">
        <v>145</v>
      </c>
      <c r="S4941">
        <v>177.87</v>
      </c>
      <c r="T4941">
        <v>0</v>
      </c>
      <c r="U4941">
        <v>0</v>
      </c>
      <c r="V4941">
        <v>4380</v>
      </c>
      <c r="W4941">
        <v>136</v>
      </c>
      <c r="X4941">
        <v>49.81</v>
      </c>
      <c r="Y4941">
        <v>0</v>
      </c>
      <c r="Z4941">
        <v>0</v>
      </c>
      <c r="AA4941">
        <v>2500</v>
      </c>
      <c r="AB4941">
        <v>175</v>
      </c>
      <c r="AC4941">
        <v>359.92</v>
      </c>
      <c r="AD4941">
        <v>200</v>
      </c>
      <c r="AE4941">
        <v>0</v>
      </c>
      <c r="AF4941">
        <v>3500</v>
      </c>
      <c r="AG4941">
        <v>203</v>
      </c>
      <c r="AH4941">
        <v>414.91</v>
      </c>
      <c r="AI4941">
        <v>350</v>
      </c>
      <c r="AJ4941">
        <v>0</v>
      </c>
      <c r="AK4941">
        <v>1400</v>
      </c>
      <c r="AL4941">
        <v>140</v>
      </c>
      <c r="AM4941">
        <v>115.25</v>
      </c>
      <c r="AN4941">
        <v>0</v>
      </c>
      <c r="AO4941">
        <v>0</v>
      </c>
      <c r="AP4941">
        <v>2500</v>
      </c>
      <c r="AQ4941">
        <v>134</v>
      </c>
      <c r="AR4941">
        <v>15.25</v>
      </c>
      <c r="AS4941">
        <v>0</v>
      </c>
      <c r="AT4941">
        <v>0</v>
      </c>
      <c r="AU4941">
        <v>2000</v>
      </c>
      <c r="AV4941">
        <v>135</v>
      </c>
      <c r="AW4941">
        <v>458.55</v>
      </c>
      <c r="AX4941">
        <v>0</v>
      </c>
      <c r="AY4941">
        <v>0</v>
      </c>
      <c r="AZ4941">
        <v>8000</v>
      </c>
    </row>
    <row r="4942" spans="1:52" x14ac:dyDescent="0.3">
      <c r="A4942" t="s">
        <v>29</v>
      </c>
      <c r="B4942" t="s">
        <v>292</v>
      </c>
      <c r="C4942">
        <v>247</v>
      </c>
      <c r="D4942">
        <v>288.63</v>
      </c>
      <c r="E4942">
        <v>0</v>
      </c>
      <c r="F4942">
        <v>0</v>
      </c>
      <c r="G4942">
        <v>6000</v>
      </c>
      <c r="H4942">
        <v>242</v>
      </c>
      <c r="I4942">
        <v>31.45</v>
      </c>
      <c r="J4942">
        <v>0</v>
      </c>
      <c r="K4942">
        <v>0</v>
      </c>
      <c r="L4942">
        <v>500</v>
      </c>
      <c r="M4942">
        <v>274</v>
      </c>
      <c r="N4942">
        <v>538.28</v>
      </c>
      <c r="O4942">
        <v>300</v>
      </c>
      <c r="P4942">
        <v>0</v>
      </c>
      <c r="Q4942">
        <v>8500</v>
      </c>
      <c r="R4942">
        <v>241</v>
      </c>
      <c r="S4942">
        <v>160.47</v>
      </c>
      <c r="T4942">
        <v>0</v>
      </c>
      <c r="U4942">
        <v>0</v>
      </c>
      <c r="V4942">
        <v>8000</v>
      </c>
      <c r="W4942">
        <v>226</v>
      </c>
      <c r="X4942">
        <v>137.15</v>
      </c>
      <c r="Y4942">
        <v>0</v>
      </c>
      <c r="Z4942">
        <v>0</v>
      </c>
      <c r="AA4942">
        <v>4000</v>
      </c>
      <c r="AB4942">
        <v>261</v>
      </c>
      <c r="AC4942">
        <v>378.81</v>
      </c>
      <c r="AD4942">
        <v>200</v>
      </c>
      <c r="AE4942">
        <v>0</v>
      </c>
      <c r="AF4942">
        <v>4000</v>
      </c>
      <c r="AG4942">
        <v>317</v>
      </c>
      <c r="AH4942">
        <v>415.76</v>
      </c>
      <c r="AI4942">
        <v>400</v>
      </c>
      <c r="AJ4942">
        <v>0</v>
      </c>
      <c r="AK4942">
        <v>1300</v>
      </c>
      <c r="AL4942">
        <v>222</v>
      </c>
      <c r="AM4942">
        <v>335.14</v>
      </c>
      <c r="AN4942">
        <v>0</v>
      </c>
      <c r="AO4942">
        <v>0</v>
      </c>
      <c r="AP4942">
        <v>8000</v>
      </c>
      <c r="AQ4942">
        <v>212</v>
      </c>
      <c r="AR4942">
        <v>79.709999999999994</v>
      </c>
      <c r="AS4942">
        <v>0</v>
      </c>
      <c r="AT4942">
        <v>0</v>
      </c>
      <c r="AU4942">
        <v>10000</v>
      </c>
      <c r="AV4942">
        <v>212</v>
      </c>
      <c r="AW4942">
        <v>301.3</v>
      </c>
      <c r="AX4942">
        <v>0</v>
      </c>
      <c r="AY4942">
        <v>0</v>
      </c>
      <c r="AZ4942">
        <v>4000</v>
      </c>
    </row>
    <row r="4943" spans="1:52" x14ac:dyDescent="0.3">
      <c r="A4943" t="s">
        <v>28</v>
      </c>
      <c r="B4943" t="s">
        <v>291</v>
      </c>
      <c r="C4943">
        <v>44</v>
      </c>
      <c r="D4943">
        <v>258.97000000000003</v>
      </c>
      <c r="E4943">
        <v>0</v>
      </c>
      <c r="F4943">
        <v>0</v>
      </c>
      <c r="G4943">
        <v>3800</v>
      </c>
      <c r="H4943">
        <v>42</v>
      </c>
      <c r="I4943">
        <v>31.03</v>
      </c>
      <c r="J4943">
        <v>0</v>
      </c>
      <c r="K4943">
        <v>0</v>
      </c>
      <c r="L4943">
        <v>450</v>
      </c>
      <c r="M4943">
        <v>54</v>
      </c>
      <c r="N4943">
        <v>582.99</v>
      </c>
      <c r="O4943">
        <v>200</v>
      </c>
      <c r="P4943">
        <v>0</v>
      </c>
      <c r="Q4943">
        <v>5000</v>
      </c>
      <c r="R4943">
        <v>47</v>
      </c>
      <c r="S4943">
        <v>277.17</v>
      </c>
      <c r="T4943">
        <v>0</v>
      </c>
      <c r="U4943">
        <v>0</v>
      </c>
      <c r="V4943">
        <v>3000</v>
      </c>
      <c r="W4943">
        <v>43</v>
      </c>
      <c r="X4943">
        <v>468.7</v>
      </c>
      <c r="Y4943">
        <v>0</v>
      </c>
      <c r="Z4943">
        <v>0</v>
      </c>
      <c r="AA4943">
        <v>6500</v>
      </c>
      <c r="AB4943">
        <v>73</v>
      </c>
      <c r="AC4943">
        <v>376.77</v>
      </c>
      <c r="AD4943">
        <v>250</v>
      </c>
      <c r="AE4943">
        <v>0</v>
      </c>
      <c r="AF4943">
        <v>3000</v>
      </c>
      <c r="AG4943">
        <v>110</v>
      </c>
      <c r="AH4943">
        <v>357.05</v>
      </c>
      <c r="AI4943">
        <v>230</v>
      </c>
      <c r="AJ4943">
        <v>0</v>
      </c>
      <c r="AK4943">
        <v>2500</v>
      </c>
      <c r="AL4943">
        <v>44</v>
      </c>
      <c r="AM4943">
        <v>253.45</v>
      </c>
      <c r="AN4943">
        <v>0</v>
      </c>
      <c r="AO4943">
        <v>0</v>
      </c>
      <c r="AP4943">
        <v>5000</v>
      </c>
      <c r="AQ4943">
        <v>42</v>
      </c>
      <c r="AR4943">
        <v>0</v>
      </c>
      <c r="AS4943">
        <v>0</v>
      </c>
      <c r="AT4943">
        <v>0</v>
      </c>
      <c r="AU4943">
        <v>0</v>
      </c>
      <c r="AV4943">
        <v>49</v>
      </c>
      <c r="AW4943">
        <v>167.16</v>
      </c>
      <c r="AX4943">
        <v>0</v>
      </c>
      <c r="AY4943">
        <v>0</v>
      </c>
      <c r="AZ4943">
        <v>2000</v>
      </c>
    </row>
    <row r="4944" spans="1:52" x14ac:dyDescent="0.3">
      <c r="A4944" t="s">
        <v>28</v>
      </c>
      <c r="B4944" t="s">
        <v>292</v>
      </c>
      <c r="C4944">
        <v>96</v>
      </c>
      <c r="D4944">
        <v>497.09</v>
      </c>
      <c r="E4944">
        <v>0</v>
      </c>
      <c r="F4944">
        <v>0</v>
      </c>
      <c r="G4944">
        <v>7000</v>
      </c>
      <c r="H4944">
        <v>84</v>
      </c>
      <c r="I4944">
        <v>3.91</v>
      </c>
      <c r="J4944">
        <v>0</v>
      </c>
      <c r="K4944">
        <v>0</v>
      </c>
      <c r="L4944">
        <v>300</v>
      </c>
      <c r="M4944">
        <v>117</v>
      </c>
      <c r="N4944">
        <v>369.41</v>
      </c>
      <c r="O4944">
        <v>200</v>
      </c>
      <c r="P4944">
        <v>0</v>
      </c>
      <c r="Q4944">
        <v>2500</v>
      </c>
      <c r="R4944">
        <v>101</v>
      </c>
      <c r="S4944">
        <v>257.68</v>
      </c>
      <c r="T4944">
        <v>0</v>
      </c>
      <c r="U4944">
        <v>0</v>
      </c>
      <c r="V4944">
        <v>2000</v>
      </c>
      <c r="W4944">
        <v>86</v>
      </c>
      <c r="X4944">
        <v>71.08</v>
      </c>
      <c r="Y4944">
        <v>0</v>
      </c>
      <c r="Z4944">
        <v>0</v>
      </c>
      <c r="AA4944">
        <v>2000</v>
      </c>
      <c r="AB4944">
        <v>140</v>
      </c>
      <c r="AC4944">
        <v>475.64</v>
      </c>
      <c r="AD4944">
        <v>250</v>
      </c>
      <c r="AE4944">
        <v>0</v>
      </c>
      <c r="AF4944">
        <v>4000</v>
      </c>
      <c r="AG4944">
        <v>176</v>
      </c>
      <c r="AH4944">
        <v>330.93</v>
      </c>
      <c r="AI4944">
        <v>250</v>
      </c>
      <c r="AJ4944">
        <v>0</v>
      </c>
      <c r="AK4944">
        <v>1000</v>
      </c>
      <c r="AL4944">
        <v>91</v>
      </c>
      <c r="AM4944">
        <v>126.22</v>
      </c>
      <c r="AN4944">
        <v>0</v>
      </c>
      <c r="AO4944">
        <v>0</v>
      </c>
      <c r="AP4944">
        <v>3000</v>
      </c>
      <c r="AQ4944">
        <v>81</v>
      </c>
      <c r="AR4944">
        <v>0</v>
      </c>
      <c r="AS4944">
        <v>0</v>
      </c>
      <c r="AT4944">
        <v>0</v>
      </c>
      <c r="AU4944">
        <v>0</v>
      </c>
      <c r="AV4944">
        <v>95</v>
      </c>
      <c r="AW4944">
        <v>370.07</v>
      </c>
      <c r="AX4944">
        <v>0</v>
      </c>
      <c r="AY4944">
        <v>0</v>
      </c>
      <c r="AZ4944">
        <v>5000</v>
      </c>
    </row>
    <row r="4945" spans="1:52" x14ac:dyDescent="0.3">
      <c r="A4945" t="s">
        <v>28</v>
      </c>
      <c r="B4945" t="s">
        <v>308</v>
      </c>
      <c r="C4945">
        <v>3</v>
      </c>
      <c r="D4945">
        <v>0</v>
      </c>
      <c r="E4945">
        <v>0</v>
      </c>
      <c r="F4945">
        <v>0</v>
      </c>
      <c r="G4945">
        <v>0</v>
      </c>
      <c r="H4945">
        <v>3</v>
      </c>
      <c r="I4945">
        <v>0</v>
      </c>
      <c r="J4945">
        <v>0</v>
      </c>
      <c r="K4945">
        <v>0</v>
      </c>
      <c r="L4945">
        <v>0</v>
      </c>
      <c r="M4945">
        <v>3</v>
      </c>
      <c r="N4945">
        <v>500</v>
      </c>
      <c r="O4945">
        <v>500</v>
      </c>
      <c r="P4945">
        <v>0</v>
      </c>
      <c r="Q4945">
        <v>1000</v>
      </c>
      <c r="R4945">
        <v>5</v>
      </c>
      <c r="S4945">
        <v>2278.35</v>
      </c>
      <c r="T4945">
        <v>0</v>
      </c>
      <c r="U4945">
        <v>0</v>
      </c>
      <c r="V4945">
        <v>13000</v>
      </c>
      <c r="W4945">
        <v>4</v>
      </c>
      <c r="X4945">
        <v>273.14</v>
      </c>
      <c r="Y4945">
        <v>0</v>
      </c>
      <c r="Z4945">
        <v>0</v>
      </c>
      <c r="AA4945">
        <v>1800</v>
      </c>
      <c r="AB4945">
        <v>8</v>
      </c>
      <c r="AC4945">
        <v>349.36</v>
      </c>
      <c r="AD4945">
        <v>500</v>
      </c>
      <c r="AE4945">
        <v>0</v>
      </c>
      <c r="AF4945">
        <v>1200</v>
      </c>
      <c r="AG4945">
        <v>10</v>
      </c>
      <c r="AH4945">
        <v>541.77</v>
      </c>
      <c r="AI4945">
        <v>500</v>
      </c>
      <c r="AJ4945">
        <v>200</v>
      </c>
      <c r="AK4945">
        <v>1800</v>
      </c>
      <c r="AL4945">
        <v>4</v>
      </c>
      <c r="AM4945">
        <v>322.52</v>
      </c>
      <c r="AN4945">
        <v>0</v>
      </c>
      <c r="AO4945">
        <v>0</v>
      </c>
      <c r="AP4945">
        <v>1500</v>
      </c>
      <c r="AQ4945">
        <v>3</v>
      </c>
      <c r="AR4945">
        <v>0</v>
      </c>
      <c r="AS4945">
        <v>0</v>
      </c>
      <c r="AT4945">
        <v>0</v>
      </c>
      <c r="AU4945">
        <v>0</v>
      </c>
      <c r="AV4945">
        <v>3</v>
      </c>
      <c r="AW4945">
        <v>0</v>
      </c>
      <c r="AX4945">
        <v>0</v>
      </c>
      <c r="AY4945">
        <v>0</v>
      </c>
      <c r="AZ4945">
        <v>0</v>
      </c>
    </row>
    <row r="4946" spans="1:52" x14ac:dyDescent="0.3">
      <c r="A4946" t="s">
        <v>27</v>
      </c>
      <c r="B4946" t="s">
        <v>291</v>
      </c>
      <c r="C4946">
        <v>63</v>
      </c>
      <c r="D4946">
        <v>508.21</v>
      </c>
      <c r="E4946">
        <v>0</v>
      </c>
      <c r="F4946">
        <v>0</v>
      </c>
      <c r="G4946">
        <v>5000</v>
      </c>
      <c r="H4946">
        <v>59</v>
      </c>
      <c r="I4946">
        <v>28.67</v>
      </c>
      <c r="J4946">
        <v>0</v>
      </c>
      <c r="K4946">
        <v>0</v>
      </c>
      <c r="L4946">
        <v>300</v>
      </c>
      <c r="M4946">
        <v>72</v>
      </c>
      <c r="N4946">
        <v>388.13</v>
      </c>
      <c r="O4946">
        <v>300</v>
      </c>
      <c r="P4946">
        <v>0</v>
      </c>
      <c r="Q4946">
        <v>2500</v>
      </c>
      <c r="R4946">
        <v>54</v>
      </c>
      <c r="S4946">
        <v>78</v>
      </c>
      <c r="T4946">
        <v>0</v>
      </c>
      <c r="U4946">
        <v>0</v>
      </c>
      <c r="V4946">
        <v>1200</v>
      </c>
      <c r="W4946">
        <v>60</v>
      </c>
      <c r="X4946">
        <v>96.15</v>
      </c>
      <c r="Y4946">
        <v>0</v>
      </c>
      <c r="Z4946">
        <v>0</v>
      </c>
      <c r="AA4946">
        <v>2000</v>
      </c>
      <c r="AB4946">
        <v>67</v>
      </c>
      <c r="AC4946">
        <v>256.49</v>
      </c>
      <c r="AD4946">
        <v>150</v>
      </c>
      <c r="AE4946">
        <v>0</v>
      </c>
      <c r="AF4946">
        <v>2500</v>
      </c>
      <c r="AG4946">
        <v>89</v>
      </c>
      <c r="AH4946">
        <v>313.89</v>
      </c>
      <c r="AI4946">
        <v>290</v>
      </c>
      <c r="AJ4946">
        <v>0</v>
      </c>
      <c r="AK4946">
        <v>1200</v>
      </c>
      <c r="AL4946">
        <v>62</v>
      </c>
      <c r="AM4946">
        <v>51.67</v>
      </c>
      <c r="AN4946">
        <v>0</v>
      </c>
      <c r="AO4946">
        <v>0</v>
      </c>
      <c r="AP4946">
        <v>1200</v>
      </c>
      <c r="AQ4946">
        <v>64</v>
      </c>
      <c r="AR4946">
        <v>0</v>
      </c>
      <c r="AS4946">
        <v>0</v>
      </c>
      <c r="AT4946">
        <v>0</v>
      </c>
      <c r="AU4946">
        <v>0</v>
      </c>
      <c r="AV4946">
        <v>33</v>
      </c>
      <c r="AW4946">
        <v>140.38999999999999</v>
      </c>
      <c r="AX4946">
        <v>0</v>
      </c>
      <c r="AY4946">
        <v>0</v>
      </c>
      <c r="AZ4946">
        <v>2000</v>
      </c>
    </row>
    <row r="4947" spans="1:52" x14ac:dyDescent="0.3">
      <c r="A4947" t="s">
        <v>27</v>
      </c>
      <c r="B4947" t="s">
        <v>292</v>
      </c>
      <c r="C4947">
        <v>129</v>
      </c>
      <c r="D4947">
        <v>608.95000000000005</v>
      </c>
      <c r="E4947">
        <v>0</v>
      </c>
      <c r="F4947">
        <v>0</v>
      </c>
      <c r="G4947">
        <v>8000</v>
      </c>
      <c r="H4947">
        <v>117</v>
      </c>
      <c r="I4947">
        <v>25.52</v>
      </c>
      <c r="J4947">
        <v>0</v>
      </c>
      <c r="K4947">
        <v>0</v>
      </c>
      <c r="L4947">
        <v>800</v>
      </c>
      <c r="M4947">
        <v>165</v>
      </c>
      <c r="N4947">
        <v>550.49</v>
      </c>
      <c r="O4947">
        <v>420</v>
      </c>
      <c r="P4947">
        <v>0</v>
      </c>
      <c r="Q4947">
        <v>5000</v>
      </c>
      <c r="R4947">
        <v>113</v>
      </c>
      <c r="S4947">
        <v>126.92</v>
      </c>
      <c r="T4947">
        <v>0</v>
      </c>
      <c r="U4947">
        <v>0</v>
      </c>
      <c r="V4947">
        <v>4000</v>
      </c>
      <c r="W4947">
        <v>109</v>
      </c>
      <c r="X4947">
        <v>458.78</v>
      </c>
      <c r="Y4947">
        <v>0</v>
      </c>
      <c r="Z4947">
        <v>0</v>
      </c>
      <c r="AA4947">
        <v>7000</v>
      </c>
      <c r="AB4947">
        <v>129</v>
      </c>
      <c r="AC4947">
        <v>387.89</v>
      </c>
      <c r="AD4947">
        <v>260</v>
      </c>
      <c r="AE4947">
        <v>0</v>
      </c>
      <c r="AF4947">
        <v>2000</v>
      </c>
      <c r="AG4947">
        <v>192</v>
      </c>
      <c r="AH4947">
        <v>364.2</v>
      </c>
      <c r="AI4947">
        <v>300</v>
      </c>
      <c r="AJ4947">
        <v>0</v>
      </c>
      <c r="AK4947">
        <v>1200</v>
      </c>
      <c r="AL4947">
        <v>102</v>
      </c>
      <c r="AM4947">
        <v>111.95</v>
      </c>
      <c r="AN4947">
        <v>0</v>
      </c>
      <c r="AO4947">
        <v>0</v>
      </c>
      <c r="AP4947">
        <v>3000</v>
      </c>
      <c r="AQ4947">
        <v>96</v>
      </c>
      <c r="AR4947">
        <v>3.61</v>
      </c>
      <c r="AS4947">
        <v>0</v>
      </c>
      <c r="AT4947">
        <v>0</v>
      </c>
      <c r="AU4947">
        <v>360</v>
      </c>
      <c r="AV4947">
        <v>82</v>
      </c>
      <c r="AW4947">
        <v>949.81</v>
      </c>
      <c r="AX4947">
        <v>0</v>
      </c>
      <c r="AY4947">
        <v>0</v>
      </c>
      <c r="AZ4947">
        <v>50000</v>
      </c>
    </row>
    <row r="4948" spans="1:52" x14ac:dyDescent="0.3">
      <c r="A4948" t="s">
        <v>27</v>
      </c>
      <c r="B4948" t="s">
        <v>308</v>
      </c>
      <c r="C4948">
        <v>1</v>
      </c>
      <c r="D4948">
        <v>0</v>
      </c>
      <c r="E4948">
        <v>0</v>
      </c>
      <c r="F4948">
        <v>0</v>
      </c>
      <c r="G4948">
        <v>0</v>
      </c>
      <c r="H4948">
        <v>1</v>
      </c>
      <c r="I4948">
        <v>0</v>
      </c>
      <c r="J4948">
        <v>0</v>
      </c>
      <c r="K4948">
        <v>0</v>
      </c>
      <c r="L4948">
        <v>0</v>
      </c>
      <c r="M4948">
        <v>7</v>
      </c>
      <c r="N4948">
        <v>690.17</v>
      </c>
      <c r="O4948">
        <v>600</v>
      </c>
      <c r="P4948">
        <v>0</v>
      </c>
      <c r="Q4948">
        <v>2000</v>
      </c>
      <c r="R4948">
        <v>1</v>
      </c>
      <c r="S4948">
        <v>0</v>
      </c>
      <c r="T4948">
        <v>0</v>
      </c>
      <c r="U4948">
        <v>0</v>
      </c>
      <c r="V4948">
        <v>0</v>
      </c>
      <c r="W4948">
        <v>2</v>
      </c>
      <c r="X4948">
        <v>1966.03</v>
      </c>
      <c r="Y4948">
        <v>4000</v>
      </c>
      <c r="Z4948">
        <v>0</v>
      </c>
      <c r="AA4948">
        <v>4000</v>
      </c>
      <c r="AB4948">
        <v>2</v>
      </c>
      <c r="AC4948">
        <v>1049.48</v>
      </c>
      <c r="AD4948">
        <v>1500</v>
      </c>
      <c r="AE4948">
        <v>600</v>
      </c>
      <c r="AF4948">
        <v>1500</v>
      </c>
      <c r="AG4948">
        <v>7</v>
      </c>
      <c r="AH4948">
        <v>691.69</v>
      </c>
      <c r="AI4948">
        <v>600</v>
      </c>
      <c r="AJ4948">
        <v>400</v>
      </c>
      <c r="AK4948">
        <v>1200</v>
      </c>
      <c r="AL4948">
        <v>1</v>
      </c>
      <c r="AM4948">
        <v>1500</v>
      </c>
      <c r="AN4948">
        <v>1500</v>
      </c>
      <c r="AO4948">
        <v>1500</v>
      </c>
      <c r="AP4948">
        <v>1500</v>
      </c>
      <c r="AQ4948">
        <v>1</v>
      </c>
      <c r="AR4948">
        <v>0</v>
      </c>
      <c r="AS4948">
        <v>0</v>
      </c>
      <c r="AT4948">
        <v>0</v>
      </c>
      <c r="AU4948">
        <v>0</v>
      </c>
      <c r="AV4948">
        <v>2</v>
      </c>
      <c r="AW4948">
        <v>157.16</v>
      </c>
      <c r="AX4948">
        <v>300</v>
      </c>
      <c r="AY4948">
        <v>0</v>
      </c>
      <c r="AZ4948">
        <v>300</v>
      </c>
    </row>
    <row r="4949" spans="1:52" x14ac:dyDescent="0.3">
      <c r="A4949" t="s">
        <v>41</v>
      </c>
      <c r="B4949" t="s">
        <v>291</v>
      </c>
      <c r="C4949">
        <v>514</v>
      </c>
      <c r="D4949">
        <v>629.04999999999995</v>
      </c>
      <c r="E4949">
        <v>0</v>
      </c>
      <c r="F4949">
        <v>0</v>
      </c>
      <c r="G4949">
        <v>18000</v>
      </c>
      <c r="H4949">
        <v>472</v>
      </c>
      <c r="I4949">
        <v>34.01</v>
      </c>
      <c r="J4949">
        <v>0</v>
      </c>
      <c r="K4949">
        <v>0</v>
      </c>
      <c r="L4949">
        <v>1000</v>
      </c>
      <c r="M4949">
        <v>549</v>
      </c>
      <c r="N4949">
        <v>394</v>
      </c>
      <c r="O4949">
        <v>200</v>
      </c>
      <c r="P4949">
        <v>0</v>
      </c>
      <c r="Q4949">
        <v>5000</v>
      </c>
      <c r="R4949">
        <v>483</v>
      </c>
      <c r="S4949">
        <v>136.03</v>
      </c>
      <c r="T4949">
        <v>0</v>
      </c>
      <c r="U4949">
        <v>0</v>
      </c>
      <c r="V4949">
        <v>4500</v>
      </c>
      <c r="W4949">
        <v>477</v>
      </c>
      <c r="X4949">
        <v>117.61</v>
      </c>
      <c r="Y4949">
        <v>0</v>
      </c>
      <c r="Z4949">
        <v>0</v>
      </c>
      <c r="AA4949">
        <v>6500</v>
      </c>
      <c r="AB4949">
        <v>572</v>
      </c>
      <c r="AC4949">
        <v>307.75</v>
      </c>
      <c r="AD4949">
        <v>150</v>
      </c>
      <c r="AE4949">
        <v>0</v>
      </c>
      <c r="AF4949">
        <v>6000</v>
      </c>
      <c r="AG4949">
        <v>674</v>
      </c>
      <c r="AH4949">
        <v>409.54</v>
      </c>
      <c r="AI4949">
        <v>350</v>
      </c>
      <c r="AJ4949">
        <v>0</v>
      </c>
      <c r="AK4949">
        <v>2500</v>
      </c>
      <c r="AL4949">
        <v>481</v>
      </c>
      <c r="AM4949">
        <v>88.72</v>
      </c>
      <c r="AN4949">
        <v>0</v>
      </c>
      <c r="AO4949">
        <v>0</v>
      </c>
      <c r="AP4949">
        <v>5000</v>
      </c>
      <c r="AQ4949">
        <v>476</v>
      </c>
      <c r="AR4949">
        <v>11.97</v>
      </c>
      <c r="AS4949">
        <v>0</v>
      </c>
      <c r="AT4949">
        <v>0</v>
      </c>
      <c r="AU4949">
        <v>2000</v>
      </c>
      <c r="AV4949">
        <v>448</v>
      </c>
      <c r="AW4949">
        <v>365.69</v>
      </c>
      <c r="AX4949">
        <v>0</v>
      </c>
      <c r="AY4949">
        <v>0</v>
      </c>
      <c r="AZ4949">
        <v>8000</v>
      </c>
    </row>
    <row r="4950" spans="1:52" x14ac:dyDescent="0.3">
      <c r="A4950" t="s">
        <v>41</v>
      </c>
      <c r="B4950" t="s">
        <v>292</v>
      </c>
      <c r="C4950">
        <v>1027</v>
      </c>
      <c r="D4950">
        <v>610.15</v>
      </c>
      <c r="E4950">
        <v>0</v>
      </c>
      <c r="F4950">
        <v>0</v>
      </c>
      <c r="G4950">
        <v>8000</v>
      </c>
      <c r="H4950">
        <v>900</v>
      </c>
      <c r="I4950">
        <v>37.42</v>
      </c>
      <c r="J4950">
        <v>0</v>
      </c>
      <c r="K4950">
        <v>0</v>
      </c>
      <c r="L4950">
        <v>1500</v>
      </c>
      <c r="M4950">
        <v>1107</v>
      </c>
      <c r="N4950">
        <v>485.6</v>
      </c>
      <c r="O4950">
        <v>300</v>
      </c>
      <c r="P4950">
        <v>0</v>
      </c>
      <c r="Q4950">
        <v>8500</v>
      </c>
      <c r="R4950">
        <v>933</v>
      </c>
      <c r="S4950">
        <v>154.75</v>
      </c>
      <c r="T4950">
        <v>0</v>
      </c>
      <c r="U4950">
        <v>0</v>
      </c>
      <c r="V4950">
        <v>8000</v>
      </c>
      <c r="W4950">
        <v>920</v>
      </c>
      <c r="X4950">
        <v>229.16</v>
      </c>
      <c r="Y4950">
        <v>0</v>
      </c>
      <c r="Z4950">
        <v>0</v>
      </c>
      <c r="AA4950">
        <v>9000</v>
      </c>
      <c r="AB4950">
        <v>1100</v>
      </c>
      <c r="AC4950">
        <v>308.81</v>
      </c>
      <c r="AD4950">
        <v>200</v>
      </c>
      <c r="AE4950">
        <v>0</v>
      </c>
      <c r="AF4950">
        <v>4000</v>
      </c>
      <c r="AG4950">
        <v>1277</v>
      </c>
      <c r="AH4950">
        <v>415.44</v>
      </c>
      <c r="AI4950">
        <v>360</v>
      </c>
      <c r="AJ4950">
        <v>0</v>
      </c>
      <c r="AK4950">
        <v>1500</v>
      </c>
      <c r="AL4950">
        <v>921</v>
      </c>
      <c r="AM4950">
        <v>260.74</v>
      </c>
      <c r="AN4950">
        <v>0</v>
      </c>
      <c r="AO4950">
        <v>0</v>
      </c>
      <c r="AP4950">
        <v>8000</v>
      </c>
      <c r="AQ4950">
        <v>898</v>
      </c>
      <c r="AR4950">
        <v>40.28</v>
      </c>
      <c r="AS4950">
        <v>0</v>
      </c>
      <c r="AT4950">
        <v>0</v>
      </c>
      <c r="AU4950">
        <v>10000</v>
      </c>
      <c r="AV4950">
        <v>862</v>
      </c>
      <c r="AW4950">
        <v>372.24</v>
      </c>
      <c r="AX4950">
        <v>0</v>
      </c>
      <c r="AY4950">
        <v>0</v>
      </c>
      <c r="AZ4950">
        <v>50000</v>
      </c>
    </row>
    <row r="4951" spans="1:52" x14ac:dyDescent="0.3">
      <c r="A4951" t="s">
        <v>41</v>
      </c>
      <c r="B4951" t="s">
        <v>308</v>
      </c>
      <c r="C4951">
        <v>9</v>
      </c>
      <c r="D4951">
        <v>921.81</v>
      </c>
      <c r="E4951">
        <v>0</v>
      </c>
      <c r="F4951">
        <v>0</v>
      </c>
      <c r="G4951">
        <v>3600</v>
      </c>
      <c r="H4951">
        <v>7</v>
      </c>
      <c r="I4951">
        <v>0</v>
      </c>
      <c r="J4951">
        <v>0</v>
      </c>
      <c r="K4951">
        <v>0</v>
      </c>
      <c r="L4951">
        <v>0</v>
      </c>
      <c r="M4951">
        <v>15</v>
      </c>
      <c r="N4951">
        <v>884.53</v>
      </c>
      <c r="O4951">
        <v>700</v>
      </c>
      <c r="P4951">
        <v>0</v>
      </c>
      <c r="Q4951">
        <v>2000</v>
      </c>
      <c r="R4951">
        <v>10</v>
      </c>
      <c r="S4951">
        <v>849.65</v>
      </c>
      <c r="T4951">
        <v>0</v>
      </c>
      <c r="U4951">
        <v>0</v>
      </c>
      <c r="V4951">
        <v>13000</v>
      </c>
      <c r="W4951">
        <v>10</v>
      </c>
      <c r="X4951">
        <v>478.47</v>
      </c>
      <c r="Y4951">
        <v>0</v>
      </c>
      <c r="Z4951">
        <v>0</v>
      </c>
      <c r="AA4951">
        <v>4000</v>
      </c>
      <c r="AB4951">
        <v>16</v>
      </c>
      <c r="AC4951">
        <v>385</v>
      </c>
      <c r="AD4951">
        <v>400</v>
      </c>
      <c r="AE4951">
        <v>0</v>
      </c>
      <c r="AF4951">
        <v>1500</v>
      </c>
      <c r="AG4951">
        <v>23</v>
      </c>
      <c r="AH4951">
        <v>563.53</v>
      </c>
      <c r="AI4951">
        <v>550</v>
      </c>
      <c r="AJ4951">
        <v>200</v>
      </c>
      <c r="AK4951">
        <v>1800</v>
      </c>
      <c r="AL4951">
        <v>9</v>
      </c>
      <c r="AM4951">
        <v>178.98</v>
      </c>
      <c r="AN4951">
        <v>0</v>
      </c>
      <c r="AO4951">
        <v>0</v>
      </c>
      <c r="AP4951">
        <v>1500</v>
      </c>
      <c r="AQ4951">
        <v>8</v>
      </c>
      <c r="AR4951">
        <v>0</v>
      </c>
      <c r="AS4951">
        <v>0</v>
      </c>
      <c r="AT4951">
        <v>0</v>
      </c>
      <c r="AU4951">
        <v>0</v>
      </c>
      <c r="AV4951">
        <v>8</v>
      </c>
      <c r="AW4951">
        <v>25.79</v>
      </c>
      <c r="AX4951">
        <v>0</v>
      </c>
      <c r="AY4951">
        <v>0</v>
      </c>
      <c r="AZ4951">
        <v>300</v>
      </c>
    </row>
    <row r="4953" spans="1:52" x14ac:dyDescent="0.3">
      <c r="A4953" t="s">
        <v>1955</v>
      </c>
    </row>
    <row r="4954" spans="1:52" x14ac:dyDescent="0.3">
      <c r="A4954" t="s">
        <v>36</v>
      </c>
      <c r="B4954" t="s">
        <v>310</v>
      </c>
      <c r="C4954" t="s">
        <v>1904</v>
      </c>
      <c r="D4954" t="s">
        <v>1905</v>
      </c>
      <c r="E4954" t="s">
        <v>1906</v>
      </c>
      <c r="F4954" t="s">
        <v>1907</v>
      </c>
      <c r="G4954" t="s">
        <v>1908</v>
      </c>
      <c r="H4954" t="s">
        <v>1909</v>
      </c>
      <c r="I4954" t="s">
        <v>1910</v>
      </c>
      <c r="J4954" t="s">
        <v>1911</v>
      </c>
      <c r="K4954" t="s">
        <v>1912</v>
      </c>
      <c r="L4954" t="s">
        <v>1913</v>
      </c>
      <c r="M4954" t="s">
        <v>1914</v>
      </c>
      <c r="N4954" t="s">
        <v>1915</v>
      </c>
      <c r="O4954" t="s">
        <v>1916</v>
      </c>
      <c r="P4954" t="s">
        <v>1917</v>
      </c>
      <c r="Q4954" t="s">
        <v>1918</v>
      </c>
      <c r="R4954" t="s">
        <v>1919</v>
      </c>
      <c r="S4954" t="s">
        <v>1920</v>
      </c>
      <c r="T4954" t="s">
        <v>1921</v>
      </c>
      <c r="U4954" t="s">
        <v>1922</v>
      </c>
      <c r="V4954" t="s">
        <v>1923</v>
      </c>
      <c r="W4954" t="s">
        <v>1924</v>
      </c>
      <c r="X4954" t="s">
        <v>1925</v>
      </c>
      <c r="Y4954" t="s">
        <v>1926</v>
      </c>
      <c r="Z4954" t="s">
        <v>1927</v>
      </c>
      <c r="AA4954" t="s">
        <v>1928</v>
      </c>
      <c r="AB4954" t="s">
        <v>1929</v>
      </c>
      <c r="AC4954" t="s">
        <v>1930</v>
      </c>
      <c r="AD4954" t="s">
        <v>1931</v>
      </c>
      <c r="AE4954" t="s">
        <v>1932</v>
      </c>
      <c r="AF4954" t="s">
        <v>1933</v>
      </c>
      <c r="AG4954" t="s">
        <v>1934</v>
      </c>
      <c r="AH4954" t="s">
        <v>1935</v>
      </c>
      <c r="AI4954" t="s">
        <v>1936</v>
      </c>
      <c r="AJ4954" t="s">
        <v>1937</v>
      </c>
      <c r="AK4954" t="s">
        <v>1938</v>
      </c>
      <c r="AL4954" t="s">
        <v>1939</v>
      </c>
      <c r="AM4954" t="s">
        <v>1940</v>
      </c>
      <c r="AN4954" t="s">
        <v>1941</v>
      </c>
      <c r="AO4954" t="s">
        <v>1942</v>
      </c>
      <c r="AP4954" t="s">
        <v>1943</v>
      </c>
      <c r="AQ4954" t="s">
        <v>1944</v>
      </c>
      <c r="AR4954" t="s">
        <v>1945</v>
      </c>
      <c r="AS4954" t="s">
        <v>1946</v>
      </c>
      <c r="AT4954" t="s">
        <v>1947</v>
      </c>
      <c r="AU4954" t="s">
        <v>1948</v>
      </c>
      <c r="AV4954" t="s">
        <v>1949</v>
      </c>
      <c r="AW4954" t="s">
        <v>1950</v>
      </c>
      <c r="AX4954" t="s">
        <v>1951</v>
      </c>
      <c r="AY4954" t="s">
        <v>1952</v>
      </c>
      <c r="AZ4954" t="s">
        <v>1953</v>
      </c>
    </row>
    <row r="4955" spans="1:52" x14ac:dyDescent="0.3">
      <c r="A4955" t="s">
        <v>25</v>
      </c>
      <c r="B4955" t="s">
        <v>311</v>
      </c>
      <c r="C4955">
        <v>296</v>
      </c>
      <c r="D4955">
        <v>661.94</v>
      </c>
      <c r="E4955">
        <v>0</v>
      </c>
      <c r="F4955">
        <v>0</v>
      </c>
      <c r="G4955">
        <v>10700</v>
      </c>
      <c r="H4955">
        <v>285</v>
      </c>
      <c r="I4955">
        <v>36.49</v>
      </c>
      <c r="J4955">
        <v>0</v>
      </c>
      <c r="K4955">
        <v>0</v>
      </c>
      <c r="L4955">
        <v>1000</v>
      </c>
      <c r="M4955">
        <v>287</v>
      </c>
      <c r="N4955">
        <v>386.98</v>
      </c>
      <c r="O4955">
        <v>300</v>
      </c>
      <c r="P4955">
        <v>0</v>
      </c>
      <c r="Q4955">
        <v>3000</v>
      </c>
      <c r="R4955">
        <v>295</v>
      </c>
      <c r="S4955">
        <v>131.02000000000001</v>
      </c>
      <c r="T4955">
        <v>0</v>
      </c>
      <c r="U4955">
        <v>0</v>
      </c>
      <c r="V4955">
        <v>4500</v>
      </c>
      <c r="W4955">
        <v>267</v>
      </c>
      <c r="X4955">
        <v>171.96</v>
      </c>
      <c r="Y4955">
        <v>0</v>
      </c>
      <c r="Z4955">
        <v>0</v>
      </c>
      <c r="AA4955">
        <v>4500</v>
      </c>
      <c r="AB4955">
        <v>297</v>
      </c>
      <c r="AC4955">
        <v>240.88</v>
      </c>
      <c r="AD4955">
        <v>100</v>
      </c>
      <c r="AE4955">
        <v>0</v>
      </c>
      <c r="AF4955">
        <v>6000</v>
      </c>
      <c r="AG4955">
        <v>318</v>
      </c>
      <c r="AH4955">
        <v>398.08</v>
      </c>
      <c r="AI4955">
        <v>340</v>
      </c>
      <c r="AJ4955">
        <v>0</v>
      </c>
      <c r="AK4955">
        <v>1500</v>
      </c>
      <c r="AL4955">
        <v>264</v>
      </c>
      <c r="AM4955">
        <v>152.41999999999999</v>
      </c>
      <c r="AN4955">
        <v>0</v>
      </c>
      <c r="AO4955">
        <v>0</v>
      </c>
      <c r="AP4955">
        <v>8000</v>
      </c>
      <c r="AQ4955">
        <v>260</v>
      </c>
      <c r="AR4955">
        <v>11.78</v>
      </c>
      <c r="AS4955">
        <v>0</v>
      </c>
      <c r="AT4955">
        <v>0</v>
      </c>
      <c r="AU4955">
        <v>2000</v>
      </c>
      <c r="AV4955">
        <v>274</v>
      </c>
      <c r="AW4955">
        <v>263.67</v>
      </c>
      <c r="AX4955">
        <v>0</v>
      </c>
      <c r="AY4955">
        <v>0</v>
      </c>
      <c r="AZ4955">
        <v>4500</v>
      </c>
    </row>
    <row r="4956" spans="1:52" x14ac:dyDescent="0.3">
      <c r="A4956" t="s">
        <v>25</v>
      </c>
      <c r="B4956" t="s">
        <v>312</v>
      </c>
      <c r="C4956">
        <v>73</v>
      </c>
      <c r="D4956">
        <v>461.4</v>
      </c>
      <c r="E4956">
        <v>0</v>
      </c>
      <c r="F4956">
        <v>0</v>
      </c>
      <c r="G4956">
        <v>6000</v>
      </c>
      <c r="H4956">
        <v>67</v>
      </c>
      <c r="I4956">
        <v>22.33</v>
      </c>
      <c r="J4956">
        <v>0</v>
      </c>
      <c r="K4956">
        <v>0</v>
      </c>
      <c r="L4956">
        <v>300</v>
      </c>
      <c r="M4956">
        <v>65</v>
      </c>
      <c r="N4956">
        <v>337.98</v>
      </c>
      <c r="O4956">
        <v>200</v>
      </c>
      <c r="P4956">
        <v>0</v>
      </c>
      <c r="Q4956">
        <v>3000</v>
      </c>
      <c r="R4956">
        <v>67</v>
      </c>
      <c r="S4956">
        <v>121.45</v>
      </c>
      <c r="T4956">
        <v>0</v>
      </c>
      <c r="U4956">
        <v>0</v>
      </c>
      <c r="V4956">
        <v>2000</v>
      </c>
      <c r="W4956">
        <v>66</v>
      </c>
      <c r="X4956">
        <v>139.44999999999999</v>
      </c>
      <c r="Y4956">
        <v>0</v>
      </c>
      <c r="Z4956">
        <v>0</v>
      </c>
      <c r="AA4956">
        <v>3000</v>
      </c>
      <c r="AB4956">
        <v>71</v>
      </c>
      <c r="AC4956">
        <v>185.92</v>
      </c>
      <c r="AD4956">
        <v>0</v>
      </c>
      <c r="AE4956">
        <v>0</v>
      </c>
      <c r="AF4956">
        <v>3000</v>
      </c>
      <c r="AG4956">
        <v>76</v>
      </c>
      <c r="AH4956">
        <v>372.38</v>
      </c>
      <c r="AI4956">
        <v>350</v>
      </c>
      <c r="AJ4956">
        <v>0</v>
      </c>
      <c r="AK4956">
        <v>1250</v>
      </c>
      <c r="AL4956">
        <v>64</v>
      </c>
      <c r="AM4956">
        <v>99.12</v>
      </c>
      <c r="AN4956">
        <v>0</v>
      </c>
      <c r="AO4956">
        <v>0</v>
      </c>
      <c r="AP4956">
        <v>3000</v>
      </c>
      <c r="AQ4956">
        <v>64</v>
      </c>
      <c r="AR4956">
        <v>14.59</v>
      </c>
      <c r="AS4956">
        <v>0</v>
      </c>
      <c r="AT4956">
        <v>0</v>
      </c>
      <c r="AU4956">
        <v>1000</v>
      </c>
      <c r="AV4956">
        <v>66</v>
      </c>
      <c r="AW4956">
        <v>386.13</v>
      </c>
      <c r="AX4956">
        <v>0</v>
      </c>
      <c r="AY4956">
        <v>0</v>
      </c>
      <c r="AZ4956">
        <v>4000</v>
      </c>
    </row>
    <row r="4957" spans="1:52" x14ac:dyDescent="0.3">
      <c r="A4957" t="s">
        <v>25</v>
      </c>
      <c r="B4957" t="s">
        <v>308</v>
      </c>
      <c r="C4957">
        <v>9</v>
      </c>
      <c r="D4957">
        <v>984.23</v>
      </c>
      <c r="E4957">
        <v>0</v>
      </c>
      <c r="F4957">
        <v>0</v>
      </c>
      <c r="G4957">
        <v>7000</v>
      </c>
      <c r="H4957">
        <v>9</v>
      </c>
      <c r="I4957">
        <v>88.09</v>
      </c>
      <c r="J4957">
        <v>0</v>
      </c>
      <c r="K4957">
        <v>0</v>
      </c>
      <c r="L4957">
        <v>1000</v>
      </c>
      <c r="M4957">
        <v>8</v>
      </c>
      <c r="N4957">
        <v>211.81</v>
      </c>
      <c r="O4957">
        <v>0</v>
      </c>
      <c r="P4957">
        <v>0</v>
      </c>
      <c r="Q4957">
        <v>1000</v>
      </c>
      <c r="R4957">
        <v>10</v>
      </c>
      <c r="S4957">
        <v>51.84</v>
      </c>
      <c r="T4957">
        <v>0</v>
      </c>
      <c r="U4957">
        <v>0</v>
      </c>
      <c r="V4957">
        <v>530</v>
      </c>
      <c r="W4957">
        <v>8</v>
      </c>
      <c r="X4957">
        <v>0</v>
      </c>
      <c r="Y4957">
        <v>0</v>
      </c>
      <c r="Z4957">
        <v>0</v>
      </c>
      <c r="AA4957">
        <v>0</v>
      </c>
      <c r="AB4957">
        <v>8</v>
      </c>
      <c r="AC4957">
        <v>191.24</v>
      </c>
      <c r="AD4957">
        <v>60</v>
      </c>
      <c r="AE4957">
        <v>0</v>
      </c>
      <c r="AF4957">
        <v>1000</v>
      </c>
      <c r="AG4957">
        <v>8</v>
      </c>
      <c r="AH4957">
        <v>399.5</v>
      </c>
      <c r="AI4957">
        <v>300</v>
      </c>
      <c r="AJ4957">
        <v>175</v>
      </c>
      <c r="AK4957">
        <v>1060</v>
      </c>
      <c r="AL4957">
        <v>9</v>
      </c>
      <c r="AM4957">
        <v>0</v>
      </c>
      <c r="AN4957">
        <v>0</v>
      </c>
      <c r="AO4957">
        <v>0</v>
      </c>
      <c r="AP4957">
        <v>0</v>
      </c>
      <c r="AQ4957">
        <v>9</v>
      </c>
      <c r="AR4957">
        <v>0</v>
      </c>
      <c r="AS4957">
        <v>0</v>
      </c>
      <c r="AT4957">
        <v>0</v>
      </c>
      <c r="AU4957">
        <v>0</v>
      </c>
      <c r="AV4957">
        <v>9</v>
      </c>
      <c r="AW4957">
        <v>47.04</v>
      </c>
      <c r="AX4957">
        <v>0</v>
      </c>
      <c r="AY4957">
        <v>0</v>
      </c>
      <c r="AZ4957">
        <v>300</v>
      </c>
    </row>
    <row r="4958" spans="1:52" x14ac:dyDescent="0.3">
      <c r="A4958" t="s">
        <v>26</v>
      </c>
      <c r="B4958" t="s">
        <v>311</v>
      </c>
      <c r="C4958">
        <v>318</v>
      </c>
      <c r="D4958">
        <v>916.04</v>
      </c>
      <c r="E4958">
        <v>0</v>
      </c>
      <c r="F4958">
        <v>0</v>
      </c>
      <c r="G4958">
        <v>7200</v>
      </c>
      <c r="H4958">
        <v>250</v>
      </c>
      <c r="I4958">
        <v>40.54</v>
      </c>
      <c r="J4958">
        <v>0</v>
      </c>
      <c r="K4958">
        <v>0</v>
      </c>
      <c r="L4958">
        <v>1500</v>
      </c>
      <c r="M4958">
        <v>326</v>
      </c>
      <c r="N4958">
        <v>472.74</v>
      </c>
      <c r="O4958">
        <v>300</v>
      </c>
      <c r="P4958">
        <v>0</v>
      </c>
      <c r="Q4958">
        <v>5000</v>
      </c>
      <c r="R4958">
        <v>259</v>
      </c>
      <c r="S4958">
        <v>92.17</v>
      </c>
      <c r="T4958">
        <v>0</v>
      </c>
      <c r="U4958">
        <v>0</v>
      </c>
      <c r="V4958">
        <v>5500</v>
      </c>
      <c r="W4958">
        <v>291</v>
      </c>
      <c r="X4958">
        <v>199.75</v>
      </c>
      <c r="Y4958">
        <v>0</v>
      </c>
      <c r="Z4958">
        <v>0</v>
      </c>
      <c r="AA4958">
        <v>9000</v>
      </c>
      <c r="AB4958">
        <v>330</v>
      </c>
      <c r="AC4958">
        <v>237</v>
      </c>
      <c r="AD4958">
        <v>100</v>
      </c>
      <c r="AE4958">
        <v>0</v>
      </c>
      <c r="AF4958">
        <v>3000</v>
      </c>
      <c r="AG4958">
        <v>336</v>
      </c>
      <c r="AH4958">
        <v>448.35</v>
      </c>
      <c r="AI4958">
        <v>400</v>
      </c>
      <c r="AJ4958">
        <v>50</v>
      </c>
      <c r="AK4958">
        <v>1400</v>
      </c>
      <c r="AL4958">
        <v>297</v>
      </c>
      <c r="AM4958">
        <v>189.85</v>
      </c>
      <c r="AN4958">
        <v>0</v>
      </c>
      <c r="AO4958">
        <v>0</v>
      </c>
      <c r="AP4958">
        <v>5000</v>
      </c>
      <c r="AQ4958">
        <v>300</v>
      </c>
      <c r="AR4958">
        <v>17.510000000000002</v>
      </c>
      <c r="AS4958">
        <v>0</v>
      </c>
      <c r="AT4958">
        <v>0</v>
      </c>
      <c r="AU4958">
        <v>2000</v>
      </c>
      <c r="AV4958">
        <v>262</v>
      </c>
      <c r="AW4958">
        <v>401.15</v>
      </c>
      <c r="AX4958">
        <v>0</v>
      </c>
      <c r="AY4958">
        <v>0</v>
      </c>
      <c r="AZ4958">
        <v>8000</v>
      </c>
    </row>
    <row r="4959" spans="1:52" x14ac:dyDescent="0.3">
      <c r="A4959" t="s">
        <v>26</v>
      </c>
      <c r="B4959" t="s">
        <v>312</v>
      </c>
      <c r="C4959">
        <v>83</v>
      </c>
      <c r="D4959">
        <v>948.37</v>
      </c>
      <c r="E4959">
        <v>490</v>
      </c>
      <c r="F4959">
        <v>0</v>
      </c>
      <c r="G4959">
        <v>4250</v>
      </c>
      <c r="H4959">
        <v>60</v>
      </c>
      <c r="I4959">
        <v>2.72</v>
      </c>
      <c r="J4959">
        <v>0</v>
      </c>
      <c r="K4959">
        <v>0</v>
      </c>
      <c r="L4959">
        <v>300</v>
      </c>
      <c r="M4959">
        <v>86</v>
      </c>
      <c r="N4959">
        <v>313.95999999999998</v>
      </c>
      <c r="O4959">
        <v>200</v>
      </c>
      <c r="P4959">
        <v>0</v>
      </c>
      <c r="Q4959">
        <v>1500</v>
      </c>
      <c r="R4959">
        <v>64</v>
      </c>
      <c r="S4959">
        <v>176.98</v>
      </c>
      <c r="T4959">
        <v>0</v>
      </c>
      <c r="U4959">
        <v>0</v>
      </c>
      <c r="V4959">
        <v>4000</v>
      </c>
      <c r="W4959">
        <v>81</v>
      </c>
      <c r="X4959">
        <v>575.58000000000004</v>
      </c>
      <c r="Y4959">
        <v>0</v>
      </c>
      <c r="Z4959">
        <v>0</v>
      </c>
      <c r="AA4959">
        <v>6000</v>
      </c>
      <c r="AB4959">
        <v>89</v>
      </c>
      <c r="AC4959">
        <v>255.7</v>
      </c>
      <c r="AD4959">
        <v>30</v>
      </c>
      <c r="AE4959">
        <v>0</v>
      </c>
      <c r="AF4959">
        <v>1500</v>
      </c>
      <c r="AG4959">
        <v>94</v>
      </c>
      <c r="AH4959">
        <v>402.43</v>
      </c>
      <c r="AI4959">
        <v>360</v>
      </c>
      <c r="AJ4959">
        <v>0</v>
      </c>
      <c r="AK4959">
        <v>1020</v>
      </c>
      <c r="AL4959">
        <v>74</v>
      </c>
      <c r="AM4959">
        <v>136.46</v>
      </c>
      <c r="AN4959">
        <v>0</v>
      </c>
      <c r="AO4959">
        <v>0</v>
      </c>
      <c r="AP4959">
        <v>2500</v>
      </c>
      <c r="AQ4959">
        <v>79</v>
      </c>
      <c r="AR4959">
        <v>18.649999999999999</v>
      </c>
      <c r="AS4959">
        <v>0</v>
      </c>
      <c r="AT4959">
        <v>0</v>
      </c>
      <c r="AU4959">
        <v>1000</v>
      </c>
      <c r="AV4959">
        <v>69</v>
      </c>
      <c r="AW4959">
        <v>408.74</v>
      </c>
      <c r="AX4959">
        <v>0</v>
      </c>
      <c r="AY4959">
        <v>0</v>
      </c>
      <c r="AZ4959">
        <v>3000</v>
      </c>
    </row>
    <row r="4960" spans="1:52" x14ac:dyDescent="0.3">
      <c r="A4960" t="s">
        <v>26</v>
      </c>
      <c r="B4960" t="s">
        <v>308</v>
      </c>
      <c r="C4960">
        <v>38</v>
      </c>
      <c r="D4960">
        <v>1829.48</v>
      </c>
      <c r="E4960">
        <v>1500</v>
      </c>
      <c r="F4960">
        <v>0</v>
      </c>
      <c r="G4960">
        <v>7500</v>
      </c>
      <c r="H4960">
        <v>20</v>
      </c>
      <c r="I4960">
        <v>137.82</v>
      </c>
      <c r="J4960">
        <v>0</v>
      </c>
      <c r="K4960">
        <v>0</v>
      </c>
      <c r="L4960">
        <v>1500</v>
      </c>
      <c r="M4960">
        <v>37</v>
      </c>
      <c r="N4960">
        <v>419.18</v>
      </c>
      <c r="O4960">
        <v>300</v>
      </c>
      <c r="P4960">
        <v>0</v>
      </c>
      <c r="Q4960">
        <v>1200</v>
      </c>
      <c r="R4960">
        <v>24</v>
      </c>
      <c r="S4960">
        <v>371.26</v>
      </c>
      <c r="T4960">
        <v>0</v>
      </c>
      <c r="U4960">
        <v>0</v>
      </c>
      <c r="V4960">
        <v>2500</v>
      </c>
      <c r="W4960">
        <v>28</v>
      </c>
      <c r="X4960">
        <v>875.34</v>
      </c>
      <c r="Y4960">
        <v>0</v>
      </c>
      <c r="Z4960">
        <v>0</v>
      </c>
      <c r="AA4960">
        <v>5000</v>
      </c>
      <c r="AB4960">
        <v>38</v>
      </c>
      <c r="AC4960">
        <v>274.27</v>
      </c>
      <c r="AD4960">
        <v>200</v>
      </c>
      <c r="AE4960">
        <v>0</v>
      </c>
      <c r="AF4960">
        <v>1000</v>
      </c>
      <c r="AG4960">
        <v>38</v>
      </c>
      <c r="AH4960">
        <v>580.85</v>
      </c>
      <c r="AI4960">
        <v>600</v>
      </c>
      <c r="AJ4960">
        <v>125</v>
      </c>
      <c r="AK4960">
        <v>1000</v>
      </c>
      <c r="AL4960">
        <v>37</v>
      </c>
      <c r="AM4960">
        <v>304.58999999999997</v>
      </c>
      <c r="AN4960">
        <v>0</v>
      </c>
      <c r="AO4960">
        <v>0</v>
      </c>
      <c r="AP4960">
        <v>6000</v>
      </c>
      <c r="AQ4960">
        <v>37</v>
      </c>
      <c r="AR4960">
        <v>0</v>
      </c>
      <c r="AS4960">
        <v>0</v>
      </c>
      <c r="AT4960">
        <v>0</v>
      </c>
      <c r="AU4960">
        <v>0</v>
      </c>
      <c r="AV4960">
        <v>27</v>
      </c>
      <c r="AW4960">
        <v>739.94</v>
      </c>
      <c r="AX4960">
        <v>0</v>
      </c>
      <c r="AY4960">
        <v>0</v>
      </c>
      <c r="AZ4960">
        <v>6500</v>
      </c>
    </row>
    <row r="4961" spans="1:52" x14ac:dyDescent="0.3">
      <c r="A4961" t="s">
        <v>29</v>
      </c>
      <c r="B4961" t="s">
        <v>311</v>
      </c>
      <c r="C4961">
        <v>303</v>
      </c>
      <c r="D4961">
        <v>351.7</v>
      </c>
      <c r="E4961">
        <v>0</v>
      </c>
      <c r="F4961">
        <v>0</v>
      </c>
      <c r="G4961">
        <v>18000</v>
      </c>
      <c r="H4961">
        <v>293</v>
      </c>
      <c r="I4961">
        <v>33.56</v>
      </c>
      <c r="J4961">
        <v>0</v>
      </c>
      <c r="K4961">
        <v>0</v>
      </c>
      <c r="L4961">
        <v>600</v>
      </c>
      <c r="M4961">
        <v>344</v>
      </c>
      <c r="N4961">
        <v>473.59</v>
      </c>
      <c r="O4961">
        <v>300</v>
      </c>
      <c r="P4961">
        <v>0</v>
      </c>
      <c r="Q4961">
        <v>8000</v>
      </c>
      <c r="R4961">
        <v>296</v>
      </c>
      <c r="S4961">
        <v>155.82</v>
      </c>
      <c r="T4961">
        <v>0</v>
      </c>
      <c r="U4961">
        <v>0</v>
      </c>
      <c r="V4961">
        <v>6000</v>
      </c>
      <c r="W4961">
        <v>275</v>
      </c>
      <c r="X4961">
        <v>100.49</v>
      </c>
      <c r="Y4961">
        <v>0</v>
      </c>
      <c r="Z4961">
        <v>0</v>
      </c>
      <c r="AA4961">
        <v>4000</v>
      </c>
      <c r="AB4961">
        <v>338</v>
      </c>
      <c r="AC4961">
        <v>374.02</v>
      </c>
      <c r="AD4961">
        <v>200</v>
      </c>
      <c r="AE4961">
        <v>0</v>
      </c>
      <c r="AF4961">
        <v>4000</v>
      </c>
      <c r="AG4961">
        <v>406</v>
      </c>
      <c r="AH4961">
        <v>418.39</v>
      </c>
      <c r="AI4961">
        <v>360</v>
      </c>
      <c r="AJ4961">
        <v>0</v>
      </c>
      <c r="AK4961">
        <v>1300</v>
      </c>
      <c r="AL4961">
        <v>277</v>
      </c>
      <c r="AM4961">
        <v>247.51</v>
      </c>
      <c r="AN4961">
        <v>0</v>
      </c>
      <c r="AO4961">
        <v>0</v>
      </c>
      <c r="AP4961">
        <v>8000</v>
      </c>
      <c r="AQ4961">
        <v>265</v>
      </c>
      <c r="AR4961">
        <v>62.49</v>
      </c>
      <c r="AS4961">
        <v>0</v>
      </c>
      <c r="AT4961">
        <v>0</v>
      </c>
      <c r="AU4961">
        <v>10000</v>
      </c>
      <c r="AV4961">
        <v>264</v>
      </c>
      <c r="AW4961">
        <v>286.75</v>
      </c>
      <c r="AX4961">
        <v>0</v>
      </c>
      <c r="AY4961">
        <v>0</v>
      </c>
      <c r="AZ4961">
        <v>4500</v>
      </c>
    </row>
    <row r="4962" spans="1:52" x14ac:dyDescent="0.3">
      <c r="A4962" t="s">
        <v>29</v>
      </c>
      <c r="B4962" t="s">
        <v>312</v>
      </c>
      <c r="C4962">
        <v>86</v>
      </c>
      <c r="D4962">
        <v>461.49</v>
      </c>
      <c r="E4962">
        <v>0</v>
      </c>
      <c r="F4962">
        <v>0</v>
      </c>
      <c r="G4962">
        <v>6000</v>
      </c>
      <c r="H4962">
        <v>81</v>
      </c>
      <c r="I4962">
        <v>49.34</v>
      </c>
      <c r="J4962">
        <v>0</v>
      </c>
      <c r="K4962">
        <v>0</v>
      </c>
      <c r="L4962">
        <v>500</v>
      </c>
      <c r="M4962">
        <v>89</v>
      </c>
      <c r="N4962">
        <v>548.22</v>
      </c>
      <c r="O4962">
        <v>200</v>
      </c>
      <c r="P4962">
        <v>0</v>
      </c>
      <c r="Q4962">
        <v>8500</v>
      </c>
      <c r="R4962">
        <v>81</v>
      </c>
      <c r="S4962">
        <v>121.69</v>
      </c>
      <c r="T4962">
        <v>0</v>
      </c>
      <c r="U4962">
        <v>0</v>
      </c>
      <c r="V4962">
        <v>4000</v>
      </c>
      <c r="W4962">
        <v>78</v>
      </c>
      <c r="X4962">
        <v>100.09</v>
      </c>
      <c r="Y4962">
        <v>0</v>
      </c>
      <c r="Z4962">
        <v>0</v>
      </c>
      <c r="AA4962">
        <v>2700</v>
      </c>
      <c r="AB4962">
        <v>87</v>
      </c>
      <c r="AC4962">
        <v>301.77999999999997</v>
      </c>
      <c r="AD4962">
        <v>200</v>
      </c>
      <c r="AE4962">
        <v>0</v>
      </c>
      <c r="AF4962">
        <v>4000</v>
      </c>
      <c r="AG4962">
        <v>101</v>
      </c>
      <c r="AH4962">
        <v>384.22</v>
      </c>
      <c r="AI4962">
        <v>350</v>
      </c>
      <c r="AJ4962">
        <v>0</v>
      </c>
      <c r="AK4962">
        <v>1400</v>
      </c>
      <c r="AL4962">
        <v>77</v>
      </c>
      <c r="AM4962">
        <v>284.27999999999997</v>
      </c>
      <c r="AN4962">
        <v>0</v>
      </c>
      <c r="AO4962">
        <v>0</v>
      </c>
      <c r="AP4962">
        <v>8000</v>
      </c>
      <c r="AQ4962">
        <v>73</v>
      </c>
      <c r="AR4962">
        <v>30.22</v>
      </c>
      <c r="AS4962">
        <v>0</v>
      </c>
      <c r="AT4962">
        <v>0</v>
      </c>
      <c r="AU4962">
        <v>2000</v>
      </c>
      <c r="AV4962">
        <v>76</v>
      </c>
      <c r="AW4962">
        <v>613.14</v>
      </c>
      <c r="AX4962">
        <v>0</v>
      </c>
      <c r="AY4962">
        <v>0</v>
      </c>
      <c r="AZ4962">
        <v>8000</v>
      </c>
    </row>
    <row r="4963" spans="1:52" x14ac:dyDescent="0.3">
      <c r="A4963" t="s">
        <v>29</v>
      </c>
      <c r="B4963" t="s">
        <v>308</v>
      </c>
      <c r="C4963">
        <v>8</v>
      </c>
      <c r="D4963">
        <v>32.340000000000003</v>
      </c>
      <c r="E4963">
        <v>0</v>
      </c>
      <c r="F4963">
        <v>0</v>
      </c>
      <c r="G4963">
        <v>1500</v>
      </c>
      <c r="H4963">
        <v>8</v>
      </c>
      <c r="I4963">
        <v>5.39</v>
      </c>
      <c r="J4963">
        <v>0</v>
      </c>
      <c r="K4963">
        <v>0</v>
      </c>
      <c r="L4963">
        <v>250</v>
      </c>
      <c r="M4963">
        <v>11</v>
      </c>
      <c r="N4963">
        <v>932.5</v>
      </c>
      <c r="O4963">
        <v>1000</v>
      </c>
      <c r="P4963">
        <v>0</v>
      </c>
      <c r="Q4963">
        <v>2600</v>
      </c>
      <c r="R4963">
        <v>9</v>
      </c>
      <c r="S4963">
        <v>1075.8599999999999</v>
      </c>
      <c r="T4963">
        <v>0</v>
      </c>
      <c r="U4963">
        <v>0</v>
      </c>
      <c r="V4963">
        <v>8000</v>
      </c>
      <c r="W4963">
        <v>9</v>
      </c>
      <c r="X4963">
        <v>300.52</v>
      </c>
      <c r="Y4963">
        <v>0</v>
      </c>
      <c r="Z4963">
        <v>0</v>
      </c>
      <c r="AA4963">
        <v>1600</v>
      </c>
      <c r="AB4963">
        <v>11</v>
      </c>
      <c r="AC4963">
        <v>872.88</v>
      </c>
      <c r="AD4963">
        <v>300</v>
      </c>
      <c r="AE4963">
        <v>0</v>
      </c>
      <c r="AF4963">
        <v>3000</v>
      </c>
      <c r="AG4963">
        <v>13</v>
      </c>
      <c r="AH4963">
        <v>577.99</v>
      </c>
      <c r="AI4963">
        <v>600</v>
      </c>
      <c r="AJ4963">
        <v>200</v>
      </c>
      <c r="AK4963">
        <v>1000</v>
      </c>
      <c r="AL4963">
        <v>8</v>
      </c>
      <c r="AM4963">
        <v>0</v>
      </c>
      <c r="AN4963">
        <v>0</v>
      </c>
      <c r="AO4963">
        <v>0</v>
      </c>
      <c r="AP4963">
        <v>0</v>
      </c>
      <c r="AQ4963">
        <v>8</v>
      </c>
      <c r="AR4963">
        <v>0</v>
      </c>
      <c r="AS4963">
        <v>0</v>
      </c>
      <c r="AT4963">
        <v>0</v>
      </c>
      <c r="AU4963">
        <v>0</v>
      </c>
      <c r="AV4963">
        <v>7</v>
      </c>
      <c r="AW4963">
        <v>772.9</v>
      </c>
      <c r="AX4963">
        <v>0</v>
      </c>
      <c r="AY4963">
        <v>0</v>
      </c>
      <c r="AZ4963">
        <v>4000</v>
      </c>
    </row>
    <row r="4964" spans="1:52" x14ac:dyDescent="0.3">
      <c r="A4964" t="s">
        <v>28</v>
      </c>
      <c r="B4964" t="s">
        <v>311</v>
      </c>
      <c r="C4964">
        <v>99</v>
      </c>
      <c r="D4964">
        <v>227.83</v>
      </c>
      <c r="E4964">
        <v>0</v>
      </c>
      <c r="F4964">
        <v>0</v>
      </c>
      <c r="G4964">
        <v>4000</v>
      </c>
      <c r="H4964">
        <v>94</v>
      </c>
      <c r="I4964">
        <v>18.260000000000002</v>
      </c>
      <c r="J4964">
        <v>0</v>
      </c>
      <c r="K4964">
        <v>0</v>
      </c>
      <c r="L4964">
        <v>450</v>
      </c>
      <c r="M4964">
        <v>115</v>
      </c>
      <c r="N4964">
        <v>490.69</v>
      </c>
      <c r="O4964">
        <v>100</v>
      </c>
      <c r="P4964">
        <v>0</v>
      </c>
      <c r="Q4964">
        <v>5000</v>
      </c>
      <c r="R4964">
        <v>106</v>
      </c>
      <c r="S4964">
        <v>270.57</v>
      </c>
      <c r="T4964">
        <v>0</v>
      </c>
      <c r="U4964">
        <v>0</v>
      </c>
      <c r="V4964">
        <v>4000</v>
      </c>
      <c r="W4964">
        <v>96</v>
      </c>
      <c r="X4964">
        <v>258.67</v>
      </c>
      <c r="Y4964">
        <v>0</v>
      </c>
      <c r="Z4964">
        <v>0</v>
      </c>
      <c r="AA4964">
        <v>6500</v>
      </c>
      <c r="AB4964">
        <v>160</v>
      </c>
      <c r="AC4964">
        <v>440.54</v>
      </c>
      <c r="AD4964">
        <v>300</v>
      </c>
      <c r="AE4964">
        <v>0</v>
      </c>
      <c r="AF4964">
        <v>3000</v>
      </c>
      <c r="AG4964">
        <v>211</v>
      </c>
      <c r="AH4964">
        <v>352.26</v>
      </c>
      <c r="AI4964">
        <v>250</v>
      </c>
      <c r="AJ4964">
        <v>0</v>
      </c>
      <c r="AK4964">
        <v>2500</v>
      </c>
      <c r="AL4964">
        <v>97</v>
      </c>
      <c r="AM4964">
        <v>133.58000000000001</v>
      </c>
      <c r="AN4964">
        <v>0</v>
      </c>
      <c r="AO4964">
        <v>0</v>
      </c>
      <c r="AP4964">
        <v>3000</v>
      </c>
      <c r="AQ4964">
        <v>91</v>
      </c>
      <c r="AR4964">
        <v>0</v>
      </c>
      <c r="AS4964">
        <v>0</v>
      </c>
      <c r="AT4964">
        <v>0</v>
      </c>
      <c r="AU4964">
        <v>0</v>
      </c>
      <c r="AV4964">
        <v>104</v>
      </c>
      <c r="AW4964">
        <v>170.65</v>
      </c>
      <c r="AX4964">
        <v>0</v>
      </c>
      <c r="AY4964">
        <v>0</v>
      </c>
      <c r="AZ4964">
        <v>3000</v>
      </c>
    </row>
    <row r="4965" spans="1:52" x14ac:dyDescent="0.3">
      <c r="A4965" t="s">
        <v>28</v>
      </c>
      <c r="B4965" t="s">
        <v>312</v>
      </c>
      <c r="C4965">
        <v>43</v>
      </c>
      <c r="D4965">
        <v>707.21</v>
      </c>
      <c r="E4965">
        <v>0</v>
      </c>
      <c r="F4965">
        <v>0</v>
      </c>
      <c r="G4965">
        <v>7000</v>
      </c>
      <c r="H4965">
        <v>35</v>
      </c>
      <c r="I4965">
        <v>0</v>
      </c>
      <c r="J4965">
        <v>0</v>
      </c>
      <c r="K4965">
        <v>0</v>
      </c>
      <c r="L4965">
        <v>0</v>
      </c>
      <c r="M4965">
        <v>58</v>
      </c>
      <c r="N4965">
        <v>349</v>
      </c>
      <c r="O4965">
        <v>200</v>
      </c>
      <c r="P4965">
        <v>0</v>
      </c>
      <c r="Q4965">
        <v>2500</v>
      </c>
      <c r="R4965">
        <v>46</v>
      </c>
      <c r="S4965">
        <v>489.18</v>
      </c>
      <c r="T4965">
        <v>0</v>
      </c>
      <c r="U4965">
        <v>0</v>
      </c>
      <c r="V4965">
        <v>13000</v>
      </c>
      <c r="W4965">
        <v>36</v>
      </c>
      <c r="X4965">
        <v>55.38</v>
      </c>
      <c r="Y4965">
        <v>0</v>
      </c>
      <c r="Z4965">
        <v>0</v>
      </c>
      <c r="AA4965">
        <v>1800</v>
      </c>
      <c r="AB4965">
        <v>60</v>
      </c>
      <c r="AC4965">
        <v>417.73</v>
      </c>
      <c r="AD4965">
        <v>200</v>
      </c>
      <c r="AE4965">
        <v>0</v>
      </c>
      <c r="AF4965">
        <v>4000</v>
      </c>
      <c r="AG4965">
        <v>84</v>
      </c>
      <c r="AH4965">
        <v>336.24</v>
      </c>
      <c r="AI4965">
        <v>250</v>
      </c>
      <c r="AJ4965">
        <v>0</v>
      </c>
      <c r="AK4965">
        <v>1800</v>
      </c>
      <c r="AL4965">
        <v>41</v>
      </c>
      <c r="AM4965">
        <v>275.99</v>
      </c>
      <c r="AN4965">
        <v>0</v>
      </c>
      <c r="AO4965">
        <v>0</v>
      </c>
      <c r="AP4965">
        <v>5000</v>
      </c>
      <c r="AQ4965">
        <v>35</v>
      </c>
      <c r="AR4965">
        <v>0</v>
      </c>
      <c r="AS4965">
        <v>0</v>
      </c>
      <c r="AT4965">
        <v>0</v>
      </c>
      <c r="AU4965">
        <v>0</v>
      </c>
      <c r="AV4965">
        <v>43</v>
      </c>
      <c r="AW4965">
        <v>594.57000000000005</v>
      </c>
      <c r="AX4965">
        <v>0</v>
      </c>
      <c r="AY4965">
        <v>0</v>
      </c>
      <c r="AZ4965">
        <v>5000</v>
      </c>
    </row>
    <row r="4966" spans="1:52" x14ac:dyDescent="0.3">
      <c r="A4966" t="s">
        <v>28</v>
      </c>
      <c r="B4966" t="s">
        <v>308</v>
      </c>
      <c r="C4966">
        <v>1</v>
      </c>
      <c r="D4966">
        <v>6500</v>
      </c>
      <c r="E4966">
        <v>6500</v>
      </c>
      <c r="F4966">
        <v>6500</v>
      </c>
      <c r="G4966">
        <v>6500</v>
      </c>
      <c r="M4966">
        <v>1</v>
      </c>
      <c r="N4966">
        <v>300</v>
      </c>
      <c r="O4966">
        <v>300</v>
      </c>
      <c r="P4966">
        <v>300</v>
      </c>
      <c r="Q4966">
        <v>300</v>
      </c>
      <c r="R4966">
        <v>1</v>
      </c>
      <c r="S4966">
        <v>1400</v>
      </c>
      <c r="T4966">
        <v>1400</v>
      </c>
      <c r="U4966">
        <v>1400</v>
      </c>
      <c r="V4966">
        <v>1400</v>
      </c>
      <c r="W4966">
        <v>1</v>
      </c>
      <c r="X4966">
        <v>2000</v>
      </c>
      <c r="Y4966">
        <v>2000</v>
      </c>
      <c r="Z4966">
        <v>2000</v>
      </c>
      <c r="AA4966">
        <v>2000</v>
      </c>
      <c r="AB4966">
        <v>1</v>
      </c>
      <c r="AC4966">
        <v>600</v>
      </c>
      <c r="AD4966">
        <v>600</v>
      </c>
      <c r="AE4966">
        <v>600</v>
      </c>
      <c r="AF4966">
        <v>600</v>
      </c>
      <c r="AG4966">
        <v>1</v>
      </c>
      <c r="AH4966">
        <v>550</v>
      </c>
      <c r="AI4966">
        <v>550</v>
      </c>
      <c r="AJ4966">
        <v>550</v>
      </c>
      <c r="AK4966">
        <v>550</v>
      </c>
      <c r="AL4966">
        <v>1</v>
      </c>
      <c r="AM4966">
        <v>900</v>
      </c>
      <c r="AN4966">
        <v>900</v>
      </c>
      <c r="AO4966">
        <v>900</v>
      </c>
      <c r="AP4966">
        <v>900</v>
      </c>
    </row>
    <row r="4967" spans="1:52" x14ac:dyDescent="0.3">
      <c r="A4967" t="s">
        <v>27</v>
      </c>
      <c r="B4967" t="s">
        <v>311</v>
      </c>
      <c r="C4967">
        <v>153</v>
      </c>
      <c r="D4967">
        <v>516.77</v>
      </c>
      <c r="E4967">
        <v>0</v>
      </c>
      <c r="F4967">
        <v>0</v>
      </c>
      <c r="G4967">
        <v>8000</v>
      </c>
      <c r="H4967">
        <v>142</v>
      </c>
      <c r="I4967">
        <v>29.76</v>
      </c>
      <c r="J4967">
        <v>0</v>
      </c>
      <c r="K4967">
        <v>0</v>
      </c>
      <c r="L4967">
        <v>800</v>
      </c>
      <c r="M4967">
        <v>197</v>
      </c>
      <c r="N4967">
        <v>521.26</v>
      </c>
      <c r="O4967">
        <v>420</v>
      </c>
      <c r="P4967">
        <v>0</v>
      </c>
      <c r="Q4967">
        <v>5000</v>
      </c>
      <c r="R4967">
        <v>133</v>
      </c>
      <c r="S4967">
        <v>90.39</v>
      </c>
      <c r="T4967">
        <v>0</v>
      </c>
      <c r="U4967">
        <v>0</v>
      </c>
      <c r="V4967">
        <v>4000</v>
      </c>
      <c r="W4967">
        <v>133</v>
      </c>
      <c r="X4967">
        <v>339.81</v>
      </c>
      <c r="Y4967">
        <v>0</v>
      </c>
      <c r="Z4967">
        <v>0</v>
      </c>
      <c r="AA4967">
        <v>7000</v>
      </c>
      <c r="AB4967">
        <v>157</v>
      </c>
      <c r="AC4967">
        <v>345.28</v>
      </c>
      <c r="AD4967">
        <v>200</v>
      </c>
      <c r="AE4967">
        <v>0</v>
      </c>
      <c r="AF4967">
        <v>2500</v>
      </c>
      <c r="AG4967">
        <v>229</v>
      </c>
      <c r="AH4967">
        <v>364.1</v>
      </c>
      <c r="AI4967">
        <v>300</v>
      </c>
      <c r="AJ4967">
        <v>0</v>
      </c>
      <c r="AK4967">
        <v>1200</v>
      </c>
      <c r="AL4967">
        <v>127</v>
      </c>
      <c r="AM4967">
        <v>98.27</v>
      </c>
      <c r="AN4967">
        <v>0</v>
      </c>
      <c r="AO4967">
        <v>0</v>
      </c>
      <c r="AP4967">
        <v>2000</v>
      </c>
      <c r="AQ4967">
        <v>124</v>
      </c>
      <c r="AR4967">
        <v>0</v>
      </c>
      <c r="AS4967">
        <v>0</v>
      </c>
      <c r="AT4967">
        <v>0</v>
      </c>
      <c r="AU4967">
        <v>0</v>
      </c>
      <c r="AV4967">
        <v>94</v>
      </c>
      <c r="AW4967">
        <v>348.63</v>
      </c>
      <c r="AX4967">
        <v>0</v>
      </c>
      <c r="AY4967">
        <v>0</v>
      </c>
      <c r="AZ4967">
        <v>10000</v>
      </c>
    </row>
    <row r="4968" spans="1:52" x14ac:dyDescent="0.3">
      <c r="A4968" t="s">
        <v>27</v>
      </c>
      <c r="B4968" t="s">
        <v>312</v>
      </c>
      <c r="C4968">
        <v>37</v>
      </c>
      <c r="D4968">
        <v>928.15</v>
      </c>
      <c r="E4968">
        <v>0</v>
      </c>
      <c r="F4968">
        <v>0</v>
      </c>
      <c r="G4968">
        <v>6000</v>
      </c>
      <c r="H4968">
        <v>32</v>
      </c>
      <c r="I4968">
        <v>7.94</v>
      </c>
      <c r="J4968">
        <v>0</v>
      </c>
      <c r="K4968">
        <v>0</v>
      </c>
      <c r="L4968">
        <v>200</v>
      </c>
      <c r="M4968">
        <v>44</v>
      </c>
      <c r="N4968">
        <v>458.29</v>
      </c>
      <c r="O4968">
        <v>300</v>
      </c>
      <c r="P4968">
        <v>0</v>
      </c>
      <c r="Q4968">
        <v>2000</v>
      </c>
      <c r="R4968">
        <v>32</v>
      </c>
      <c r="S4968">
        <v>228.9</v>
      </c>
      <c r="T4968">
        <v>0</v>
      </c>
      <c r="U4968">
        <v>0</v>
      </c>
      <c r="V4968">
        <v>2200</v>
      </c>
      <c r="W4968">
        <v>35</v>
      </c>
      <c r="X4968">
        <v>508.76</v>
      </c>
      <c r="Y4968">
        <v>0</v>
      </c>
      <c r="Z4968">
        <v>0</v>
      </c>
      <c r="AA4968">
        <v>4000</v>
      </c>
      <c r="AB4968">
        <v>38</v>
      </c>
      <c r="AC4968">
        <v>425.38</v>
      </c>
      <c r="AD4968">
        <v>250</v>
      </c>
      <c r="AE4968">
        <v>0</v>
      </c>
      <c r="AF4968">
        <v>2000</v>
      </c>
      <c r="AG4968">
        <v>56</v>
      </c>
      <c r="AH4968">
        <v>326.19</v>
      </c>
      <c r="AI4968">
        <v>250</v>
      </c>
      <c r="AJ4968">
        <v>0</v>
      </c>
      <c r="AK4968">
        <v>1200</v>
      </c>
      <c r="AL4968">
        <v>35</v>
      </c>
      <c r="AM4968">
        <v>123.23</v>
      </c>
      <c r="AN4968">
        <v>0</v>
      </c>
      <c r="AO4968">
        <v>0</v>
      </c>
      <c r="AP4968">
        <v>3000</v>
      </c>
      <c r="AQ4968">
        <v>34</v>
      </c>
      <c r="AR4968">
        <v>14.49</v>
      </c>
      <c r="AS4968">
        <v>0</v>
      </c>
      <c r="AT4968">
        <v>0</v>
      </c>
      <c r="AU4968">
        <v>360</v>
      </c>
      <c r="AV4968">
        <v>20</v>
      </c>
      <c r="AW4968">
        <v>3414.77</v>
      </c>
      <c r="AX4968">
        <v>0</v>
      </c>
      <c r="AY4968">
        <v>0</v>
      </c>
      <c r="AZ4968">
        <v>50000</v>
      </c>
    </row>
    <row r="4969" spans="1:52" x14ac:dyDescent="0.3">
      <c r="A4969" t="s">
        <v>27</v>
      </c>
      <c r="B4969" t="s">
        <v>308</v>
      </c>
      <c r="C4969">
        <v>3</v>
      </c>
      <c r="D4969">
        <v>0</v>
      </c>
      <c r="E4969">
        <v>0</v>
      </c>
      <c r="F4969">
        <v>0</v>
      </c>
      <c r="G4969">
        <v>0</v>
      </c>
      <c r="H4969">
        <v>3</v>
      </c>
      <c r="I4969">
        <v>0</v>
      </c>
      <c r="J4969">
        <v>0</v>
      </c>
      <c r="K4969">
        <v>0</v>
      </c>
      <c r="L4969">
        <v>0</v>
      </c>
      <c r="M4969">
        <v>3</v>
      </c>
      <c r="N4969">
        <v>176.15</v>
      </c>
      <c r="O4969">
        <v>80</v>
      </c>
      <c r="P4969">
        <v>0</v>
      </c>
      <c r="Q4969">
        <v>450</v>
      </c>
      <c r="R4969">
        <v>3</v>
      </c>
      <c r="S4969">
        <v>0</v>
      </c>
      <c r="T4969">
        <v>0</v>
      </c>
      <c r="U4969">
        <v>0</v>
      </c>
      <c r="V4969">
        <v>0</v>
      </c>
      <c r="W4969">
        <v>3</v>
      </c>
      <c r="X4969">
        <v>0</v>
      </c>
      <c r="Y4969">
        <v>0</v>
      </c>
      <c r="Z4969">
        <v>0</v>
      </c>
      <c r="AA4969">
        <v>0</v>
      </c>
      <c r="AB4969">
        <v>3</v>
      </c>
      <c r="AC4969">
        <v>155.07</v>
      </c>
      <c r="AD4969">
        <v>300</v>
      </c>
      <c r="AE4969">
        <v>0</v>
      </c>
      <c r="AF4969">
        <v>300</v>
      </c>
      <c r="AG4969">
        <v>3</v>
      </c>
      <c r="AH4969">
        <v>448.55</v>
      </c>
      <c r="AI4969">
        <v>550</v>
      </c>
      <c r="AJ4969">
        <v>340</v>
      </c>
      <c r="AK4969">
        <v>550</v>
      </c>
      <c r="AL4969">
        <v>3</v>
      </c>
      <c r="AM4969">
        <v>0</v>
      </c>
      <c r="AN4969">
        <v>0</v>
      </c>
      <c r="AO4969">
        <v>0</v>
      </c>
      <c r="AP4969">
        <v>0</v>
      </c>
      <c r="AQ4969">
        <v>3</v>
      </c>
      <c r="AR4969">
        <v>0</v>
      </c>
      <c r="AS4969">
        <v>0</v>
      </c>
      <c r="AT4969">
        <v>0</v>
      </c>
      <c r="AU4969">
        <v>0</v>
      </c>
      <c r="AV4969">
        <v>3</v>
      </c>
      <c r="AW4969">
        <v>516.89</v>
      </c>
      <c r="AX4969">
        <v>1000</v>
      </c>
      <c r="AY4969">
        <v>0</v>
      </c>
      <c r="AZ4969">
        <v>1000</v>
      </c>
    </row>
    <row r="4970" spans="1:52" x14ac:dyDescent="0.3">
      <c r="A4970" t="s">
        <v>41</v>
      </c>
      <c r="B4970" t="s">
        <v>311</v>
      </c>
      <c r="C4970">
        <v>1169</v>
      </c>
      <c r="D4970">
        <v>580.45000000000005</v>
      </c>
      <c r="E4970">
        <v>0</v>
      </c>
      <c r="F4970">
        <v>0</v>
      </c>
      <c r="G4970">
        <v>18000</v>
      </c>
      <c r="H4970">
        <v>1064</v>
      </c>
      <c r="I4970">
        <v>35.340000000000003</v>
      </c>
      <c r="J4970">
        <v>0</v>
      </c>
      <c r="K4970">
        <v>0</v>
      </c>
      <c r="L4970">
        <v>1500</v>
      </c>
      <c r="M4970">
        <v>1269</v>
      </c>
      <c r="N4970">
        <v>458.22</v>
      </c>
      <c r="O4970">
        <v>300</v>
      </c>
      <c r="P4970">
        <v>0</v>
      </c>
      <c r="Q4970">
        <v>8000</v>
      </c>
      <c r="R4970">
        <v>1089</v>
      </c>
      <c r="S4970">
        <v>135.66</v>
      </c>
      <c r="T4970">
        <v>0</v>
      </c>
      <c r="U4970">
        <v>0</v>
      </c>
      <c r="V4970">
        <v>6000</v>
      </c>
      <c r="W4970">
        <v>1062</v>
      </c>
      <c r="X4970">
        <v>157.41</v>
      </c>
      <c r="Y4970">
        <v>0</v>
      </c>
      <c r="Z4970">
        <v>0</v>
      </c>
      <c r="AA4970">
        <v>9000</v>
      </c>
      <c r="AB4970">
        <v>1282</v>
      </c>
      <c r="AC4970">
        <v>311.49</v>
      </c>
      <c r="AD4970">
        <v>200</v>
      </c>
      <c r="AE4970">
        <v>0</v>
      </c>
      <c r="AF4970">
        <v>6000</v>
      </c>
      <c r="AG4970">
        <v>1500</v>
      </c>
      <c r="AH4970">
        <v>415.51</v>
      </c>
      <c r="AI4970">
        <v>355</v>
      </c>
      <c r="AJ4970">
        <v>0</v>
      </c>
      <c r="AK4970">
        <v>2500</v>
      </c>
      <c r="AL4970">
        <v>1062</v>
      </c>
      <c r="AM4970">
        <v>201.38</v>
      </c>
      <c r="AN4970">
        <v>0</v>
      </c>
      <c r="AO4970">
        <v>0</v>
      </c>
      <c r="AP4970">
        <v>8000</v>
      </c>
      <c r="AQ4970">
        <v>1040</v>
      </c>
      <c r="AR4970">
        <v>34.200000000000003</v>
      </c>
      <c r="AS4970">
        <v>0</v>
      </c>
      <c r="AT4970">
        <v>0</v>
      </c>
      <c r="AU4970">
        <v>10000</v>
      </c>
      <c r="AV4970">
        <v>998</v>
      </c>
      <c r="AW4970">
        <v>309.27</v>
      </c>
      <c r="AX4970">
        <v>0</v>
      </c>
      <c r="AY4970">
        <v>0</v>
      </c>
      <c r="AZ4970">
        <v>10000</v>
      </c>
    </row>
    <row r="4971" spans="1:52" x14ac:dyDescent="0.3">
      <c r="A4971" t="s">
        <v>41</v>
      </c>
      <c r="B4971" t="s">
        <v>312</v>
      </c>
      <c r="C4971">
        <v>322</v>
      </c>
      <c r="D4971">
        <v>608.72</v>
      </c>
      <c r="E4971">
        <v>0</v>
      </c>
      <c r="F4971">
        <v>0</v>
      </c>
      <c r="G4971">
        <v>7000</v>
      </c>
      <c r="H4971">
        <v>275</v>
      </c>
      <c r="I4971">
        <v>30.29</v>
      </c>
      <c r="J4971">
        <v>0</v>
      </c>
      <c r="K4971">
        <v>0</v>
      </c>
      <c r="L4971">
        <v>500</v>
      </c>
      <c r="M4971">
        <v>342</v>
      </c>
      <c r="N4971">
        <v>435.34</v>
      </c>
      <c r="O4971">
        <v>200</v>
      </c>
      <c r="P4971">
        <v>0</v>
      </c>
      <c r="Q4971">
        <v>8500</v>
      </c>
      <c r="R4971">
        <v>290</v>
      </c>
      <c r="S4971">
        <v>152.66</v>
      </c>
      <c r="T4971">
        <v>0</v>
      </c>
      <c r="U4971">
        <v>0</v>
      </c>
      <c r="V4971">
        <v>13000</v>
      </c>
      <c r="W4971">
        <v>296</v>
      </c>
      <c r="X4971">
        <v>252.67</v>
      </c>
      <c r="Y4971">
        <v>0</v>
      </c>
      <c r="Z4971">
        <v>0</v>
      </c>
      <c r="AA4971">
        <v>6000</v>
      </c>
      <c r="AB4971">
        <v>345</v>
      </c>
      <c r="AC4971">
        <v>275.91000000000003</v>
      </c>
      <c r="AD4971">
        <v>100</v>
      </c>
      <c r="AE4971">
        <v>0</v>
      </c>
      <c r="AF4971">
        <v>4000</v>
      </c>
      <c r="AG4971">
        <v>411</v>
      </c>
      <c r="AH4971">
        <v>381.07</v>
      </c>
      <c r="AI4971">
        <v>350</v>
      </c>
      <c r="AJ4971">
        <v>0</v>
      </c>
      <c r="AK4971">
        <v>1800</v>
      </c>
      <c r="AL4971">
        <v>291</v>
      </c>
      <c r="AM4971">
        <v>201.06</v>
      </c>
      <c r="AN4971">
        <v>0</v>
      </c>
      <c r="AO4971">
        <v>0</v>
      </c>
      <c r="AP4971">
        <v>8000</v>
      </c>
      <c r="AQ4971">
        <v>285</v>
      </c>
      <c r="AR4971">
        <v>22.01</v>
      </c>
      <c r="AS4971">
        <v>0</v>
      </c>
      <c r="AT4971">
        <v>0</v>
      </c>
      <c r="AU4971">
        <v>2000</v>
      </c>
      <c r="AV4971">
        <v>274</v>
      </c>
      <c r="AW4971">
        <v>564.89</v>
      </c>
      <c r="AX4971">
        <v>0</v>
      </c>
      <c r="AY4971">
        <v>0</v>
      </c>
      <c r="AZ4971">
        <v>50000</v>
      </c>
    </row>
    <row r="4972" spans="1:52" x14ac:dyDescent="0.3">
      <c r="A4972" t="s">
        <v>41</v>
      </c>
      <c r="B4972" t="s">
        <v>308</v>
      </c>
      <c r="C4972">
        <v>59</v>
      </c>
      <c r="D4972">
        <v>1370.07</v>
      </c>
      <c r="E4972">
        <v>850</v>
      </c>
      <c r="F4972">
        <v>0</v>
      </c>
      <c r="G4972">
        <v>7500</v>
      </c>
      <c r="H4972">
        <v>40</v>
      </c>
      <c r="I4972">
        <v>90.2</v>
      </c>
      <c r="J4972">
        <v>0</v>
      </c>
      <c r="K4972">
        <v>0</v>
      </c>
      <c r="L4972">
        <v>1500</v>
      </c>
      <c r="M4972">
        <v>60</v>
      </c>
      <c r="N4972">
        <v>511.01</v>
      </c>
      <c r="O4972">
        <v>400</v>
      </c>
      <c r="P4972">
        <v>0</v>
      </c>
      <c r="Q4972">
        <v>2600</v>
      </c>
      <c r="R4972">
        <v>47</v>
      </c>
      <c r="S4972">
        <v>470.14</v>
      </c>
      <c r="T4972">
        <v>0</v>
      </c>
      <c r="U4972">
        <v>0</v>
      </c>
      <c r="V4972">
        <v>8000</v>
      </c>
      <c r="W4972">
        <v>49</v>
      </c>
      <c r="X4972">
        <v>581.27</v>
      </c>
      <c r="Y4972">
        <v>0</v>
      </c>
      <c r="Z4972">
        <v>0</v>
      </c>
      <c r="AA4972">
        <v>5000</v>
      </c>
      <c r="AB4972">
        <v>61</v>
      </c>
      <c r="AC4972">
        <v>409.81</v>
      </c>
      <c r="AD4972">
        <v>200</v>
      </c>
      <c r="AE4972">
        <v>0</v>
      </c>
      <c r="AF4972">
        <v>3000</v>
      </c>
      <c r="AG4972">
        <v>63</v>
      </c>
      <c r="AH4972">
        <v>558.17999999999995</v>
      </c>
      <c r="AI4972">
        <v>600</v>
      </c>
      <c r="AJ4972">
        <v>125</v>
      </c>
      <c r="AK4972">
        <v>1060</v>
      </c>
      <c r="AL4972">
        <v>58</v>
      </c>
      <c r="AM4972">
        <v>197.09</v>
      </c>
      <c r="AN4972">
        <v>0</v>
      </c>
      <c r="AO4972">
        <v>0</v>
      </c>
      <c r="AP4972">
        <v>6000</v>
      </c>
      <c r="AQ4972">
        <v>57</v>
      </c>
      <c r="AR4972">
        <v>0</v>
      </c>
      <c r="AS4972">
        <v>0</v>
      </c>
      <c r="AT4972">
        <v>0</v>
      </c>
      <c r="AU4972">
        <v>0</v>
      </c>
      <c r="AV4972">
        <v>46</v>
      </c>
      <c r="AW4972">
        <v>599.58000000000004</v>
      </c>
      <c r="AX4972">
        <v>0</v>
      </c>
      <c r="AY4972">
        <v>0</v>
      </c>
      <c r="AZ4972">
        <v>6500</v>
      </c>
    </row>
    <row r="4974" spans="1:52" x14ac:dyDescent="0.3">
      <c r="A4974" t="s">
        <v>1956</v>
      </c>
    </row>
    <row r="4975" spans="1:52" x14ac:dyDescent="0.3">
      <c r="A4975" t="s">
        <v>36</v>
      </c>
      <c r="B4975" t="s">
        <v>197</v>
      </c>
      <c r="C4975" t="s">
        <v>1904</v>
      </c>
      <c r="D4975" t="s">
        <v>1905</v>
      </c>
      <c r="E4975" t="s">
        <v>1906</v>
      </c>
      <c r="F4975" t="s">
        <v>1907</v>
      </c>
      <c r="G4975" t="s">
        <v>1908</v>
      </c>
      <c r="H4975" t="s">
        <v>1909</v>
      </c>
      <c r="I4975" t="s">
        <v>1910</v>
      </c>
      <c r="J4975" t="s">
        <v>1911</v>
      </c>
      <c r="K4975" t="s">
        <v>1912</v>
      </c>
      <c r="L4975" t="s">
        <v>1913</v>
      </c>
      <c r="M4975" t="s">
        <v>1914</v>
      </c>
      <c r="N4975" t="s">
        <v>1915</v>
      </c>
      <c r="O4975" t="s">
        <v>1916</v>
      </c>
      <c r="P4975" t="s">
        <v>1917</v>
      </c>
      <c r="Q4975" t="s">
        <v>1918</v>
      </c>
      <c r="R4975" t="s">
        <v>1919</v>
      </c>
      <c r="S4975" t="s">
        <v>1920</v>
      </c>
      <c r="T4975" t="s">
        <v>1921</v>
      </c>
      <c r="U4975" t="s">
        <v>1922</v>
      </c>
      <c r="V4975" t="s">
        <v>1923</v>
      </c>
      <c r="W4975" t="s">
        <v>1924</v>
      </c>
      <c r="X4975" t="s">
        <v>1925</v>
      </c>
      <c r="Y4975" t="s">
        <v>1926</v>
      </c>
      <c r="Z4975" t="s">
        <v>1927</v>
      </c>
      <c r="AA4975" t="s">
        <v>1928</v>
      </c>
      <c r="AB4975" t="s">
        <v>1929</v>
      </c>
      <c r="AC4975" t="s">
        <v>1930</v>
      </c>
      <c r="AD4975" t="s">
        <v>1931</v>
      </c>
      <c r="AE4975" t="s">
        <v>1932</v>
      </c>
      <c r="AF4975" t="s">
        <v>1933</v>
      </c>
      <c r="AG4975" t="s">
        <v>1934</v>
      </c>
      <c r="AH4975" t="s">
        <v>1935</v>
      </c>
      <c r="AI4975" t="s">
        <v>1936</v>
      </c>
      <c r="AJ4975" t="s">
        <v>1937</v>
      </c>
      <c r="AK4975" t="s">
        <v>1938</v>
      </c>
      <c r="AL4975" t="s">
        <v>1939</v>
      </c>
      <c r="AM4975" t="s">
        <v>1940</v>
      </c>
      <c r="AN4975" t="s">
        <v>1941</v>
      </c>
      <c r="AO4975" t="s">
        <v>1942</v>
      </c>
      <c r="AP4975" t="s">
        <v>1943</v>
      </c>
      <c r="AQ4975" t="s">
        <v>1944</v>
      </c>
      <c r="AR4975" t="s">
        <v>1945</v>
      </c>
      <c r="AS4975" t="s">
        <v>1946</v>
      </c>
      <c r="AT4975" t="s">
        <v>1947</v>
      </c>
      <c r="AU4975" t="s">
        <v>1948</v>
      </c>
      <c r="AV4975" t="s">
        <v>1949</v>
      </c>
      <c r="AW4975" t="s">
        <v>1950</v>
      </c>
      <c r="AX4975" t="s">
        <v>1951</v>
      </c>
      <c r="AY4975" t="s">
        <v>1952</v>
      </c>
      <c r="AZ4975" t="s">
        <v>1953</v>
      </c>
    </row>
    <row r="4976" spans="1:52" x14ac:dyDescent="0.3">
      <c r="A4976" t="s">
        <v>25</v>
      </c>
      <c r="B4976" t="s">
        <v>198</v>
      </c>
      <c r="C4976">
        <v>97</v>
      </c>
      <c r="D4976">
        <v>367.33</v>
      </c>
      <c r="E4976">
        <v>0</v>
      </c>
      <c r="F4976">
        <v>0</v>
      </c>
      <c r="G4976">
        <v>5200</v>
      </c>
      <c r="H4976">
        <v>86</v>
      </c>
      <c r="I4976">
        <v>10.93</v>
      </c>
      <c r="J4976">
        <v>0</v>
      </c>
      <c r="K4976">
        <v>0</v>
      </c>
      <c r="L4976">
        <v>300</v>
      </c>
      <c r="M4976">
        <v>94</v>
      </c>
      <c r="N4976">
        <v>362.02</v>
      </c>
      <c r="O4976">
        <v>300</v>
      </c>
      <c r="P4976">
        <v>0</v>
      </c>
      <c r="Q4976">
        <v>3000</v>
      </c>
      <c r="R4976">
        <v>85</v>
      </c>
      <c r="S4976">
        <v>16.03</v>
      </c>
      <c r="T4976">
        <v>0</v>
      </c>
      <c r="U4976">
        <v>0</v>
      </c>
      <c r="V4976">
        <v>1000</v>
      </c>
      <c r="W4976">
        <v>86</v>
      </c>
      <c r="X4976">
        <v>173.98</v>
      </c>
      <c r="Y4976">
        <v>0</v>
      </c>
      <c r="Z4976">
        <v>0</v>
      </c>
      <c r="AA4976">
        <v>4000</v>
      </c>
      <c r="AB4976">
        <v>94</v>
      </c>
      <c r="AC4976">
        <v>320.2</v>
      </c>
      <c r="AD4976">
        <v>100</v>
      </c>
      <c r="AE4976">
        <v>0</v>
      </c>
      <c r="AF4976">
        <v>6000</v>
      </c>
      <c r="AG4976">
        <v>101</v>
      </c>
      <c r="AH4976">
        <v>338.33</v>
      </c>
      <c r="AI4976">
        <v>250</v>
      </c>
      <c r="AJ4976">
        <v>0</v>
      </c>
      <c r="AK4976">
        <v>1500</v>
      </c>
      <c r="AL4976">
        <v>83</v>
      </c>
      <c r="AM4976">
        <v>62.42</v>
      </c>
      <c r="AN4976">
        <v>0</v>
      </c>
      <c r="AO4976">
        <v>0</v>
      </c>
      <c r="AP4976">
        <v>2000</v>
      </c>
      <c r="AQ4976">
        <v>85</v>
      </c>
      <c r="AR4976">
        <v>10.73</v>
      </c>
      <c r="AS4976">
        <v>0</v>
      </c>
      <c r="AT4976">
        <v>0</v>
      </c>
      <c r="AU4976">
        <v>1000</v>
      </c>
      <c r="AV4976">
        <v>85</v>
      </c>
      <c r="AW4976">
        <v>260.2</v>
      </c>
      <c r="AX4976">
        <v>0</v>
      </c>
      <c r="AY4976">
        <v>0</v>
      </c>
      <c r="AZ4976">
        <v>2000</v>
      </c>
    </row>
    <row r="4977" spans="1:52" x14ac:dyDescent="0.3">
      <c r="A4977" t="s">
        <v>25</v>
      </c>
      <c r="B4977" t="s">
        <v>199</v>
      </c>
      <c r="C4977">
        <v>281</v>
      </c>
      <c r="D4977">
        <v>711.14</v>
      </c>
      <c r="E4977">
        <v>0</v>
      </c>
      <c r="F4977">
        <v>0</v>
      </c>
      <c r="G4977">
        <v>10700</v>
      </c>
      <c r="H4977">
        <v>275</v>
      </c>
      <c r="I4977">
        <v>42.22</v>
      </c>
      <c r="J4977">
        <v>0</v>
      </c>
      <c r="K4977">
        <v>0</v>
      </c>
      <c r="L4977">
        <v>1000</v>
      </c>
      <c r="M4977">
        <v>266</v>
      </c>
      <c r="N4977">
        <v>377.49</v>
      </c>
      <c r="O4977">
        <v>250</v>
      </c>
      <c r="P4977">
        <v>0</v>
      </c>
      <c r="Q4977">
        <v>3000</v>
      </c>
      <c r="R4977">
        <v>287</v>
      </c>
      <c r="S4977">
        <v>154.66999999999999</v>
      </c>
      <c r="T4977">
        <v>0</v>
      </c>
      <c r="U4977">
        <v>0</v>
      </c>
      <c r="V4977">
        <v>4500</v>
      </c>
      <c r="W4977">
        <v>255</v>
      </c>
      <c r="X4977">
        <v>157.18</v>
      </c>
      <c r="Y4977">
        <v>0</v>
      </c>
      <c r="Z4977">
        <v>0</v>
      </c>
      <c r="AA4977">
        <v>4500</v>
      </c>
      <c r="AB4977">
        <v>282</v>
      </c>
      <c r="AC4977">
        <v>204.55</v>
      </c>
      <c r="AD4977">
        <v>40</v>
      </c>
      <c r="AE4977">
        <v>0</v>
      </c>
      <c r="AF4977">
        <v>3000</v>
      </c>
      <c r="AG4977">
        <v>301</v>
      </c>
      <c r="AH4977">
        <v>408.16</v>
      </c>
      <c r="AI4977">
        <v>350</v>
      </c>
      <c r="AJ4977">
        <v>0</v>
      </c>
      <c r="AK4977">
        <v>1500</v>
      </c>
      <c r="AL4977">
        <v>254</v>
      </c>
      <c r="AM4977">
        <v>159.1</v>
      </c>
      <c r="AN4977">
        <v>0</v>
      </c>
      <c r="AO4977">
        <v>0</v>
      </c>
      <c r="AP4977">
        <v>8000</v>
      </c>
      <c r="AQ4977">
        <v>248</v>
      </c>
      <c r="AR4977">
        <v>12.23</v>
      </c>
      <c r="AS4977">
        <v>0</v>
      </c>
      <c r="AT4977">
        <v>0</v>
      </c>
      <c r="AU4977">
        <v>2000</v>
      </c>
      <c r="AV4977">
        <v>264</v>
      </c>
      <c r="AW4977">
        <v>283.29000000000002</v>
      </c>
      <c r="AX4977">
        <v>0</v>
      </c>
      <c r="AY4977">
        <v>0</v>
      </c>
      <c r="AZ4977">
        <v>4500</v>
      </c>
    </row>
    <row r="4978" spans="1:52" x14ac:dyDescent="0.3">
      <c r="A4978" t="s">
        <v>26</v>
      </c>
      <c r="B4978" t="s">
        <v>198</v>
      </c>
      <c r="C4978">
        <v>40</v>
      </c>
      <c r="D4978">
        <v>254.45</v>
      </c>
      <c r="E4978">
        <v>0</v>
      </c>
      <c r="F4978">
        <v>0</v>
      </c>
      <c r="G4978">
        <v>1800</v>
      </c>
      <c r="H4978">
        <v>38</v>
      </c>
      <c r="I4978">
        <v>3.56</v>
      </c>
      <c r="J4978">
        <v>0</v>
      </c>
      <c r="K4978">
        <v>0</v>
      </c>
      <c r="L4978">
        <v>63</v>
      </c>
      <c r="M4978">
        <v>39</v>
      </c>
      <c r="N4978">
        <v>298.38</v>
      </c>
      <c r="O4978">
        <v>300</v>
      </c>
      <c r="P4978">
        <v>0</v>
      </c>
      <c r="Q4978">
        <v>1500</v>
      </c>
      <c r="R4978">
        <v>39</v>
      </c>
      <c r="S4978">
        <v>105.99</v>
      </c>
      <c r="T4978">
        <v>0</v>
      </c>
      <c r="U4978">
        <v>0</v>
      </c>
      <c r="V4978">
        <v>1800</v>
      </c>
      <c r="W4978">
        <v>39</v>
      </c>
      <c r="X4978">
        <v>100.44</v>
      </c>
      <c r="Y4978">
        <v>0</v>
      </c>
      <c r="Z4978">
        <v>0</v>
      </c>
      <c r="AA4978">
        <v>3000</v>
      </c>
      <c r="AB4978">
        <v>39</v>
      </c>
      <c r="AC4978">
        <v>151.38</v>
      </c>
      <c r="AD4978">
        <v>0</v>
      </c>
      <c r="AE4978">
        <v>0</v>
      </c>
      <c r="AF4978">
        <v>3000</v>
      </c>
      <c r="AG4978">
        <v>41</v>
      </c>
      <c r="AH4978">
        <v>352.77</v>
      </c>
      <c r="AI4978">
        <v>275</v>
      </c>
      <c r="AJ4978">
        <v>50</v>
      </c>
      <c r="AK4978">
        <v>1000</v>
      </c>
      <c r="AL4978">
        <v>39</v>
      </c>
      <c r="AM4978">
        <v>173.25</v>
      </c>
      <c r="AN4978">
        <v>0</v>
      </c>
      <c r="AO4978">
        <v>0</v>
      </c>
      <c r="AP4978">
        <v>3000</v>
      </c>
      <c r="AQ4978">
        <v>39</v>
      </c>
      <c r="AR4978">
        <v>0</v>
      </c>
      <c r="AS4978">
        <v>0</v>
      </c>
      <c r="AT4978">
        <v>0</v>
      </c>
      <c r="AU4978">
        <v>0</v>
      </c>
      <c r="AV4978">
        <v>38</v>
      </c>
      <c r="AW4978">
        <v>112.94</v>
      </c>
      <c r="AX4978">
        <v>0</v>
      </c>
      <c r="AY4978">
        <v>0</v>
      </c>
      <c r="AZ4978">
        <v>1500</v>
      </c>
    </row>
    <row r="4979" spans="1:52" x14ac:dyDescent="0.3">
      <c r="A4979" t="s">
        <v>26</v>
      </c>
      <c r="B4979" t="s">
        <v>199</v>
      </c>
      <c r="C4979">
        <v>399</v>
      </c>
      <c r="D4979">
        <v>1052</v>
      </c>
      <c r="E4979">
        <v>0</v>
      </c>
      <c r="F4979">
        <v>0</v>
      </c>
      <c r="G4979">
        <v>7500</v>
      </c>
      <c r="H4979">
        <v>292</v>
      </c>
      <c r="I4979">
        <v>43.57</v>
      </c>
      <c r="J4979">
        <v>0</v>
      </c>
      <c r="K4979">
        <v>0</v>
      </c>
      <c r="L4979">
        <v>1500</v>
      </c>
      <c r="M4979">
        <v>410</v>
      </c>
      <c r="N4979">
        <v>448.45</v>
      </c>
      <c r="O4979">
        <v>300</v>
      </c>
      <c r="P4979">
        <v>0</v>
      </c>
      <c r="Q4979">
        <v>5000</v>
      </c>
      <c r="R4979">
        <v>308</v>
      </c>
      <c r="S4979">
        <v>130.01</v>
      </c>
      <c r="T4979">
        <v>0</v>
      </c>
      <c r="U4979">
        <v>0</v>
      </c>
      <c r="V4979">
        <v>5500</v>
      </c>
      <c r="W4979">
        <v>361</v>
      </c>
      <c r="X4979">
        <v>337.83</v>
      </c>
      <c r="Y4979">
        <v>0</v>
      </c>
      <c r="Z4979">
        <v>0</v>
      </c>
      <c r="AA4979">
        <v>9000</v>
      </c>
      <c r="AB4979">
        <v>418</v>
      </c>
      <c r="AC4979">
        <v>248.91</v>
      </c>
      <c r="AD4979">
        <v>100</v>
      </c>
      <c r="AE4979">
        <v>0</v>
      </c>
      <c r="AF4979">
        <v>3000</v>
      </c>
      <c r="AG4979">
        <v>427</v>
      </c>
      <c r="AH4979">
        <v>457.28</v>
      </c>
      <c r="AI4979">
        <v>400</v>
      </c>
      <c r="AJ4979">
        <v>0</v>
      </c>
      <c r="AK4979">
        <v>1400</v>
      </c>
      <c r="AL4979">
        <v>369</v>
      </c>
      <c r="AM4979">
        <v>193.14</v>
      </c>
      <c r="AN4979">
        <v>0</v>
      </c>
      <c r="AO4979">
        <v>0</v>
      </c>
      <c r="AP4979">
        <v>6000</v>
      </c>
      <c r="AQ4979">
        <v>377</v>
      </c>
      <c r="AR4979">
        <v>17.04</v>
      </c>
      <c r="AS4979">
        <v>0</v>
      </c>
      <c r="AT4979">
        <v>0</v>
      </c>
      <c r="AU4979">
        <v>2000</v>
      </c>
      <c r="AV4979">
        <v>320</v>
      </c>
      <c r="AW4979">
        <v>452.91</v>
      </c>
      <c r="AX4979">
        <v>0</v>
      </c>
      <c r="AY4979">
        <v>0</v>
      </c>
      <c r="AZ4979">
        <v>8000</v>
      </c>
    </row>
    <row r="4980" spans="1:52" x14ac:dyDescent="0.3">
      <c r="A4980" t="s">
        <v>29</v>
      </c>
      <c r="B4980" t="s">
        <v>198</v>
      </c>
      <c r="C4980">
        <v>143</v>
      </c>
      <c r="D4980">
        <v>188.88</v>
      </c>
      <c r="E4980">
        <v>0</v>
      </c>
      <c r="F4980">
        <v>0</v>
      </c>
      <c r="G4980">
        <v>6000</v>
      </c>
      <c r="H4980">
        <v>137</v>
      </c>
      <c r="I4980">
        <v>31.87</v>
      </c>
      <c r="J4980">
        <v>0</v>
      </c>
      <c r="K4980">
        <v>0</v>
      </c>
      <c r="L4980">
        <v>500</v>
      </c>
      <c r="M4980">
        <v>148</v>
      </c>
      <c r="N4980">
        <v>569.74</v>
      </c>
      <c r="O4980">
        <v>300</v>
      </c>
      <c r="P4980">
        <v>0</v>
      </c>
      <c r="Q4980">
        <v>8500</v>
      </c>
      <c r="R4980">
        <v>137</v>
      </c>
      <c r="S4980">
        <v>245.27</v>
      </c>
      <c r="T4980">
        <v>0</v>
      </c>
      <c r="U4980">
        <v>0</v>
      </c>
      <c r="V4980">
        <v>8000</v>
      </c>
      <c r="W4980">
        <v>130</v>
      </c>
      <c r="X4980">
        <v>154.61000000000001</v>
      </c>
      <c r="Y4980">
        <v>0</v>
      </c>
      <c r="Z4980">
        <v>0</v>
      </c>
      <c r="AA4980">
        <v>4000</v>
      </c>
      <c r="AB4980">
        <v>148</v>
      </c>
      <c r="AC4980">
        <v>418.73</v>
      </c>
      <c r="AD4980">
        <v>240</v>
      </c>
      <c r="AE4980">
        <v>0</v>
      </c>
      <c r="AF4980">
        <v>4000</v>
      </c>
      <c r="AG4980">
        <v>165</v>
      </c>
      <c r="AH4980">
        <v>380.57</v>
      </c>
      <c r="AI4980">
        <v>350</v>
      </c>
      <c r="AJ4980">
        <v>0</v>
      </c>
      <c r="AK4980">
        <v>1250</v>
      </c>
      <c r="AL4980">
        <v>127</v>
      </c>
      <c r="AM4980">
        <v>274.23</v>
      </c>
      <c r="AN4980">
        <v>0</v>
      </c>
      <c r="AO4980">
        <v>0</v>
      </c>
      <c r="AP4980">
        <v>8000</v>
      </c>
      <c r="AQ4980">
        <v>121</v>
      </c>
      <c r="AR4980">
        <v>0</v>
      </c>
      <c r="AS4980">
        <v>0</v>
      </c>
      <c r="AT4980">
        <v>0</v>
      </c>
      <c r="AU4980">
        <v>0</v>
      </c>
      <c r="AV4980">
        <v>118</v>
      </c>
      <c r="AW4980">
        <v>267.72000000000003</v>
      </c>
      <c r="AX4980">
        <v>0</v>
      </c>
      <c r="AY4980">
        <v>0</v>
      </c>
      <c r="AZ4980">
        <v>2000</v>
      </c>
    </row>
    <row r="4981" spans="1:52" x14ac:dyDescent="0.3">
      <c r="A4981" t="s">
        <v>29</v>
      </c>
      <c r="B4981" t="s">
        <v>199</v>
      </c>
      <c r="C4981">
        <v>254</v>
      </c>
      <c r="D4981">
        <v>467.62</v>
      </c>
      <c r="E4981">
        <v>0</v>
      </c>
      <c r="F4981">
        <v>0</v>
      </c>
      <c r="G4981">
        <v>18000</v>
      </c>
      <c r="H4981">
        <v>245</v>
      </c>
      <c r="I4981">
        <v>38.57</v>
      </c>
      <c r="J4981">
        <v>0</v>
      </c>
      <c r="K4981">
        <v>0</v>
      </c>
      <c r="L4981">
        <v>600</v>
      </c>
      <c r="M4981">
        <v>296</v>
      </c>
      <c r="N4981">
        <v>461.68</v>
      </c>
      <c r="O4981">
        <v>300</v>
      </c>
      <c r="P4981">
        <v>0</v>
      </c>
      <c r="Q4981">
        <v>8000</v>
      </c>
      <c r="R4981">
        <v>249</v>
      </c>
      <c r="S4981">
        <v>124.18</v>
      </c>
      <c r="T4981">
        <v>0</v>
      </c>
      <c r="U4981">
        <v>0</v>
      </c>
      <c r="V4981">
        <v>6000</v>
      </c>
      <c r="W4981">
        <v>232</v>
      </c>
      <c r="X4981">
        <v>77.08</v>
      </c>
      <c r="Y4981">
        <v>0</v>
      </c>
      <c r="Z4981">
        <v>0</v>
      </c>
      <c r="AA4981">
        <v>2600</v>
      </c>
      <c r="AB4981">
        <v>288</v>
      </c>
      <c r="AC4981">
        <v>348.05</v>
      </c>
      <c r="AD4981">
        <v>200</v>
      </c>
      <c r="AE4981">
        <v>0</v>
      </c>
      <c r="AF4981">
        <v>3500</v>
      </c>
      <c r="AG4981">
        <v>355</v>
      </c>
      <c r="AH4981">
        <v>430.82</v>
      </c>
      <c r="AI4981">
        <v>400</v>
      </c>
      <c r="AJ4981">
        <v>0</v>
      </c>
      <c r="AK4981">
        <v>1400</v>
      </c>
      <c r="AL4981">
        <v>235</v>
      </c>
      <c r="AM4981">
        <v>237.57</v>
      </c>
      <c r="AN4981">
        <v>0</v>
      </c>
      <c r="AO4981">
        <v>0</v>
      </c>
      <c r="AP4981">
        <v>8000</v>
      </c>
      <c r="AQ4981">
        <v>225</v>
      </c>
      <c r="AR4981">
        <v>84.12</v>
      </c>
      <c r="AS4981">
        <v>0</v>
      </c>
      <c r="AT4981">
        <v>0</v>
      </c>
      <c r="AU4981">
        <v>10000</v>
      </c>
      <c r="AV4981">
        <v>229</v>
      </c>
      <c r="AW4981">
        <v>409.6</v>
      </c>
      <c r="AX4981">
        <v>0</v>
      </c>
      <c r="AY4981">
        <v>0</v>
      </c>
      <c r="AZ4981">
        <v>8000</v>
      </c>
    </row>
    <row r="4982" spans="1:52" s="3" customFormat="1" x14ac:dyDescent="0.3">
      <c r="A4982" s="3" t="s">
        <v>28</v>
      </c>
      <c r="B4982" s="3" t="s">
        <v>198</v>
      </c>
      <c r="C4982" s="3">
        <v>26</v>
      </c>
      <c r="D4982" s="3">
        <v>0</v>
      </c>
      <c r="E4982" s="3">
        <v>0</v>
      </c>
      <c r="F4982" s="3">
        <v>0</v>
      </c>
      <c r="G4982" s="3">
        <v>0</v>
      </c>
      <c r="H4982" s="3">
        <v>26</v>
      </c>
      <c r="I4982" s="3">
        <v>0</v>
      </c>
      <c r="J4982" s="3">
        <v>0</v>
      </c>
      <c r="K4982" s="3">
        <v>0</v>
      </c>
      <c r="L4982" s="3">
        <v>0</v>
      </c>
      <c r="M4982" s="3">
        <v>31</v>
      </c>
      <c r="N4982" s="3">
        <v>411.8</v>
      </c>
      <c r="O4982" s="3">
        <v>200</v>
      </c>
      <c r="P4982" s="3">
        <v>0</v>
      </c>
      <c r="Q4982" s="3">
        <v>2500</v>
      </c>
      <c r="R4982" s="3">
        <v>35</v>
      </c>
      <c r="S4982" s="3">
        <v>454.09</v>
      </c>
      <c r="T4982" s="3">
        <v>0</v>
      </c>
      <c r="U4982" s="3">
        <v>0</v>
      </c>
      <c r="V4982" s="3">
        <v>13000</v>
      </c>
      <c r="W4982" s="3">
        <v>28</v>
      </c>
      <c r="X4982" s="3">
        <v>116.64</v>
      </c>
      <c r="Y4982" s="3">
        <v>0</v>
      </c>
      <c r="Z4982" s="3">
        <v>0</v>
      </c>
      <c r="AA4982" s="3">
        <v>3000</v>
      </c>
      <c r="AB4982" s="3">
        <v>49</v>
      </c>
      <c r="AC4982" s="3">
        <v>431.86</v>
      </c>
      <c r="AD4982" s="3">
        <v>200</v>
      </c>
      <c r="AE4982" s="3">
        <v>0</v>
      </c>
      <c r="AF4982" s="3">
        <v>4000</v>
      </c>
      <c r="AG4982" s="3">
        <v>66</v>
      </c>
      <c r="AH4982" s="3">
        <v>400.5</v>
      </c>
      <c r="AI4982" s="3">
        <v>300</v>
      </c>
      <c r="AJ4982" s="3">
        <v>0</v>
      </c>
      <c r="AK4982" s="3">
        <v>1800</v>
      </c>
      <c r="AL4982" s="3">
        <v>27</v>
      </c>
      <c r="AM4982" s="3">
        <v>42.68</v>
      </c>
      <c r="AN4982" s="3">
        <v>0</v>
      </c>
      <c r="AO4982" s="3">
        <v>0</v>
      </c>
      <c r="AP4982" s="3">
        <v>1500</v>
      </c>
      <c r="AQ4982" s="3">
        <v>26</v>
      </c>
      <c r="AR4982" s="3">
        <v>0</v>
      </c>
      <c r="AS4982" s="3">
        <v>0</v>
      </c>
      <c r="AT4982" s="3">
        <v>0</v>
      </c>
      <c r="AU4982" s="3">
        <v>0</v>
      </c>
      <c r="AV4982" s="3">
        <v>29</v>
      </c>
      <c r="AW4982" s="3">
        <v>136.15</v>
      </c>
      <c r="AX4982" s="3">
        <v>0</v>
      </c>
      <c r="AY4982" s="3">
        <v>0</v>
      </c>
      <c r="AZ4982" s="3">
        <v>2000</v>
      </c>
    </row>
    <row r="4983" spans="1:52" x14ac:dyDescent="0.3">
      <c r="A4983" t="s">
        <v>28</v>
      </c>
      <c r="B4983" t="s">
        <v>199</v>
      </c>
      <c r="C4983">
        <v>117</v>
      </c>
      <c r="D4983">
        <v>539.38</v>
      </c>
      <c r="E4983">
        <v>0</v>
      </c>
      <c r="F4983">
        <v>0</v>
      </c>
      <c r="G4983">
        <v>7000</v>
      </c>
      <c r="H4983">
        <v>103</v>
      </c>
      <c r="I4983">
        <v>18.93</v>
      </c>
      <c r="J4983">
        <v>0</v>
      </c>
      <c r="K4983">
        <v>0</v>
      </c>
      <c r="L4983">
        <v>450</v>
      </c>
      <c r="M4983">
        <v>143</v>
      </c>
      <c r="N4983">
        <v>457.77</v>
      </c>
      <c r="O4983">
        <v>200</v>
      </c>
      <c r="P4983">
        <v>0</v>
      </c>
      <c r="Q4983">
        <v>5000</v>
      </c>
      <c r="R4983">
        <v>118</v>
      </c>
      <c r="S4983">
        <v>287.64</v>
      </c>
      <c r="T4983">
        <v>0</v>
      </c>
      <c r="U4983">
        <v>0</v>
      </c>
      <c r="V4983">
        <v>3000</v>
      </c>
      <c r="W4983">
        <v>105</v>
      </c>
      <c r="X4983">
        <v>259.74</v>
      </c>
      <c r="Y4983">
        <v>0</v>
      </c>
      <c r="Z4983">
        <v>0</v>
      </c>
      <c r="AA4983">
        <v>6500</v>
      </c>
      <c r="AB4983">
        <v>172</v>
      </c>
      <c r="AC4983">
        <v>436.89</v>
      </c>
      <c r="AD4983">
        <v>300</v>
      </c>
      <c r="AE4983">
        <v>0</v>
      </c>
      <c r="AF4983">
        <v>3000</v>
      </c>
      <c r="AG4983">
        <v>230</v>
      </c>
      <c r="AH4983">
        <v>331.54</v>
      </c>
      <c r="AI4983">
        <v>250</v>
      </c>
      <c r="AJ4983">
        <v>0</v>
      </c>
      <c r="AK4983">
        <v>2500</v>
      </c>
      <c r="AL4983">
        <v>112</v>
      </c>
      <c r="AM4983">
        <v>227.08</v>
      </c>
      <c r="AN4983">
        <v>0</v>
      </c>
      <c r="AO4983">
        <v>0</v>
      </c>
      <c r="AP4983">
        <v>5000</v>
      </c>
      <c r="AQ4983">
        <v>100</v>
      </c>
      <c r="AR4983">
        <v>0</v>
      </c>
      <c r="AS4983">
        <v>0</v>
      </c>
      <c r="AT4983">
        <v>0</v>
      </c>
      <c r="AU4983">
        <v>0</v>
      </c>
      <c r="AV4983">
        <v>118</v>
      </c>
      <c r="AW4983">
        <v>340.2</v>
      </c>
      <c r="AX4983">
        <v>0</v>
      </c>
      <c r="AY4983">
        <v>0</v>
      </c>
      <c r="AZ4983">
        <v>5000</v>
      </c>
    </row>
    <row r="4984" spans="1:52" x14ac:dyDescent="0.3">
      <c r="A4984" t="s">
        <v>27</v>
      </c>
      <c r="B4984" t="s">
        <v>198</v>
      </c>
      <c r="C4984">
        <v>95</v>
      </c>
      <c r="D4984">
        <v>31.71</v>
      </c>
      <c r="E4984">
        <v>0</v>
      </c>
      <c r="F4984">
        <v>0</v>
      </c>
      <c r="G4984">
        <v>3500</v>
      </c>
      <c r="H4984">
        <v>95</v>
      </c>
      <c r="I4984">
        <v>16.170000000000002</v>
      </c>
      <c r="J4984">
        <v>0</v>
      </c>
      <c r="K4984">
        <v>0</v>
      </c>
      <c r="L4984">
        <v>800</v>
      </c>
      <c r="M4984">
        <v>122</v>
      </c>
      <c r="N4984">
        <v>517.70000000000005</v>
      </c>
      <c r="O4984">
        <v>400</v>
      </c>
      <c r="P4984">
        <v>0</v>
      </c>
      <c r="Q4984">
        <v>5000</v>
      </c>
      <c r="R4984">
        <v>91</v>
      </c>
      <c r="S4984">
        <v>29.93</v>
      </c>
      <c r="T4984">
        <v>0</v>
      </c>
      <c r="U4984">
        <v>0</v>
      </c>
      <c r="V4984">
        <v>300</v>
      </c>
      <c r="W4984">
        <v>95</v>
      </c>
      <c r="X4984">
        <v>469.1</v>
      </c>
      <c r="Y4984">
        <v>0</v>
      </c>
      <c r="Z4984">
        <v>0</v>
      </c>
      <c r="AA4984">
        <v>7000</v>
      </c>
      <c r="AB4984">
        <v>102</v>
      </c>
      <c r="AC4984">
        <v>410.63</v>
      </c>
      <c r="AD4984">
        <v>300</v>
      </c>
      <c r="AE4984">
        <v>0</v>
      </c>
      <c r="AF4984">
        <v>2500</v>
      </c>
      <c r="AG4984">
        <v>132</v>
      </c>
      <c r="AH4984">
        <v>362.97</v>
      </c>
      <c r="AI4984">
        <v>300</v>
      </c>
      <c r="AJ4984">
        <v>0</v>
      </c>
      <c r="AK4984">
        <v>1200</v>
      </c>
      <c r="AL4984">
        <v>86</v>
      </c>
      <c r="AM4984">
        <v>148.59</v>
      </c>
      <c r="AN4984">
        <v>0</v>
      </c>
      <c r="AO4984">
        <v>0</v>
      </c>
      <c r="AP4984">
        <v>3000</v>
      </c>
      <c r="AQ4984">
        <v>83</v>
      </c>
      <c r="AR4984">
        <v>0</v>
      </c>
      <c r="AS4984">
        <v>0</v>
      </c>
      <c r="AT4984">
        <v>0</v>
      </c>
      <c r="AU4984">
        <v>0</v>
      </c>
      <c r="AV4984">
        <v>69</v>
      </c>
      <c r="AW4984">
        <v>1091.51</v>
      </c>
      <c r="AX4984">
        <v>0</v>
      </c>
      <c r="AY4984">
        <v>0</v>
      </c>
      <c r="AZ4984">
        <v>50000</v>
      </c>
    </row>
    <row r="4985" spans="1:52" x14ac:dyDescent="0.3">
      <c r="A4985" t="s">
        <v>27</v>
      </c>
      <c r="B4985" t="s">
        <v>199</v>
      </c>
      <c r="C4985">
        <v>98</v>
      </c>
      <c r="D4985">
        <v>1127.47</v>
      </c>
      <c r="E4985">
        <v>0</v>
      </c>
      <c r="F4985">
        <v>0</v>
      </c>
      <c r="G4985">
        <v>8000</v>
      </c>
      <c r="H4985">
        <v>82</v>
      </c>
      <c r="I4985">
        <v>38.68</v>
      </c>
      <c r="J4985">
        <v>0</v>
      </c>
      <c r="K4985">
        <v>0</v>
      </c>
      <c r="L4985">
        <v>500</v>
      </c>
      <c r="M4985">
        <v>122</v>
      </c>
      <c r="N4985">
        <v>500.39</v>
      </c>
      <c r="O4985">
        <v>420</v>
      </c>
      <c r="P4985">
        <v>0</v>
      </c>
      <c r="Q4985">
        <v>2500</v>
      </c>
      <c r="R4985">
        <v>77</v>
      </c>
      <c r="S4985">
        <v>215.21</v>
      </c>
      <c r="T4985">
        <v>0</v>
      </c>
      <c r="U4985">
        <v>0</v>
      </c>
      <c r="V4985">
        <v>4000</v>
      </c>
      <c r="W4985">
        <v>76</v>
      </c>
      <c r="X4985">
        <v>224.96</v>
      </c>
      <c r="Y4985">
        <v>0</v>
      </c>
      <c r="Z4985">
        <v>0</v>
      </c>
      <c r="AA4985">
        <v>3000</v>
      </c>
      <c r="AB4985">
        <v>96</v>
      </c>
      <c r="AC4985">
        <v>288.14</v>
      </c>
      <c r="AD4985">
        <v>200</v>
      </c>
      <c r="AE4985">
        <v>0</v>
      </c>
      <c r="AF4985">
        <v>2000</v>
      </c>
      <c r="AG4985">
        <v>156</v>
      </c>
      <c r="AH4985">
        <v>354.36</v>
      </c>
      <c r="AI4985">
        <v>300</v>
      </c>
      <c r="AJ4985">
        <v>0</v>
      </c>
      <c r="AK4985">
        <v>1200</v>
      </c>
      <c r="AL4985">
        <v>79</v>
      </c>
      <c r="AM4985">
        <v>44.55</v>
      </c>
      <c r="AN4985">
        <v>0</v>
      </c>
      <c r="AO4985">
        <v>0</v>
      </c>
      <c r="AP4985">
        <v>1200</v>
      </c>
      <c r="AQ4985">
        <v>78</v>
      </c>
      <c r="AR4985">
        <v>5.12</v>
      </c>
      <c r="AS4985">
        <v>0</v>
      </c>
      <c r="AT4985">
        <v>0</v>
      </c>
      <c r="AU4985">
        <v>360</v>
      </c>
      <c r="AV4985">
        <v>48</v>
      </c>
      <c r="AW4985">
        <v>216.86</v>
      </c>
      <c r="AX4985">
        <v>0</v>
      </c>
      <c r="AY4985">
        <v>0</v>
      </c>
      <c r="AZ4985">
        <v>3000</v>
      </c>
    </row>
    <row r="4986" spans="1:52" x14ac:dyDescent="0.3">
      <c r="A4986" t="s">
        <v>41</v>
      </c>
      <c r="B4986" t="s">
        <v>198</v>
      </c>
      <c r="C4986">
        <v>401</v>
      </c>
      <c r="D4986">
        <v>212.14</v>
      </c>
      <c r="E4986">
        <v>0</v>
      </c>
      <c r="F4986">
        <v>0</v>
      </c>
      <c r="G4986">
        <v>6000</v>
      </c>
      <c r="H4986">
        <v>382</v>
      </c>
      <c r="I4986">
        <v>23.73</v>
      </c>
      <c r="J4986">
        <v>0</v>
      </c>
      <c r="K4986">
        <v>0</v>
      </c>
      <c r="L4986">
        <v>800</v>
      </c>
      <c r="M4986">
        <v>434</v>
      </c>
      <c r="N4986">
        <v>503.93</v>
      </c>
      <c r="O4986">
        <v>300</v>
      </c>
      <c r="P4986">
        <v>0</v>
      </c>
      <c r="Q4986">
        <v>8500</v>
      </c>
      <c r="R4986">
        <v>387</v>
      </c>
      <c r="S4986">
        <v>180.79</v>
      </c>
      <c r="T4986">
        <v>0</v>
      </c>
      <c r="U4986">
        <v>0</v>
      </c>
      <c r="V4986">
        <v>13000</v>
      </c>
      <c r="W4986">
        <v>378</v>
      </c>
      <c r="X4986">
        <v>181.2</v>
      </c>
      <c r="Y4986">
        <v>0</v>
      </c>
      <c r="Z4986">
        <v>0</v>
      </c>
      <c r="AA4986">
        <v>7000</v>
      </c>
      <c r="AB4986">
        <v>432</v>
      </c>
      <c r="AC4986">
        <v>383.09</v>
      </c>
      <c r="AD4986">
        <v>200</v>
      </c>
      <c r="AE4986">
        <v>0</v>
      </c>
      <c r="AF4986">
        <v>6000</v>
      </c>
      <c r="AG4986">
        <v>505</v>
      </c>
      <c r="AH4986">
        <v>370.74</v>
      </c>
      <c r="AI4986">
        <v>320</v>
      </c>
      <c r="AJ4986">
        <v>0</v>
      </c>
      <c r="AK4986">
        <v>1800</v>
      </c>
      <c r="AL4986">
        <v>362</v>
      </c>
      <c r="AM4986">
        <v>206.95</v>
      </c>
      <c r="AN4986">
        <v>0</v>
      </c>
      <c r="AO4986">
        <v>0</v>
      </c>
      <c r="AP4986">
        <v>8000</v>
      </c>
      <c r="AQ4986">
        <v>354</v>
      </c>
      <c r="AR4986">
        <v>2.29</v>
      </c>
      <c r="AS4986">
        <v>0</v>
      </c>
      <c r="AT4986">
        <v>0</v>
      </c>
      <c r="AU4986">
        <v>1000</v>
      </c>
      <c r="AV4986">
        <v>339</v>
      </c>
      <c r="AW4986">
        <v>309.73</v>
      </c>
      <c r="AX4986">
        <v>0</v>
      </c>
      <c r="AY4986">
        <v>0</v>
      </c>
      <c r="AZ4986">
        <v>50000</v>
      </c>
    </row>
    <row r="4987" spans="1:52" x14ac:dyDescent="0.3">
      <c r="A4987" t="s">
        <v>41</v>
      </c>
      <c r="B4987" t="s">
        <v>199</v>
      </c>
      <c r="C4987">
        <v>1149</v>
      </c>
      <c r="D4987">
        <v>748.25</v>
      </c>
      <c r="E4987">
        <v>0</v>
      </c>
      <c r="F4987">
        <v>0</v>
      </c>
      <c r="G4987">
        <v>18000</v>
      </c>
      <c r="H4987">
        <v>997</v>
      </c>
      <c r="I4987">
        <v>40.5</v>
      </c>
      <c r="J4987">
        <v>0</v>
      </c>
      <c r="K4987">
        <v>0</v>
      </c>
      <c r="L4987">
        <v>1500</v>
      </c>
      <c r="M4987">
        <v>1237</v>
      </c>
      <c r="N4987">
        <v>441.03</v>
      </c>
      <c r="O4987">
        <v>300</v>
      </c>
      <c r="P4987">
        <v>0</v>
      </c>
      <c r="Q4987">
        <v>8000</v>
      </c>
      <c r="R4987">
        <v>1039</v>
      </c>
      <c r="S4987">
        <v>140.51</v>
      </c>
      <c r="T4987">
        <v>0</v>
      </c>
      <c r="U4987">
        <v>0</v>
      </c>
      <c r="V4987">
        <v>6000</v>
      </c>
      <c r="W4987">
        <v>1029</v>
      </c>
      <c r="X4987">
        <v>195.37</v>
      </c>
      <c r="Y4987">
        <v>0</v>
      </c>
      <c r="Z4987">
        <v>0</v>
      </c>
      <c r="AA4987">
        <v>9000</v>
      </c>
      <c r="AB4987">
        <v>1256</v>
      </c>
      <c r="AC4987">
        <v>285.89999999999998</v>
      </c>
      <c r="AD4987">
        <v>150</v>
      </c>
      <c r="AE4987">
        <v>0</v>
      </c>
      <c r="AF4987">
        <v>3500</v>
      </c>
      <c r="AG4987">
        <v>1469</v>
      </c>
      <c r="AH4987">
        <v>427.34</v>
      </c>
      <c r="AI4987">
        <v>360</v>
      </c>
      <c r="AJ4987">
        <v>0</v>
      </c>
      <c r="AK4987">
        <v>2500</v>
      </c>
      <c r="AL4987">
        <v>1049</v>
      </c>
      <c r="AM4987">
        <v>199.3</v>
      </c>
      <c r="AN4987">
        <v>0</v>
      </c>
      <c r="AO4987">
        <v>0</v>
      </c>
      <c r="AP4987">
        <v>8000</v>
      </c>
      <c r="AQ4987">
        <v>1028</v>
      </c>
      <c r="AR4987">
        <v>39.200000000000003</v>
      </c>
      <c r="AS4987">
        <v>0</v>
      </c>
      <c r="AT4987">
        <v>0</v>
      </c>
      <c r="AU4987">
        <v>10000</v>
      </c>
      <c r="AV4987">
        <v>979</v>
      </c>
      <c r="AW4987">
        <v>387.14</v>
      </c>
      <c r="AX4987">
        <v>0</v>
      </c>
      <c r="AY4987">
        <v>0</v>
      </c>
      <c r="AZ4987">
        <v>8000</v>
      </c>
    </row>
    <row r="4989" spans="1:52" x14ac:dyDescent="0.3">
      <c r="A4989" t="s">
        <v>1957</v>
      </c>
    </row>
    <row r="4990" spans="1:52" x14ac:dyDescent="0.3">
      <c r="A4990" t="s">
        <v>36</v>
      </c>
      <c r="B4990" t="s">
        <v>1958</v>
      </c>
      <c r="C4990" t="s">
        <v>1959</v>
      </c>
      <c r="D4990" t="s">
        <v>1960</v>
      </c>
      <c r="E4990" t="s">
        <v>1961</v>
      </c>
      <c r="F4990" t="s">
        <v>1962</v>
      </c>
      <c r="G4990" t="s">
        <v>1963</v>
      </c>
      <c r="H4990" t="s">
        <v>1964</v>
      </c>
      <c r="I4990" t="s">
        <v>1965</v>
      </c>
      <c r="J4990" t="s">
        <v>1966</v>
      </c>
      <c r="K4990" t="s">
        <v>1967</v>
      </c>
      <c r="L4990" t="s">
        <v>1968</v>
      </c>
      <c r="M4990" t="s">
        <v>1969</v>
      </c>
      <c r="N4990" t="s">
        <v>1970</v>
      </c>
      <c r="O4990" t="s">
        <v>1971</v>
      </c>
      <c r="P4990" t="s">
        <v>1972</v>
      </c>
      <c r="Q4990" t="s">
        <v>1973</v>
      </c>
      <c r="R4990" t="s">
        <v>1974</v>
      </c>
      <c r="S4990" t="s">
        <v>1975</v>
      </c>
      <c r="T4990" t="s">
        <v>1976</v>
      </c>
      <c r="U4990" t="s">
        <v>1977</v>
      </c>
      <c r="V4990" t="s">
        <v>1978</v>
      </c>
      <c r="W4990" t="s">
        <v>1979</v>
      </c>
      <c r="X4990" t="s">
        <v>1980</v>
      </c>
      <c r="Y4990" t="s">
        <v>1981</v>
      </c>
      <c r="Z4990" t="s">
        <v>1982</v>
      </c>
      <c r="AA4990" t="s">
        <v>1983</v>
      </c>
      <c r="AB4990" t="s">
        <v>1984</v>
      </c>
      <c r="AC4990" t="s">
        <v>1985</v>
      </c>
      <c r="AD4990" t="s">
        <v>1986</v>
      </c>
      <c r="AE4990" t="s">
        <v>1987</v>
      </c>
      <c r="AF4990" t="s">
        <v>1988</v>
      </c>
      <c r="AG4990" t="s">
        <v>1989</v>
      </c>
      <c r="AH4990" t="s">
        <v>1990</v>
      </c>
      <c r="AI4990" t="s">
        <v>1991</v>
      </c>
      <c r="AJ4990" t="s">
        <v>1992</v>
      </c>
      <c r="AK4990" t="s">
        <v>1993</v>
      </c>
      <c r="AL4990" t="s">
        <v>1994</v>
      </c>
      <c r="AM4990" t="s">
        <v>1995</v>
      </c>
      <c r="AN4990" t="s">
        <v>1996</v>
      </c>
      <c r="AO4990" t="s">
        <v>1997</v>
      </c>
      <c r="AP4990" t="s">
        <v>1998</v>
      </c>
      <c r="AQ4990" t="s">
        <v>1999</v>
      </c>
      <c r="AR4990" t="s">
        <v>2000</v>
      </c>
      <c r="AS4990" t="s">
        <v>2001</v>
      </c>
      <c r="AT4990" t="s">
        <v>2002</v>
      </c>
    </row>
    <row r="4991" spans="1:52" x14ac:dyDescent="0.3">
      <c r="A4991" t="s">
        <v>25</v>
      </c>
      <c r="B4991">
        <v>344</v>
      </c>
      <c r="C4991">
        <v>209.98</v>
      </c>
      <c r="D4991">
        <v>0</v>
      </c>
      <c r="E4991">
        <v>0</v>
      </c>
      <c r="F4991">
        <v>12000</v>
      </c>
      <c r="G4991">
        <v>351</v>
      </c>
      <c r="H4991">
        <v>459.57</v>
      </c>
      <c r="I4991">
        <v>0</v>
      </c>
      <c r="J4991">
        <v>0</v>
      </c>
      <c r="K4991">
        <v>10000</v>
      </c>
      <c r="L4991">
        <v>390</v>
      </c>
      <c r="M4991">
        <v>6684.52</v>
      </c>
      <c r="N4991">
        <v>4000</v>
      </c>
      <c r="O4991">
        <v>0</v>
      </c>
      <c r="P4991">
        <v>60000</v>
      </c>
      <c r="Q4991">
        <v>352</v>
      </c>
      <c r="R4991">
        <v>2238.84</v>
      </c>
      <c r="S4991">
        <v>1200</v>
      </c>
      <c r="T4991">
        <v>0</v>
      </c>
      <c r="U4991">
        <v>12000</v>
      </c>
      <c r="V4991">
        <v>341</v>
      </c>
      <c r="W4991">
        <v>455.22</v>
      </c>
      <c r="X4991">
        <v>0</v>
      </c>
      <c r="Y4991">
        <v>0</v>
      </c>
      <c r="Z4991">
        <v>13000</v>
      </c>
      <c r="AA4991">
        <v>322</v>
      </c>
      <c r="AB4991">
        <v>469.29</v>
      </c>
      <c r="AC4991">
        <v>0</v>
      </c>
      <c r="AD4991">
        <v>0</v>
      </c>
      <c r="AE4991">
        <v>25000</v>
      </c>
      <c r="AF4991">
        <v>335</v>
      </c>
      <c r="AG4991">
        <v>403.3</v>
      </c>
      <c r="AH4991">
        <v>0</v>
      </c>
      <c r="AI4991">
        <v>0</v>
      </c>
      <c r="AJ4991">
        <v>15000</v>
      </c>
      <c r="AK4991">
        <v>309</v>
      </c>
      <c r="AL4991">
        <v>798.21</v>
      </c>
      <c r="AM4991">
        <v>0</v>
      </c>
      <c r="AN4991">
        <v>0</v>
      </c>
      <c r="AO4991">
        <v>30000</v>
      </c>
      <c r="AP4991">
        <v>329</v>
      </c>
      <c r="AQ4991">
        <v>483.62</v>
      </c>
      <c r="AR4991">
        <v>0</v>
      </c>
      <c r="AS4991">
        <v>0</v>
      </c>
      <c r="AT4991">
        <v>15000</v>
      </c>
    </row>
    <row r="4992" spans="1:52" x14ac:dyDescent="0.3">
      <c r="A4992" t="s">
        <v>26</v>
      </c>
      <c r="B4992">
        <v>423</v>
      </c>
      <c r="C4992">
        <v>260.58999999999997</v>
      </c>
      <c r="D4992">
        <v>0</v>
      </c>
      <c r="E4992">
        <v>0</v>
      </c>
      <c r="F4992">
        <v>14000</v>
      </c>
      <c r="G4992">
        <v>435</v>
      </c>
      <c r="H4992">
        <v>794.45</v>
      </c>
      <c r="I4992">
        <v>200</v>
      </c>
      <c r="J4992">
        <v>0</v>
      </c>
      <c r="K4992">
        <v>15000</v>
      </c>
      <c r="L4992">
        <v>468</v>
      </c>
      <c r="M4992">
        <v>6784.65</v>
      </c>
      <c r="N4992">
        <v>3500</v>
      </c>
      <c r="O4992">
        <v>0</v>
      </c>
      <c r="P4992">
        <v>60000</v>
      </c>
      <c r="Q4992">
        <v>413</v>
      </c>
      <c r="R4992">
        <v>2754.05</v>
      </c>
      <c r="S4992">
        <v>2000</v>
      </c>
      <c r="T4992">
        <v>0</v>
      </c>
      <c r="U4992">
        <v>12000</v>
      </c>
      <c r="V4992">
        <v>418</v>
      </c>
      <c r="W4992">
        <v>337.62</v>
      </c>
      <c r="X4992">
        <v>0</v>
      </c>
      <c r="Y4992">
        <v>0</v>
      </c>
      <c r="Z4992">
        <v>18000</v>
      </c>
      <c r="AA4992">
        <v>368</v>
      </c>
      <c r="AB4992">
        <v>749.5</v>
      </c>
      <c r="AC4992">
        <v>0</v>
      </c>
      <c r="AD4992">
        <v>0</v>
      </c>
      <c r="AE4992">
        <v>22000</v>
      </c>
      <c r="AF4992">
        <v>334</v>
      </c>
      <c r="AG4992">
        <v>1113.68</v>
      </c>
      <c r="AH4992">
        <v>0</v>
      </c>
      <c r="AI4992">
        <v>0</v>
      </c>
      <c r="AJ4992">
        <v>80000</v>
      </c>
      <c r="AK4992">
        <v>264</v>
      </c>
      <c r="AL4992">
        <v>1527.45</v>
      </c>
      <c r="AM4992">
        <v>0</v>
      </c>
      <c r="AN4992">
        <v>0</v>
      </c>
      <c r="AO4992">
        <v>200000</v>
      </c>
      <c r="AP4992">
        <v>341</v>
      </c>
      <c r="AQ4992">
        <v>1018.33</v>
      </c>
      <c r="AR4992">
        <v>0</v>
      </c>
      <c r="AS4992">
        <v>0</v>
      </c>
      <c r="AT4992">
        <v>25000</v>
      </c>
    </row>
    <row r="4993" spans="1:47" x14ac:dyDescent="0.3">
      <c r="A4993" t="s">
        <v>29</v>
      </c>
      <c r="B4993">
        <v>370</v>
      </c>
      <c r="C4993">
        <v>373.08</v>
      </c>
      <c r="D4993">
        <v>0</v>
      </c>
      <c r="E4993">
        <v>0</v>
      </c>
      <c r="F4993">
        <v>100000</v>
      </c>
      <c r="G4993">
        <v>403</v>
      </c>
      <c r="H4993">
        <v>607.58000000000004</v>
      </c>
      <c r="I4993">
        <v>150</v>
      </c>
      <c r="J4993">
        <v>0</v>
      </c>
      <c r="K4993">
        <v>20000</v>
      </c>
      <c r="L4993">
        <v>508</v>
      </c>
      <c r="M4993">
        <v>7665.41</v>
      </c>
      <c r="N4993">
        <v>3500</v>
      </c>
      <c r="O4993">
        <v>0</v>
      </c>
      <c r="P4993">
        <v>80000</v>
      </c>
      <c r="Q4993">
        <v>437</v>
      </c>
      <c r="R4993">
        <v>2553.66</v>
      </c>
      <c r="S4993">
        <v>2000</v>
      </c>
      <c r="T4993">
        <v>0</v>
      </c>
      <c r="U4993">
        <v>12000</v>
      </c>
      <c r="V4993">
        <v>377</v>
      </c>
      <c r="W4993">
        <v>566.65</v>
      </c>
      <c r="X4993">
        <v>0</v>
      </c>
      <c r="Y4993">
        <v>0</v>
      </c>
      <c r="Z4993">
        <v>8000</v>
      </c>
      <c r="AA4993">
        <v>355</v>
      </c>
      <c r="AB4993">
        <v>594.97</v>
      </c>
      <c r="AC4993">
        <v>0</v>
      </c>
      <c r="AD4993">
        <v>0</v>
      </c>
      <c r="AE4993">
        <v>25000</v>
      </c>
      <c r="AF4993">
        <v>341</v>
      </c>
      <c r="AG4993">
        <v>624.48</v>
      </c>
      <c r="AH4993">
        <v>0</v>
      </c>
      <c r="AI4993">
        <v>0</v>
      </c>
      <c r="AJ4993">
        <v>25000</v>
      </c>
      <c r="AK4993">
        <v>300</v>
      </c>
      <c r="AL4993">
        <v>1449.32</v>
      </c>
      <c r="AM4993">
        <v>0</v>
      </c>
      <c r="AN4993">
        <v>0</v>
      </c>
      <c r="AO4993">
        <v>60000</v>
      </c>
      <c r="AP4993">
        <v>318</v>
      </c>
      <c r="AQ4993">
        <v>461.9</v>
      </c>
      <c r="AR4993">
        <v>0</v>
      </c>
      <c r="AS4993">
        <v>0</v>
      </c>
      <c r="AT4993">
        <v>26000</v>
      </c>
    </row>
    <row r="4994" spans="1:47" x14ac:dyDescent="0.3">
      <c r="A4994" t="s">
        <v>28</v>
      </c>
      <c r="B4994">
        <v>137</v>
      </c>
      <c r="C4994">
        <v>2328.2399999999998</v>
      </c>
      <c r="D4994">
        <v>0</v>
      </c>
      <c r="E4994">
        <v>0</v>
      </c>
      <c r="F4994">
        <v>99999</v>
      </c>
      <c r="G4994">
        <v>142</v>
      </c>
      <c r="H4994">
        <v>776.26</v>
      </c>
      <c r="I4994">
        <v>400</v>
      </c>
      <c r="J4994">
        <v>0</v>
      </c>
      <c r="K4994">
        <v>7000</v>
      </c>
      <c r="L4994">
        <v>266</v>
      </c>
      <c r="M4994">
        <v>8398.8700000000008</v>
      </c>
      <c r="N4994">
        <v>5000</v>
      </c>
      <c r="O4994">
        <v>0</v>
      </c>
      <c r="P4994">
        <v>95500</v>
      </c>
      <c r="Q4994">
        <v>211</v>
      </c>
      <c r="R4994">
        <v>2386.42</v>
      </c>
      <c r="S4994">
        <v>2000</v>
      </c>
      <c r="T4994">
        <v>0</v>
      </c>
      <c r="U4994">
        <v>12500</v>
      </c>
      <c r="V4994">
        <v>139</v>
      </c>
      <c r="W4994">
        <v>611.01</v>
      </c>
      <c r="X4994">
        <v>0</v>
      </c>
      <c r="Y4994">
        <v>0</v>
      </c>
      <c r="Z4994">
        <v>15000</v>
      </c>
      <c r="AA4994">
        <v>132</v>
      </c>
      <c r="AB4994">
        <v>891.78</v>
      </c>
      <c r="AC4994">
        <v>0</v>
      </c>
      <c r="AD4994">
        <v>0</v>
      </c>
      <c r="AE4994">
        <v>20000</v>
      </c>
      <c r="AF4994">
        <v>148</v>
      </c>
      <c r="AG4994">
        <v>1051.31</v>
      </c>
      <c r="AH4994">
        <v>0</v>
      </c>
      <c r="AI4994">
        <v>0</v>
      </c>
      <c r="AJ4994">
        <v>20000</v>
      </c>
      <c r="AK4994">
        <v>129</v>
      </c>
      <c r="AL4994">
        <v>2940.52</v>
      </c>
      <c r="AM4994">
        <v>0</v>
      </c>
      <c r="AN4994">
        <v>0</v>
      </c>
      <c r="AO4994">
        <v>120500</v>
      </c>
      <c r="AP4994">
        <v>129</v>
      </c>
      <c r="AQ4994">
        <v>379.34</v>
      </c>
      <c r="AR4994">
        <v>0</v>
      </c>
      <c r="AS4994">
        <v>0</v>
      </c>
      <c r="AT4994">
        <v>10000</v>
      </c>
    </row>
    <row r="4995" spans="1:47" x14ac:dyDescent="0.3">
      <c r="A4995" t="s">
        <v>27</v>
      </c>
      <c r="B4995">
        <v>171</v>
      </c>
      <c r="C4995">
        <v>49.79</v>
      </c>
      <c r="D4995">
        <v>0</v>
      </c>
      <c r="E4995">
        <v>0</v>
      </c>
      <c r="F4995">
        <v>3000</v>
      </c>
      <c r="G4995">
        <v>171</v>
      </c>
      <c r="H4995">
        <v>503.13</v>
      </c>
      <c r="I4995">
        <v>0</v>
      </c>
      <c r="J4995">
        <v>0</v>
      </c>
      <c r="K4995">
        <v>5000</v>
      </c>
      <c r="L4995">
        <v>270</v>
      </c>
      <c r="M4995">
        <v>6886.37</v>
      </c>
      <c r="N4995">
        <v>3000</v>
      </c>
      <c r="O4995">
        <v>0</v>
      </c>
      <c r="P4995">
        <v>100000</v>
      </c>
      <c r="Q4995">
        <v>198</v>
      </c>
      <c r="R4995">
        <v>2482.2800000000002</v>
      </c>
      <c r="S4995">
        <v>2000</v>
      </c>
      <c r="T4995">
        <v>0</v>
      </c>
      <c r="U4995">
        <v>10000</v>
      </c>
      <c r="V4995">
        <v>178</v>
      </c>
      <c r="W4995">
        <v>531.82000000000005</v>
      </c>
      <c r="X4995">
        <v>0</v>
      </c>
      <c r="Y4995">
        <v>0</v>
      </c>
      <c r="Z4995">
        <v>9000</v>
      </c>
      <c r="AA4995">
        <v>147</v>
      </c>
      <c r="AB4995">
        <v>203.67</v>
      </c>
      <c r="AC4995">
        <v>0</v>
      </c>
      <c r="AD4995">
        <v>0</v>
      </c>
      <c r="AE4995">
        <v>10000</v>
      </c>
      <c r="AF4995">
        <v>140</v>
      </c>
      <c r="AG4995">
        <v>80.819999999999993</v>
      </c>
      <c r="AH4995">
        <v>0</v>
      </c>
      <c r="AI4995">
        <v>0</v>
      </c>
      <c r="AJ4995">
        <v>6000</v>
      </c>
      <c r="AK4995">
        <v>106</v>
      </c>
      <c r="AL4995">
        <v>1002.84</v>
      </c>
      <c r="AM4995">
        <v>0</v>
      </c>
      <c r="AN4995">
        <v>0</v>
      </c>
      <c r="AO4995">
        <v>40000</v>
      </c>
      <c r="AP4995">
        <v>101</v>
      </c>
      <c r="AQ4995">
        <v>427.9</v>
      </c>
      <c r="AR4995">
        <v>0</v>
      </c>
      <c r="AS4995">
        <v>0</v>
      </c>
      <c r="AT4995">
        <v>11000</v>
      </c>
    </row>
    <row r="4996" spans="1:47" x14ac:dyDescent="0.3">
      <c r="A4996" t="s">
        <v>41</v>
      </c>
      <c r="B4996">
        <v>1445</v>
      </c>
      <c r="C4996">
        <v>342.5</v>
      </c>
      <c r="D4996">
        <v>0</v>
      </c>
      <c r="E4996">
        <v>0</v>
      </c>
      <c r="F4996">
        <v>100000</v>
      </c>
      <c r="G4996">
        <v>1502</v>
      </c>
      <c r="H4996">
        <v>629.87</v>
      </c>
      <c r="I4996">
        <v>0</v>
      </c>
      <c r="J4996">
        <v>0</v>
      </c>
      <c r="K4996">
        <v>20000</v>
      </c>
      <c r="L4996">
        <v>1902</v>
      </c>
      <c r="M4996">
        <v>7251.42</v>
      </c>
      <c r="N4996">
        <v>3500</v>
      </c>
      <c r="O4996">
        <v>0</v>
      </c>
      <c r="P4996">
        <v>100000</v>
      </c>
      <c r="Q4996">
        <v>1611</v>
      </c>
      <c r="R4996">
        <v>2532.6</v>
      </c>
      <c r="S4996">
        <v>2000</v>
      </c>
      <c r="T4996">
        <v>0</v>
      </c>
      <c r="U4996">
        <v>12500</v>
      </c>
      <c r="V4996">
        <v>1453</v>
      </c>
      <c r="W4996">
        <v>476.43</v>
      </c>
      <c r="X4996">
        <v>0</v>
      </c>
      <c r="Y4996">
        <v>0</v>
      </c>
      <c r="Z4996">
        <v>18000</v>
      </c>
      <c r="AA4996">
        <v>1324</v>
      </c>
      <c r="AB4996">
        <v>603.45000000000005</v>
      </c>
      <c r="AC4996">
        <v>0</v>
      </c>
      <c r="AD4996">
        <v>0</v>
      </c>
      <c r="AE4996">
        <v>25000</v>
      </c>
      <c r="AF4996">
        <v>1298</v>
      </c>
      <c r="AG4996">
        <v>690.58</v>
      </c>
      <c r="AH4996">
        <v>0</v>
      </c>
      <c r="AI4996">
        <v>0</v>
      </c>
      <c r="AJ4996">
        <v>80000</v>
      </c>
      <c r="AK4996">
        <v>1108</v>
      </c>
      <c r="AL4996">
        <v>1334.99</v>
      </c>
      <c r="AM4996">
        <v>0</v>
      </c>
      <c r="AN4996">
        <v>0</v>
      </c>
      <c r="AO4996">
        <v>200000</v>
      </c>
      <c r="AP4996">
        <v>1218</v>
      </c>
      <c r="AQ4996">
        <v>618.34</v>
      </c>
      <c r="AR4996">
        <v>0</v>
      </c>
      <c r="AS4996">
        <v>0</v>
      </c>
      <c r="AT4996">
        <v>26000</v>
      </c>
    </row>
    <row r="4998" spans="1:47" x14ac:dyDescent="0.3">
      <c r="A4998" t="s">
        <v>2003</v>
      </c>
    </row>
    <row r="4999" spans="1:47" x14ac:dyDescent="0.3">
      <c r="A4999" t="s">
        <v>36</v>
      </c>
      <c r="B4999" t="s">
        <v>197</v>
      </c>
      <c r="C4999" t="s">
        <v>1958</v>
      </c>
      <c r="D4999" t="s">
        <v>1959</v>
      </c>
      <c r="E4999" t="s">
        <v>1960</v>
      </c>
      <c r="F4999" t="s">
        <v>1961</v>
      </c>
      <c r="G4999" t="s">
        <v>1962</v>
      </c>
      <c r="H4999" t="s">
        <v>1963</v>
      </c>
      <c r="I4999" t="s">
        <v>1964</v>
      </c>
      <c r="J4999" t="s">
        <v>1965</v>
      </c>
      <c r="K4999" t="s">
        <v>1966</v>
      </c>
      <c r="L4999" t="s">
        <v>1967</v>
      </c>
      <c r="M4999" t="s">
        <v>1968</v>
      </c>
      <c r="N4999" t="s">
        <v>1969</v>
      </c>
      <c r="O4999" t="s">
        <v>1970</v>
      </c>
      <c r="P4999" t="s">
        <v>1971</v>
      </c>
      <c r="Q4999" t="s">
        <v>1972</v>
      </c>
      <c r="R4999" t="s">
        <v>1973</v>
      </c>
      <c r="S4999" t="s">
        <v>1974</v>
      </c>
      <c r="T4999" t="s">
        <v>1975</v>
      </c>
      <c r="U4999" t="s">
        <v>1976</v>
      </c>
      <c r="V4999" t="s">
        <v>1977</v>
      </c>
      <c r="W4999" t="s">
        <v>1978</v>
      </c>
      <c r="X4999" t="s">
        <v>1979</v>
      </c>
      <c r="Y4999" t="s">
        <v>1980</v>
      </c>
      <c r="Z4999" t="s">
        <v>1981</v>
      </c>
      <c r="AA4999" t="s">
        <v>1982</v>
      </c>
      <c r="AB4999" t="s">
        <v>1983</v>
      </c>
      <c r="AC4999" t="s">
        <v>1984</v>
      </c>
      <c r="AD4999" t="s">
        <v>1985</v>
      </c>
      <c r="AE4999" t="s">
        <v>1986</v>
      </c>
      <c r="AF4999" t="s">
        <v>1987</v>
      </c>
      <c r="AG4999" t="s">
        <v>1988</v>
      </c>
      <c r="AH4999" t="s">
        <v>1989</v>
      </c>
      <c r="AI4999" t="s">
        <v>1990</v>
      </c>
      <c r="AJ4999" t="s">
        <v>1991</v>
      </c>
      <c r="AK4999" t="s">
        <v>1992</v>
      </c>
      <c r="AL4999" t="s">
        <v>1993</v>
      </c>
      <c r="AM4999" t="s">
        <v>1994</v>
      </c>
      <c r="AN4999" t="s">
        <v>1995</v>
      </c>
      <c r="AO4999" t="s">
        <v>1996</v>
      </c>
      <c r="AP4999" t="s">
        <v>1997</v>
      </c>
      <c r="AQ4999" t="s">
        <v>1998</v>
      </c>
      <c r="AR4999" t="s">
        <v>1999</v>
      </c>
      <c r="AS4999" t="s">
        <v>2000</v>
      </c>
      <c r="AT4999" t="s">
        <v>2001</v>
      </c>
      <c r="AU4999" t="s">
        <v>2002</v>
      </c>
    </row>
    <row r="5000" spans="1:47" x14ac:dyDescent="0.3">
      <c r="A5000" t="s">
        <v>25</v>
      </c>
      <c r="B5000" t="s">
        <v>198</v>
      </c>
      <c r="C5000">
        <v>86</v>
      </c>
      <c r="D5000">
        <v>41.18</v>
      </c>
      <c r="E5000">
        <v>0</v>
      </c>
      <c r="F5000">
        <v>0</v>
      </c>
      <c r="G5000">
        <v>2000</v>
      </c>
      <c r="H5000">
        <v>92</v>
      </c>
      <c r="I5000">
        <v>484.41</v>
      </c>
      <c r="J5000">
        <v>0</v>
      </c>
      <c r="K5000">
        <v>0</v>
      </c>
      <c r="L5000">
        <v>4000</v>
      </c>
      <c r="M5000">
        <v>101</v>
      </c>
      <c r="N5000">
        <v>4884</v>
      </c>
      <c r="O5000">
        <v>3000</v>
      </c>
      <c r="P5000">
        <v>0</v>
      </c>
      <c r="Q5000">
        <v>30000</v>
      </c>
      <c r="R5000">
        <v>91</v>
      </c>
      <c r="S5000">
        <v>1787.89</v>
      </c>
      <c r="T5000">
        <v>400</v>
      </c>
      <c r="U5000">
        <v>0</v>
      </c>
      <c r="V5000">
        <v>10000</v>
      </c>
      <c r="W5000">
        <v>85</v>
      </c>
      <c r="X5000">
        <v>114.59</v>
      </c>
      <c r="Y5000">
        <v>0</v>
      </c>
      <c r="Z5000">
        <v>0</v>
      </c>
      <c r="AA5000">
        <v>2000</v>
      </c>
      <c r="AB5000">
        <v>80</v>
      </c>
      <c r="AC5000">
        <v>140.79</v>
      </c>
      <c r="AD5000">
        <v>0</v>
      </c>
      <c r="AE5000">
        <v>0</v>
      </c>
      <c r="AF5000">
        <v>5000</v>
      </c>
      <c r="AG5000">
        <v>82</v>
      </c>
      <c r="AH5000">
        <v>124.61</v>
      </c>
      <c r="AI5000">
        <v>0</v>
      </c>
      <c r="AJ5000">
        <v>0</v>
      </c>
      <c r="AK5000">
        <v>5000</v>
      </c>
      <c r="AL5000">
        <v>84</v>
      </c>
      <c r="AM5000">
        <v>297.58999999999997</v>
      </c>
      <c r="AN5000">
        <v>0</v>
      </c>
      <c r="AO5000">
        <v>0</v>
      </c>
      <c r="AP5000">
        <v>30000</v>
      </c>
      <c r="AQ5000">
        <v>84</v>
      </c>
      <c r="AR5000">
        <v>430.38</v>
      </c>
      <c r="AS5000">
        <v>0</v>
      </c>
      <c r="AT5000">
        <v>0</v>
      </c>
      <c r="AU5000">
        <v>14000</v>
      </c>
    </row>
    <row r="5001" spans="1:47" x14ac:dyDescent="0.3">
      <c r="A5001" t="s">
        <v>25</v>
      </c>
      <c r="B5001" t="s">
        <v>199</v>
      </c>
      <c r="C5001">
        <v>258</v>
      </c>
      <c r="D5001">
        <v>257.81</v>
      </c>
      <c r="E5001">
        <v>0</v>
      </c>
      <c r="F5001">
        <v>0</v>
      </c>
      <c r="G5001">
        <v>12000</v>
      </c>
      <c r="H5001">
        <v>259</v>
      </c>
      <c r="I5001">
        <v>452.53</v>
      </c>
      <c r="J5001">
        <v>0</v>
      </c>
      <c r="K5001">
        <v>0</v>
      </c>
      <c r="L5001">
        <v>10000</v>
      </c>
      <c r="M5001">
        <v>289</v>
      </c>
      <c r="N5001">
        <v>7185.15</v>
      </c>
      <c r="O5001">
        <v>4000</v>
      </c>
      <c r="P5001">
        <v>0</v>
      </c>
      <c r="Q5001">
        <v>60000</v>
      </c>
      <c r="R5001">
        <v>261</v>
      </c>
      <c r="S5001">
        <v>2363.6</v>
      </c>
      <c r="T5001">
        <v>1500</v>
      </c>
      <c r="U5001">
        <v>0</v>
      </c>
      <c r="V5001">
        <v>12000</v>
      </c>
      <c r="W5001">
        <v>256</v>
      </c>
      <c r="X5001">
        <v>551.22</v>
      </c>
      <c r="Y5001">
        <v>0</v>
      </c>
      <c r="Z5001">
        <v>0</v>
      </c>
      <c r="AA5001">
        <v>13000</v>
      </c>
      <c r="AB5001">
        <v>242</v>
      </c>
      <c r="AC5001">
        <v>561.69000000000005</v>
      </c>
      <c r="AD5001">
        <v>0</v>
      </c>
      <c r="AE5001">
        <v>0</v>
      </c>
      <c r="AF5001">
        <v>25000</v>
      </c>
      <c r="AG5001">
        <v>253</v>
      </c>
      <c r="AH5001">
        <v>480.27</v>
      </c>
      <c r="AI5001">
        <v>0</v>
      </c>
      <c r="AJ5001">
        <v>0</v>
      </c>
      <c r="AK5001">
        <v>15000</v>
      </c>
      <c r="AL5001">
        <v>225</v>
      </c>
      <c r="AM5001">
        <v>957.68</v>
      </c>
      <c r="AN5001">
        <v>0</v>
      </c>
      <c r="AO5001">
        <v>0</v>
      </c>
      <c r="AP5001">
        <v>25000</v>
      </c>
      <c r="AQ5001">
        <v>245</v>
      </c>
      <c r="AR5001">
        <v>499.13</v>
      </c>
      <c r="AS5001">
        <v>0</v>
      </c>
      <c r="AT5001">
        <v>0</v>
      </c>
      <c r="AU5001">
        <v>15000</v>
      </c>
    </row>
    <row r="5002" spans="1:47" x14ac:dyDescent="0.3">
      <c r="A5002" t="s">
        <v>26</v>
      </c>
      <c r="B5002" t="s">
        <v>198</v>
      </c>
      <c r="C5002">
        <v>40</v>
      </c>
      <c r="D5002">
        <v>189.36</v>
      </c>
      <c r="E5002">
        <v>0</v>
      </c>
      <c r="F5002">
        <v>0</v>
      </c>
      <c r="G5002">
        <v>3000</v>
      </c>
      <c r="H5002">
        <v>40</v>
      </c>
      <c r="I5002">
        <v>340.11</v>
      </c>
      <c r="J5002">
        <v>0</v>
      </c>
      <c r="K5002">
        <v>0</v>
      </c>
      <c r="L5002">
        <v>2000</v>
      </c>
      <c r="M5002">
        <v>40</v>
      </c>
      <c r="N5002">
        <v>7379.77</v>
      </c>
      <c r="O5002">
        <v>4000</v>
      </c>
      <c r="P5002">
        <v>0</v>
      </c>
      <c r="Q5002">
        <v>60000</v>
      </c>
      <c r="R5002">
        <v>41</v>
      </c>
      <c r="S5002">
        <v>1852.66</v>
      </c>
      <c r="T5002">
        <v>500</v>
      </c>
      <c r="U5002">
        <v>0</v>
      </c>
      <c r="V5002">
        <v>10000</v>
      </c>
      <c r="W5002">
        <v>39</v>
      </c>
      <c r="X5002">
        <v>179.82</v>
      </c>
      <c r="Y5002">
        <v>0</v>
      </c>
      <c r="Z5002">
        <v>0</v>
      </c>
      <c r="AA5002">
        <v>2000</v>
      </c>
      <c r="AB5002">
        <v>39</v>
      </c>
      <c r="AC5002">
        <v>517.47</v>
      </c>
      <c r="AD5002">
        <v>0</v>
      </c>
      <c r="AE5002">
        <v>0</v>
      </c>
      <c r="AF5002">
        <v>6000</v>
      </c>
      <c r="AG5002">
        <v>38</v>
      </c>
      <c r="AH5002">
        <v>488.56</v>
      </c>
      <c r="AI5002">
        <v>0</v>
      </c>
      <c r="AJ5002">
        <v>0</v>
      </c>
      <c r="AK5002">
        <v>9000</v>
      </c>
      <c r="AL5002">
        <v>30</v>
      </c>
      <c r="AM5002">
        <v>844.31</v>
      </c>
      <c r="AN5002">
        <v>0</v>
      </c>
      <c r="AO5002">
        <v>0</v>
      </c>
      <c r="AP5002">
        <v>8000</v>
      </c>
      <c r="AQ5002">
        <v>38</v>
      </c>
      <c r="AR5002">
        <v>677.62</v>
      </c>
      <c r="AS5002">
        <v>0</v>
      </c>
      <c r="AT5002">
        <v>0</v>
      </c>
      <c r="AU5002">
        <v>11000</v>
      </c>
    </row>
    <row r="5003" spans="1:47" x14ac:dyDescent="0.3">
      <c r="A5003" t="s">
        <v>26</v>
      </c>
      <c r="B5003" t="s">
        <v>199</v>
      </c>
      <c r="C5003">
        <v>383</v>
      </c>
      <c r="D5003">
        <v>265.14</v>
      </c>
      <c r="E5003">
        <v>0</v>
      </c>
      <c r="F5003">
        <v>0</v>
      </c>
      <c r="G5003">
        <v>14000</v>
      </c>
      <c r="H5003">
        <v>395</v>
      </c>
      <c r="I5003">
        <v>822.63</v>
      </c>
      <c r="J5003">
        <v>250</v>
      </c>
      <c r="K5003">
        <v>0</v>
      </c>
      <c r="L5003">
        <v>15000</v>
      </c>
      <c r="M5003">
        <v>428</v>
      </c>
      <c r="N5003">
        <v>6749.72</v>
      </c>
      <c r="O5003">
        <v>3500</v>
      </c>
      <c r="P5003">
        <v>0</v>
      </c>
      <c r="Q5003">
        <v>60000</v>
      </c>
      <c r="R5003">
        <v>372</v>
      </c>
      <c r="S5003">
        <v>2815.04</v>
      </c>
      <c r="T5003">
        <v>2000</v>
      </c>
      <c r="U5003">
        <v>0</v>
      </c>
      <c r="V5003">
        <v>12000</v>
      </c>
      <c r="W5003">
        <v>379</v>
      </c>
      <c r="X5003">
        <v>347.31</v>
      </c>
      <c r="Y5003">
        <v>0</v>
      </c>
      <c r="Z5003">
        <v>0</v>
      </c>
      <c r="AA5003">
        <v>18000</v>
      </c>
      <c r="AB5003">
        <v>329</v>
      </c>
      <c r="AC5003">
        <v>765.83</v>
      </c>
      <c r="AD5003">
        <v>0</v>
      </c>
      <c r="AE5003">
        <v>0</v>
      </c>
      <c r="AF5003">
        <v>22000</v>
      </c>
      <c r="AG5003">
        <v>296</v>
      </c>
      <c r="AH5003">
        <v>1161.54</v>
      </c>
      <c r="AI5003">
        <v>0</v>
      </c>
      <c r="AJ5003">
        <v>0</v>
      </c>
      <c r="AK5003">
        <v>80000</v>
      </c>
      <c r="AL5003">
        <v>234</v>
      </c>
      <c r="AM5003">
        <v>1578.07</v>
      </c>
      <c r="AN5003">
        <v>0</v>
      </c>
      <c r="AO5003">
        <v>0</v>
      </c>
      <c r="AP5003">
        <v>200000</v>
      </c>
      <c r="AQ5003">
        <v>303</v>
      </c>
      <c r="AR5003">
        <v>1043.54</v>
      </c>
      <c r="AS5003">
        <v>0</v>
      </c>
      <c r="AT5003">
        <v>0</v>
      </c>
      <c r="AU5003">
        <v>25000</v>
      </c>
    </row>
    <row r="5004" spans="1:47" x14ac:dyDescent="0.3">
      <c r="A5004" t="s">
        <v>29</v>
      </c>
      <c r="B5004" t="s">
        <v>198</v>
      </c>
      <c r="C5004">
        <v>128</v>
      </c>
      <c r="D5004">
        <v>570.95000000000005</v>
      </c>
      <c r="E5004">
        <v>0</v>
      </c>
      <c r="F5004">
        <v>0</v>
      </c>
      <c r="G5004">
        <v>100000</v>
      </c>
      <c r="H5004">
        <v>137</v>
      </c>
      <c r="I5004">
        <v>578.23</v>
      </c>
      <c r="J5004">
        <v>0</v>
      </c>
      <c r="K5004">
        <v>0</v>
      </c>
      <c r="L5004">
        <v>20000</v>
      </c>
      <c r="M5004">
        <v>164</v>
      </c>
      <c r="N5004">
        <v>8696.86</v>
      </c>
      <c r="O5004">
        <v>4000</v>
      </c>
      <c r="P5004">
        <v>0</v>
      </c>
      <c r="Q5004">
        <v>60000</v>
      </c>
      <c r="R5004">
        <v>146</v>
      </c>
      <c r="S5004">
        <v>2315.35</v>
      </c>
      <c r="T5004">
        <v>1500</v>
      </c>
      <c r="U5004">
        <v>0</v>
      </c>
      <c r="V5004">
        <v>12000</v>
      </c>
      <c r="W5004">
        <v>131</v>
      </c>
      <c r="X5004">
        <v>507.84</v>
      </c>
      <c r="Y5004">
        <v>0</v>
      </c>
      <c r="Z5004">
        <v>0</v>
      </c>
      <c r="AA5004">
        <v>5000</v>
      </c>
      <c r="AB5004">
        <v>121</v>
      </c>
      <c r="AC5004">
        <v>766.65</v>
      </c>
      <c r="AD5004">
        <v>0</v>
      </c>
      <c r="AE5004">
        <v>0</v>
      </c>
      <c r="AF5004">
        <v>19000</v>
      </c>
      <c r="AG5004">
        <v>117</v>
      </c>
      <c r="AH5004">
        <v>777.59</v>
      </c>
      <c r="AI5004">
        <v>0</v>
      </c>
      <c r="AJ5004">
        <v>0</v>
      </c>
      <c r="AK5004">
        <v>15000</v>
      </c>
      <c r="AL5004">
        <v>112</v>
      </c>
      <c r="AM5004">
        <v>909.25</v>
      </c>
      <c r="AN5004">
        <v>0</v>
      </c>
      <c r="AO5004">
        <v>0</v>
      </c>
      <c r="AP5004">
        <v>40000</v>
      </c>
      <c r="AQ5004">
        <v>111</v>
      </c>
      <c r="AR5004">
        <v>566.79999999999995</v>
      </c>
      <c r="AS5004">
        <v>0</v>
      </c>
      <c r="AT5004">
        <v>0</v>
      </c>
      <c r="AU5004">
        <v>26000</v>
      </c>
    </row>
    <row r="5005" spans="1:47" x14ac:dyDescent="0.3">
      <c r="A5005" t="s">
        <v>29</v>
      </c>
      <c r="B5005" t="s">
        <v>199</v>
      </c>
      <c r="C5005">
        <v>242</v>
      </c>
      <c r="D5005">
        <v>270.64</v>
      </c>
      <c r="E5005">
        <v>0</v>
      </c>
      <c r="F5005">
        <v>0</v>
      </c>
      <c r="G5005">
        <v>15000</v>
      </c>
      <c r="H5005">
        <v>266</v>
      </c>
      <c r="I5005">
        <v>621.98</v>
      </c>
      <c r="J5005">
        <v>200</v>
      </c>
      <c r="K5005">
        <v>0</v>
      </c>
      <c r="L5005">
        <v>8000</v>
      </c>
      <c r="M5005">
        <v>344</v>
      </c>
      <c r="N5005">
        <v>7192.26</v>
      </c>
      <c r="O5005">
        <v>3500</v>
      </c>
      <c r="P5005">
        <v>0</v>
      </c>
      <c r="Q5005">
        <v>80000</v>
      </c>
      <c r="R5005">
        <v>291</v>
      </c>
      <c r="S5005">
        <v>2669.61</v>
      </c>
      <c r="T5005">
        <v>2000</v>
      </c>
      <c r="U5005">
        <v>0</v>
      </c>
      <c r="V5005">
        <v>12000</v>
      </c>
      <c r="W5005">
        <v>246</v>
      </c>
      <c r="X5005">
        <v>597.03</v>
      </c>
      <c r="Y5005">
        <v>0</v>
      </c>
      <c r="Z5005">
        <v>0</v>
      </c>
      <c r="AA5005">
        <v>8000</v>
      </c>
      <c r="AB5005">
        <v>234</v>
      </c>
      <c r="AC5005">
        <v>507.83</v>
      </c>
      <c r="AD5005">
        <v>0</v>
      </c>
      <c r="AE5005">
        <v>0</v>
      </c>
      <c r="AF5005">
        <v>25000</v>
      </c>
      <c r="AG5005">
        <v>224</v>
      </c>
      <c r="AH5005">
        <v>544.54</v>
      </c>
      <c r="AI5005">
        <v>0</v>
      </c>
      <c r="AJ5005">
        <v>0</v>
      </c>
      <c r="AK5005">
        <v>25000</v>
      </c>
      <c r="AL5005">
        <v>188</v>
      </c>
      <c r="AM5005">
        <v>1758.78</v>
      </c>
      <c r="AN5005">
        <v>0</v>
      </c>
      <c r="AO5005">
        <v>0</v>
      </c>
      <c r="AP5005">
        <v>60000</v>
      </c>
      <c r="AQ5005">
        <v>207</v>
      </c>
      <c r="AR5005">
        <v>408.99</v>
      </c>
      <c r="AS5005">
        <v>0</v>
      </c>
      <c r="AT5005">
        <v>0</v>
      </c>
      <c r="AU5005">
        <v>10000</v>
      </c>
    </row>
    <row r="5006" spans="1:47" s="3" customFormat="1" x14ac:dyDescent="0.3">
      <c r="A5006" s="3" t="s">
        <v>28</v>
      </c>
      <c r="B5006" s="3" t="s">
        <v>198</v>
      </c>
      <c r="C5006" s="3">
        <v>28</v>
      </c>
      <c r="D5006" s="3">
        <v>412.85</v>
      </c>
      <c r="E5006" s="3">
        <v>0</v>
      </c>
      <c r="F5006" s="3">
        <v>0</v>
      </c>
      <c r="G5006" s="3">
        <v>10000</v>
      </c>
      <c r="H5006" s="3">
        <v>29</v>
      </c>
      <c r="I5006" s="3">
        <v>755.71</v>
      </c>
      <c r="J5006" s="3">
        <v>500</v>
      </c>
      <c r="K5006" s="3">
        <v>0</v>
      </c>
      <c r="L5006" s="3">
        <v>3000</v>
      </c>
      <c r="M5006" s="3">
        <v>63</v>
      </c>
      <c r="N5006" s="3">
        <v>8254.68</v>
      </c>
      <c r="O5006" s="3">
        <v>4000</v>
      </c>
      <c r="P5006" s="3">
        <v>0</v>
      </c>
      <c r="Q5006" s="3">
        <v>35000</v>
      </c>
      <c r="R5006" s="3">
        <v>49</v>
      </c>
      <c r="S5006" s="3">
        <v>2232.21</v>
      </c>
      <c r="T5006" s="3">
        <v>2000</v>
      </c>
      <c r="U5006" s="3">
        <v>0</v>
      </c>
      <c r="V5006" s="3">
        <v>10000</v>
      </c>
      <c r="W5006" s="3">
        <v>33</v>
      </c>
      <c r="X5006" s="3">
        <v>681.74</v>
      </c>
      <c r="Y5006" s="3">
        <v>0</v>
      </c>
      <c r="Z5006" s="3">
        <v>0</v>
      </c>
      <c r="AA5006" s="3">
        <v>15000</v>
      </c>
      <c r="AB5006" s="3">
        <v>28</v>
      </c>
      <c r="AC5006" s="3">
        <v>1273.3599999999999</v>
      </c>
      <c r="AD5006" s="3">
        <v>0</v>
      </c>
      <c r="AE5006" s="3">
        <v>0</v>
      </c>
      <c r="AF5006" s="3">
        <v>20000</v>
      </c>
      <c r="AG5006" s="3">
        <v>36</v>
      </c>
      <c r="AH5006" s="3">
        <v>1645.77</v>
      </c>
      <c r="AI5006" s="3">
        <v>0</v>
      </c>
      <c r="AJ5006" s="3">
        <v>0</v>
      </c>
      <c r="AK5006" s="3">
        <v>20000</v>
      </c>
      <c r="AL5006" s="3">
        <v>27</v>
      </c>
      <c r="AM5006" s="3">
        <v>28.45</v>
      </c>
      <c r="AN5006" s="3">
        <v>0</v>
      </c>
      <c r="AO5006" s="3">
        <v>0</v>
      </c>
      <c r="AP5006" s="3">
        <v>1000</v>
      </c>
      <c r="AQ5006" s="3">
        <v>26</v>
      </c>
      <c r="AR5006" s="3">
        <v>0</v>
      </c>
      <c r="AS5006" s="3">
        <v>0</v>
      </c>
      <c r="AT5006" s="3">
        <v>0</v>
      </c>
      <c r="AU5006" s="3">
        <v>0</v>
      </c>
    </row>
    <row r="5007" spans="1:47" x14ac:dyDescent="0.3">
      <c r="A5007" t="s">
        <v>28</v>
      </c>
      <c r="B5007" t="s">
        <v>199</v>
      </c>
      <c r="C5007">
        <v>109</v>
      </c>
      <c r="D5007">
        <v>3044.82</v>
      </c>
      <c r="E5007">
        <v>0</v>
      </c>
      <c r="F5007">
        <v>0</v>
      </c>
      <c r="G5007">
        <v>99999</v>
      </c>
      <c r="H5007">
        <v>113</v>
      </c>
      <c r="I5007">
        <v>783.8</v>
      </c>
      <c r="J5007">
        <v>0</v>
      </c>
      <c r="K5007">
        <v>0</v>
      </c>
      <c r="L5007">
        <v>7000</v>
      </c>
      <c r="M5007">
        <v>203</v>
      </c>
      <c r="N5007">
        <v>8450.2900000000009</v>
      </c>
      <c r="O5007">
        <v>5000</v>
      </c>
      <c r="P5007">
        <v>0</v>
      </c>
      <c r="Q5007">
        <v>95500</v>
      </c>
      <c r="R5007">
        <v>162</v>
      </c>
      <c r="S5007">
        <v>2447.35</v>
      </c>
      <c r="T5007">
        <v>2000</v>
      </c>
      <c r="U5007">
        <v>0</v>
      </c>
      <c r="V5007">
        <v>12500</v>
      </c>
      <c r="W5007">
        <v>106</v>
      </c>
      <c r="X5007">
        <v>580.08000000000004</v>
      </c>
      <c r="Y5007">
        <v>0</v>
      </c>
      <c r="Z5007">
        <v>0</v>
      </c>
      <c r="AA5007">
        <v>10000</v>
      </c>
      <c r="AB5007">
        <v>104</v>
      </c>
      <c r="AC5007">
        <v>741.58</v>
      </c>
      <c r="AD5007">
        <v>0</v>
      </c>
      <c r="AE5007">
        <v>0</v>
      </c>
      <c r="AF5007">
        <v>12000</v>
      </c>
      <c r="AG5007">
        <v>112</v>
      </c>
      <c r="AH5007">
        <v>783.54</v>
      </c>
      <c r="AI5007">
        <v>0</v>
      </c>
      <c r="AJ5007">
        <v>0</v>
      </c>
      <c r="AK5007">
        <v>10000</v>
      </c>
      <c r="AL5007">
        <v>102</v>
      </c>
      <c r="AM5007">
        <v>4111.6099999999997</v>
      </c>
      <c r="AN5007">
        <v>0</v>
      </c>
      <c r="AO5007">
        <v>0</v>
      </c>
      <c r="AP5007">
        <v>120500</v>
      </c>
      <c r="AQ5007">
        <v>103</v>
      </c>
      <c r="AR5007">
        <v>524.99</v>
      </c>
      <c r="AS5007">
        <v>0</v>
      </c>
      <c r="AT5007">
        <v>0</v>
      </c>
      <c r="AU5007">
        <v>10000</v>
      </c>
    </row>
    <row r="5008" spans="1:47" x14ac:dyDescent="0.3">
      <c r="A5008" t="s">
        <v>27</v>
      </c>
      <c r="B5008" t="s">
        <v>198</v>
      </c>
      <c r="C5008">
        <v>88</v>
      </c>
      <c r="D5008">
        <v>50.77</v>
      </c>
      <c r="E5008">
        <v>0</v>
      </c>
      <c r="F5008">
        <v>0</v>
      </c>
      <c r="G5008">
        <v>3000</v>
      </c>
      <c r="H5008">
        <v>88</v>
      </c>
      <c r="I5008">
        <v>565.54999999999995</v>
      </c>
      <c r="J5008">
        <v>0</v>
      </c>
      <c r="K5008">
        <v>0</v>
      </c>
      <c r="L5008">
        <v>5000</v>
      </c>
      <c r="M5008">
        <v>126</v>
      </c>
      <c r="N5008">
        <v>7844.23</v>
      </c>
      <c r="O5008">
        <v>3500</v>
      </c>
      <c r="P5008">
        <v>0</v>
      </c>
      <c r="Q5008">
        <v>100000</v>
      </c>
      <c r="R5008">
        <v>99</v>
      </c>
      <c r="S5008">
        <v>2533.2800000000002</v>
      </c>
      <c r="T5008">
        <v>1500</v>
      </c>
      <c r="U5008">
        <v>0</v>
      </c>
      <c r="V5008">
        <v>10000</v>
      </c>
      <c r="W5008">
        <v>93</v>
      </c>
      <c r="X5008">
        <v>591.14</v>
      </c>
      <c r="Y5008">
        <v>0</v>
      </c>
      <c r="Z5008">
        <v>0</v>
      </c>
      <c r="AA5008">
        <v>9000</v>
      </c>
      <c r="AB5008">
        <v>85</v>
      </c>
      <c r="AC5008">
        <v>216.07</v>
      </c>
      <c r="AD5008">
        <v>0</v>
      </c>
      <c r="AE5008">
        <v>0</v>
      </c>
      <c r="AF5008">
        <v>10000</v>
      </c>
      <c r="AG5008">
        <v>81</v>
      </c>
      <c r="AH5008">
        <v>128.12</v>
      </c>
      <c r="AI5008">
        <v>0</v>
      </c>
      <c r="AJ5008">
        <v>0</v>
      </c>
      <c r="AK5008">
        <v>6000</v>
      </c>
      <c r="AL5008">
        <v>62</v>
      </c>
      <c r="AM5008">
        <v>1485.35</v>
      </c>
      <c r="AN5008">
        <v>0</v>
      </c>
      <c r="AO5008">
        <v>0</v>
      </c>
      <c r="AP5008">
        <v>40000</v>
      </c>
      <c r="AQ5008">
        <v>53</v>
      </c>
      <c r="AR5008">
        <v>615.39</v>
      </c>
      <c r="AS5008">
        <v>0</v>
      </c>
      <c r="AT5008">
        <v>0</v>
      </c>
      <c r="AU5008">
        <v>11000</v>
      </c>
    </row>
    <row r="5009" spans="1:47" x14ac:dyDescent="0.3">
      <c r="A5009" t="s">
        <v>27</v>
      </c>
      <c r="B5009" t="s">
        <v>199</v>
      </c>
      <c r="C5009">
        <v>83</v>
      </c>
      <c r="D5009">
        <v>48.61</v>
      </c>
      <c r="E5009">
        <v>0</v>
      </c>
      <c r="F5009">
        <v>0</v>
      </c>
      <c r="G5009">
        <v>3000</v>
      </c>
      <c r="H5009">
        <v>83</v>
      </c>
      <c r="I5009">
        <v>432.5</v>
      </c>
      <c r="J5009">
        <v>0</v>
      </c>
      <c r="K5009">
        <v>0</v>
      </c>
      <c r="L5009">
        <v>3500</v>
      </c>
      <c r="M5009">
        <v>144</v>
      </c>
      <c r="N5009">
        <v>5953.31</v>
      </c>
      <c r="O5009">
        <v>2000</v>
      </c>
      <c r="P5009">
        <v>0</v>
      </c>
      <c r="Q5009">
        <v>100000</v>
      </c>
      <c r="R5009">
        <v>99</v>
      </c>
      <c r="S5009">
        <v>2426.39</v>
      </c>
      <c r="T5009">
        <v>2000</v>
      </c>
      <c r="U5009">
        <v>0</v>
      </c>
      <c r="V5009">
        <v>10000</v>
      </c>
      <c r="W5009">
        <v>85</v>
      </c>
      <c r="X5009">
        <v>459.55</v>
      </c>
      <c r="Y5009">
        <v>0</v>
      </c>
      <c r="Z5009">
        <v>0</v>
      </c>
      <c r="AA5009">
        <v>5500</v>
      </c>
      <c r="AB5009">
        <v>62</v>
      </c>
      <c r="AC5009">
        <v>186.83</v>
      </c>
      <c r="AD5009">
        <v>0</v>
      </c>
      <c r="AE5009">
        <v>0</v>
      </c>
      <c r="AF5009">
        <v>9000</v>
      </c>
      <c r="AG5009">
        <v>59</v>
      </c>
      <c r="AH5009">
        <v>17.079999999999998</v>
      </c>
      <c r="AI5009">
        <v>0</v>
      </c>
      <c r="AJ5009">
        <v>0</v>
      </c>
      <c r="AK5009">
        <v>1000</v>
      </c>
      <c r="AL5009">
        <v>44</v>
      </c>
      <c r="AM5009">
        <v>352.3</v>
      </c>
      <c r="AN5009">
        <v>0</v>
      </c>
      <c r="AO5009">
        <v>0</v>
      </c>
      <c r="AP5009">
        <v>6000</v>
      </c>
      <c r="AQ5009">
        <v>48</v>
      </c>
      <c r="AR5009">
        <v>220.3</v>
      </c>
      <c r="AS5009">
        <v>0</v>
      </c>
      <c r="AT5009">
        <v>0</v>
      </c>
      <c r="AU5009">
        <v>3000</v>
      </c>
    </row>
    <row r="5010" spans="1:47" x14ac:dyDescent="0.3">
      <c r="A5010" t="s">
        <v>41</v>
      </c>
      <c r="B5010" t="s">
        <v>198</v>
      </c>
      <c r="C5010">
        <v>370</v>
      </c>
      <c r="D5010">
        <v>385.6</v>
      </c>
      <c r="E5010">
        <v>0</v>
      </c>
      <c r="F5010">
        <v>0</v>
      </c>
      <c r="G5010">
        <v>100000</v>
      </c>
      <c r="H5010">
        <v>386</v>
      </c>
      <c r="I5010">
        <v>547.04999999999995</v>
      </c>
      <c r="J5010">
        <v>0</v>
      </c>
      <c r="K5010">
        <v>0</v>
      </c>
      <c r="L5010">
        <v>20000</v>
      </c>
      <c r="M5010">
        <v>494</v>
      </c>
      <c r="N5010">
        <v>7844.07</v>
      </c>
      <c r="O5010">
        <v>3000</v>
      </c>
      <c r="P5010">
        <v>0</v>
      </c>
      <c r="Q5010">
        <v>100000</v>
      </c>
      <c r="R5010">
        <v>426</v>
      </c>
      <c r="S5010">
        <v>2203.3000000000002</v>
      </c>
      <c r="T5010">
        <v>1300</v>
      </c>
      <c r="U5010">
        <v>0</v>
      </c>
      <c r="V5010">
        <v>12000</v>
      </c>
      <c r="W5010">
        <v>381</v>
      </c>
      <c r="X5010">
        <v>419.35</v>
      </c>
      <c r="Y5010">
        <v>0</v>
      </c>
      <c r="Z5010">
        <v>0</v>
      </c>
      <c r="AA5010">
        <v>15000</v>
      </c>
      <c r="AB5010">
        <v>353</v>
      </c>
      <c r="AC5010">
        <v>591.39</v>
      </c>
      <c r="AD5010">
        <v>0</v>
      </c>
      <c r="AE5010">
        <v>0</v>
      </c>
      <c r="AF5010">
        <v>20000</v>
      </c>
      <c r="AG5010">
        <v>354</v>
      </c>
      <c r="AH5010">
        <v>600.84</v>
      </c>
      <c r="AI5010">
        <v>0</v>
      </c>
      <c r="AJ5010">
        <v>0</v>
      </c>
      <c r="AK5010">
        <v>20000</v>
      </c>
      <c r="AL5010">
        <v>315</v>
      </c>
      <c r="AM5010">
        <v>773.46</v>
      </c>
      <c r="AN5010">
        <v>0</v>
      </c>
      <c r="AO5010">
        <v>0</v>
      </c>
      <c r="AP5010">
        <v>40000</v>
      </c>
      <c r="AQ5010">
        <v>312</v>
      </c>
      <c r="AR5010">
        <v>527.63</v>
      </c>
      <c r="AS5010">
        <v>0</v>
      </c>
      <c r="AT5010">
        <v>0</v>
      </c>
      <c r="AU5010">
        <v>26000</v>
      </c>
    </row>
    <row r="5011" spans="1:47" x14ac:dyDescent="0.3">
      <c r="A5011" t="s">
        <v>41</v>
      </c>
      <c r="B5011" t="s">
        <v>199</v>
      </c>
      <c r="C5011">
        <v>1075</v>
      </c>
      <c r="D5011">
        <v>329.05</v>
      </c>
      <c r="E5011">
        <v>0</v>
      </c>
      <c r="F5011">
        <v>0</v>
      </c>
      <c r="G5011">
        <v>99999</v>
      </c>
      <c r="H5011">
        <v>1116</v>
      </c>
      <c r="I5011">
        <v>655.35</v>
      </c>
      <c r="J5011">
        <v>0</v>
      </c>
      <c r="K5011">
        <v>0</v>
      </c>
      <c r="L5011">
        <v>15000</v>
      </c>
      <c r="M5011">
        <v>1408</v>
      </c>
      <c r="N5011">
        <v>7067.42</v>
      </c>
      <c r="O5011">
        <v>3800</v>
      </c>
      <c r="P5011">
        <v>0</v>
      </c>
      <c r="Q5011">
        <v>100000</v>
      </c>
      <c r="R5011">
        <v>1185</v>
      </c>
      <c r="S5011">
        <v>2638.29</v>
      </c>
      <c r="T5011">
        <v>2000</v>
      </c>
      <c r="U5011">
        <v>0</v>
      </c>
      <c r="V5011">
        <v>12500</v>
      </c>
      <c r="W5011">
        <v>1072</v>
      </c>
      <c r="X5011">
        <v>494.46</v>
      </c>
      <c r="Y5011">
        <v>0</v>
      </c>
      <c r="Z5011">
        <v>0</v>
      </c>
      <c r="AA5011">
        <v>18000</v>
      </c>
      <c r="AB5011">
        <v>971</v>
      </c>
      <c r="AC5011">
        <v>607.32000000000005</v>
      </c>
      <c r="AD5011">
        <v>0</v>
      </c>
      <c r="AE5011">
        <v>0</v>
      </c>
      <c r="AF5011">
        <v>25000</v>
      </c>
      <c r="AG5011">
        <v>944</v>
      </c>
      <c r="AH5011">
        <v>720.43</v>
      </c>
      <c r="AI5011">
        <v>0</v>
      </c>
      <c r="AJ5011">
        <v>0</v>
      </c>
      <c r="AK5011">
        <v>80000</v>
      </c>
      <c r="AL5011">
        <v>793</v>
      </c>
      <c r="AM5011">
        <v>1541.22</v>
      </c>
      <c r="AN5011">
        <v>0</v>
      </c>
      <c r="AO5011">
        <v>0</v>
      </c>
      <c r="AP5011">
        <v>200000</v>
      </c>
      <c r="AQ5011">
        <v>906</v>
      </c>
      <c r="AR5011">
        <v>646.62</v>
      </c>
      <c r="AS5011">
        <v>0</v>
      </c>
      <c r="AT5011">
        <v>0</v>
      </c>
      <c r="AU5011">
        <v>25000</v>
      </c>
    </row>
    <row r="5013" spans="1:47" x14ac:dyDescent="0.3">
      <c r="A5013" t="s">
        <v>2004</v>
      </c>
    </row>
    <row r="5014" spans="1:47" x14ac:dyDescent="0.3">
      <c r="A5014" t="s">
        <v>36</v>
      </c>
      <c r="B5014" t="s">
        <v>310</v>
      </c>
      <c r="C5014" t="s">
        <v>1958</v>
      </c>
      <c r="D5014" t="s">
        <v>1959</v>
      </c>
      <c r="E5014" t="s">
        <v>1960</v>
      </c>
      <c r="F5014" t="s">
        <v>1961</v>
      </c>
      <c r="G5014" t="s">
        <v>1962</v>
      </c>
      <c r="H5014" t="s">
        <v>1963</v>
      </c>
      <c r="I5014" t="s">
        <v>1964</v>
      </c>
      <c r="J5014" t="s">
        <v>1965</v>
      </c>
      <c r="K5014" t="s">
        <v>1966</v>
      </c>
      <c r="L5014" t="s">
        <v>1967</v>
      </c>
      <c r="M5014" t="s">
        <v>1968</v>
      </c>
      <c r="N5014" t="s">
        <v>1969</v>
      </c>
      <c r="O5014" t="s">
        <v>1970</v>
      </c>
      <c r="P5014" t="s">
        <v>1971</v>
      </c>
      <c r="Q5014" t="s">
        <v>1972</v>
      </c>
      <c r="R5014" t="s">
        <v>1973</v>
      </c>
      <c r="S5014" t="s">
        <v>1974</v>
      </c>
      <c r="T5014" t="s">
        <v>1975</v>
      </c>
      <c r="U5014" t="s">
        <v>1976</v>
      </c>
      <c r="V5014" t="s">
        <v>1977</v>
      </c>
      <c r="W5014" t="s">
        <v>1978</v>
      </c>
      <c r="X5014" t="s">
        <v>1979</v>
      </c>
      <c r="Y5014" t="s">
        <v>1980</v>
      </c>
      <c r="Z5014" t="s">
        <v>1981</v>
      </c>
      <c r="AA5014" t="s">
        <v>1982</v>
      </c>
      <c r="AB5014" t="s">
        <v>1983</v>
      </c>
      <c r="AC5014" t="s">
        <v>1984</v>
      </c>
      <c r="AD5014" t="s">
        <v>1985</v>
      </c>
      <c r="AE5014" t="s">
        <v>1986</v>
      </c>
      <c r="AF5014" t="s">
        <v>1987</v>
      </c>
      <c r="AG5014" t="s">
        <v>1988</v>
      </c>
      <c r="AH5014" t="s">
        <v>1989</v>
      </c>
      <c r="AI5014" t="s">
        <v>1990</v>
      </c>
      <c r="AJ5014" t="s">
        <v>1991</v>
      </c>
      <c r="AK5014" t="s">
        <v>1992</v>
      </c>
      <c r="AL5014" t="s">
        <v>1993</v>
      </c>
      <c r="AM5014" t="s">
        <v>1994</v>
      </c>
      <c r="AN5014" t="s">
        <v>1995</v>
      </c>
      <c r="AO5014" t="s">
        <v>1996</v>
      </c>
      <c r="AP5014" t="s">
        <v>1997</v>
      </c>
      <c r="AQ5014" t="s">
        <v>1998</v>
      </c>
      <c r="AR5014" t="s">
        <v>1999</v>
      </c>
      <c r="AS5014" t="s">
        <v>2000</v>
      </c>
      <c r="AT5014" t="s">
        <v>2001</v>
      </c>
      <c r="AU5014" t="s">
        <v>2002</v>
      </c>
    </row>
    <row r="5015" spans="1:47" x14ac:dyDescent="0.3">
      <c r="A5015" t="s">
        <v>25</v>
      </c>
      <c r="B5015" t="s">
        <v>311</v>
      </c>
      <c r="C5015">
        <v>269</v>
      </c>
      <c r="D5015">
        <v>190.87</v>
      </c>
      <c r="E5015">
        <v>0</v>
      </c>
      <c r="F5015">
        <v>0</v>
      </c>
      <c r="G5015">
        <v>10000</v>
      </c>
      <c r="H5015">
        <v>280</v>
      </c>
      <c r="I5015">
        <v>463.32</v>
      </c>
      <c r="J5015">
        <v>0</v>
      </c>
      <c r="K5015">
        <v>0</v>
      </c>
      <c r="L5015">
        <v>10000</v>
      </c>
      <c r="M5015">
        <v>311</v>
      </c>
      <c r="N5015">
        <v>6471.85</v>
      </c>
      <c r="O5015">
        <v>4000</v>
      </c>
      <c r="P5015">
        <v>0</v>
      </c>
      <c r="Q5015">
        <v>54000</v>
      </c>
      <c r="R5015">
        <v>276</v>
      </c>
      <c r="S5015">
        <v>2317.9499999999998</v>
      </c>
      <c r="T5015">
        <v>1200</v>
      </c>
      <c r="U5015">
        <v>0</v>
      </c>
      <c r="V5015">
        <v>12000</v>
      </c>
      <c r="W5015">
        <v>267</v>
      </c>
      <c r="X5015">
        <v>541.9</v>
      </c>
      <c r="Y5015">
        <v>0</v>
      </c>
      <c r="Z5015">
        <v>0</v>
      </c>
      <c r="AA5015">
        <v>13000</v>
      </c>
      <c r="AB5015">
        <v>250</v>
      </c>
      <c r="AC5015">
        <v>432.47</v>
      </c>
      <c r="AD5015">
        <v>0</v>
      </c>
      <c r="AE5015">
        <v>0</v>
      </c>
      <c r="AF5015">
        <v>24000</v>
      </c>
      <c r="AG5015">
        <v>259</v>
      </c>
      <c r="AH5015">
        <v>397.35</v>
      </c>
      <c r="AI5015">
        <v>0</v>
      </c>
      <c r="AJ5015">
        <v>0</v>
      </c>
      <c r="AK5015">
        <v>15000</v>
      </c>
      <c r="AL5015">
        <v>245</v>
      </c>
      <c r="AM5015">
        <v>854.39</v>
      </c>
      <c r="AN5015">
        <v>0</v>
      </c>
      <c r="AO5015">
        <v>0</v>
      </c>
      <c r="AP5015">
        <v>30000</v>
      </c>
      <c r="AQ5015">
        <v>259</v>
      </c>
      <c r="AR5015">
        <v>555.95000000000005</v>
      </c>
      <c r="AS5015">
        <v>0</v>
      </c>
      <c r="AT5015">
        <v>0</v>
      </c>
      <c r="AU5015">
        <v>14000</v>
      </c>
    </row>
    <row r="5016" spans="1:47" x14ac:dyDescent="0.3">
      <c r="A5016" t="s">
        <v>25</v>
      </c>
      <c r="B5016" t="s">
        <v>312</v>
      </c>
      <c r="C5016">
        <v>66</v>
      </c>
      <c r="D5016">
        <v>332.65</v>
      </c>
      <c r="E5016">
        <v>0</v>
      </c>
      <c r="F5016">
        <v>0</v>
      </c>
      <c r="G5016">
        <v>12000</v>
      </c>
      <c r="H5016">
        <v>63</v>
      </c>
      <c r="I5016">
        <v>460.46</v>
      </c>
      <c r="J5016">
        <v>0</v>
      </c>
      <c r="K5016">
        <v>0</v>
      </c>
      <c r="L5016">
        <v>5000</v>
      </c>
      <c r="M5016">
        <v>73</v>
      </c>
      <c r="N5016">
        <v>6676.17</v>
      </c>
      <c r="O5016">
        <v>3000</v>
      </c>
      <c r="P5016">
        <v>0</v>
      </c>
      <c r="Q5016">
        <v>60000</v>
      </c>
      <c r="R5016">
        <v>70</v>
      </c>
      <c r="S5016">
        <v>1990.96</v>
      </c>
      <c r="T5016">
        <v>1700</v>
      </c>
      <c r="U5016">
        <v>0</v>
      </c>
      <c r="V5016">
        <v>12000</v>
      </c>
      <c r="W5016">
        <v>65</v>
      </c>
      <c r="X5016">
        <v>72.63</v>
      </c>
      <c r="Y5016">
        <v>0</v>
      </c>
      <c r="Z5016">
        <v>0</v>
      </c>
      <c r="AA5016">
        <v>6500</v>
      </c>
      <c r="AB5016">
        <v>64</v>
      </c>
      <c r="AC5016">
        <v>637.59</v>
      </c>
      <c r="AD5016">
        <v>0</v>
      </c>
      <c r="AE5016">
        <v>0</v>
      </c>
      <c r="AF5016">
        <v>25000</v>
      </c>
      <c r="AG5016">
        <v>66</v>
      </c>
      <c r="AH5016">
        <v>364.08</v>
      </c>
      <c r="AI5016">
        <v>0</v>
      </c>
      <c r="AJ5016">
        <v>0</v>
      </c>
      <c r="AK5016">
        <v>10000</v>
      </c>
      <c r="AL5016">
        <v>56</v>
      </c>
      <c r="AM5016">
        <v>694.23</v>
      </c>
      <c r="AN5016">
        <v>0</v>
      </c>
      <c r="AO5016">
        <v>0</v>
      </c>
      <c r="AP5016">
        <v>25000</v>
      </c>
      <c r="AQ5016">
        <v>61</v>
      </c>
      <c r="AR5016">
        <v>109.25</v>
      </c>
      <c r="AS5016">
        <v>0</v>
      </c>
      <c r="AT5016">
        <v>0</v>
      </c>
      <c r="AU5016">
        <v>15000</v>
      </c>
    </row>
    <row r="5017" spans="1:47" x14ac:dyDescent="0.3">
      <c r="A5017" t="s">
        <v>25</v>
      </c>
      <c r="B5017" t="s">
        <v>308</v>
      </c>
      <c r="C5017">
        <v>9</v>
      </c>
      <c r="D5017">
        <v>0</v>
      </c>
      <c r="E5017">
        <v>0</v>
      </c>
      <c r="F5017">
        <v>0</v>
      </c>
      <c r="G5017">
        <v>0</v>
      </c>
      <c r="H5017">
        <v>8</v>
      </c>
      <c r="I5017">
        <v>325.57</v>
      </c>
      <c r="J5017">
        <v>0</v>
      </c>
      <c r="K5017">
        <v>0</v>
      </c>
      <c r="L5017">
        <v>2000</v>
      </c>
      <c r="M5017">
        <v>6</v>
      </c>
      <c r="N5017">
        <v>17347.259999999998</v>
      </c>
      <c r="O5017">
        <v>5000</v>
      </c>
      <c r="P5017">
        <v>500</v>
      </c>
      <c r="Q5017">
        <v>48000</v>
      </c>
      <c r="R5017">
        <v>6</v>
      </c>
      <c r="S5017">
        <v>1313.83</v>
      </c>
      <c r="T5017">
        <v>130</v>
      </c>
      <c r="U5017">
        <v>0</v>
      </c>
      <c r="V5017">
        <v>8000</v>
      </c>
      <c r="W5017">
        <v>9</v>
      </c>
      <c r="X5017">
        <v>440.44</v>
      </c>
      <c r="Y5017">
        <v>0</v>
      </c>
      <c r="Z5017">
        <v>0</v>
      </c>
      <c r="AA5017">
        <v>8000</v>
      </c>
      <c r="AB5017">
        <v>8</v>
      </c>
      <c r="AC5017">
        <v>393.15</v>
      </c>
      <c r="AD5017">
        <v>0</v>
      </c>
      <c r="AE5017">
        <v>0</v>
      </c>
      <c r="AF5017">
        <v>5000</v>
      </c>
      <c r="AG5017">
        <v>10</v>
      </c>
      <c r="AH5017">
        <v>725.03</v>
      </c>
      <c r="AI5017">
        <v>0</v>
      </c>
      <c r="AJ5017">
        <v>0</v>
      </c>
      <c r="AK5017">
        <v>6600</v>
      </c>
      <c r="AL5017">
        <v>8</v>
      </c>
      <c r="AM5017">
        <v>0</v>
      </c>
      <c r="AN5017">
        <v>0</v>
      </c>
      <c r="AO5017">
        <v>0</v>
      </c>
      <c r="AP5017">
        <v>0</v>
      </c>
      <c r="AQ5017">
        <v>9</v>
      </c>
      <c r="AR5017">
        <v>636.94000000000005</v>
      </c>
      <c r="AS5017">
        <v>0</v>
      </c>
      <c r="AT5017">
        <v>0</v>
      </c>
      <c r="AU5017">
        <v>4500</v>
      </c>
    </row>
    <row r="5018" spans="1:47" x14ac:dyDescent="0.3">
      <c r="A5018" t="s">
        <v>26</v>
      </c>
      <c r="B5018" t="s">
        <v>311</v>
      </c>
      <c r="C5018">
        <v>302</v>
      </c>
      <c r="D5018">
        <v>142.96</v>
      </c>
      <c r="E5018">
        <v>0</v>
      </c>
      <c r="F5018">
        <v>0</v>
      </c>
      <c r="G5018">
        <v>6000</v>
      </c>
      <c r="H5018">
        <v>319</v>
      </c>
      <c r="I5018">
        <v>703.58</v>
      </c>
      <c r="J5018">
        <v>200</v>
      </c>
      <c r="K5018">
        <v>0</v>
      </c>
      <c r="L5018">
        <v>10000</v>
      </c>
      <c r="M5018">
        <v>338</v>
      </c>
      <c r="N5018">
        <v>7118.12</v>
      </c>
      <c r="O5018">
        <v>4000</v>
      </c>
      <c r="P5018">
        <v>0</v>
      </c>
      <c r="Q5018">
        <v>60000</v>
      </c>
      <c r="R5018">
        <v>304</v>
      </c>
      <c r="S5018">
        <v>2728.74</v>
      </c>
      <c r="T5018">
        <v>2000</v>
      </c>
      <c r="U5018">
        <v>0</v>
      </c>
      <c r="V5018">
        <v>12000</v>
      </c>
      <c r="W5018">
        <v>300</v>
      </c>
      <c r="X5018">
        <v>393.4</v>
      </c>
      <c r="Y5018">
        <v>0</v>
      </c>
      <c r="Z5018">
        <v>0</v>
      </c>
      <c r="AA5018">
        <v>18000</v>
      </c>
      <c r="AB5018">
        <v>275</v>
      </c>
      <c r="AC5018">
        <v>775.42</v>
      </c>
      <c r="AD5018">
        <v>0</v>
      </c>
      <c r="AE5018">
        <v>0</v>
      </c>
      <c r="AF5018">
        <v>22000</v>
      </c>
      <c r="AG5018">
        <v>248</v>
      </c>
      <c r="AH5018">
        <v>881.96</v>
      </c>
      <c r="AI5018">
        <v>0</v>
      </c>
      <c r="AJ5018">
        <v>0</v>
      </c>
      <c r="AK5018">
        <v>35000</v>
      </c>
      <c r="AL5018">
        <v>203</v>
      </c>
      <c r="AM5018">
        <v>1647.38</v>
      </c>
      <c r="AN5018">
        <v>0</v>
      </c>
      <c r="AO5018">
        <v>0</v>
      </c>
      <c r="AP5018">
        <v>200000</v>
      </c>
      <c r="AQ5018">
        <v>252</v>
      </c>
      <c r="AR5018">
        <v>834.9</v>
      </c>
      <c r="AS5018">
        <v>0</v>
      </c>
      <c r="AT5018">
        <v>0</v>
      </c>
      <c r="AU5018">
        <v>20000</v>
      </c>
    </row>
    <row r="5019" spans="1:47" x14ac:dyDescent="0.3">
      <c r="A5019" t="s">
        <v>26</v>
      </c>
      <c r="B5019" t="s">
        <v>312</v>
      </c>
      <c r="C5019">
        <v>83</v>
      </c>
      <c r="D5019">
        <v>527.86</v>
      </c>
      <c r="E5019">
        <v>0</v>
      </c>
      <c r="F5019">
        <v>0</v>
      </c>
      <c r="G5019">
        <v>14000</v>
      </c>
      <c r="H5019">
        <v>79</v>
      </c>
      <c r="I5019">
        <v>696.69</v>
      </c>
      <c r="J5019">
        <v>0</v>
      </c>
      <c r="K5019">
        <v>0</v>
      </c>
      <c r="L5019">
        <v>10000</v>
      </c>
      <c r="M5019">
        <v>92</v>
      </c>
      <c r="N5019">
        <v>4254.0200000000004</v>
      </c>
      <c r="O5019">
        <v>2500</v>
      </c>
      <c r="P5019">
        <v>0</v>
      </c>
      <c r="Q5019">
        <v>50000</v>
      </c>
      <c r="R5019">
        <v>78</v>
      </c>
      <c r="S5019">
        <v>2504.2399999999998</v>
      </c>
      <c r="T5019">
        <v>1500</v>
      </c>
      <c r="U5019">
        <v>0</v>
      </c>
      <c r="V5019">
        <v>10000</v>
      </c>
      <c r="W5019">
        <v>80</v>
      </c>
      <c r="X5019">
        <v>33.119999999999997</v>
      </c>
      <c r="Y5019">
        <v>0</v>
      </c>
      <c r="Z5019">
        <v>0</v>
      </c>
      <c r="AA5019">
        <v>1000</v>
      </c>
      <c r="AB5019">
        <v>69</v>
      </c>
      <c r="AC5019">
        <v>830.7</v>
      </c>
      <c r="AD5019">
        <v>0</v>
      </c>
      <c r="AE5019">
        <v>0</v>
      </c>
      <c r="AF5019">
        <v>12700</v>
      </c>
      <c r="AG5019">
        <v>63</v>
      </c>
      <c r="AH5019">
        <v>2610.96</v>
      </c>
      <c r="AI5019">
        <v>0</v>
      </c>
      <c r="AJ5019">
        <v>0</v>
      </c>
      <c r="AK5019">
        <v>80000</v>
      </c>
      <c r="AL5019">
        <v>50</v>
      </c>
      <c r="AM5019">
        <v>1408.99</v>
      </c>
      <c r="AN5019">
        <v>0</v>
      </c>
      <c r="AO5019">
        <v>0</v>
      </c>
      <c r="AP5019">
        <v>50000</v>
      </c>
      <c r="AQ5019">
        <v>65</v>
      </c>
      <c r="AR5019">
        <v>1512.57</v>
      </c>
      <c r="AS5019">
        <v>0</v>
      </c>
      <c r="AT5019">
        <v>0</v>
      </c>
      <c r="AU5019">
        <v>25000</v>
      </c>
    </row>
    <row r="5020" spans="1:47" x14ac:dyDescent="0.3">
      <c r="A5020" t="s">
        <v>26</v>
      </c>
      <c r="B5020" t="s">
        <v>308</v>
      </c>
      <c r="C5020">
        <v>38</v>
      </c>
      <c r="D5020">
        <v>644.79999999999995</v>
      </c>
      <c r="E5020">
        <v>0</v>
      </c>
      <c r="F5020">
        <v>0</v>
      </c>
      <c r="G5020">
        <v>5000</v>
      </c>
      <c r="H5020">
        <v>37</v>
      </c>
      <c r="I5020">
        <v>1719.69</v>
      </c>
      <c r="J5020">
        <v>600</v>
      </c>
      <c r="K5020">
        <v>0</v>
      </c>
      <c r="L5020">
        <v>15000</v>
      </c>
      <c r="M5020">
        <v>38</v>
      </c>
      <c r="N5020">
        <v>9171.99</v>
      </c>
      <c r="O5020">
        <v>3000</v>
      </c>
      <c r="P5020">
        <v>0</v>
      </c>
      <c r="Q5020">
        <v>60000</v>
      </c>
      <c r="R5020">
        <v>31</v>
      </c>
      <c r="S5020">
        <v>3509.92</v>
      </c>
      <c r="T5020">
        <v>2000</v>
      </c>
      <c r="U5020">
        <v>0</v>
      </c>
      <c r="V5020">
        <v>10000</v>
      </c>
      <c r="W5020">
        <v>38</v>
      </c>
      <c r="X5020">
        <v>479.4</v>
      </c>
      <c r="Y5020">
        <v>0</v>
      </c>
      <c r="Z5020">
        <v>0</v>
      </c>
      <c r="AA5020">
        <v>5000</v>
      </c>
      <c r="AB5020">
        <v>24</v>
      </c>
      <c r="AC5020">
        <v>282.12</v>
      </c>
      <c r="AD5020">
        <v>0</v>
      </c>
      <c r="AE5020">
        <v>0</v>
      </c>
      <c r="AF5020">
        <v>4000</v>
      </c>
      <c r="AG5020">
        <v>23</v>
      </c>
      <c r="AH5020">
        <v>0</v>
      </c>
      <c r="AI5020">
        <v>0</v>
      </c>
      <c r="AJ5020">
        <v>0</v>
      </c>
      <c r="AK5020">
        <v>0</v>
      </c>
      <c r="AL5020">
        <v>11</v>
      </c>
      <c r="AM5020">
        <v>0</v>
      </c>
      <c r="AN5020">
        <v>0</v>
      </c>
      <c r="AO5020">
        <v>0</v>
      </c>
      <c r="AP5020">
        <v>0</v>
      </c>
      <c r="AQ5020">
        <v>24</v>
      </c>
      <c r="AR5020">
        <v>1670.78</v>
      </c>
      <c r="AS5020">
        <v>0</v>
      </c>
      <c r="AT5020">
        <v>0</v>
      </c>
      <c r="AU5020">
        <v>15000</v>
      </c>
    </row>
    <row r="5021" spans="1:47" x14ac:dyDescent="0.3">
      <c r="A5021" t="s">
        <v>29</v>
      </c>
      <c r="B5021" t="s">
        <v>311</v>
      </c>
      <c r="C5021">
        <v>282</v>
      </c>
      <c r="D5021">
        <v>121.2</v>
      </c>
      <c r="E5021">
        <v>0</v>
      </c>
      <c r="F5021">
        <v>0</v>
      </c>
      <c r="G5021">
        <v>5000</v>
      </c>
      <c r="H5021">
        <v>311</v>
      </c>
      <c r="I5021">
        <v>612.41</v>
      </c>
      <c r="J5021">
        <v>200</v>
      </c>
      <c r="K5021">
        <v>0</v>
      </c>
      <c r="L5021">
        <v>8000</v>
      </c>
      <c r="M5021">
        <v>398</v>
      </c>
      <c r="N5021">
        <v>7522.58</v>
      </c>
      <c r="O5021">
        <v>3000</v>
      </c>
      <c r="P5021">
        <v>0</v>
      </c>
      <c r="Q5021">
        <v>80000</v>
      </c>
      <c r="R5021">
        <v>338</v>
      </c>
      <c r="S5021">
        <v>2576.42</v>
      </c>
      <c r="T5021">
        <v>2000</v>
      </c>
      <c r="U5021">
        <v>0</v>
      </c>
      <c r="V5021">
        <v>12000</v>
      </c>
      <c r="W5021">
        <v>286</v>
      </c>
      <c r="X5021">
        <v>600.83000000000004</v>
      </c>
      <c r="Y5021">
        <v>0</v>
      </c>
      <c r="Z5021">
        <v>0</v>
      </c>
      <c r="AA5021">
        <v>8000</v>
      </c>
      <c r="AB5021">
        <v>270</v>
      </c>
      <c r="AC5021">
        <v>603.54</v>
      </c>
      <c r="AD5021">
        <v>0</v>
      </c>
      <c r="AE5021">
        <v>0</v>
      </c>
      <c r="AF5021">
        <v>25000</v>
      </c>
      <c r="AG5021">
        <v>264</v>
      </c>
      <c r="AH5021">
        <v>679.18</v>
      </c>
      <c r="AI5021">
        <v>0</v>
      </c>
      <c r="AJ5021">
        <v>0</v>
      </c>
      <c r="AK5021">
        <v>25000</v>
      </c>
      <c r="AL5021">
        <v>227</v>
      </c>
      <c r="AM5021">
        <v>892.3</v>
      </c>
      <c r="AN5021">
        <v>0</v>
      </c>
      <c r="AO5021">
        <v>0</v>
      </c>
      <c r="AP5021">
        <v>40000</v>
      </c>
      <c r="AQ5021">
        <v>248</v>
      </c>
      <c r="AR5021">
        <v>344.09</v>
      </c>
      <c r="AS5021">
        <v>0</v>
      </c>
      <c r="AT5021">
        <v>0</v>
      </c>
      <c r="AU5021">
        <v>25000</v>
      </c>
    </row>
    <row r="5022" spans="1:47" x14ac:dyDescent="0.3">
      <c r="A5022" t="s">
        <v>29</v>
      </c>
      <c r="B5022" t="s">
        <v>312</v>
      </c>
      <c r="C5022">
        <v>79</v>
      </c>
      <c r="D5022">
        <v>1150.28</v>
      </c>
      <c r="E5022">
        <v>0</v>
      </c>
      <c r="F5022">
        <v>0</v>
      </c>
      <c r="G5022">
        <v>100000</v>
      </c>
      <c r="H5022">
        <v>83</v>
      </c>
      <c r="I5022">
        <v>543.11</v>
      </c>
      <c r="J5022">
        <v>0</v>
      </c>
      <c r="K5022">
        <v>0</v>
      </c>
      <c r="L5022">
        <v>20000</v>
      </c>
      <c r="M5022">
        <v>98</v>
      </c>
      <c r="N5022">
        <v>8384.74</v>
      </c>
      <c r="O5022">
        <v>5000</v>
      </c>
      <c r="P5022">
        <v>0</v>
      </c>
      <c r="Q5022">
        <v>47000</v>
      </c>
      <c r="R5022">
        <v>87</v>
      </c>
      <c r="S5022">
        <v>2346.42</v>
      </c>
      <c r="T5022">
        <v>2000</v>
      </c>
      <c r="U5022">
        <v>0</v>
      </c>
      <c r="V5022">
        <v>10000</v>
      </c>
      <c r="W5022">
        <v>81</v>
      </c>
      <c r="X5022">
        <v>424.32</v>
      </c>
      <c r="Y5022">
        <v>0</v>
      </c>
      <c r="Z5022">
        <v>0</v>
      </c>
      <c r="AA5022">
        <v>6500</v>
      </c>
      <c r="AB5022">
        <v>75</v>
      </c>
      <c r="AC5022">
        <v>373.8</v>
      </c>
      <c r="AD5022">
        <v>0</v>
      </c>
      <c r="AE5022">
        <v>0</v>
      </c>
      <c r="AF5022">
        <v>10000</v>
      </c>
      <c r="AG5022">
        <v>70</v>
      </c>
      <c r="AH5022">
        <v>451.8</v>
      </c>
      <c r="AI5022">
        <v>0</v>
      </c>
      <c r="AJ5022">
        <v>0</v>
      </c>
      <c r="AK5022">
        <v>10000</v>
      </c>
      <c r="AL5022">
        <v>68</v>
      </c>
      <c r="AM5022">
        <v>3526.24</v>
      </c>
      <c r="AN5022">
        <v>0</v>
      </c>
      <c r="AO5022">
        <v>0</v>
      </c>
      <c r="AP5022">
        <v>60000</v>
      </c>
      <c r="AQ5022">
        <v>64</v>
      </c>
      <c r="AR5022">
        <v>1023.79</v>
      </c>
      <c r="AS5022">
        <v>0</v>
      </c>
      <c r="AT5022">
        <v>0</v>
      </c>
      <c r="AU5022">
        <v>26000</v>
      </c>
    </row>
    <row r="5023" spans="1:47" x14ac:dyDescent="0.3">
      <c r="A5023" t="s">
        <v>29</v>
      </c>
      <c r="B5023" t="s">
        <v>308</v>
      </c>
      <c r="C5023">
        <v>9</v>
      </c>
      <c r="D5023">
        <v>2361.02</v>
      </c>
      <c r="E5023">
        <v>1000</v>
      </c>
      <c r="F5023">
        <v>0</v>
      </c>
      <c r="G5023">
        <v>10000</v>
      </c>
      <c r="H5023">
        <v>9</v>
      </c>
      <c r="I5023">
        <v>1083.22</v>
      </c>
      <c r="J5023">
        <v>1000</v>
      </c>
      <c r="K5023">
        <v>0</v>
      </c>
      <c r="L5023">
        <v>3700</v>
      </c>
      <c r="M5023">
        <v>12</v>
      </c>
      <c r="N5023">
        <v>6657.03</v>
      </c>
      <c r="O5023">
        <v>4000</v>
      </c>
      <c r="P5023">
        <v>900</v>
      </c>
      <c r="Q5023">
        <v>16000</v>
      </c>
      <c r="R5023">
        <v>12</v>
      </c>
      <c r="S5023">
        <v>3480.55</v>
      </c>
      <c r="T5023">
        <v>2000</v>
      </c>
      <c r="U5023">
        <v>0</v>
      </c>
      <c r="V5023">
        <v>12000</v>
      </c>
      <c r="W5023">
        <v>10</v>
      </c>
      <c r="X5023">
        <v>668.54</v>
      </c>
      <c r="Y5023">
        <v>0</v>
      </c>
      <c r="Z5023">
        <v>0</v>
      </c>
      <c r="AA5023">
        <v>2500</v>
      </c>
      <c r="AB5023">
        <v>10</v>
      </c>
      <c r="AC5023">
        <v>2076.09</v>
      </c>
      <c r="AD5023">
        <v>0</v>
      </c>
      <c r="AE5023">
        <v>0</v>
      </c>
      <c r="AF5023">
        <v>10000</v>
      </c>
      <c r="AG5023">
        <v>7</v>
      </c>
      <c r="AH5023">
        <v>0</v>
      </c>
      <c r="AI5023">
        <v>0</v>
      </c>
      <c r="AJ5023">
        <v>0</v>
      </c>
      <c r="AK5023">
        <v>0</v>
      </c>
      <c r="AL5023">
        <v>5</v>
      </c>
      <c r="AM5023">
        <v>0</v>
      </c>
      <c r="AN5023">
        <v>0</v>
      </c>
      <c r="AO5023">
        <v>0</v>
      </c>
      <c r="AP5023">
        <v>0</v>
      </c>
      <c r="AQ5023">
        <v>6</v>
      </c>
      <c r="AR5023">
        <v>0</v>
      </c>
      <c r="AS5023">
        <v>0</v>
      </c>
      <c r="AT5023">
        <v>0</v>
      </c>
      <c r="AU5023">
        <v>0</v>
      </c>
    </row>
    <row r="5024" spans="1:47" x14ac:dyDescent="0.3">
      <c r="A5024" t="s">
        <v>28</v>
      </c>
      <c r="B5024" t="s">
        <v>311</v>
      </c>
      <c r="C5024">
        <v>98</v>
      </c>
      <c r="D5024">
        <v>1104.8900000000001</v>
      </c>
      <c r="E5024">
        <v>0</v>
      </c>
      <c r="F5024">
        <v>0</v>
      </c>
      <c r="G5024">
        <v>40000</v>
      </c>
      <c r="H5024">
        <v>105</v>
      </c>
      <c r="I5024">
        <v>857.98</v>
      </c>
      <c r="J5024">
        <v>500</v>
      </c>
      <c r="K5024">
        <v>0</v>
      </c>
      <c r="L5024">
        <v>7000</v>
      </c>
      <c r="M5024">
        <v>197</v>
      </c>
      <c r="N5024">
        <v>8212</v>
      </c>
      <c r="O5024">
        <v>5000</v>
      </c>
      <c r="P5024">
        <v>0</v>
      </c>
      <c r="Q5024">
        <v>95500</v>
      </c>
      <c r="R5024">
        <v>147</v>
      </c>
      <c r="S5024">
        <v>2419.41</v>
      </c>
      <c r="T5024">
        <v>2000</v>
      </c>
      <c r="U5024">
        <v>0</v>
      </c>
      <c r="V5024">
        <v>12500</v>
      </c>
      <c r="W5024">
        <v>103</v>
      </c>
      <c r="X5024">
        <v>672.65</v>
      </c>
      <c r="Y5024">
        <v>0</v>
      </c>
      <c r="Z5024">
        <v>0</v>
      </c>
      <c r="AA5024">
        <v>10000</v>
      </c>
      <c r="AB5024">
        <v>96</v>
      </c>
      <c r="AC5024">
        <v>1061.49</v>
      </c>
      <c r="AD5024">
        <v>0</v>
      </c>
      <c r="AE5024">
        <v>0</v>
      </c>
      <c r="AF5024">
        <v>20000</v>
      </c>
      <c r="AG5024">
        <v>109</v>
      </c>
      <c r="AH5024">
        <v>1255.1199999999999</v>
      </c>
      <c r="AI5024">
        <v>0</v>
      </c>
      <c r="AJ5024">
        <v>0</v>
      </c>
      <c r="AK5024">
        <v>20000</v>
      </c>
      <c r="AL5024">
        <v>92</v>
      </c>
      <c r="AM5024">
        <v>2982.88</v>
      </c>
      <c r="AN5024">
        <v>0</v>
      </c>
      <c r="AO5024">
        <v>0</v>
      </c>
      <c r="AP5024">
        <v>120500</v>
      </c>
      <c r="AQ5024">
        <v>92</v>
      </c>
      <c r="AR5024">
        <v>307.14999999999998</v>
      </c>
      <c r="AS5024">
        <v>0</v>
      </c>
      <c r="AT5024">
        <v>0</v>
      </c>
      <c r="AU5024">
        <v>10000</v>
      </c>
    </row>
    <row r="5025" spans="1:47" x14ac:dyDescent="0.3">
      <c r="A5025" t="s">
        <v>28</v>
      </c>
      <c r="B5025" t="s">
        <v>312</v>
      </c>
      <c r="C5025">
        <v>39</v>
      </c>
      <c r="D5025">
        <v>5603.29</v>
      </c>
      <c r="E5025">
        <v>0</v>
      </c>
      <c r="F5025">
        <v>0</v>
      </c>
      <c r="G5025">
        <v>99999</v>
      </c>
      <c r="H5025">
        <v>37</v>
      </c>
      <c r="I5025">
        <v>522.66</v>
      </c>
      <c r="J5025">
        <v>0</v>
      </c>
      <c r="K5025">
        <v>0</v>
      </c>
      <c r="L5025">
        <v>4000</v>
      </c>
      <c r="M5025">
        <v>68</v>
      </c>
      <c r="N5025">
        <v>9141.0400000000009</v>
      </c>
      <c r="O5025">
        <v>4000</v>
      </c>
      <c r="P5025">
        <v>0</v>
      </c>
      <c r="Q5025">
        <v>60000</v>
      </c>
      <c r="R5025">
        <v>63</v>
      </c>
      <c r="S5025">
        <v>2314.16</v>
      </c>
      <c r="T5025">
        <v>2000</v>
      </c>
      <c r="U5025">
        <v>0</v>
      </c>
      <c r="V5025">
        <v>12000</v>
      </c>
      <c r="W5025">
        <v>35</v>
      </c>
      <c r="X5025">
        <v>319.41000000000003</v>
      </c>
      <c r="Y5025">
        <v>0</v>
      </c>
      <c r="Z5025">
        <v>0</v>
      </c>
      <c r="AA5025">
        <v>15000</v>
      </c>
      <c r="AB5025">
        <v>36</v>
      </c>
      <c r="AC5025">
        <v>387.16</v>
      </c>
      <c r="AD5025">
        <v>0</v>
      </c>
      <c r="AE5025">
        <v>0</v>
      </c>
      <c r="AF5025">
        <v>5600</v>
      </c>
      <c r="AG5025">
        <v>39</v>
      </c>
      <c r="AH5025">
        <v>421.92</v>
      </c>
      <c r="AI5025">
        <v>0</v>
      </c>
      <c r="AJ5025">
        <v>0</v>
      </c>
      <c r="AK5025">
        <v>9000</v>
      </c>
      <c r="AL5025">
        <v>36</v>
      </c>
      <c r="AM5025">
        <v>2883.92</v>
      </c>
      <c r="AN5025">
        <v>0</v>
      </c>
      <c r="AO5025">
        <v>0</v>
      </c>
      <c r="AP5025">
        <v>20000</v>
      </c>
      <c r="AQ5025">
        <v>37</v>
      </c>
      <c r="AR5025">
        <v>568.79</v>
      </c>
      <c r="AS5025">
        <v>0</v>
      </c>
      <c r="AT5025">
        <v>0</v>
      </c>
      <c r="AU5025">
        <v>8000</v>
      </c>
    </row>
    <row r="5026" spans="1:47" x14ac:dyDescent="0.3">
      <c r="A5026" t="s">
        <v>27</v>
      </c>
      <c r="B5026" t="s">
        <v>311</v>
      </c>
      <c r="C5026">
        <v>130</v>
      </c>
      <c r="D5026">
        <v>44.23</v>
      </c>
      <c r="E5026">
        <v>0</v>
      </c>
      <c r="F5026">
        <v>0</v>
      </c>
      <c r="G5026">
        <v>3000</v>
      </c>
      <c r="H5026">
        <v>132</v>
      </c>
      <c r="I5026">
        <v>512.52</v>
      </c>
      <c r="J5026">
        <v>0</v>
      </c>
      <c r="K5026">
        <v>0</v>
      </c>
      <c r="L5026">
        <v>5000</v>
      </c>
      <c r="M5026">
        <v>212</v>
      </c>
      <c r="N5026">
        <v>7217.18</v>
      </c>
      <c r="O5026">
        <v>3000</v>
      </c>
      <c r="P5026">
        <v>0</v>
      </c>
      <c r="Q5026">
        <v>100000</v>
      </c>
      <c r="R5026">
        <v>152</v>
      </c>
      <c r="S5026">
        <v>2493.29</v>
      </c>
      <c r="T5026">
        <v>1800</v>
      </c>
      <c r="U5026">
        <v>0</v>
      </c>
      <c r="V5026">
        <v>10000</v>
      </c>
      <c r="W5026">
        <v>139</v>
      </c>
      <c r="X5026">
        <v>577.29999999999995</v>
      </c>
      <c r="Y5026">
        <v>0</v>
      </c>
      <c r="Z5026">
        <v>0</v>
      </c>
      <c r="AA5026">
        <v>9000</v>
      </c>
      <c r="AB5026">
        <v>115</v>
      </c>
      <c r="AC5026">
        <v>181.9</v>
      </c>
      <c r="AD5026">
        <v>0</v>
      </c>
      <c r="AE5026">
        <v>0</v>
      </c>
      <c r="AF5026">
        <v>10000</v>
      </c>
      <c r="AG5026">
        <v>108</v>
      </c>
      <c r="AH5026">
        <v>79.12</v>
      </c>
      <c r="AI5026">
        <v>0</v>
      </c>
      <c r="AJ5026">
        <v>0</v>
      </c>
      <c r="AK5026">
        <v>6000</v>
      </c>
      <c r="AL5026">
        <v>85</v>
      </c>
      <c r="AM5026">
        <v>1101.33</v>
      </c>
      <c r="AN5026">
        <v>0</v>
      </c>
      <c r="AO5026">
        <v>0</v>
      </c>
      <c r="AP5026">
        <v>40000</v>
      </c>
      <c r="AQ5026">
        <v>77</v>
      </c>
      <c r="AR5026">
        <v>486.19</v>
      </c>
      <c r="AS5026">
        <v>0</v>
      </c>
      <c r="AT5026">
        <v>0</v>
      </c>
      <c r="AU5026">
        <v>11000</v>
      </c>
    </row>
    <row r="5027" spans="1:47" x14ac:dyDescent="0.3">
      <c r="A5027" t="s">
        <v>27</v>
      </c>
      <c r="B5027" t="s">
        <v>312</v>
      </c>
      <c r="C5027">
        <v>38</v>
      </c>
      <c r="D5027">
        <v>80.78</v>
      </c>
      <c r="E5027">
        <v>0</v>
      </c>
      <c r="F5027">
        <v>0</v>
      </c>
      <c r="G5027">
        <v>3000</v>
      </c>
      <c r="H5027">
        <v>36</v>
      </c>
      <c r="I5027">
        <v>491.44</v>
      </c>
      <c r="J5027">
        <v>0</v>
      </c>
      <c r="K5027">
        <v>0</v>
      </c>
      <c r="L5027">
        <v>4000</v>
      </c>
      <c r="M5027">
        <v>55</v>
      </c>
      <c r="N5027">
        <v>5515.31</v>
      </c>
      <c r="O5027">
        <v>2500</v>
      </c>
      <c r="P5027">
        <v>0</v>
      </c>
      <c r="Q5027">
        <v>40000</v>
      </c>
      <c r="R5027">
        <v>43</v>
      </c>
      <c r="S5027">
        <v>2489.1799999999998</v>
      </c>
      <c r="T5027">
        <v>2000</v>
      </c>
      <c r="U5027">
        <v>0</v>
      </c>
      <c r="V5027">
        <v>10000</v>
      </c>
      <c r="W5027">
        <v>36</v>
      </c>
      <c r="X5027">
        <v>327.45999999999998</v>
      </c>
      <c r="Y5027">
        <v>0</v>
      </c>
      <c r="Z5027">
        <v>0</v>
      </c>
      <c r="AA5027">
        <v>5000</v>
      </c>
      <c r="AB5027">
        <v>29</v>
      </c>
      <c r="AC5027">
        <v>334.16</v>
      </c>
      <c r="AD5027">
        <v>0</v>
      </c>
      <c r="AE5027">
        <v>0</v>
      </c>
      <c r="AF5027">
        <v>7000</v>
      </c>
      <c r="AG5027">
        <v>29</v>
      </c>
      <c r="AH5027">
        <v>96.04</v>
      </c>
      <c r="AI5027">
        <v>0</v>
      </c>
      <c r="AJ5027">
        <v>0</v>
      </c>
      <c r="AK5027">
        <v>2000</v>
      </c>
      <c r="AL5027">
        <v>19</v>
      </c>
      <c r="AM5027">
        <v>387.24</v>
      </c>
      <c r="AN5027">
        <v>0</v>
      </c>
      <c r="AO5027">
        <v>0</v>
      </c>
      <c r="AP5027">
        <v>5000</v>
      </c>
      <c r="AQ5027">
        <v>21</v>
      </c>
      <c r="AR5027">
        <v>167.69</v>
      </c>
      <c r="AS5027">
        <v>0</v>
      </c>
      <c r="AT5027">
        <v>0</v>
      </c>
      <c r="AU5027">
        <v>2000</v>
      </c>
    </row>
    <row r="5028" spans="1:47" x14ac:dyDescent="0.3">
      <c r="A5028" t="s">
        <v>27</v>
      </c>
      <c r="B5028" t="s">
        <v>308</v>
      </c>
      <c r="C5028">
        <v>3</v>
      </c>
      <c r="D5028">
        <v>0</v>
      </c>
      <c r="E5028">
        <v>0</v>
      </c>
      <c r="F5028">
        <v>0</v>
      </c>
      <c r="G5028">
        <v>0</v>
      </c>
      <c r="H5028">
        <v>3</v>
      </c>
      <c r="I5028">
        <v>0</v>
      </c>
      <c r="J5028">
        <v>0</v>
      </c>
      <c r="K5028">
        <v>0</v>
      </c>
      <c r="L5028">
        <v>0</v>
      </c>
      <c r="M5028">
        <v>3</v>
      </c>
      <c r="N5028">
        <v>1222.97</v>
      </c>
      <c r="O5028">
        <v>1000</v>
      </c>
      <c r="P5028">
        <v>1000</v>
      </c>
      <c r="Q5028">
        <v>3000</v>
      </c>
      <c r="R5028">
        <v>3</v>
      </c>
      <c r="S5028">
        <v>1483.11</v>
      </c>
      <c r="T5028">
        <v>2000</v>
      </c>
      <c r="U5028">
        <v>1000</v>
      </c>
      <c r="V5028">
        <v>2000</v>
      </c>
      <c r="W5028">
        <v>3</v>
      </c>
      <c r="X5028">
        <v>0</v>
      </c>
      <c r="Y5028">
        <v>0</v>
      </c>
      <c r="Z5028">
        <v>0</v>
      </c>
      <c r="AA5028">
        <v>0</v>
      </c>
      <c r="AB5028">
        <v>3</v>
      </c>
      <c r="AC5028">
        <v>0</v>
      </c>
      <c r="AD5028">
        <v>0</v>
      </c>
      <c r="AE5028">
        <v>0</v>
      </c>
      <c r="AF5028">
        <v>0</v>
      </c>
      <c r="AG5028">
        <v>3</v>
      </c>
      <c r="AH5028">
        <v>0</v>
      </c>
      <c r="AI5028">
        <v>0</v>
      </c>
      <c r="AJ5028">
        <v>0</v>
      </c>
      <c r="AK5028">
        <v>0</v>
      </c>
      <c r="AL5028">
        <v>2</v>
      </c>
      <c r="AM5028">
        <v>0</v>
      </c>
      <c r="AN5028">
        <v>0</v>
      </c>
      <c r="AO5028">
        <v>0</v>
      </c>
      <c r="AP5028">
        <v>0</v>
      </c>
      <c r="AQ5028">
        <v>3</v>
      </c>
      <c r="AR5028">
        <v>0</v>
      </c>
      <c r="AS5028">
        <v>0</v>
      </c>
      <c r="AT5028">
        <v>0</v>
      </c>
      <c r="AU5028">
        <v>0</v>
      </c>
    </row>
    <row r="5029" spans="1:47" x14ac:dyDescent="0.3">
      <c r="A5029" t="s">
        <v>41</v>
      </c>
      <c r="B5029" t="s">
        <v>311</v>
      </c>
      <c r="C5029">
        <v>1081</v>
      </c>
      <c r="D5029">
        <v>164.2</v>
      </c>
      <c r="E5029">
        <v>0</v>
      </c>
      <c r="F5029">
        <v>0</v>
      </c>
      <c r="G5029">
        <v>40000</v>
      </c>
      <c r="H5029">
        <v>1147</v>
      </c>
      <c r="I5029">
        <v>606.66</v>
      </c>
      <c r="J5029">
        <v>0</v>
      </c>
      <c r="K5029">
        <v>0</v>
      </c>
      <c r="L5029">
        <v>10000</v>
      </c>
      <c r="M5029">
        <v>1456</v>
      </c>
      <c r="N5029">
        <v>7232.42</v>
      </c>
      <c r="O5029">
        <v>3600</v>
      </c>
      <c r="P5029">
        <v>0</v>
      </c>
      <c r="Q5029">
        <v>100000</v>
      </c>
      <c r="R5029">
        <v>1217</v>
      </c>
      <c r="S5029">
        <v>2552</v>
      </c>
      <c r="T5029">
        <v>2000</v>
      </c>
      <c r="U5029">
        <v>0</v>
      </c>
      <c r="V5029">
        <v>12500</v>
      </c>
      <c r="W5029">
        <v>1095</v>
      </c>
      <c r="X5029">
        <v>532.05999999999995</v>
      </c>
      <c r="Y5029">
        <v>0</v>
      </c>
      <c r="Z5029">
        <v>0</v>
      </c>
      <c r="AA5029">
        <v>18000</v>
      </c>
      <c r="AB5029">
        <v>1006</v>
      </c>
      <c r="AC5029">
        <v>607.08000000000004</v>
      </c>
      <c r="AD5029">
        <v>0</v>
      </c>
      <c r="AE5029">
        <v>0</v>
      </c>
      <c r="AF5029">
        <v>25000</v>
      </c>
      <c r="AG5029">
        <v>988</v>
      </c>
      <c r="AH5029">
        <v>656.43</v>
      </c>
      <c r="AI5029">
        <v>0</v>
      </c>
      <c r="AJ5029">
        <v>0</v>
      </c>
      <c r="AK5029">
        <v>35000</v>
      </c>
      <c r="AL5029">
        <v>852</v>
      </c>
      <c r="AM5029">
        <v>1126.98</v>
      </c>
      <c r="AN5029">
        <v>0</v>
      </c>
      <c r="AO5029">
        <v>0</v>
      </c>
      <c r="AP5029">
        <v>200000</v>
      </c>
      <c r="AQ5029">
        <v>928</v>
      </c>
      <c r="AR5029">
        <v>530.32000000000005</v>
      </c>
      <c r="AS5029">
        <v>0</v>
      </c>
      <c r="AT5029">
        <v>0</v>
      </c>
      <c r="AU5029">
        <v>25000</v>
      </c>
    </row>
    <row r="5030" spans="1:47" x14ac:dyDescent="0.3">
      <c r="A5030" t="s">
        <v>41</v>
      </c>
      <c r="B5030" t="s">
        <v>312</v>
      </c>
      <c r="C5030">
        <v>305</v>
      </c>
      <c r="D5030">
        <v>936.15</v>
      </c>
      <c r="E5030">
        <v>0</v>
      </c>
      <c r="F5030">
        <v>0</v>
      </c>
      <c r="G5030">
        <v>100000</v>
      </c>
      <c r="H5030">
        <v>298</v>
      </c>
      <c r="I5030">
        <v>564.6</v>
      </c>
      <c r="J5030">
        <v>0</v>
      </c>
      <c r="K5030">
        <v>0</v>
      </c>
      <c r="L5030">
        <v>20000</v>
      </c>
      <c r="M5030">
        <v>386</v>
      </c>
      <c r="N5030">
        <v>6978.68</v>
      </c>
      <c r="O5030">
        <v>3000</v>
      </c>
      <c r="P5030">
        <v>0</v>
      </c>
      <c r="Q5030">
        <v>60000</v>
      </c>
      <c r="R5030">
        <v>341</v>
      </c>
      <c r="S5030">
        <v>2314.21</v>
      </c>
      <c r="T5030">
        <v>1800</v>
      </c>
      <c r="U5030">
        <v>0</v>
      </c>
      <c r="V5030">
        <v>12000</v>
      </c>
      <c r="W5030">
        <v>297</v>
      </c>
      <c r="X5030">
        <v>240.06</v>
      </c>
      <c r="Y5030">
        <v>0</v>
      </c>
      <c r="Z5030">
        <v>0</v>
      </c>
      <c r="AA5030">
        <v>15000</v>
      </c>
      <c r="AB5030">
        <v>273</v>
      </c>
      <c r="AC5030">
        <v>544.70000000000005</v>
      </c>
      <c r="AD5030">
        <v>0</v>
      </c>
      <c r="AE5030">
        <v>0</v>
      </c>
      <c r="AF5030">
        <v>25000</v>
      </c>
      <c r="AG5030">
        <v>267</v>
      </c>
      <c r="AH5030">
        <v>933.48</v>
      </c>
      <c r="AI5030">
        <v>0</v>
      </c>
      <c r="AJ5030">
        <v>0</v>
      </c>
      <c r="AK5030">
        <v>80000</v>
      </c>
      <c r="AL5030">
        <v>229</v>
      </c>
      <c r="AM5030">
        <v>2381.15</v>
      </c>
      <c r="AN5030">
        <v>0</v>
      </c>
      <c r="AO5030">
        <v>0</v>
      </c>
      <c r="AP5030">
        <v>60000</v>
      </c>
      <c r="AQ5030">
        <v>248</v>
      </c>
      <c r="AR5030">
        <v>902.34</v>
      </c>
      <c r="AS5030">
        <v>0</v>
      </c>
      <c r="AT5030">
        <v>0</v>
      </c>
      <c r="AU5030">
        <v>26000</v>
      </c>
    </row>
    <row r="5031" spans="1:47" x14ac:dyDescent="0.3">
      <c r="A5031" t="s">
        <v>41</v>
      </c>
      <c r="B5031" t="s">
        <v>308</v>
      </c>
      <c r="C5031">
        <v>59</v>
      </c>
      <c r="D5031">
        <v>879.57</v>
      </c>
      <c r="E5031">
        <v>0</v>
      </c>
      <c r="F5031">
        <v>0</v>
      </c>
      <c r="G5031">
        <v>10000</v>
      </c>
      <c r="H5031">
        <v>57</v>
      </c>
      <c r="I5031">
        <v>1389.3</v>
      </c>
      <c r="J5031">
        <v>500</v>
      </c>
      <c r="K5031">
        <v>0</v>
      </c>
      <c r="L5031">
        <v>15000</v>
      </c>
      <c r="M5031">
        <v>60</v>
      </c>
      <c r="N5031">
        <v>9095.0400000000009</v>
      </c>
      <c r="O5031">
        <v>4000</v>
      </c>
      <c r="P5031">
        <v>0</v>
      </c>
      <c r="Q5031">
        <v>60000</v>
      </c>
      <c r="R5031">
        <v>53</v>
      </c>
      <c r="S5031">
        <v>3248.6</v>
      </c>
      <c r="T5031">
        <v>2000</v>
      </c>
      <c r="U5031">
        <v>0</v>
      </c>
      <c r="V5031">
        <v>12000</v>
      </c>
      <c r="W5031">
        <v>61</v>
      </c>
      <c r="X5031">
        <v>522</v>
      </c>
      <c r="Y5031">
        <v>0</v>
      </c>
      <c r="Z5031">
        <v>0</v>
      </c>
      <c r="AA5031">
        <v>8000</v>
      </c>
      <c r="AB5031">
        <v>45</v>
      </c>
      <c r="AC5031">
        <v>818.16</v>
      </c>
      <c r="AD5031">
        <v>0</v>
      </c>
      <c r="AE5031">
        <v>0</v>
      </c>
      <c r="AF5031">
        <v>10000</v>
      </c>
      <c r="AG5031">
        <v>43</v>
      </c>
      <c r="AH5031">
        <v>179.96</v>
      </c>
      <c r="AI5031">
        <v>0</v>
      </c>
      <c r="AJ5031">
        <v>0</v>
      </c>
      <c r="AK5031">
        <v>6600</v>
      </c>
      <c r="AL5031">
        <v>27</v>
      </c>
      <c r="AM5031">
        <v>3.82</v>
      </c>
      <c r="AN5031">
        <v>0</v>
      </c>
      <c r="AO5031">
        <v>0</v>
      </c>
      <c r="AP5031">
        <v>500</v>
      </c>
      <c r="AQ5031">
        <v>42</v>
      </c>
      <c r="AR5031">
        <v>1123.3900000000001</v>
      </c>
      <c r="AS5031">
        <v>0</v>
      </c>
      <c r="AT5031">
        <v>0</v>
      </c>
      <c r="AU5031">
        <v>15000</v>
      </c>
    </row>
    <row r="5032" spans="1:47" x14ac:dyDescent="0.3">
      <c r="A5032" t="s">
        <v>28</v>
      </c>
      <c r="B5032" t="s">
        <v>308</v>
      </c>
      <c r="M5032">
        <v>1</v>
      </c>
      <c r="N5032">
        <v>1000</v>
      </c>
      <c r="O5032">
        <v>1000</v>
      </c>
      <c r="P5032">
        <v>1000</v>
      </c>
      <c r="Q5032">
        <v>1000</v>
      </c>
      <c r="R5032">
        <v>1</v>
      </c>
      <c r="S5032">
        <v>1500</v>
      </c>
      <c r="T5032">
        <v>1500</v>
      </c>
      <c r="U5032">
        <v>1500</v>
      </c>
      <c r="V5032">
        <v>1500</v>
      </c>
      <c r="W5032">
        <v>1</v>
      </c>
      <c r="X5032">
        <v>4000</v>
      </c>
      <c r="Y5032">
        <v>4000</v>
      </c>
      <c r="Z5032">
        <v>4000</v>
      </c>
      <c r="AA5032">
        <v>4000</v>
      </c>
      <c r="AL5032">
        <v>1</v>
      </c>
      <c r="AM5032">
        <v>500</v>
      </c>
      <c r="AN5032">
        <v>500</v>
      </c>
      <c r="AO5032">
        <v>500</v>
      </c>
      <c r="AP5032">
        <v>500</v>
      </c>
    </row>
    <row r="5034" spans="1:47" x14ac:dyDescent="0.3">
      <c r="A5034" t="s">
        <v>2005</v>
      </c>
    </row>
    <row r="5035" spans="1:47" x14ac:dyDescent="0.3">
      <c r="A5035" t="s">
        <v>36</v>
      </c>
      <c r="B5035" t="s">
        <v>307</v>
      </c>
      <c r="C5035" t="s">
        <v>1958</v>
      </c>
      <c r="D5035" t="s">
        <v>1959</v>
      </c>
      <c r="E5035" t="s">
        <v>1960</v>
      </c>
      <c r="F5035" t="s">
        <v>1961</v>
      </c>
      <c r="G5035" t="s">
        <v>1962</v>
      </c>
      <c r="H5035" t="s">
        <v>1963</v>
      </c>
      <c r="I5035" t="s">
        <v>1964</v>
      </c>
      <c r="J5035" t="s">
        <v>1965</v>
      </c>
      <c r="K5035" t="s">
        <v>1966</v>
      </c>
      <c r="L5035" t="s">
        <v>1967</v>
      </c>
      <c r="M5035" t="s">
        <v>1968</v>
      </c>
      <c r="N5035" t="s">
        <v>1969</v>
      </c>
      <c r="O5035" t="s">
        <v>1970</v>
      </c>
      <c r="P5035" t="s">
        <v>1971</v>
      </c>
      <c r="Q5035" t="s">
        <v>1972</v>
      </c>
      <c r="R5035" t="s">
        <v>1973</v>
      </c>
      <c r="S5035" t="s">
        <v>1974</v>
      </c>
      <c r="T5035" t="s">
        <v>1975</v>
      </c>
      <c r="U5035" t="s">
        <v>1976</v>
      </c>
      <c r="V5035" t="s">
        <v>1977</v>
      </c>
      <c r="W5035" t="s">
        <v>1978</v>
      </c>
      <c r="X5035" t="s">
        <v>1979</v>
      </c>
      <c r="Y5035" t="s">
        <v>1980</v>
      </c>
      <c r="Z5035" t="s">
        <v>1981</v>
      </c>
      <c r="AA5035" t="s">
        <v>1982</v>
      </c>
      <c r="AB5035" t="s">
        <v>1983</v>
      </c>
      <c r="AC5035" t="s">
        <v>1984</v>
      </c>
      <c r="AD5035" t="s">
        <v>1985</v>
      </c>
      <c r="AE5035" t="s">
        <v>1986</v>
      </c>
      <c r="AF5035" t="s">
        <v>1987</v>
      </c>
      <c r="AG5035" t="s">
        <v>1988</v>
      </c>
      <c r="AH5035" t="s">
        <v>1989</v>
      </c>
      <c r="AI5035" t="s">
        <v>1990</v>
      </c>
      <c r="AJ5035" t="s">
        <v>1991</v>
      </c>
      <c r="AK5035" t="s">
        <v>1992</v>
      </c>
      <c r="AL5035" t="s">
        <v>1993</v>
      </c>
      <c r="AM5035" t="s">
        <v>1994</v>
      </c>
      <c r="AN5035" t="s">
        <v>1995</v>
      </c>
      <c r="AO5035" t="s">
        <v>1996</v>
      </c>
      <c r="AP5035" t="s">
        <v>1997</v>
      </c>
      <c r="AQ5035" t="s">
        <v>1998</v>
      </c>
      <c r="AR5035" t="s">
        <v>1999</v>
      </c>
      <c r="AS5035" t="s">
        <v>2000</v>
      </c>
      <c r="AT5035" t="s">
        <v>2001</v>
      </c>
      <c r="AU5035" t="s">
        <v>2002</v>
      </c>
    </row>
    <row r="5036" spans="1:47" x14ac:dyDescent="0.3">
      <c r="A5036" t="s">
        <v>25</v>
      </c>
      <c r="B5036" t="s">
        <v>291</v>
      </c>
      <c r="C5036">
        <v>135</v>
      </c>
      <c r="D5036">
        <v>222.22</v>
      </c>
      <c r="E5036">
        <v>0</v>
      </c>
      <c r="F5036">
        <v>0</v>
      </c>
      <c r="G5036">
        <v>10000</v>
      </c>
      <c r="H5036">
        <v>134</v>
      </c>
      <c r="I5036">
        <v>430.59</v>
      </c>
      <c r="J5036">
        <v>0</v>
      </c>
      <c r="K5036">
        <v>0</v>
      </c>
      <c r="L5036">
        <v>6000</v>
      </c>
      <c r="M5036">
        <v>147</v>
      </c>
      <c r="N5036">
        <v>9893.74</v>
      </c>
      <c r="O5036">
        <v>6000</v>
      </c>
      <c r="P5036">
        <v>0</v>
      </c>
      <c r="Q5036">
        <v>60000</v>
      </c>
      <c r="R5036">
        <v>137</v>
      </c>
      <c r="S5036">
        <v>2358.63</v>
      </c>
      <c r="T5036">
        <v>1000</v>
      </c>
      <c r="U5036">
        <v>0</v>
      </c>
      <c r="V5036">
        <v>12000</v>
      </c>
      <c r="W5036">
        <v>131</v>
      </c>
      <c r="X5036">
        <v>497.85</v>
      </c>
      <c r="Y5036">
        <v>0</v>
      </c>
      <c r="Z5036">
        <v>0</v>
      </c>
      <c r="AA5036">
        <v>13000</v>
      </c>
      <c r="AB5036">
        <v>126</v>
      </c>
      <c r="AC5036">
        <v>264.45999999999998</v>
      </c>
      <c r="AD5036">
        <v>0</v>
      </c>
      <c r="AE5036">
        <v>0</v>
      </c>
      <c r="AF5036">
        <v>12000</v>
      </c>
      <c r="AG5036">
        <v>131</v>
      </c>
      <c r="AH5036">
        <v>677.93</v>
      </c>
      <c r="AI5036">
        <v>0</v>
      </c>
      <c r="AJ5036">
        <v>0</v>
      </c>
      <c r="AK5036">
        <v>15000</v>
      </c>
      <c r="AL5036">
        <v>125</v>
      </c>
      <c r="AM5036">
        <v>1036.8499999999999</v>
      </c>
      <c r="AN5036">
        <v>0</v>
      </c>
      <c r="AO5036">
        <v>0</v>
      </c>
      <c r="AP5036">
        <v>30000</v>
      </c>
      <c r="AQ5036">
        <v>126</v>
      </c>
      <c r="AR5036">
        <v>504.09</v>
      </c>
      <c r="AS5036">
        <v>0</v>
      </c>
      <c r="AT5036">
        <v>0</v>
      </c>
      <c r="AU5036">
        <v>15000</v>
      </c>
    </row>
    <row r="5037" spans="1:47" x14ac:dyDescent="0.3">
      <c r="A5037" t="s">
        <v>25</v>
      </c>
      <c r="B5037" t="s">
        <v>292</v>
      </c>
      <c r="C5037">
        <v>206</v>
      </c>
      <c r="D5037">
        <v>202.69</v>
      </c>
      <c r="E5037">
        <v>0</v>
      </c>
      <c r="F5037">
        <v>0</v>
      </c>
      <c r="G5037">
        <v>12000</v>
      </c>
      <c r="H5037">
        <v>214</v>
      </c>
      <c r="I5037">
        <v>480.11</v>
      </c>
      <c r="J5037">
        <v>0</v>
      </c>
      <c r="K5037">
        <v>0</v>
      </c>
      <c r="L5037">
        <v>10000</v>
      </c>
      <c r="M5037">
        <v>239</v>
      </c>
      <c r="N5037">
        <v>4722.63</v>
      </c>
      <c r="O5037">
        <v>2500</v>
      </c>
      <c r="P5037">
        <v>0</v>
      </c>
      <c r="Q5037">
        <v>50000</v>
      </c>
      <c r="R5037">
        <v>212</v>
      </c>
      <c r="S5037">
        <v>2135.77</v>
      </c>
      <c r="T5037">
        <v>1200</v>
      </c>
      <c r="U5037">
        <v>0</v>
      </c>
      <c r="V5037">
        <v>12000</v>
      </c>
      <c r="W5037">
        <v>207</v>
      </c>
      <c r="X5037">
        <v>416.88</v>
      </c>
      <c r="Y5037">
        <v>0</v>
      </c>
      <c r="Z5037">
        <v>0</v>
      </c>
      <c r="AA5037">
        <v>12000</v>
      </c>
      <c r="AB5037">
        <v>193</v>
      </c>
      <c r="AC5037">
        <v>610.63</v>
      </c>
      <c r="AD5037">
        <v>0</v>
      </c>
      <c r="AE5037">
        <v>0</v>
      </c>
      <c r="AF5037">
        <v>25000</v>
      </c>
      <c r="AG5037">
        <v>201</v>
      </c>
      <c r="AH5037">
        <v>229.07</v>
      </c>
      <c r="AI5037">
        <v>0</v>
      </c>
      <c r="AJ5037">
        <v>0</v>
      </c>
      <c r="AK5037">
        <v>10000</v>
      </c>
      <c r="AL5037">
        <v>181</v>
      </c>
      <c r="AM5037">
        <v>643.33000000000004</v>
      </c>
      <c r="AN5037">
        <v>0</v>
      </c>
      <c r="AO5037">
        <v>0</v>
      </c>
      <c r="AP5037">
        <v>25000</v>
      </c>
      <c r="AQ5037">
        <v>200</v>
      </c>
      <c r="AR5037">
        <v>476.75</v>
      </c>
      <c r="AS5037">
        <v>0</v>
      </c>
      <c r="AT5037">
        <v>0</v>
      </c>
      <c r="AU5037">
        <v>14000</v>
      </c>
    </row>
    <row r="5038" spans="1:47" x14ac:dyDescent="0.3">
      <c r="A5038" t="s">
        <v>25</v>
      </c>
      <c r="B5038" t="s">
        <v>308</v>
      </c>
      <c r="C5038">
        <v>3</v>
      </c>
      <c r="D5038">
        <v>143.41</v>
      </c>
      <c r="E5038">
        <v>0</v>
      </c>
      <c r="F5038">
        <v>0</v>
      </c>
      <c r="G5038">
        <v>350</v>
      </c>
      <c r="H5038">
        <v>3</v>
      </c>
      <c r="I5038">
        <v>286.83</v>
      </c>
      <c r="J5038">
        <v>0</v>
      </c>
      <c r="K5038">
        <v>0</v>
      </c>
      <c r="L5038">
        <v>700</v>
      </c>
      <c r="M5038">
        <v>4</v>
      </c>
      <c r="N5038">
        <v>3980.87</v>
      </c>
      <c r="O5038">
        <v>3000</v>
      </c>
      <c r="P5038">
        <v>1000</v>
      </c>
      <c r="Q5038">
        <v>7000</v>
      </c>
      <c r="R5038">
        <v>3</v>
      </c>
      <c r="S5038">
        <v>4185.37</v>
      </c>
      <c r="T5038">
        <v>3500</v>
      </c>
      <c r="U5038">
        <v>0</v>
      </c>
      <c r="V5038">
        <v>6000</v>
      </c>
      <c r="W5038">
        <v>3</v>
      </c>
      <c r="X5038">
        <v>1375.61</v>
      </c>
      <c r="Y5038">
        <v>0</v>
      </c>
      <c r="Z5038">
        <v>0</v>
      </c>
      <c r="AA5038">
        <v>3000</v>
      </c>
      <c r="AB5038">
        <v>3</v>
      </c>
      <c r="AC5038">
        <v>0</v>
      </c>
      <c r="AD5038">
        <v>0</v>
      </c>
      <c r="AE5038">
        <v>0</v>
      </c>
      <c r="AF5038">
        <v>0</v>
      </c>
      <c r="AG5038">
        <v>3</v>
      </c>
      <c r="AH5038">
        <v>0</v>
      </c>
      <c r="AI5038">
        <v>0</v>
      </c>
      <c r="AJ5038">
        <v>0</v>
      </c>
      <c r="AK5038">
        <v>0</v>
      </c>
      <c r="AL5038">
        <v>3</v>
      </c>
      <c r="AM5038">
        <v>0</v>
      </c>
      <c r="AN5038">
        <v>0</v>
      </c>
      <c r="AO5038">
        <v>0</v>
      </c>
      <c r="AP5038">
        <v>0</v>
      </c>
      <c r="AQ5038">
        <v>3</v>
      </c>
      <c r="AR5038">
        <v>0</v>
      </c>
      <c r="AS5038">
        <v>0</v>
      </c>
      <c r="AT5038">
        <v>0</v>
      </c>
      <c r="AU5038">
        <v>0</v>
      </c>
    </row>
    <row r="5039" spans="1:47" x14ac:dyDescent="0.3">
      <c r="A5039" t="s">
        <v>26</v>
      </c>
      <c r="B5039" t="s">
        <v>291</v>
      </c>
      <c r="C5039">
        <v>106</v>
      </c>
      <c r="D5039">
        <v>137.16</v>
      </c>
      <c r="E5039">
        <v>0</v>
      </c>
      <c r="F5039">
        <v>0</v>
      </c>
      <c r="G5039">
        <v>4000</v>
      </c>
      <c r="H5039">
        <v>113</v>
      </c>
      <c r="I5039">
        <v>561.75</v>
      </c>
      <c r="J5039">
        <v>0</v>
      </c>
      <c r="K5039">
        <v>0</v>
      </c>
      <c r="L5039">
        <v>5000</v>
      </c>
      <c r="M5039">
        <v>120</v>
      </c>
      <c r="N5039">
        <v>9613.7199999999993</v>
      </c>
      <c r="O5039">
        <v>6000</v>
      </c>
      <c r="P5039">
        <v>0</v>
      </c>
      <c r="Q5039">
        <v>60000</v>
      </c>
      <c r="R5039">
        <v>112</v>
      </c>
      <c r="S5039">
        <v>2033.79</v>
      </c>
      <c r="T5039">
        <v>1000</v>
      </c>
      <c r="U5039">
        <v>0</v>
      </c>
      <c r="V5039">
        <v>10000</v>
      </c>
      <c r="W5039">
        <v>104</v>
      </c>
      <c r="X5039">
        <v>390.86</v>
      </c>
      <c r="Y5039">
        <v>0</v>
      </c>
      <c r="Z5039">
        <v>0</v>
      </c>
      <c r="AA5039">
        <v>10140</v>
      </c>
      <c r="AB5039">
        <v>99</v>
      </c>
      <c r="AC5039">
        <v>1190.5899999999999</v>
      </c>
      <c r="AD5039">
        <v>0</v>
      </c>
      <c r="AE5039">
        <v>0</v>
      </c>
      <c r="AF5039">
        <v>20000</v>
      </c>
      <c r="AG5039">
        <v>91</v>
      </c>
      <c r="AH5039">
        <v>1398.62</v>
      </c>
      <c r="AI5039">
        <v>0</v>
      </c>
      <c r="AJ5039">
        <v>0</v>
      </c>
      <c r="AK5039">
        <v>35000</v>
      </c>
      <c r="AL5039">
        <v>78</v>
      </c>
      <c r="AM5039">
        <v>4332.78</v>
      </c>
      <c r="AN5039">
        <v>0</v>
      </c>
      <c r="AO5039">
        <v>0</v>
      </c>
      <c r="AP5039">
        <v>200000</v>
      </c>
      <c r="AQ5039">
        <v>94</v>
      </c>
      <c r="AR5039">
        <v>445.98</v>
      </c>
      <c r="AS5039">
        <v>0</v>
      </c>
      <c r="AT5039">
        <v>0</v>
      </c>
      <c r="AU5039">
        <v>11000</v>
      </c>
    </row>
    <row r="5040" spans="1:47" x14ac:dyDescent="0.3">
      <c r="A5040" t="s">
        <v>26</v>
      </c>
      <c r="B5040" t="s">
        <v>292</v>
      </c>
      <c r="C5040">
        <v>316</v>
      </c>
      <c r="D5040">
        <v>301.24</v>
      </c>
      <c r="E5040">
        <v>0</v>
      </c>
      <c r="F5040">
        <v>0</v>
      </c>
      <c r="G5040">
        <v>14000</v>
      </c>
      <c r="H5040">
        <v>321</v>
      </c>
      <c r="I5040">
        <v>874.27</v>
      </c>
      <c r="J5040">
        <v>390</v>
      </c>
      <c r="K5040">
        <v>0</v>
      </c>
      <c r="L5040">
        <v>15000</v>
      </c>
      <c r="M5040">
        <v>345</v>
      </c>
      <c r="N5040">
        <v>5865.26</v>
      </c>
      <c r="O5040">
        <v>3000</v>
      </c>
      <c r="P5040">
        <v>0</v>
      </c>
      <c r="Q5040">
        <v>60000</v>
      </c>
      <c r="R5040">
        <v>298</v>
      </c>
      <c r="S5040">
        <v>3031.63</v>
      </c>
      <c r="T5040">
        <v>2000</v>
      </c>
      <c r="U5040">
        <v>0</v>
      </c>
      <c r="V5040">
        <v>12000</v>
      </c>
      <c r="W5040">
        <v>313</v>
      </c>
      <c r="X5040">
        <v>321.69</v>
      </c>
      <c r="Y5040">
        <v>0</v>
      </c>
      <c r="Z5040">
        <v>0</v>
      </c>
      <c r="AA5040">
        <v>18000</v>
      </c>
      <c r="AB5040">
        <v>269</v>
      </c>
      <c r="AC5040">
        <v>591.67999999999995</v>
      </c>
      <c r="AD5040">
        <v>0</v>
      </c>
      <c r="AE5040">
        <v>0</v>
      </c>
      <c r="AF5040">
        <v>22000</v>
      </c>
      <c r="AG5040">
        <v>243</v>
      </c>
      <c r="AH5040">
        <v>1013.15</v>
      </c>
      <c r="AI5040">
        <v>0</v>
      </c>
      <c r="AJ5040">
        <v>0</v>
      </c>
      <c r="AK5040">
        <v>80000</v>
      </c>
      <c r="AL5040">
        <v>186</v>
      </c>
      <c r="AM5040">
        <v>347.62</v>
      </c>
      <c r="AN5040">
        <v>0</v>
      </c>
      <c r="AO5040">
        <v>0</v>
      </c>
      <c r="AP5040">
        <v>15000</v>
      </c>
      <c r="AQ5040">
        <v>247</v>
      </c>
      <c r="AR5040">
        <v>1229.69</v>
      </c>
      <c r="AS5040">
        <v>0</v>
      </c>
      <c r="AT5040">
        <v>0</v>
      </c>
      <c r="AU5040">
        <v>25000</v>
      </c>
    </row>
    <row r="5041" spans="1:47" x14ac:dyDescent="0.3">
      <c r="A5041" t="s">
        <v>26</v>
      </c>
      <c r="B5041" t="s">
        <v>308</v>
      </c>
      <c r="C5041">
        <v>1</v>
      </c>
      <c r="D5041">
        <v>200</v>
      </c>
      <c r="E5041">
        <v>200</v>
      </c>
      <c r="F5041">
        <v>200</v>
      </c>
      <c r="G5041">
        <v>200</v>
      </c>
      <c r="H5041">
        <v>1</v>
      </c>
      <c r="I5041">
        <v>1000</v>
      </c>
      <c r="J5041">
        <v>1000</v>
      </c>
      <c r="K5041">
        <v>1000</v>
      </c>
      <c r="L5041">
        <v>1000</v>
      </c>
      <c r="M5041">
        <v>3</v>
      </c>
      <c r="N5041">
        <v>2059.06</v>
      </c>
      <c r="O5041">
        <v>2000</v>
      </c>
      <c r="P5041">
        <v>600</v>
      </c>
      <c r="Q5041">
        <v>4000</v>
      </c>
      <c r="R5041">
        <v>3</v>
      </c>
      <c r="S5041">
        <v>1689.06</v>
      </c>
      <c r="T5041">
        <v>1500</v>
      </c>
      <c r="U5041">
        <v>1000</v>
      </c>
      <c r="V5041">
        <v>3000</v>
      </c>
      <c r="W5041">
        <v>1</v>
      </c>
      <c r="X5041">
        <v>0</v>
      </c>
      <c r="Y5041">
        <v>0</v>
      </c>
      <c r="Z5041">
        <v>0</v>
      </c>
      <c r="AA5041">
        <v>0</v>
      </c>
    </row>
    <row r="5042" spans="1:47" x14ac:dyDescent="0.3">
      <c r="A5042" t="s">
        <v>29</v>
      </c>
      <c r="B5042" t="s">
        <v>291</v>
      </c>
      <c r="C5042">
        <v>143</v>
      </c>
      <c r="D5042">
        <v>267.19</v>
      </c>
      <c r="E5042">
        <v>0</v>
      </c>
      <c r="F5042">
        <v>0</v>
      </c>
      <c r="G5042">
        <v>14000</v>
      </c>
      <c r="H5042">
        <v>158</v>
      </c>
      <c r="I5042">
        <v>484.48</v>
      </c>
      <c r="J5042">
        <v>0</v>
      </c>
      <c r="K5042">
        <v>0</v>
      </c>
      <c r="L5042">
        <v>5000</v>
      </c>
      <c r="M5042">
        <v>201</v>
      </c>
      <c r="N5042">
        <v>9696.9699999999993</v>
      </c>
      <c r="O5042">
        <v>6000</v>
      </c>
      <c r="P5042">
        <v>0</v>
      </c>
      <c r="Q5042">
        <v>80000</v>
      </c>
      <c r="R5042">
        <v>169</v>
      </c>
      <c r="S5042">
        <v>2050.2399999999998</v>
      </c>
      <c r="T5042">
        <v>1200</v>
      </c>
      <c r="U5042">
        <v>0</v>
      </c>
      <c r="V5042">
        <v>10000</v>
      </c>
      <c r="W5042">
        <v>143</v>
      </c>
      <c r="X5042">
        <v>385.4</v>
      </c>
      <c r="Y5042">
        <v>0</v>
      </c>
      <c r="Z5042">
        <v>0</v>
      </c>
      <c r="AA5042">
        <v>6500</v>
      </c>
      <c r="AB5042">
        <v>138</v>
      </c>
      <c r="AC5042">
        <v>460.78</v>
      </c>
      <c r="AD5042">
        <v>0</v>
      </c>
      <c r="AE5042">
        <v>0</v>
      </c>
      <c r="AF5042">
        <v>12000</v>
      </c>
      <c r="AG5042">
        <v>135</v>
      </c>
      <c r="AH5042">
        <v>461.79</v>
      </c>
      <c r="AI5042">
        <v>0</v>
      </c>
      <c r="AJ5042">
        <v>0</v>
      </c>
      <c r="AK5042">
        <v>10000</v>
      </c>
      <c r="AL5042">
        <v>117</v>
      </c>
      <c r="AM5042">
        <v>2024.65</v>
      </c>
      <c r="AN5042">
        <v>0</v>
      </c>
      <c r="AO5042">
        <v>0</v>
      </c>
      <c r="AP5042">
        <v>42000</v>
      </c>
      <c r="AQ5042">
        <v>126</v>
      </c>
      <c r="AR5042">
        <v>350.25</v>
      </c>
      <c r="AS5042">
        <v>0</v>
      </c>
      <c r="AT5042">
        <v>0</v>
      </c>
      <c r="AU5042">
        <v>10000</v>
      </c>
    </row>
    <row r="5043" spans="1:47" x14ac:dyDescent="0.3">
      <c r="A5043" t="s">
        <v>29</v>
      </c>
      <c r="B5043" t="s">
        <v>292</v>
      </c>
      <c r="C5043">
        <v>227</v>
      </c>
      <c r="D5043">
        <v>439.83</v>
      </c>
      <c r="E5043">
        <v>0</v>
      </c>
      <c r="F5043">
        <v>0</v>
      </c>
      <c r="G5043">
        <v>100000</v>
      </c>
      <c r="H5043">
        <v>245</v>
      </c>
      <c r="I5043">
        <v>688.46</v>
      </c>
      <c r="J5043">
        <v>200</v>
      </c>
      <c r="K5043">
        <v>0</v>
      </c>
      <c r="L5043">
        <v>20000</v>
      </c>
      <c r="M5043">
        <v>307</v>
      </c>
      <c r="N5043">
        <v>6333.56</v>
      </c>
      <c r="O5043">
        <v>3000</v>
      </c>
      <c r="P5043">
        <v>0</v>
      </c>
      <c r="Q5043">
        <v>60000</v>
      </c>
      <c r="R5043">
        <v>268</v>
      </c>
      <c r="S5043">
        <v>2874.16</v>
      </c>
      <c r="T5043">
        <v>2000</v>
      </c>
      <c r="U5043">
        <v>0</v>
      </c>
      <c r="V5043">
        <v>12000</v>
      </c>
      <c r="W5043">
        <v>234</v>
      </c>
      <c r="X5043">
        <v>677.26</v>
      </c>
      <c r="Y5043">
        <v>0</v>
      </c>
      <c r="Z5043">
        <v>0</v>
      </c>
      <c r="AA5043">
        <v>8000</v>
      </c>
      <c r="AB5043">
        <v>217</v>
      </c>
      <c r="AC5043">
        <v>682.6</v>
      </c>
      <c r="AD5043">
        <v>0</v>
      </c>
      <c r="AE5043">
        <v>0</v>
      </c>
      <c r="AF5043">
        <v>25000</v>
      </c>
      <c r="AG5043">
        <v>206</v>
      </c>
      <c r="AH5043">
        <v>730</v>
      </c>
      <c r="AI5043">
        <v>0</v>
      </c>
      <c r="AJ5043">
        <v>0</v>
      </c>
      <c r="AK5043">
        <v>25000</v>
      </c>
      <c r="AL5043">
        <v>183</v>
      </c>
      <c r="AM5043">
        <v>1071.0899999999999</v>
      </c>
      <c r="AN5043">
        <v>0</v>
      </c>
      <c r="AO5043">
        <v>0</v>
      </c>
      <c r="AP5043">
        <v>60000</v>
      </c>
      <c r="AQ5043">
        <v>192</v>
      </c>
      <c r="AR5043">
        <v>537.64</v>
      </c>
      <c r="AS5043">
        <v>0</v>
      </c>
      <c r="AT5043">
        <v>0</v>
      </c>
      <c r="AU5043">
        <v>26000</v>
      </c>
    </row>
    <row r="5044" spans="1:47" x14ac:dyDescent="0.3">
      <c r="A5044" t="s">
        <v>28</v>
      </c>
      <c r="B5044" t="s">
        <v>291</v>
      </c>
      <c r="C5044">
        <v>46</v>
      </c>
      <c r="D5044">
        <v>4311.46</v>
      </c>
      <c r="E5044">
        <v>0</v>
      </c>
      <c r="F5044">
        <v>0</v>
      </c>
      <c r="G5044">
        <v>99999</v>
      </c>
      <c r="H5044">
        <v>47</v>
      </c>
      <c r="I5044">
        <v>1119.6500000000001</v>
      </c>
      <c r="J5044">
        <v>500</v>
      </c>
      <c r="K5044">
        <v>0</v>
      </c>
      <c r="L5044">
        <v>7000</v>
      </c>
      <c r="M5044">
        <v>105</v>
      </c>
      <c r="N5044">
        <v>11229.2</v>
      </c>
      <c r="O5044">
        <v>6000</v>
      </c>
      <c r="P5044">
        <v>0</v>
      </c>
      <c r="Q5044">
        <v>95500</v>
      </c>
      <c r="R5044">
        <v>71</v>
      </c>
      <c r="S5044">
        <v>2499.58</v>
      </c>
      <c r="T5044">
        <v>1500</v>
      </c>
      <c r="U5044">
        <v>0</v>
      </c>
      <c r="V5044">
        <v>12000</v>
      </c>
      <c r="W5044">
        <v>43</v>
      </c>
      <c r="X5044">
        <v>702.94</v>
      </c>
      <c r="Y5044">
        <v>0</v>
      </c>
      <c r="Z5044">
        <v>0</v>
      </c>
      <c r="AA5044">
        <v>10000</v>
      </c>
      <c r="AB5044">
        <v>41</v>
      </c>
      <c r="AC5044">
        <v>542.25</v>
      </c>
      <c r="AD5044">
        <v>0</v>
      </c>
      <c r="AE5044">
        <v>0</v>
      </c>
      <c r="AF5044">
        <v>5600</v>
      </c>
      <c r="AG5044">
        <v>51</v>
      </c>
      <c r="AH5044">
        <v>1477.36</v>
      </c>
      <c r="AI5044">
        <v>0</v>
      </c>
      <c r="AJ5044">
        <v>0</v>
      </c>
      <c r="AK5044">
        <v>20000</v>
      </c>
      <c r="AL5044">
        <v>44</v>
      </c>
      <c r="AM5044">
        <v>4195.67</v>
      </c>
      <c r="AN5044">
        <v>0</v>
      </c>
      <c r="AO5044">
        <v>0</v>
      </c>
      <c r="AP5044">
        <v>120500</v>
      </c>
      <c r="AQ5044">
        <v>40</v>
      </c>
      <c r="AR5044">
        <v>650.62</v>
      </c>
      <c r="AS5044">
        <v>0</v>
      </c>
      <c r="AT5044">
        <v>0</v>
      </c>
      <c r="AU5044">
        <v>10000</v>
      </c>
    </row>
    <row r="5045" spans="1:47" x14ac:dyDescent="0.3">
      <c r="A5045" t="s">
        <v>28</v>
      </c>
      <c r="B5045" t="s">
        <v>292</v>
      </c>
      <c r="C5045">
        <v>87</v>
      </c>
      <c r="D5045">
        <v>1168.07</v>
      </c>
      <c r="E5045">
        <v>0</v>
      </c>
      <c r="F5045">
        <v>0</v>
      </c>
      <c r="G5045">
        <v>50000</v>
      </c>
      <c r="H5045">
        <v>90</v>
      </c>
      <c r="I5045">
        <v>487.84</v>
      </c>
      <c r="J5045">
        <v>250</v>
      </c>
      <c r="K5045">
        <v>0</v>
      </c>
      <c r="L5045">
        <v>4000</v>
      </c>
      <c r="M5045">
        <v>151</v>
      </c>
      <c r="N5045">
        <v>6397.09</v>
      </c>
      <c r="O5045">
        <v>3500</v>
      </c>
      <c r="P5045">
        <v>0</v>
      </c>
      <c r="Q5045">
        <v>35000</v>
      </c>
      <c r="R5045">
        <v>132</v>
      </c>
      <c r="S5045">
        <v>2246.73</v>
      </c>
      <c r="T5045">
        <v>2000</v>
      </c>
      <c r="U5045">
        <v>0</v>
      </c>
      <c r="V5045">
        <v>12500</v>
      </c>
      <c r="W5045">
        <v>90</v>
      </c>
      <c r="X5045">
        <v>343.98</v>
      </c>
      <c r="Y5045">
        <v>0</v>
      </c>
      <c r="Z5045">
        <v>0</v>
      </c>
      <c r="AA5045">
        <v>7950</v>
      </c>
      <c r="AB5045">
        <v>88</v>
      </c>
      <c r="AC5045">
        <v>1121.6600000000001</v>
      </c>
      <c r="AD5045">
        <v>0</v>
      </c>
      <c r="AE5045">
        <v>0</v>
      </c>
      <c r="AF5045">
        <v>20000</v>
      </c>
      <c r="AG5045">
        <v>92</v>
      </c>
      <c r="AH5045">
        <v>764.15</v>
      </c>
      <c r="AI5045">
        <v>0</v>
      </c>
      <c r="AJ5045">
        <v>0</v>
      </c>
      <c r="AK5045">
        <v>10000</v>
      </c>
      <c r="AL5045">
        <v>82</v>
      </c>
      <c r="AM5045">
        <v>2296.15</v>
      </c>
      <c r="AN5045">
        <v>0</v>
      </c>
      <c r="AO5045">
        <v>0</v>
      </c>
      <c r="AP5045">
        <v>20000</v>
      </c>
      <c r="AQ5045">
        <v>86</v>
      </c>
      <c r="AR5045">
        <v>249.88</v>
      </c>
      <c r="AS5045">
        <v>0</v>
      </c>
      <c r="AT5045">
        <v>0</v>
      </c>
      <c r="AU5045">
        <v>5000</v>
      </c>
    </row>
    <row r="5046" spans="1:47" x14ac:dyDescent="0.3">
      <c r="A5046" t="s">
        <v>28</v>
      </c>
      <c r="B5046" t="s">
        <v>308</v>
      </c>
      <c r="C5046">
        <v>4</v>
      </c>
      <c r="D5046">
        <v>865.38</v>
      </c>
      <c r="E5046">
        <v>0</v>
      </c>
      <c r="F5046">
        <v>0</v>
      </c>
      <c r="G5046">
        <v>5000</v>
      </c>
      <c r="H5046">
        <v>5</v>
      </c>
      <c r="I5046">
        <v>1728.94</v>
      </c>
      <c r="J5046">
        <v>1000</v>
      </c>
      <c r="K5046">
        <v>800</v>
      </c>
      <c r="L5046">
        <v>3000</v>
      </c>
      <c r="M5046">
        <v>10</v>
      </c>
      <c r="N5046">
        <v>4574.3999999999996</v>
      </c>
      <c r="O5046">
        <v>4000</v>
      </c>
      <c r="P5046">
        <v>300</v>
      </c>
      <c r="Q5046">
        <v>15000</v>
      </c>
      <c r="R5046">
        <v>8</v>
      </c>
      <c r="S5046">
        <v>3404.8</v>
      </c>
      <c r="T5046">
        <v>3000</v>
      </c>
      <c r="U5046">
        <v>1000</v>
      </c>
      <c r="V5046">
        <v>6000</v>
      </c>
      <c r="W5046">
        <v>6</v>
      </c>
      <c r="X5046">
        <v>3448.62</v>
      </c>
      <c r="Y5046">
        <v>2000</v>
      </c>
      <c r="Z5046">
        <v>800</v>
      </c>
      <c r="AA5046">
        <v>15000</v>
      </c>
      <c r="AB5046">
        <v>3</v>
      </c>
      <c r="AC5046">
        <v>0</v>
      </c>
      <c r="AD5046">
        <v>0</v>
      </c>
      <c r="AE5046">
        <v>0</v>
      </c>
      <c r="AF5046">
        <v>0</v>
      </c>
      <c r="AG5046">
        <v>5</v>
      </c>
      <c r="AH5046">
        <v>1157.57</v>
      </c>
      <c r="AI5046">
        <v>0</v>
      </c>
      <c r="AJ5046">
        <v>0</v>
      </c>
      <c r="AK5046">
        <v>5000</v>
      </c>
      <c r="AL5046">
        <v>3</v>
      </c>
      <c r="AM5046">
        <v>0</v>
      </c>
      <c r="AN5046">
        <v>0</v>
      </c>
      <c r="AO5046">
        <v>0</v>
      </c>
      <c r="AP5046">
        <v>0</v>
      </c>
      <c r="AQ5046">
        <v>3</v>
      </c>
      <c r="AR5046">
        <v>0</v>
      </c>
      <c r="AS5046">
        <v>0</v>
      </c>
      <c r="AT5046">
        <v>0</v>
      </c>
      <c r="AU5046">
        <v>0</v>
      </c>
    </row>
    <row r="5047" spans="1:47" x14ac:dyDescent="0.3">
      <c r="A5047" t="s">
        <v>27</v>
      </c>
      <c r="B5047" t="s">
        <v>291</v>
      </c>
      <c r="C5047">
        <v>64</v>
      </c>
      <c r="D5047">
        <v>63.11</v>
      </c>
      <c r="E5047">
        <v>0</v>
      </c>
      <c r="F5047">
        <v>0</v>
      </c>
      <c r="G5047">
        <v>3000</v>
      </c>
      <c r="H5047">
        <v>64</v>
      </c>
      <c r="I5047">
        <v>413.17</v>
      </c>
      <c r="J5047">
        <v>0</v>
      </c>
      <c r="K5047">
        <v>0</v>
      </c>
      <c r="L5047">
        <v>4000</v>
      </c>
      <c r="M5047">
        <v>88</v>
      </c>
      <c r="N5047">
        <v>11117.69</v>
      </c>
      <c r="O5047">
        <v>4000</v>
      </c>
      <c r="P5047">
        <v>0</v>
      </c>
      <c r="Q5047">
        <v>100000</v>
      </c>
      <c r="R5047">
        <v>67</v>
      </c>
      <c r="S5047">
        <v>1426.32</v>
      </c>
      <c r="T5047">
        <v>500</v>
      </c>
      <c r="U5047">
        <v>0</v>
      </c>
      <c r="V5047">
        <v>10000</v>
      </c>
      <c r="W5047">
        <v>62</v>
      </c>
      <c r="X5047">
        <v>270.68</v>
      </c>
      <c r="Y5047">
        <v>0</v>
      </c>
      <c r="Z5047">
        <v>0</v>
      </c>
      <c r="AA5047">
        <v>5000</v>
      </c>
      <c r="AB5047">
        <v>56</v>
      </c>
      <c r="AC5047">
        <v>185.77</v>
      </c>
      <c r="AD5047">
        <v>0</v>
      </c>
      <c r="AE5047">
        <v>0</v>
      </c>
      <c r="AF5047">
        <v>9000</v>
      </c>
      <c r="AG5047">
        <v>51</v>
      </c>
      <c r="AH5047">
        <v>0</v>
      </c>
      <c r="AI5047">
        <v>0</v>
      </c>
      <c r="AJ5047">
        <v>0</v>
      </c>
      <c r="AK5047">
        <v>0</v>
      </c>
      <c r="AL5047">
        <v>50</v>
      </c>
      <c r="AM5047">
        <v>1370.18</v>
      </c>
      <c r="AN5047">
        <v>0</v>
      </c>
      <c r="AO5047">
        <v>0</v>
      </c>
      <c r="AP5047">
        <v>40000</v>
      </c>
      <c r="AQ5047">
        <v>37</v>
      </c>
      <c r="AR5047">
        <v>349.28</v>
      </c>
      <c r="AS5047">
        <v>0</v>
      </c>
      <c r="AT5047">
        <v>0</v>
      </c>
      <c r="AU5047">
        <v>5000</v>
      </c>
    </row>
    <row r="5048" spans="1:47" x14ac:dyDescent="0.3">
      <c r="A5048" t="s">
        <v>27</v>
      </c>
      <c r="B5048" t="s">
        <v>292</v>
      </c>
      <c r="C5048">
        <v>106</v>
      </c>
      <c r="D5048">
        <v>43.87</v>
      </c>
      <c r="E5048">
        <v>0</v>
      </c>
      <c r="F5048">
        <v>0</v>
      </c>
      <c r="G5048">
        <v>3000</v>
      </c>
      <c r="H5048">
        <v>106</v>
      </c>
      <c r="I5048">
        <v>542.6</v>
      </c>
      <c r="J5048">
        <v>0</v>
      </c>
      <c r="K5048">
        <v>0</v>
      </c>
      <c r="L5048">
        <v>5000</v>
      </c>
      <c r="M5048">
        <v>177</v>
      </c>
      <c r="N5048">
        <v>5182.82</v>
      </c>
      <c r="O5048">
        <v>2500</v>
      </c>
      <c r="P5048">
        <v>0</v>
      </c>
      <c r="Q5048">
        <v>47000</v>
      </c>
      <c r="R5048">
        <v>129</v>
      </c>
      <c r="S5048">
        <v>2951.47</v>
      </c>
      <c r="T5048">
        <v>2000</v>
      </c>
      <c r="U5048">
        <v>0</v>
      </c>
      <c r="V5048">
        <v>10000</v>
      </c>
      <c r="W5048">
        <v>112</v>
      </c>
      <c r="X5048">
        <v>592.37</v>
      </c>
      <c r="Y5048">
        <v>0</v>
      </c>
      <c r="Z5048">
        <v>0</v>
      </c>
      <c r="AA5048">
        <v>9000</v>
      </c>
      <c r="AB5048">
        <v>90</v>
      </c>
      <c r="AC5048">
        <v>215.16</v>
      </c>
      <c r="AD5048">
        <v>0</v>
      </c>
      <c r="AE5048">
        <v>0</v>
      </c>
      <c r="AF5048">
        <v>10000</v>
      </c>
      <c r="AG5048">
        <v>88</v>
      </c>
      <c r="AH5048">
        <v>99.97</v>
      </c>
      <c r="AI5048">
        <v>0</v>
      </c>
      <c r="AJ5048">
        <v>0</v>
      </c>
      <c r="AK5048">
        <v>6000</v>
      </c>
      <c r="AL5048">
        <v>55</v>
      </c>
      <c r="AM5048">
        <v>742.17</v>
      </c>
      <c r="AN5048">
        <v>0</v>
      </c>
      <c r="AO5048">
        <v>0</v>
      </c>
      <c r="AP5048">
        <v>30000</v>
      </c>
      <c r="AQ5048">
        <v>64</v>
      </c>
      <c r="AR5048">
        <v>464.9</v>
      </c>
      <c r="AS5048">
        <v>0</v>
      </c>
      <c r="AT5048">
        <v>0</v>
      </c>
      <c r="AU5048">
        <v>11000</v>
      </c>
    </row>
    <row r="5049" spans="1:47" x14ac:dyDescent="0.3">
      <c r="A5049" t="s">
        <v>27</v>
      </c>
      <c r="B5049" t="s">
        <v>308</v>
      </c>
      <c r="C5049">
        <v>1</v>
      </c>
      <c r="D5049">
        <v>0</v>
      </c>
      <c r="E5049">
        <v>0</v>
      </c>
      <c r="F5049">
        <v>0</v>
      </c>
      <c r="G5049">
        <v>0</v>
      </c>
      <c r="H5049">
        <v>1</v>
      </c>
      <c r="I5049">
        <v>1000</v>
      </c>
      <c r="J5049">
        <v>1000</v>
      </c>
      <c r="K5049">
        <v>1000</v>
      </c>
      <c r="L5049">
        <v>1000</v>
      </c>
      <c r="M5049">
        <v>5</v>
      </c>
      <c r="N5049">
        <v>2360.1999999999998</v>
      </c>
      <c r="O5049">
        <v>3000</v>
      </c>
      <c r="P5049">
        <v>1000</v>
      </c>
      <c r="Q5049">
        <v>3000</v>
      </c>
      <c r="R5049">
        <v>2</v>
      </c>
      <c r="S5049">
        <v>1751.44</v>
      </c>
      <c r="T5049">
        <v>3000</v>
      </c>
      <c r="U5049">
        <v>500</v>
      </c>
      <c r="V5049">
        <v>3000</v>
      </c>
      <c r="W5049">
        <v>4</v>
      </c>
      <c r="X5049">
        <v>2090.09</v>
      </c>
      <c r="Y5049">
        <v>1500</v>
      </c>
      <c r="Z5049">
        <v>900</v>
      </c>
      <c r="AA5049">
        <v>3000</v>
      </c>
      <c r="AB5049">
        <v>1</v>
      </c>
      <c r="AC5049">
        <v>0</v>
      </c>
      <c r="AD5049">
        <v>0</v>
      </c>
      <c r="AE5049">
        <v>0</v>
      </c>
      <c r="AF5049">
        <v>0</v>
      </c>
      <c r="AG5049">
        <v>1</v>
      </c>
      <c r="AH5049">
        <v>2000</v>
      </c>
      <c r="AI5049">
        <v>2000</v>
      </c>
      <c r="AJ5049">
        <v>2000</v>
      </c>
      <c r="AK5049">
        <v>2000</v>
      </c>
      <c r="AL5049">
        <v>1</v>
      </c>
      <c r="AM5049">
        <v>0</v>
      </c>
      <c r="AN5049">
        <v>0</v>
      </c>
      <c r="AO5049">
        <v>0</v>
      </c>
      <c r="AP5049">
        <v>0</v>
      </c>
    </row>
    <row r="5050" spans="1:47" x14ac:dyDescent="0.3">
      <c r="A5050" t="s">
        <v>41</v>
      </c>
      <c r="B5050" t="s">
        <v>291</v>
      </c>
      <c r="C5050">
        <v>494</v>
      </c>
      <c r="D5050">
        <v>334.01</v>
      </c>
      <c r="E5050">
        <v>0</v>
      </c>
      <c r="F5050">
        <v>0</v>
      </c>
      <c r="G5050">
        <v>99999</v>
      </c>
      <c r="H5050">
        <v>516</v>
      </c>
      <c r="I5050">
        <v>502.63</v>
      </c>
      <c r="J5050">
        <v>0</v>
      </c>
      <c r="K5050">
        <v>0</v>
      </c>
      <c r="L5050">
        <v>7000</v>
      </c>
      <c r="M5050">
        <v>661</v>
      </c>
      <c r="N5050">
        <v>9856.16</v>
      </c>
      <c r="O5050">
        <v>6000</v>
      </c>
      <c r="P5050">
        <v>0</v>
      </c>
      <c r="Q5050">
        <v>100000</v>
      </c>
      <c r="R5050">
        <v>556</v>
      </c>
      <c r="S5050">
        <v>2112.39</v>
      </c>
      <c r="T5050">
        <v>1000</v>
      </c>
      <c r="U5050">
        <v>0</v>
      </c>
      <c r="V5050">
        <v>12000</v>
      </c>
      <c r="W5050">
        <v>483</v>
      </c>
      <c r="X5050">
        <v>418.99</v>
      </c>
      <c r="Y5050">
        <v>0</v>
      </c>
      <c r="Z5050">
        <v>0</v>
      </c>
      <c r="AA5050">
        <v>13000</v>
      </c>
      <c r="AB5050">
        <v>460</v>
      </c>
      <c r="AC5050">
        <v>553.03</v>
      </c>
      <c r="AD5050">
        <v>0</v>
      </c>
      <c r="AE5050">
        <v>0</v>
      </c>
      <c r="AF5050">
        <v>20000</v>
      </c>
      <c r="AG5050">
        <v>459</v>
      </c>
      <c r="AH5050">
        <v>713.81</v>
      </c>
      <c r="AI5050">
        <v>0</v>
      </c>
      <c r="AJ5050">
        <v>0</v>
      </c>
      <c r="AK5050">
        <v>35000</v>
      </c>
      <c r="AL5050">
        <v>414</v>
      </c>
      <c r="AM5050">
        <v>2218.66</v>
      </c>
      <c r="AN5050">
        <v>0</v>
      </c>
      <c r="AO5050">
        <v>0</v>
      </c>
      <c r="AP5050">
        <v>200000</v>
      </c>
      <c r="AQ5050">
        <v>423</v>
      </c>
      <c r="AR5050">
        <v>419.73</v>
      </c>
      <c r="AS5050">
        <v>0</v>
      </c>
      <c r="AT5050">
        <v>0</v>
      </c>
      <c r="AU5050">
        <v>15000</v>
      </c>
    </row>
    <row r="5051" spans="1:47" x14ac:dyDescent="0.3">
      <c r="A5051" t="s">
        <v>41</v>
      </c>
      <c r="B5051" t="s">
        <v>292</v>
      </c>
      <c r="C5051">
        <v>942</v>
      </c>
      <c r="D5051">
        <v>347.09</v>
      </c>
      <c r="E5051">
        <v>0</v>
      </c>
      <c r="F5051">
        <v>0</v>
      </c>
      <c r="G5051">
        <v>100000</v>
      </c>
      <c r="H5051">
        <v>976</v>
      </c>
      <c r="I5051">
        <v>697.83</v>
      </c>
      <c r="J5051">
        <v>200</v>
      </c>
      <c r="K5051">
        <v>0</v>
      </c>
      <c r="L5051">
        <v>20000</v>
      </c>
      <c r="M5051">
        <v>1219</v>
      </c>
      <c r="N5051">
        <v>5848.51</v>
      </c>
      <c r="O5051">
        <v>3000</v>
      </c>
      <c r="P5051">
        <v>0</v>
      </c>
      <c r="Q5051">
        <v>60000</v>
      </c>
      <c r="R5051">
        <v>1039</v>
      </c>
      <c r="S5051">
        <v>2762.48</v>
      </c>
      <c r="T5051">
        <v>2000</v>
      </c>
      <c r="U5051">
        <v>0</v>
      </c>
      <c r="V5051">
        <v>12500</v>
      </c>
      <c r="W5051">
        <v>956</v>
      </c>
      <c r="X5051">
        <v>496.45</v>
      </c>
      <c r="Y5051">
        <v>0</v>
      </c>
      <c r="Z5051">
        <v>0</v>
      </c>
      <c r="AA5051">
        <v>18000</v>
      </c>
      <c r="AB5051">
        <v>857</v>
      </c>
      <c r="AC5051">
        <v>634.03</v>
      </c>
      <c r="AD5051">
        <v>0</v>
      </c>
      <c r="AE5051">
        <v>0</v>
      </c>
      <c r="AF5051">
        <v>25000</v>
      </c>
      <c r="AG5051">
        <v>830</v>
      </c>
      <c r="AH5051">
        <v>678.23</v>
      </c>
      <c r="AI5051">
        <v>0</v>
      </c>
      <c r="AJ5051">
        <v>0</v>
      </c>
      <c r="AK5051">
        <v>80000</v>
      </c>
      <c r="AL5051">
        <v>687</v>
      </c>
      <c r="AM5051">
        <v>806.16</v>
      </c>
      <c r="AN5051">
        <v>0</v>
      </c>
      <c r="AO5051">
        <v>0</v>
      </c>
      <c r="AP5051">
        <v>60000</v>
      </c>
      <c r="AQ5051">
        <v>789</v>
      </c>
      <c r="AR5051">
        <v>732.75</v>
      </c>
      <c r="AS5051">
        <v>0</v>
      </c>
      <c r="AT5051">
        <v>0</v>
      </c>
      <c r="AU5051">
        <v>26000</v>
      </c>
    </row>
    <row r="5052" spans="1:47" x14ac:dyDescent="0.3">
      <c r="A5052" t="s">
        <v>41</v>
      </c>
      <c r="B5052" t="s">
        <v>308</v>
      </c>
      <c r="C5052">
        <v>9</v>
      </c>
      <c r="D5052">
        <v>326.27999999999997</v>
      </c>
      <c r="E5052">
        <v>0</v>
      </c>
      <c r="F5052">
        <v>0</v>
      </c>
      <c r="G5052">
        <v>5000</v>
      </c>
      <c r="H5052">
        <v>10</v>
      </c>
      <c r="I5052">
        <v>892.27</v>
      </c>
      <c r="J5052">
        <v>800</v>
      </c>
      <c r="K5052">
        <v>0</v>
      </c>
      <c r="L5052">
        <v>3000</v>
      </c>
      <c r="M5052">
        <v>22</v>
      </c>
      <c r="N5052">
        <v>3356.88</v>
      </c>
      <c r="O5052">
        <v>3000</v>
      </c>
      <c r="P5052">
        <v>300</v>
      </c>
      <c r="Q5052">
        <v>15000</v>
      </c>
      <c r="R5052">
        <v>16</v>
      </c>
      <c r="S5052">
        <v>2872.84</v>
      </c>
      <c r="T5052">
        <v>3000</v>
      </c>
      <c r="U5052">
        <v>0</v>
      </c>
      <c r="V5052">
        <v>6000</v>
      </c>
      <c r="W5052">
        <v>14</v>
      </c>
      <c r="X5052">
        <v>1854.8</v>
      </c>
      <c r="Y5052">
        <v>1500</v>
      </c>
      <c r="Z5052">
        <v>0</v>
      </c>
      <c r="AA5052">
        <v>15000</v>
      </c>
      <c r="AB5052">
        <v>7</v>
      </c>
      <c r="AC5052">
        <v>0</v>
      </c>
      <c r="AD5052">
        <v>0</v>
      </c>
      <c r="AE5052">
        <v>0</v>
      </c>
      <c r="AF5052">
        <v>0</v>
      </c>
      <c r="AG5052">
        <v>9</v>
      </c>
      <c r="AH5052">
        <v>581.20000000000005</v>
      </c>
      <c r="AI5052">
        <v>0</v>
      </c>
      <c r="AJ5052">
        <v>0</v>
      </c>
      <c r="AK5052">
        <v>5000</v>
      </c>
      <c r="AL5052">
        <v>7</v>
      </c>
      <c r="AM5052">
        <v>0</v>
      </c>
      <c r="AN5052">
        <v>0</v>
      </c>
      <c r="AO5052">
        <v>0</v>
      </c>
      <c r="AP5052">
        <v>0</v>
      </c>
      <c r="AQ5052">
        <v>6</v>
      </c>
      <c r="AR5052">
        <v>0</v>
      </c>
      <c r="AS5052">
        <v>0</v>
      </c>
      <c r="AT5052">
        <v>0</v>
      </c>
      <c r="AU5052">
        <v>0</v>
      </c>
    </row>
    <row r="5054" spans="1:47" x14ac:dyDescent="0.3">
      <c r="A5054" t="s">
        <v>2006</v>
      </c>
    </row>
    <row r="5055" spans="1:47" x14ac:dyDescent="0.3">
      <c r="A5055" t="s">
        <v>36</v>
      </c>
      <c r="B5055" t="s">
        <v>24</v>
      </c>
      <c r="C5055" t="s">
        <v>58</v>
      </c>
      <c r="D5055" t="s">
        <v>59</v>
      </c>
      <c r="E5055" t="s">
        <v>348</v>
      </c>
      <c r="F5055" t="s">
        <v>181</v>
      </c>
    </row>
    <row r="5056" spans="1:47" x14ac:dyDescent="0.3">
      <c r="A5056" t="s">
        <v>25</v>
      </c>
      <c r="B5056">
        <v>414</v>
      </c>
      <c r="C5056" t="s">
        <v>1024</v>
      </c>
      <c r="D5056" t="s">
        <v>1556</v>
      </c>
      <c r="E5056" t="s">
        <v>103</v>
      </c>
      <c r="F5056" t="s">
        <v>103</v>
      </c>
    </row>
    <row r="5057" spans="1:7" x14ac:dyDescent="0.3">
      <c r="A5057" t="s">
        <v>26</v>
      </c>
      <c r="B5057">
        <v>477</v>
      </c>
      <c r="C5057" t="s">
        <v>423</v>
      </c>
      <c r="D5057" t="s">
        <v>1402</v>
      </c>
      <c r="E5057" t="s">
        <v>120</v>
      </c>
      <c r="F5057" t="s">
        <v>97</v>
      </c>
    </row>
    <row r="5058" spans="1:7" x14ac:dyDescent="0.3">
      <c r="A5058" t="s">
        <v>29</v>
      </c>
      <c r="B5058">
        <v>530</v>
      </c>
      <c r="C5058" t="s">
        <v>1088</v>
      </c>
      <c r="D5058" t="s">
        <v>439</v>
      </c>
      <c r="E5058" t="s">
        <v>239</v>
      </c>
      <c r="F5058" t="s">
        <v>116</v>
      </c>
    </row>
    <row r="5059" spans="1:7" x14ac:dyDescent="0.3">
      <c r="A5059" t="s">
        <v>28</v>
      </c>
      <c r="B5059">
        <v>317</v>
      </c>
      <c r="C5059" t="s">
        <v>797</v>
      </c>
      <c r="D5059" t="s">
        <v>383</v>
      </c>
      <c r="E5059" t="s">
        <v>103</v>
      </c>
      <c r="F5059" t="s">
        <v>120</v>
      </c>
    </row>
    <row r="5060" spans="1:7" x14ac:dyDescent="0.3">
      <c r="A5060" t="s">
        <v>27</v>
      </c>
      <c r="B5060">
        <v>300</v>
      </c>
      <c r="C5060" t="s">
        <v>1422</v>
      </c>
      <c r="D5060" t="s">
        <v>395</v>
      </c>
      <c r="E5060" t="s">
        <v>245</v>
      </c>
      <c r="F5060" t="s">
        <v>103</v>
      </c>
    </row>
    <row r="5061" spans="1:7" x14ac:dyDescent="0.3">
      <c r="A5061" t="s">
        <v>41</v>
      </c>
      <c r="B5061">
        <v>2038</v>
      </c>
      <c r="C5061" t="s">
        <v>396</v>
      </c>
      <c r="D5061" t="s">
        <v>802</v>
      </c>
      <c r="E5061" t="s">
        <v>98</v>
      </c>
      <c r="F5061" t="s">
        <v>116</v>
      </c>
    </row>
    <row r="5063" spans="1:7" x14ac:dyDescent="0.3">
      <c r="A5063" t="s">
        <v>2007</v>
      </c>
    </row>
    <row r="5064" spans="1:7" x14ac:dyDescent="0.3">
      <c r="A5064" t="s">
        <v>36</v>
      </c>
      <c r="B5064" t="s">
        <v>307</v>
      </c>
      <c r="C5064" t="s">
        <v>24</v>
      </c>
      <c r="D5064" t="s">
        <v>58</v>
      </c>
      <c r="E5064" t="s">
        <v>59</v>
      </c>
      <c r="F5064" t="s">
        <v>348</v>
      </c>
      <c r="G5064" t="s">
        <v>181</v>
      </c>
    </row>
    <row r="5065" spans="1:7" x14ac:dyDescent="0.3">
      <c r="A5065" t="s">
        <v>25</v>
      </c>
      <c r="B5065" t="s">
        <v>291</v>
      </c>
      <c r="C5065">
        <v>156</v>
      </c>
      <c r="D5065" t="s">
        <v>1065</v>
      </c>
      <c r="E5065" t="s">
        <v>657</v>
      </c>
      <c r="F5065" t="s">
        <v>103</v>
      </c>
      <c r="G5065" t="s">
        <v>103</v>
      </c>
    </row>
    <row r="5066" spans="1:7" x14ac:dyDescent="0.3">
      <c r="A5066" t="s">
        <v>25</v>
      </c>
      <c r="B5066" t="s">
        <v>292</v>
      </c>
      <c r="C5066">
        <v>254</v>
      </c>
      <c r="D5066" t="s">
        <v>1006</v>
      </c>
      <c r="E5066" t="s">
        <v>1089</v>
      </c>
      <c r="F5066" t="s">
        <v>103</v>
      </c>
      <c r="G5066" t="s">
        <v>103</v>
      </c>
    </row>
    <row r="5067" spans="1:7" x14ac:dyDescent="0.3">
      <c r="A5067" t="s">
        <v>25</v>
      </c>
      <c r="B5067" t="s">
        <v>308</v>
      </c>
      <c r="C5067">
        <v>4</v>
      </c>
      <c r="D5067" t="s">
        <v>534</v>
      </c>
      <c r="E5067" t="s">
        <v>1438</v>
      </c>
      <c r="F5067" t="s">
        <v>103</v>
      </c>
      <c r="G5067" t="s">
        <v>103</v>
      </c>
    </row>
    <row r="5068" spans="1:7" x14ac:dyDescent="0.3">
      <c r="A5068" t="s">
        <v>26</v>
      </c>
      <c r="B5068" t="s">
        <v>291</v>
      </c>
      <c r="C5068">
        <v>122</v>
      </c>
      <c r="D5068" t="s">
        <v>390</v>
      </c>
      <c r="E5068" t="s">
        <v>349</v>
      </c>
      <c r="F5068" t="s">
        <v>95</v>
      </c>
      <c r="G5068" t="s">
        <v>105</v>
      </c>
    </row>
    <row r="5069" spans="1:7" x14ac:dyDescent="0.3">
      <c r="A5069" t="s">
        <v>26</v>
      </c>
      <c r="B5069" t="s">
        <v>292</v>
      </c>
      <c r="C5069">
        <v>352</v>
      </c>
      <c r="D5069" t="s">
        <v>1556</v>
      </c>
      <c r="E5069" t="s">
        <v>369</v>
      </c>
      <c r="F5069" t="s">
        <v>120</v>
      </c>
      <c r="G5069" t="s">
        <v>103</v>
      </c>
    </row>
    <row r="5070" spans="1:7" x14ac:dyDescent="0.3">
      <c r="A5070" t="s">
        <v>26</v>
      </c>
      <c r="B5070" t="s">
        <v>308</v>
      </c>
      <c r="C5070">
        <v>3</v>
      </c>
      <c r="D5070" t="s">
        <v>921</v>
      </c>
      <c r="E5070" t="s">
        <v>1178</v>
      </c>
      <c r="F5070" t="s">
        <v>103</v>
      </c>
      <c r="G5070" t="s">
        <v>103</v>
      </c>
    </row>
    <row r="5071" spans="1:7" x14ac:dyDescent="0.3">
      <c r="A5071" t="s">
        <v>29</v>
      </c>
      <c r="B5071" t="s">
        <v>291</v>
      </c>
      <c r="C5071">
        <v>205</v>
      </c>
      <c r="D5071" t="s">
        <v>691</v>
      </c>
      <c r="E5071" t="s">
        <v>1178</v>
      </c>
      <c r="F5071" t="s">
        <v>468</v>
      </c>
      <c r="G5071" t="s">
        <v>98</v>
      </c>
    </row>
    <row r="5072" spans="1:7" x14ac:dyDescent="0.3">
      <c r="A5072" t="s">
        <v>29</v>
      </c>
      <c r="B5072" t="s">
        <v>292</v>
      </c>
      <c r="C5072">
        <v>325</v>
      </c>
      <c r="D5072" t="s">
        <v>501</v>
      </c>
      <c r="E5072" t="s">
        <v>508</v>
      </c>
      <c r="F5072" t="s">
        <v>245</v>
      </c>
      <c r="G5072" t="s">
        <v>103</v>
      </c>
    </row>
    <row r="5073" spans="1:7" x14ac:dyDescent="0.3">
      <c r="A5073" t="s">
        <v>28</v>
      </c>
      <c r="B5073" t="s">
        <v>291</v>
      </c>
      <c r="C5073">
        <v>114</v>
      </c>
      <c r="D5073" t="s">
        <v>705</v>
      </c>
      <c r="E5073" t="s">
        <v>717</v>
      </c>
      <c r="F5073" t="s">
        <v>103</v>
      </c>
      <c r="G5073" t="s">
        <v>98</v>
      </c>
    </row>
    <row r="5074" spans="1:7" x14ac:dyDescent="0.3">
      <c r="A5074" t="s">
        <v>28</v>
      </c>
      <c r="B5074" t="s">
        <v>292</v>
      </c>
      <c r="C5074">
        <v>191</v>
      </c>
      <c r="D5074" t="s">
        <v>1284</v>
      </c>
      <c r="E5074" t="s">
        <v>1199</v>
      </c>
      <c r="F5074" t="s">
        <v>103</v>
      </c>
      <c r="G5074" t="s">
        <v>103</v>
      </c>
    </row>
    <row r="5075" spans="1:7" x14ac:dyDescent="0.3">
      <c r="A5075" t="s">
        <v>28</v>
      </c>
      <c r="B5075" t="s">
        <v>308</v>
      </c>
      <c r="C5075">
        <v>12</v>
      </c>
      <c r="D5075" t="s">
        <v>1218</v>
      </c>
      <c r="E5075" t="s">
        <v>372</v>
      </c>
      <c r="F5075" t="s">
        <v>103</v>
      </c>
      <c r="G5075" t="s">
        <v>112</v>
      </c>
    </row>
    <row r="5076" spans="1:7" x14ac:dyDescent="0.3">
      <c r="A5076" t="s">
        <v>27</v>
      </c>
      <c r="B5076" t="s">
        <v>291</v>
      </c>
      <c r="C5076">
        <v>95</v>
      </c>
      <c r="D5076" t="s">
        <v>492</v>
      </c>
      <c r="E5076" t="s">
        <v>1230</v>
      </c>
      <c r="F5076" t="s">
        <v>468</v>
      </c>
      <c r="G5076" t="s">
        <v>103</v>
      </c>
    </row>
    <row r="5077" spans="1:7" x14ac:dyDescent="0.3">
      <c r="A5077" t="s">
        <v>27</v>
      </c>
      <c r="B5077" t="s">
        <v>292</v>
      </c>
      <c r="C5077">
        <v>198</v>
      </c>
      <c r="D5077" t="s">
        <v>361</v>
      </c>
      <c r="E5077" t="s">
        <v>678</v>
      </c>
      <c r="F5077" t="s">
        <v>208</v>
      </c>
      <c r="G5077" t="s">
        <v>103</v>
      </c>
    </row>
    <row r="5078" spans="1:7" x14ac:dyDescent="0.3">
      <c r="A5078" t="s">
        <v>27</v>
      </c>
      <c r="B5078" t="s">
        <v>308</v>
      </c>
      <c r="C5078">
        <v>7</v>
      </c>
      <c r="D5078" t="s">
        <v>1091</v>
      </c>
      <c r="E5078" t="s">
        <v>1251</v>
      </c>
      <c r="F5078" t="s">
        <v>103</v>
      </c>
      <c r="G5078" t="s">
        <v>103</v>
      </c>
    </row>
    <row r="5079" spans="1:7" x14ac:dyDescent="0.3">
      <c r="A5079" t="s">
        <v>41</v>
      </c>
      <c r="B5079" t="s">
        <v>291</v>
      </c>
      <c r="C5079">
        <v>692</v>
      </c>
      <c r="D5079" t="s">
        <v>679</v>
      </c>
      <c r="E5079" t="s">
        <v>379</v>
      </c>
      <c r="F5079" t="s">
        <v>139</v>
      </c>
      <c r="G5079" t="s">
        <v>139</v>
      </c>
    </row>
    <row r="5080" spans="1:7" x14ac:dyDescent="0.3">
      <c r="A5080" t="s">
        <v>41</v>
      </c>
      <c r="B5080" t="s">
        <v>292</v>
      </c>
      <c r="C5080">
        <v>1320</v>
      </c>
      <c r="D5080" t="s">
        <v>546</v>
      </c>
      <c r="E5080" t="s">
        <v>374</v>
      </c>
      <c r="F5080" t="s">
        <v>282</v>
      </c>
      <c r="G5080" t="s">
        <v>103</v>
      </c>
    </row>
    <row r="5081" spans="1:7" x14ac:dyDescent="0.3">
      <c r="A5081" t="s">
        <v>41</v>
      </c>
      <c r="B5081" t="s">
        <v>308</v>
      </c>
      <c r="C5081">
        <v>26</v>
      </c>
      <c r="D5081" t="s">
        <v>382</v>
      </c>
      <c r="E5081" t="s">
        <v>233</v>
      </c>
      <c r="F5081" t="s">
        <v>103</v>
      </c>
      <c r="G5081" t="s">
        <v>216</v>
      </c>
    </row>
    <row r="5083" spans="1:7" x14ac:dyDescent="0.3">
      <c r="A5083" t="s">
        <v>2008</v>
      </c>
    </row>
    <row r="5084" spans="1:7" x14ac:dyDescent="0.3">
      <c r="A5084" t="s">
        <v>36</v>
      </c>
      <c r="B5084" t="s">
        <v>310</v>
      </c>
      <c r="C5084" t="s">
        <v>24</v>
      </c>
      <c r="D5084" t="s">
        <v>58</v>
      </c>
      <c r="E5084" t="s">
        <v>59</v>
      </c>
      <c r="F5084" t="s">
        <v>348</v>
      </c>
      <c r="G5084" t="s">
        <v>181</v>
      </c>
    </row>
    <row r="5085" spans="1:7" x14ac:dyDescent="0.3">
      <c r="A5085" t="s">
        <v>25</v>
      </c>
      <c r="B5085" t="s">
        <v>311</v>
      </c>
      <c r="C5085">
        <v>324</v>
      </c>
      <c r="D5085" t="s">
        <v>1396</v>
      </c>
      <c r="E5085" t="s">
        <v>1549</v>
      </c>
      <c r="F5085" t="s">
        <v>103</v>
      </c>
      <c r="G5085" t="s">
        <v>103</v>
      </c>
    </row>
    <row r="5086" spans="1:7" x14ac:dyDescent="0.3">
      <c r="A5086" t="s">
        <v>25</v>
      </c>
      <c r="B5086" t="s">
        <v>312</v>
      </c>
      <c r="C5086">
        <v>80</v>
      </c>
      <c r="D5086" t="s">
        <v>300</v>
      </c>
      <c r="E5086" t="s">
        <v>299</v>
      </c>
      <c r="F5086" t="s">
        <v>103</v>
      </c>
      <c r="G5086" t="s">
        <v>103</v>
      </c>
    </row>
    <row r="5087" spans="1:7" x14ac:dyDescent="0.3">
      <c r="A5087" t="s">
        <v>25</v>
      </c>
      <c r="B5087" t="s">
        <v>308</v>
      </c>
      <c r="C5087">
        <v>10</v>
      </c>
      <c r="D5087" t="s">
        <v>1211</v>
      </c>
      <c r="E5087" t="s">
        <v>1170</v>
      </c>
      <c r="F5087" t="s">
        <v>103</v>
      </c>
      <c r="G5087" t="s">
        <v>103</v>
      </c>
    </row>
    <row r="5088" spans="1:7" x14ac:dyDescent="0.3">
      <c r="A5088" t="s">
        <v>26</v>
      </c>
      <c r="B5088" t="s">
        <v>311</v>
      </c>
      <c r="C5088">
        <v>343</v>
      </c>
      <c r="D5088" t="s">
        <v>405</v>
      </c>
      <c r="E5088" t="s">
        <v>1087</v>
      </c>
      <c r="F5088" t="s">
        <v>139</v>
      </c>
      <c r="G5088" t="s">
        <v>120</v>
      </c>
    </row>
    <row r="5089" spans="1:7" x14ac:dyDescent="0.3">
      <c r="A5089" t="s">
        <v>26</v>
      </c>
      <c r="B5089" t="s">
        <v>312</v>
      </c>
      <c r="C5089">
        <v>96</v>
      </c>
      <c r="D5089" t="s">
        <v>1002</v>
      </c>
      <c r="E5089" t="s">
        <v>1216</v>
      </c>
      <c r="F5089" t="s">
        <v>103</v>
      </c>
      <c r="G5089" t="s">
        <v>103</v>
      </c>
    </row>
    <row r="5090" spans="1:7" x14ac:dyDescent="0.3">
      <c r="A5090" t="s">
        <v>26</v>
      </c>
      <c r="B5090" t="s">
        <v>308</v>
      </c>
      <c r="C5090">
        <v>38</v>
      </c>
      <c r="D5090" t="s">
        <v>356</v>
      </c>
      <c r="E5090" t="s">
        <v>458</v>
      </c>
      <c r="F5090" t="s">
        <v>103</v>
      </c>
      <c r="G5090" t="s">
        <v>103</v>
      </c>
    </row>
    <row r="5091" spans="1:7" x14ac:dyDescent="0.3">
      <c r="A5091" t="s">
        <v>29</v>
      </c>
      <c r="B5091" t="s">
        <v>311</v>
      </c>
      <c r="C5091">
        <v>414</v>
      </c>
      <c r="D5091" t="s">
        <v>698</v>
      </c>
      <c r="E5091" t="s">
        <v>1420</v>
      </c>
      <c r="F5091" t="s">
        <v>239</v>
      </c>
      <c r="G5091" t="s">
        <v>103</v>
      </c>
    </row>
    <row r="5092" spans="1:7" x14ac:dyDescent="0.3">
      <c r="A5092" t="s">
        <v>29</v>
      </c>
      <c r="B5092" t="s">
        <v>312</v>
      </c>
      <c r="C5092">
        <v>103</v>
      </c>
      <c r="D5092" t="s">
        <v>420</v>
      </c>
      <c r="E5092" t="s">
        <v>722</v>
      </c>
      <c r="F5092" t="s">
        <v>139</v>
      </c>
      <c r="G5092" t="s">
        <v>139</v>
      </c>
    </row>
    <row r="5093" spans="1:7" x14ac:dyDescent="0.3">
      <c r="A5093" t="s">
        <v>29</v>
      </c>
      <c r="B5093" t="s">
        <v>308</v>
      </c>
      <c r="C5093">
        <v>13</v>
      </c>
      <c r="D5093" t="s">
        <v>829</v>
      </c>
      <c r="E5093" t="s">
        <v>717</v>
      </c>
      <c r="F5093" t="s">
        <v>251</v>
      </c>
      <c r="G5093" t="s">
        <v>254</v>
      </c>
    </row>
    <row r="5094" spans="1:7" x14ac:dyDescent="0.3">
      <c r="A5094" t="s">
        <v>28</v>
      </c>
      <c r="B5094" t="s">
        <v>311</v>
      </c>
      <c r="C5094">
        <v>223</v>
      </c>
      <c r="D5094" t="s">
        <v>464</v>
      </c>
      <c r="E5094" t="s">
        <v>593</v>
      </c>
      <c r="F5094" t="s">
        <v>103</v>
      </c>
      <c r="G5094" t="s">
        <v>139</v>
      </c>
    </row>
    <row r="5095" spans="1:7" x14ac:dyDescent="0.3">
      <c r="A5095" t="s">
        <v>28</v>
      </c>
      <c r="B5095" t="s">
        <v>312</v>
      </c>
      <c r="C5095">
        <v>93</v>
      </c>
      <c r="D5095" t="s">
        <v>231</v>
      </c>
      <c r="E5095" t="s">
        <v>1055</v>
      </c>
      <c r="F5095" t="s">
        <v>103</v>
      </c>
      <c r="G5095" t="s">
        <v>103</v>
      </c>
    </row>
    <row r="5096" spans="1:7" x14ac:dyDescent="0.3">
      <c r="A5096" t="s">
        <v>28</v>
      </c>
      <c r="B5096" t="s">
        <v>308</v>
      </c>
      <c r="C5096">
        <v>1</v>
      </c>
      <c r="D5096" t="s">
        <v>192</v>
      </c>
      <c r="E5096" t="s">
        <v>103</v>
      </c>
      <c r="F5096" t="s">
        <v>103</v>
      </c>
      <c r="G5096" t="s">
        <v>103</v>
      </c>
    </row>
    <row r="5097" spans="1:7" x14ac:dyDescent="0.3">
      <c r="A5097" t="s">
        <v>27</v>
      </c>
      <c r="B5097" t="s">
        <v>311</v>
      </c>
      <c r="C5097">
        <v>237</v>
      </c>
      <c r="D5097" t="s">
        <v>1197</v>
      </c>
      <c r="E5097" t="s">
        <v>1048</v>
      </c>
      <c r="F5097" t="s">
        <v>345</v>
      </c>
      <c r="G5097" t="s">
        <v>103</v>
      </c>
    </row>
    <row r="5098" spans="1:7" x14ac:dyDescent="0.3">
      <c r="A5098" t="s">
        <v>27</v>
      </c>
      <c r="B5098" t="s">
        <v>312</v>
      </c>
      <c r="C5098">
        <v>60</v>
      </c>
      <c r="D5098" t="s">
        <v>427</v>
      </c>
      <c r="E5098" t="s">
        <v>231</v>
      </c>
      <c r="F5098" t="s">
        <v>217</v>
      </c>
      <c r="G5098" t="s">
        <v>103</v>
      </c>
    </row>
    <row r="5099" spans="1:7" x14ac:dyDescent="0.3">
      <c r="A5099" t="s">
        <v>27</v>
      </c>
      <c r="B5099" t="s">
        <v>308</v>
      </c>
      <c r="C5099">
        <v>3</v>
      </c>
      <c r="D5099" t="s">
        <v>943</v>
      </c>
      <c r="E5099" t="s">
        <v>103</v>
      </c>
      <c r="F5099" t="s">
        <v>527</v>
      </c>
      <c r="G5099" t="s">
        <v>103</v>
      </c>
    </row>
    <row r="5100" spans="1:7" x14ac:dyDescent="0.3">
      <c r="A5100" t="s">
        <v>41</v>
      </c>
      <c r="B5100" t="s">
        <v>311</v>
      </c>
      <c r="C5100">
        <v>1541</v>
      </c>
      <c r="D5100" t="s">
        <v>421</v>
      </c>
      <c r="E5100" t="s">
        <v>1230</v>
      </c>
      <c r="F5100" t="s">
        <v>282</v>
      </c>
      <c r="G5100" t="s">
        <v>66</v>
      </c>
    </row>
    <row r="5101" spans="1:7" x14ac:dyDescent="0.3">
      <c r="A5101" t="s">
        <v>41</v>
      </c>
      <c r="B5101" t="s">
        <v>312</v>
      </c>
      <c r="C5101">
        <v>432</v>
      </c>
      <c r="D5101" t="s">
        <v>930</v>
      </c>
      <c r="E5101" t="s">
        <v>1087</v>
      </c>
      <c r="F5101" t="s">
        <v>97</v>
      </c>
      <c r="G5101" t="s">
        <v>122</v>
      </c>
    </row>
    <row r="5102" spans="1:7" x14ac:dyDescent="0.3">
      <c r="A5102" t="s">
        <v>41</v>
      </c>
      <c r="B5102" t="s">
        <v>308</v>
      </c>
      <c r="C5102">
        <v>65</v>
      </c>
      <c r="D5102" t="s">
        <v>873</v>
      </c>
      <c r="E5102" t="s">
        <v>1402</v>
      </c>
      <c r="F5102" t="s">
        <v>93</v>
      </c>
      <c r="G5102" t="s">
        <v>118</v>
      </c>
    </row>
    <row r="5104" spans="1:7" x14ac:dyDescent="0.3">
      <c r="A5104" t="s">
        <v>2009</v>
      </c>
    </row>
    <row r="5105" spans="1:7" x14ac:dyDescent="0.3">
      <c r="A5105" t="s">
        <v>36</v>
      </c>
      <c r="B5105" t="s">
        <v>197</v>
      </c>
      <c r="C5105" t="s">
        <v>24</v>
      </c>
      <c r="D5105" t="s">
        <v>58</v>
      </c>
      <c r="E5105" t="s">
        <v>59</v>
      </c>
      <c r="F5105" t="s">
        <v>348</v>
      </c>
      <c r="G5105" t="s">
        <v>181</v>
      </c>
    </row>
    <row r="5106" spans="1:7" x14ac:dyDescent="0.3">
      <c r="A5106" t="s">
        <v>25</v>
      </c>
      <c r="B5106" t="s">
        <v>198</v>
      </c>
      <c r="C5106">
        <v>104</v>
      </c>
      <c r="D5106" t="s">
        <v>2010</v>
      </c>
      <c r="E5106" t="s">
        <v>1555</v>
      </c>
      <c r="F5106" t="s">
        <v>103</v>
      </c>
      <c r="G5106" t="s">
        <v>103</v>
      </c>
    </row>
    <row r="5107" spans="1:7" x14ac:dyDescent="0.3">
      <c r="A5107" t="s">
        <v>25</v>
      </c>
      <c r="B5107" t="s">
        <v>199</v>
      </c>
      <c r="C5107">
        <v>310</v>
      </c>
      <c r="D5107" t="s">
        <v>1425</v>
      </c>
      <c r="E5107" t="s">
        <v>1238</v>
      </c>
      <c r="F5107" t="s">
        <v>103</v>
      </c>
      <c r="G5107" t="s">
        <v>103</v>
      </c>
    </row>
    <row r="5108" spans="1:7" x14ac:dyDescent="0.3">
      <c r="A5108" t="s">
        <v>26</v>
      </c>
      <c r="B5108" t="s">
        <v>198</v>
      </c>
      <c r="C5108">
        <v>41</v>
      </c>
      <c r="D5108" t="s">
        <v>560</v>
      </c>
      <c r="E5108" t="s">
        <v>926</v>
      </c>
      <c r="F5108" t="s">
        <v>103</v>
      </c>
      <c r="G5108" t="s">
        <v>103</v>
      </c>
    </row>
    <row r="5109" spans="1:7" x14ac:dyDescent="0.3">
      <c r="A5109" t="s">
        <v>26</v>
      </c>
      <c r="B5109" t="s">
        <v>199</v>
      </c>
      <c r="C5109">
        <v>436</v>
      </c>
      <c r="D5109" t="s">
        <v>1000</v>
      </c>
      <c r="E5109" t="s">
        <v>1065</v>
      </c>
      <c r="F5109" t="s">
        <v>120</v>
      </c>
      <c r="G5109" t="s">
        <v>97</v>
      </c>
    </row>
    <row r="5110" spans="1:7" x14ac:dyDescent="0.3">
      <c r="A5110" t="s">
        <v>29</v>
      </c>
      <c r="B5110" t="s">
        <v>198</v>
      </c>
      <c r="C5110">
        <v>170</v>
      </c>
      <c r="D5110" t="s">
        <v>729</v>
      </c>
      <c r="E5110" t="s">
        <v>351</v>
      </c>
      <c r="F5110" t="s">
        <v>245</v>
      </c>
      <c r="G5110" t="s">
        <v>103</v>
      </c>
    </row>
    <row r="5111" spans="1:7" x14ac:dyDescent="0.3">
      <c r="A5111" t="s">
        <v>29</v>
      </c>
      <c r="B5111" t="s">
        <v>199</v>
      </c>
      <c r="C5111">
        <v>360</v>
      </c>
      <c r="D5111" t="s">
        <v>645</v>
      </c>
      <c r="E5111" t="s">
        <v>403</v>
      </c>
      <c r="F5111" t="s">
        <v>110</v>
      </c>
      <c r="G5111" t="s">
        <v>97</v>
      </c>
    </row>
    <row r="5112" spans="1:7" x14ac:dyDescent="0.3">
      <c r="A5112" t="s">
        <v>28</v>
      </c>
      <c r="B5112" t="s">
        <v>198</v>
      </c>
      <c r="C5112">
        <v>70</v>
      </c>
      <c r="D5112" t="s">
        <v>365</v>
      </c>
      <c r="E5112" t="s">
        <v>1321</v>
      </c>
      <c r="F5112" t="s">
        <v>103</v>
      </c>
      <c r="G5112" t="s">
        <v>103</v>
      </c>
    </row>
    <row r="5113" spans="1:7" x14ac:dyDescent="0.3">
      <c r="A5113" t="s">
        <v>28</v>
      </c>
      <c r="B5113" t="s">
        <v>199</v>
      </c>
      <c r="C5113">
        <v>247</v>
      </c>
      <c r="D5113" t="s">
        <v>1055</v>
      </c>
      <c r="E5113" t="s">
        <v>415</v>
      </c>
      <c r="F5113" t="s">
        <v>103</v>
      </c>
      <c r="G5113" t="s">
        <v>95</v>
      </c>
    </row>
    <row r="5114" spans="1:7" x14ac:dyDescent="0.3">
      <c r="A5114" t="s">
        <v>27</v>
      </c>
      <c r="B5114" t="s">
        <v>198</v>
      </c>
      <c r="C5114">
        <v>136</v>
      </c>
      <c r="D5114" t="s">
        <v>677</v>
      </c>
      <c r="E5114" t="s">
        <v>1418</v>
      </c>
      <c r="F5114" t="s">
        <v>110</v>
      </c>
      <c r="G5114" t="s">
        <v>103</v>
      </c>
    </row>
    <row r="5115" spans="1:7" x14ac:dyDescent="0.3">
      <c r="A5115" t="s">
        <v>27</v>
      </c>
      <c r="B5115" t="s">
        <v>199</v>
      </c>
      <c r="C5115">
        <v>164</v>
      </c>
      <c r="D5115" t="s">
        <v>418</v>
      </c>
      <c r="E5115" t="s">
        <v>1462</v>
      </c>
      <c r="F5115" t="s">
        <v>208</v>
      </c>
      <c r="G5115" t="s">
        <v>103</v>
      </c>
    </row>
    <row r="5116" spans="1:7" x14ac:dyDescent="0.3">
      <c r="A5116" t="s">
        <v>41</v>
      </c>
      <c r="B5116" t="s">
        <v>198</v>
      </c>
      <c r="C5116">
        <v>521</v>
      </c>
      <c r="D5116" t="s">
        <v>1576</v>
      </c>
      <c r="E5116" t="s">
        <v>300</v>
      </c>
      <c r="F5116" t="s">
        <v>468</v>
      </c>
      <c r="G5116" t="s">
        <v>103</v>
      </c>
    </row>
    <row r="5117" spans="1:7" x14ac:dyDescent="0.3">
      <c r="A5117" t="s">
        <v>41</v>
      </c>
      <c r="B5117" t="s">
        <v>199</v>
      </c>
      <c r="C5117">
        <v>1517</v>
      </c>
      <c r="D5117" t="s">
        <v>134</v>
      </c>
      <c r="E5117" t="s">
        <v>1676</v>
      </c>
      <c r="F5117" t="s">
        <v>139</v>
      </c>
      <c r="G5117" t="s">
        <v>122</v>
      </c>
    </row>
    <row r="5119" spans="1:7" x14ac:dyDescent="0.3">
      <c r="A5119" t="s">
        <v>2011</v>
      </c>
    </row>
    <row r="5120" spans="1:7" x14ac:dyDescent="0.3">
      <c r="A5120" t="s">
        <v>36</v>
      </c>
      <c r="B5120" t="s">
        <v>1552</v>
      </c>
      <c r="C5120" t="s">
        <v>24</v>
      </c>
      <c r="D5120" t="s">
        <v>58</v>
      </c>
      <c r="E5120" t="s">
        <v>59</v>
      </c>
      <c r="F5120" t="s">
        <v>348</v>
      </c>
      <c r="G5120" t="s">
        <v>181</v>
      </c>
    </row>
    <row r="5121" spans="1:7" x14ac:dyDescent="0.3">
      <c r="A5121" t="s">
        <v>25</v>
      </c>
      <c r="B5121" t="s">
        <v>1553</v>
      </c>
      <c r="C5121">
        <v>280</v>
      </c>
      <c r="D5121" t="s">
        <v>462</v>
      </c>
      <c r="E5121" t="s">
        <v>1029</v>
      </c>
      <c r="F5121" t="s">
        <v>103</v>
      </c>
      <c r="G5121" t="s">
        <v>103</v>
      </c>
    </row>
    <row r="5122" spans="1:7" x14ac:dyDescent="0.3">
      <c r="A5122" t="s">
        <v>25</v>
      </c>
      <c r="B5122" t="s">
        <v>1554</v>
      </c>
      <c r="C5122">
        <v>134</v>
      </c>
      <c r="D5122" t="s">
        <v>1358</v>
      </c>
      <c r="E5122" t="s">
        <v>1545</v>
      </c>
      <c r="F5122" t="s">
        <v>103</v>
      </c>
      <c r="G5122" t="s">
        <v>103</v>
      </c>
    </row>
    <row r="5123" spans="1:7" x14ac:dyDescent="0.3">
      <c r="A5123" t="s">
        <v>26</v>
      </c>
      <c r="B5123" t="s">
        <v>1553</v>
      </c>
      <c r="C5123">
        <v>337</v>
      </c>
      <c r="D5123" t="s">
        <v>1295</v>
      </c>
      <c r="E5123" t="s">
        <v>442</v>
      </c>
      <c r="F5123" t="s">
        <v>120</v>
      </c>
      <c r="G5123" t="s">
        <v>116</v>
      </c>
    </row>
    <row r="5124" spans="1:7" x14ac:dyDescent="0.3">
      <c r="A5124" t="s">
        <v>26</v>
      </c>
      <c r="B5124" t="s">
        <v>1554</v>
      </c>
      <c r="C5124">
        <v>140</v>
      </c>
      <c r="D5124" t="s">
        <v>386</v>
      </c>
      <c r="E5124" t="s">
        <v>1231</v>
      </c>
      <c r="F5124" t="s">
        <v>120</v>
      </c>
      <c r="G5124" t="s">
        <v>139</v>
      </c>
    </row>
    <row r="5125" spans="1:7" x14ac:dyDescent="0.3">
      <c r="A5125" t="s">
        <v>29</v>
      </c>
      <c r="B5125" t="s">
        <v>1553</v>
      </c>
      <c r="C5125">
        <v>395</v>
      </c>
      <c r="D5125" t="s">
        <v>1090</v>
      </c>
      <c r="E5125" t="s">
        <v>822</v>
      </c>
      <c r="F5125" t="s">
        <v>216</v>
      </c>
      <c r="G5125" t="s">
        <v>66</v>
      </c>
    </row>
    <row r="5126" spans="1:7" x14ac:dyDescent="0.3">
      <c r="A5126" t="s">
        <v>29</v>
      </c>
      <c r="B5126" t="s">
        <v>1554</v>
      </c>
      <c r="C5126">
        <v>135</v>
      </c>
      <c r="D5126" t="s">
        <v>509</v>
      </c>
      <c r="E5126" t="s">
        <v>1039</v>
      </c>
      <c r="F5126" t="s">
        <v>282</v>
      </c>
      <c r="G5126" t="s">
        <v>120</v>
      </c>
    </row>
    <row r="5127" spans="1:7" x14ac:dyDescent="0.3">
      <c r="A5127" t="s">
        <v>28</v>
      </c>
      <c r="B5127" t="s">
        <v>1553</v>
      </c>
      <c r="C5127">
        <v>224</v>
      </c>
      <c r="D5127" t="s">
        <v>369</v>
      </c>
      <c r="E5127" t="s">
        <v>1257</v>
      </c>
      <c r="F5127" t="s">
        <v>103</v>
      </c>
      <c r="G5127" t="s">
        <v>116</v>
      </c>
    </row>
    <row r="5128" spans="1:7" x14ac:dyDescent="0.3">
      <c r="A5128" t="s">
        <v>28</v>
      </c>
      <c r="B5128" t="s">
        <v>1554</v>
      </c>
      <c r="C5128">
        <v>93</v>
      </c>
      <c r="D5128" t="s">
        <v>109</v>
      </c>
      <c r="E5128" t="s">
        <v>1283</v>
      </c>
      <c r="F5128" t="s">
        <v>103</v>
      </c>
      <c r="G5128" t="s">
        <v>345</v>
      </c>
    </row>
    <row r="5129" spans="1:7" x14ac:dyDescent="0.3">
      <c r="A5129" t="s">
        <v>27</v>
      </c>
      <c r="B5129" t="s">
        <v>1553</v>
      </c>
      <c r="C5129">
        <v>162</v>
      </c>
      <c r="D5129" t="s">
        <v>357</v>
      </c>
      <c r="E5129" t="s">
        <v>817</v>
      </c>
      <c r="F5129" t="s">
        <v>245</v>
      </c>
      <c r="G5129" t="s">
        <v>103</v>
      </c>
    </row>
    <row r="5130" spans="1:7" x14ac:dyDescent="0.3">
      <c r="A5130" t="s">
        <v>27</v>
      </c>
      <c r="B5130" t="s">
        <v>1554</v>
      </c>
      <c r="C5130">
        <v>138</v>
      </c>
      <c r="D5130" t="s">
        <v>432</v>
      </c>
      <c r="E5130" t="s">
        <v>1096</v>
      </c>
      <c r="F5130" t="s">
        <v>245</v>
      </c>
      <c r="G5130" t="s">
        <v>103</v>
      </c>
    </row>
    <row r="5131" spans="1:7" x14ac:dyDescent="0.3">
      <c r="A5131" t="s">
        <v>41</v>
      </c>
      <c r="B5131" t="s">
        <v>1553</v>
      </c>
      <c r="C5131">
        <v>1398</v>
      </c>
      <c r="D5131" t="s">
        <v>367</v>
      </c>
      <c r="E5131" t="s">
        <v>1048</v>
      </c>
      <c r="F5131" t="s">
        <v>282</v>
      </c>
      <c r="G5131" t="s">
        <v>66</v>
      </c>
    </row>
    <row r="5132" spans="1:7" x14ac:dyDescent="0.3">
      <c r="A5132" t="s">
        <v>41</v>
      </c>
      <c r="B5132" t="s">
        <v>1554</v>
      </c>
      <c r="C5132">
        <v>640</v>
      </c>
      <c r="D5132" t="s">
        <v>932</v>
      </c>
      <c r="E5132" t="s">
        <v>1556</v>
      </c>
      <c r="F5132" t="s">
        <v>95</v>
      </c>
      <c r="G5132" t="s">
        <v>97</v>
      </c>
    </row>
    <row r="5134" spans="1:7" x14ac:dyDescent="0.3">
      <c r="A5134" t="s">
        <v>2012</v>
      </c>
    </row>
    <row r="5135" spans="1:7" x14ac:dyDescent="0.3">
      <c r="A5135" t="s">
        <v>36</v>
      </c>
      <c r="B5135" t="s">
        <v>307</v>
      </c>
      <c r="C5135" t="s">
        <v>24</v>
      </c>
      <c r="D5135" t="s">
        <v>58</v>
      </c>
      <c r="E5135" t="s">
        <v>59</v>
      </c>
      <c r="F5135" t="s">
        <v>348</v>
      </c>
      <c r="G5135" t="s">
        <v>181</v>
      </c>
    </row>
    <row r="5136" spans="1:7" x14ac:dyDescent="0.3">
      <c r="A5136" t="s">
        <v>25</v>
      </c>
      <c r="B5136" t="s">
        <v>291</v>
      </c>
      <c r="C5136">
        <v>156</v>
      </c>
      <c r="D5136" t="s">
        <v>1065</v>
      </c>
      <c r="E5136" t="s">
        <v>657</v>
      </c>
      <c r="F5136" t="s">
        <v>103</v>
      </c>
      <c r="G5136" t="s">
        <v>103</v>
      </c>
    </row>
    <row r="5137" spans="1:7" x14ac:dyDescent="0.3">
      <c r="A5137" t="s">
        <v>25</v>
      </c>
      <c r="B5137" t="s">
        <v>292</v>
      </c>
      <c r="C5137">
        <v>254</v>
      </c>
      <c r="D5137" t="s">
        <v>1006</v>
      </c>
      <c r="E5137" t="s">
        <v>1089</v>
      </c>
      <c r="F5137" t="s">
        <v>103</v>
      </c>
      <c r="G5137" t="s">
        <v>103</v>
      </c>
    </row>
    <row r="5138" spans="1:7" x14ac:dyDescent="0.3">
      <c r="A5138" t="s">
        <v>25</v>
      </c>
      <c r="B5138" t="s">
        <v>308</v>
      </c>
      <c r="C5138">
        <v>4</v>
      </c>
      <c r="D5138" t="s">
        <v>534</v>
      </c>
      <c r="E5138" t="s">
        <v>1438</v>
      </c>
      <c r="F5138" t="s">
        <v>103</v>
      </c>
      <c r="G5138" t="s">
        <v>103</v>
      </c>
    </row>
    <row r="5139" spans="1:7" x14ac:dyDescent="0.3">
      <c r="A5139" t="s">
        <v>26</v>
      </c>
      <c r="B5139" t="s">
        <v>291</v>
      </c>
      <c r="C5139">
        <v>122</v>
      </c>
      <c r="D5139" t="s">
        <v>390</v>
      </c>
      <c r="E5139" t="s">
        <v>349</v>
      </c>
      <c r="F5139" t="s">
        <v>95</v>
      </c>
      <c r="G5139" t="s">
        <v>105</v>
      </c>
    </row>
    <row r="5140" spans="1:7" x14ac:dyDescent="0.3">
      <c r="A5140" t="s">
        <v>26</v>
      </c>
      <c r="B5140" t="s">
        <v>292</v>
      </c>
      <c r="C5140">
        <v>352</v>
      </c>
      <c r="D5140" t="s">
        <v>1556</v>
      </c>
      <c r="E5140" t="s">
        <v>369</v>
      </c>
      <c r="F5140" t="s">
        <v>120</v>
      </c>
      <c r="G5140" t="s">
        <v>103</v>
      </c>
    </row>
    <row r="5141" spans="1:7" x14ac:dyDescent="0.3">
      <c r="A5141" t="s">
        <v>26</v>
      </c>
      <c r="B5141" t="s">
        <v>308</v>
      </c>
      <c r="C5141">
        <v>3</v>
      </c>
      <c r="D5141" t="s">
        <v>921</v>
      </c>
      <c r="E5141" t="s">
        <v>1178</v>
      </c>
      <c r="F5141" t="s">
        <v>103</v>
      </c>
      <c r="G5141" t="s">
        <v>103</v>
      </c>
    </row>
    <row r="5142" spans="1:7" x14ac:dyDescent="0.3">
      <c r="A5142" t="s">
        <v>29</v>
      </c>
      <c r="B5142" t="s">
        <v>291</v>
      </c>
      <c r="C5142">
        <v>205</v>
      </c>
      <c r="D5142" t="s">
        <v>691</v>
      </c>
      <c r="E5142" t="s">
        <v>1178</v>
      </c>
      <c r="F5142" t="s">
        <v>468</v>
      </c>
      <c r="G5142" t="s">
        <v>98</v>
      </c>
    </row>
    <row r="5143" spans="1:7" x14ac:dyDescent="0.3">
      <c r="A5143" t="s">
        <v>29</v>
      </c>
      <c r="B5143" t="s">
        <v>292</v>
      </c>
      <c r="C5143">
        <v>325</v>
      </c>
      <c r="D5143" t="s">
        <v>501</v>
      </c>
      <c r="E5143" t="s">
        <v>508</v>
      </c>
      <c r="F5143" t="s">
        <v>245</v>
      </c>
      <c r="G5143" t="s">
        <v>103</v>
      </c>
    </row>
    <row r="5144" spans="1:7" x14ac:dyDescent="0.3">
      <c r="A5144" t="s">
        <v>28</v>
      </c>
      <c r="B5144" t="s">
        <v>291</v>
      </c>
      <c r="C5144">
        <v>114</v>
      </c>
      <c r="D5144" t="s">
        <v>705</v>
      </c>
      <c r="E5144" t="s">
        <v>717</v>
      </c>
      <c r="F5144" t="s">
        <v>103</v>
      </c>
      <c r="G5144" t="s">
        <v>98</v>
      </c>
    </row>
    <row r="5145" spans="1:7" x14ac:dyDescent="0.3">
      <c r="A5145" t="s">
        <v>28</v>
      </c>
      <c r="B5145" t="s">
        <v>292</v>
      </c>
      <c r="C5145">
        <v>191</v>
      </c>
      <c r="D5145" t="s">
        <v>1284</v>
      </c>
      <c r="E5145" t="s">
        <v>1199</v>
      </c>
      <c r="F5145" t="s">
        <v>103</v>
      </c>
      <c r="G5145" t="s">
        <v>103</v>
      </c>
    </row>
    <row r="5146" spans="1:7" x14ac:dyDescent="0.3">
      <c r="A5146" t="s">
        <v>28</v>
      </c>
      <c r="B5146" t="s">
        <v>308</v>
      </c>
      <c r="C5146">
        <v>12</v>
      </c>
      <c r="D5146" t="s">
        <v>1218</v>
      </c>
      <c r="E5146" t="s">
        <v>372</v>
      </c>
      <c r="F5146" t="s">
        <v>103</v>
      </c>
      <c r="G5146" t="s">
        <v>112</v>
      </c>
    </row>
    <row r="5147" spans="1:7" x14ac:dyDescent="0.3">
      <c r="A5147" t="s">
        <v>27</v>
      </c>
      <c r="B5147" t="s">
        <v>291</v>
      </c>
      <c r="C5147">
        <v>95</v>
      </c>
      <c r="D5147" t="s">
        <v>492</v>
      </c>
      <c r="E5147" t="s">
        <v>1230</v>
      </c>
      <c r="F5147" t="s">
        <v>468</v>
      </c>
      <c r="G5147" t="s">
        <v>103</v>
      </c>
    </row>
    <row r="5148" spans="1:7" x14ac:dyDescent="0.3">
      <c r="A5148" t="s">
        <v>27</v>
      </c>
      <c r="B5148" t="s">
        <v>292</v>
      </c>
      <c r="C5148">
        <v>198</v>
      </c>
      <c r="D5148" t="s">
        <v>361</v>
      </c>
      <c r="E5148" t="s">
        <v>678</v>
      </c>
      <c r="F5148" t="s">
        <v>208</v>
      </c>
      <c r="G5148" t="s">
        <v>103</v>
      </c>
    </row>
    <row r="5149" spans="1:7" x14ac:dyDescent="0.3">
      <c r="A5149" t="s">
        <v>27</v>
      </c>
      <c r="B5149" t="s">
        <v>308</v>
      </c>
      <c r="C5149">
        <v>7</v>
      </c>
      <c r="D5149" t="s">
        <v>1091</v>
      </c>
      <c r="E5149" t="s">
        <v>1251</v>
      </c>
      <c r="F5149" t="s">
        <v>103</v>
      </c>
      <c r="G5149" t="s">
        <v>103</v>
      </c>
    </row>
    <row r="5150" spans="1:7" x14ac:dyDescent="0.3">
      <c r="A5150" t="s">
        <v>41</v>
      </c>
      <c r="B5150" t="s">
        <v>291</v>
      </c>
      <c r="C5150">
        <v>692</v>
      </c>
      <c r="D5150" t="s">
        <v>679</v>
      </c>
      <c r="E5150" t="s">
        <v>379</v>
      </c>
      <c r="F5150" t="s">
        <v>139</v>
      </c>
      <c r="G5150" t="s">
        <v>139</v>
      </c>
    </row>
    <row r="5151" spans="1:7" x14ac:dyDescent="0.3">
      <c r="A5151" t="s">
        <v>41</v>
      </c>
      <c r="B5151" t="s">
        <v>292</v>
      </c>
      <c r="C5151">
        <v>1320</v>
      </c>
      <c r="D5151" t="s">
        <v>546</v>
      </c>
      <c r="E5151" t="s">
        <v>374</v>
      </c>
      <c r="F5151" t="s">
        <v>282</v>
      </c>
      <c r="G5151" t="s">
        <v>103</v>
      </c>
    </row>
    <row r="5152" spans="1:7" x14ac:dyDescent="0.3">
      <c r="A5152" t="s">
        <v>41</v>
      </c>
      <c r="B5152" t="s">
        <v>308</v>
      </c>
      <c r="C5152">
        <v>26</v>
      </c>
      <c r="D5152" t="s">
        <v>382</v>
      </c>
      <c r="E5152" t="s">
        <v>233</v>
      </c>
      <c r="F5152" t="s">
        <v>103</v>
      </c>
      <c r="G5152" t="s">
        <v>216</v>
      </c>
    </row>
    <row r="5154" spans="1:14" x14ac:dyDescent="0.3">
      <c r="A5154" t="s">
        <v>2013</v>
      </c>
    </row>
    <row r="5155" spans="1:14" x14ac:dyDescent="0.3">
      <c r="A5155" t="s">
        <v>36</v>
      </c>
      <c r="B5155" t="s">
        <v>310</v>
      </c>
      <c r="C5155" t="s">
        <v>24</v>
      </c>
      <c r="D5155" t="s">
        <v>2014</v>
      </c>
      <c r="E5155" t="s">
        <v>2015</v>
      </c>
      <c r="F5155" t="s">
        <v>2016</v>
      </c>
      <c r="G5155" t="s">
        <v>2017</v>
      </c>
      <c r="H5155" t="s">
        <v>2018</v>
      </c>
      <c r="I5155" t="s">
        <v>2019</v>
      </c>
      <c r="J5155" t="s">
        <v>2020</v>
      </c>
      <c r="K5155" t="s">
        <v>2021</v>
      </c>
      <c r="L5155" t="s">
        <v>183</v>
      </c>
      <c r="M5155" t="s">
        <v>87</v>
      </c>
      <c r="N5155" t="s">
        <v>181</v>
      </c>
    </row>
    <row r="5156" spans="1:14" x14ac:dyDescent="0.3">
      <c r="A5156" t="s">
        <v>25</v>
      </c>
      <c r="B5156" t="s">
        <v>311</v>
      </c>
      <c r="C5156">
        <v>180</v>
      </c>
      <c r="D5156" t="s">
        <v>542</v>
      </c>
      <c r="E5156" t="s">
        <v>707</v>
      </c>
      <c r="F5156" t="s">
        <v>397</v>
      </c>
      <c r="G5156" t="s">
        <v>103</v>
      </c>
      <c r="H5156" t="s">
        <v>137</v>
      </c>
      <c r="I5156" t="s">
        <v>103</v>
      </c>
      <c r="J5156" t="s">
        <v>120</v>
      </c>
      <c r="K5156" t="s">
        <v>1146</v>
      </c>
      <c r="L5156" t="s">
        <v>139</v>
      </c>
      <c r="M5156" t="s">
        <v>103</v>
      </c>
      <c r="N5156" t="s">
        <v>103</v>
      </c>
    </row>
    <row r="5157" spans="1:14" x14ac:dyDescent="0.3">
      <c r="A5157" t="s">
        <v>25</v>
      </c>
      <c r="B5157" t="s">
        <v>312</v>
      </c>
      <c r="C5157">
        <v>31</v>
      </c>
      <c r="D5157" t="s">
        <v>756</v>
      </c>
      <c r="E5157" t="s">
        <v>142</v>
      </c>
      <c r="F5157" t="s">
        <v>1420</v>
      </c>
      <c r="G5157" t="s">
        <v>103</v>
      </c>
      <c r="H5157" t="s">
        <v>90</v>
      </c>
      <c r="I5157" t="s">
        <v>103</v>
      </c>
      <c r="J5157" t="s">
        <v>103</v>
      </c>
      <c r="K5157" t="s">
        <v>1062</v>
      </c>
      <c r="L5157" t="s">
        <v>201</v>
      </c>
      <c r="M5157" t="s">
        <v>103</v>
      </c>
      <c r="N5157" t="s">
        <v>103</v>
      </c>
    </row>
    <row r="5158" spans="1:14" x14ac:dyDescent="0.3">
      <c r="A5158" t="s">
        <v>25</v>
      </c>
      <c r="B5158" t="s">
        <v>308</v>
      </c>
      <c r="C5158">
        <v>6</v>
      </c>
      <c r="D5158" t="s">
        <v>905</v>
      </c>
      <c r="E5158" t="s">
        <v>103</v>
      </c>
      <c r="F5158" t="s">
        <v>510</v>
      </c>
      <c r="G5158" t="s">
        <v>103</v>
      </c>
      <c r="H5158" t="s">
        <v>578</v>
      </c>
      <c r="I5158" t="s">
        <v>103</v>
      </c>
      <c r="J5158" t="s">
        <v>103</v>
      </c>
      <c r="K5158" t="s">
        <v>1202</v>
      </c>
      <c r="L5158" t="s">
        <v>103</v>
      </c>
      <c r="M5158" t="s">
        <v>103</v>
      </c>
      <c r="N5158" t="s">
        <v>103</v>
      </c>
    </row>
    <row r="5159" spans="1:14" x14ac:dyDescent="0.3">
      <c r="A5159" t="s">
        <v>26</v>
      </c>
      <c r="B5159" t="s">
        <v>311</v>
      </c>
      <c r="C5159">
        <v>181</v>
      </c>
      <c r="D5159" t="s">
        <v>1084</v>
      </c>
      <c r="E5159" t="s">
        <v>150</v>
      </c>
      <c r="F5159" t="s">
        <v>573</v>
      </c>
      <c r="G5159" t="s">
        <v>103</v>
      </c>
      <c r="H5159" t="s">
        <v>601</v>
      </c>
      <c r="I5159" t="s">
        <v>194</v>
      </c>
      <c r="J5159" t="s">
        <v>103</v>
      </c>
      <c r="K5159" t="s">
        <v>728</v>
      </c>
      <c r="L5159" t="s">
        <v>103</v>
      </c>
      <c r="M5159" t="s">
        <v>103</v>
      </c>
      <c r="N5159" t="s">
        <v>103</v>
      </c>
    </row>
    <row r="5160" spans="1:14" x14ac:dyDescent="0.3">
      <c r="A5160" t="s">
        <v>26</v>
      </c>
      <c r="B5160" t="s">
        <v>312</v>
      </c>
      <c r="C5160">
        <v>43</v>
      </c>
      <c r="D5160" t="s">
        <v>268</v>
      </c>
      <c r="E5160" t="s">
        <v>228</v>
      </c>
      <c r="F5160" t="s">
        <v>490</v>
      </c>
      <c r="G5160" t="s">
        <v>217</v>
      </c>
      <c r="H5160" t="s">
        <v>743</v>
      </c>
      <c r="I5160" t="s">
        <v>103</v>
      </c>
      <c r="J5160" t="s">
        <v>103</v>
      </c>
      <c r="K5160" t="s">
        <v>704</v>
      </c>
      <c r="L5160" t="s">
        <v>103</v>
      </c>
      <c r="M5160" t="s">
        <v>103</v>
      </c>
      <c r="N5160" t="s">
        <v>103</v>
      </c>
    </row>
    <row r="5161" spans="1:14" x14ac:dyDescent="0.3">
      <c r="A5161" t="s">
        <v>26</v>
      </c>
      <c r="B5161" t="s">
        <v>308</v>
      </c>
      <c r="C5161">
        <v>13</v>
      </c>
      <c r="D5161" t="s">
        <v>505</v>
      </c>
      <c r="E5161" t="s">
        <v>478</v>
      </c>
      <c r="F5161" t="s">
        <v>756</v>
      </c>
      <c r="G5161" t="s">
        <v>103</v>
      </c>
      <c r="H5161" t="s">
        <v>103</v>
      </c>
      <c r="I5161" t="s">
        <v>103</v>
      </c>
      <c r="J5161" t="s">
        <v>103</v>
      </c>
      <c r="K5161" t="s">
        <v>766</v>
      </c>
      <c r="L5161" t="s">
        <v>103</v>
      </c>
      <c r="M5161" t="s">
        <v>103</v>
      </c>
      <c r="N5161" t="s">
        <v>103</v>
      </c>
    </row>
    <row r="5162" spans="1:14" x14ac:dyDescent="0.3">
      <c r="A5162" t="s">
        <v>29</v>
      </c>
      <c r="B5162" t="s">
        <v>311</v>
      </c>
      <c r="C5162">
        <v>275</v>
      </c>
      <c r="D5162" t="s">
        <v>461</v>
      </c>
      <c r="E5162" t="s">
        <v>568</v>
      </c>
      <c r="F5162" t="s">
        <v>403</v>
      </c>
      <c r="G5162" t="s">
        <v>98</v>
      </c>
      <c r="H5162" t="s">
        <v>271</v>
      </c>
      <c r="I5162" t="s">
        <v>116</v>
      </c>
      <c r="J5162" t="s">
        <v>95</v>
      </c>
      <c r="K5162" t="s">
        <v>1305</v>
      </c>
      <c r="L5162" t="s">
        <v>103</v>
      </c>
      <c r="M5162" t="s">
        <v>103</v>
      </c>
      <c r="N5162" t="s">
        <v>103</v>
      </c>
    </row>
    <row r="5163" spans="1:14" x14ac:dyDescent="0.3">
      <c r="A5163" t="s">
        <v>29</v>
      </c>
      <c r="B5163" t="s">
        <v>312</v>
      </c>
      <c r="C5163">
        <v>59</v>
      </c>
      <c r="D5163" t="s">
        <v>580</v>
      </c>
      <c r="E5163" t="s">
        <v>526</v>
      </c>
      <c r="F5163" t="s">
        <v>787</v>
      </c>
      <c r="G5163" t="s">
        <v>103</v>
      </c>
      <c r="H5163" t="s">
        <v>580</v>
      </c>
      <c r="I5163" t="s">
        <v>103</v>
      </c>
      <c r="J5163" t="s">
        <v>103</v>
      </c>
      <c r="K5163" t="s">
        <v>1393</v>
      </c>
      <c r="L5163" t="s">
        <v>257</v>
      </c>
      <c r="M5163" t="s">
        <v>103</v>
      </c>
      <c r="N5163" t="s">
        <v>103</v>
      </c>
    </row>
    <row r="5164" spans="1:14" x14ac:dyDescent="0.3">
      <c r="A5164" t="s">
        <v>29</v>
      </c>
      <c r="B5164" t="s">
        <v>308</v>
      </c>
      <c r="C5164">
        <v>9</v>
      </c>
      <c r="D5164" t="s">
        <v>103</v>
      </c>
      <c r="E5164" t="s">
        <v>1143</v>
      </c>
      <c r="F5164" t="s">
        <v>354</v>
      </c>
      <c r="G5164" t="s">
        <v>103</v>
      </c>
      <c r="H5164" t="s">
        <v>515</v>
      </c>
      <c r="I5164" t="s">
        <v>103</v>
      </c>
      <c r="J5164" t="s">
        <v>103</v>
      </c>
      <c r="K5164" t="s">
        <v>158</v>
      </c>
      <c r="L5164" t="s">
        <v>103</v>
      </c>
      <c r="M5164" t="s">
        <v>103</v>
      </c>
      <c r="N5164" t="s">
        <v>103</v>
      </c>
    </row>
    <row r="5165" spans="1:14" x14ac:dyDescent="0.3">
      <c r="A5165" t="s">
        <v>28</v>
      </c>
      <c r="B5165" t="s">
        <v>311</v>
      </c>
      <c r="C5165">
        <v>134</v>
      </c>
      <c r="D5165" t="s">
        <v>579</v>
      </c>
      <c r="E5165" t="s">
        <v>269</v>
      </c>
      <c r="F5165" t="s">
        <v>423</v>
      </c>
      <c r="G5165" t="s">
        <v>282</v>
      </c>
      <c r="H5165" t="s">
        <v>493</v>
      </c>
      <c r="I5165" t="s">
        <v>103</v>
      </c>
      <c r="J5165" t="s">
        <v>103</v>
      </c>
      <c r="K5165" t="s">
        <v>1426</v>
      </c>
      <c r="L5165" t="s">
        <v>139</v>
      </c>
      <c r="M5165" t="s">
        <v>103</v>
      </c>
      <c r="N5165" t="s">
        <v>103</v>
      </c>
    </row>
    <row r="5166" spans="1:14" x14ac:dyDescent="0.3">
      <c r="A5166" t="s">
        <v>28</v>
      </c>
      <c r="B5166" t="s">
        <v>312</v>
      </c>
      <c r="C5166">
        <v>38</v>
      </c>
      <c r="D5166" t="s">
        <v>513</v>
      </c>
      <c r="E5166" t="s">
        <v>68</v>
      </c>
      <c r="F5166" t="s">
        <v>932</v>
      </c>
      <c r="G5166" t="s">
        <v>103</v>
      </c>
      <c r="H5166" t="s">
        <v>188</v>
      </c>
      <c r="I5166" t="s">
        <v>329</v>
      </c>
      <c r="J5166" t="s">
        <v>103</v>
      </c>
      <c r="K5166" t="s">
        <v>626</v>
      </c>
      <c r="L5166" t="s">
        <v>103</v>
      </c>
      <c r="M5166" t="s">
        <v>103</v>
      </c>
      <c r="N5166" t="s">
        <v>103</v>
      </c>
    </row>
    <row r="5167" spans="1:14" x14ac:dyDescent="0.3">
      <c r="A5167" t="s">
        <v>27</v>
      </c>
      <c r="B5167" t="s">
        <v>311</v>
      </c>
      <c r="C5167">
        <v>138</v>
      </c>
      <c r="D5167" t="s">
        <v>702</v>
      </c>
      <c r="E5167" t="s">
        <v>650</v>
      </c>
      <c r="F5167" t="s">
        <v>1053</v>
      </c>
      <c r="G5167" t="s">
        <v>103</v>
      </c>
      <c r="H5167" t="s">
        <v>549</v>
      </c>
      <c r="I5167" t="s">
        <v>103</v>
      </c>
      <c r="J5167" t="s">
        <v>116</v>
      </c>
      <c r="K5167" t="s">
        <v>1197</v>
      </c>
      <c r="L5167" t="s">
        <v>216</v>
      </c>
      <c r="M5167" t="s">
        <v>97</v>
      </c>
      <c r="N5167" t="s">
        <v>103</v>
      </c>
    </row>
    <row r="5168" spans="1:14" s="3" customFormat="1" x14ac:dyDescent="0.3">
      <c r="A5168" s="3" t="s">
        <v>27</v>
      </c>
      <c r="B5168" s="3" t="s">
        <v>312</v>
      </c>
      <c r="C5168" s="3">
        <v>30</v>
      </c>
      <c r="D5168" s="3" t="s">
        <v>123</v>
      </c>
      <c r="E5168" s="3" t="s">
        <v>418</v>
      </c>
      <c r="F5168" s="3" t="s">
        <v>1245</v>
      </c>
      <c r="G5168" s="3" t="s">
        <v>103</v>
      </c>
      <c r="H5168" s="3" t="s">
        <v>64</v>
      </c>
      <c r="I5168" s="3" t="s">
        <v>103</v>
      </c>
      <c r="J5168" s="3" t="s">
        <v>103</v>
      </c>
      <c r="K5168" s="3" t="s">
        <v>230</v>
      </c>
      <c r="L5168" s="3" t="s">
        <v>103</v>
      </c>
      <c r="M5168" s="3" t="s">
        <v>103</v>
      </c>
      <c r="N5168" s="3" t="s">
        <v>103</v>
      </c>
    </row>
    <row r="5169" spans="1:14" x14ac:dyDescent="0.3">
      <c r="A5169" t="s">
        <v>41</v>
      </c>
      <c r="B5169" t="s">
        <v>311</v>
      </c>
      <c r="C5169">
        <v>908</v>
      </c>
      <c r="D5169" t="s">
        <v>461</v>
      </c>
      <c r="E5169" t="s">
        <v>555</v>
      </c>
      <c r="F5169" t="s">
        <v>1328</v>
      </c>
      <c r="G5169" t="s">
        <v>97</v>
      </c>
      <c r="H5169" t="s">
        <v>269</v>
      </c>
      <c r="I5169" t="s">
        <v>122</v>
      </c>
      <c r="J5169" t="s">
        <v>97</v>
      </c>
      <c r="K5169" t="s">
        <v>1281</v>
      </c>
      <c r="L5169" t="s">
        <v>116</v>
      </c>
      <c r="M5169" t="s">
        <v>103</v>
      </c>
      <c r="N5169" t="s">
        <v>103</v>
      </c>
    </row>
    <row r="5170" spans="1:14" x14ac:dyDescent="0.3">
      <c r="A5170" t="s">
        <v>41</v>
      </c>
      <c r="B5170" t="s">
        <v>312</v>
      </c>
      <c r="C5170">
        <v>201</v>
      </c>
      <c r="D5170" t="s">
        <v>526</v>
      </c>
      <c r="E5170" t="s">
        <v>555</v>
      </c>
      <c r="F5170" t="s">
        <v>419</v>
      </c>
      <c r="G5170" t="s">
        <v>97</v>
      </c>
      <c r="H5170" t="s">
        <v>518</v>
      </c>
      <c r="I5170" t="s">
        <v>91</v>
      </c>
      <c r="J5170" t="s">
        <v>103</v>
      </c>
      <c r="K5170" t="s">
        <v>790</v>
      </c>
      <c r="L5170" t="s">
        <v>208</v>
      </c>
      <c r="M5170" t="s">
        <v>103</v>
      </c>
      <c r="N5170" t="s">
        <v>103</v>
      </c>
    </row>
    <row r="5171" spans="1:14" x14ac:dyDescent="0.3">
      <c r="A5171" t="s">
        <v>41</v>
      </c>
      <c r="B5171" t="s">
        <v>308</v>
      </c>
      <c r="C5171">
        <v>28</v>
      </c>
      <c r="D5171" t="s">
        <v>875</v>
      </c>
      <c r="E5171" t="s">
        <v>680</v>
      </c>
      <c r="F5171" t="s">
        <v>643</v>
      </c>
      <c r="G5171" t="s">
        <v>103</v>
      </c>
      <c r="H5171" t="s">
        <v>191</v>
      </c>
      <c r="I5171" t="s">
        <v>103</v>
      </c>
      <c r="J5171" t="s">
        <v>103</v>
      </c>
      <c r="K5171" t="s">
        <v>985</v>
      </c>
      <c r="L5171" t="s">
        <v>103</v>
      </c>
      <c r="M5171" t="s">
        <v>103</v>
      </c>
      <c r="N5171" t="s">
        <v>103</v>
      </c>
    </row>
    <row r="5173" spans="1:14" x14ac:dyDescent="0.3">
      <c r="A5173" t="s">
        <v>2022</v>
      </c>
    </row>
    <row r="5174" spans="1:14" x14ac:dyDescent="0.3">
      <c r="A5174" t="s">
        <v>36</v>
      </c>
      <c r="B5174" t="s">
        <v>24</v>
      </c>
      <c r="C5174" t="s">
        <v>2014</v>
      </c>
      <c r="D5174" t="s">
        <v>2015</v>
      </c>
      <c r="E5174" t="s">
        <v>2016</v>
      </c>
      <c r="F5174" t="s">
        <v>2017</v>
      </c>
      <c r="G5174" t="s">
        <v>2018</v>
      </c>
      <c r="H5174" t="s">
        <v>2019</v>
      </c>
      <c r="I5174" t="s">
        <v>2020</v>
      </c>
      <c r="J5174" t="s">
        <v>2021</v>
      </c>
      <c r="K5174" t="s">
        <v>183</v>
      </c>
      <c r="L5174" t="s">
        <v>87</v>
      </c>
      <c r="M5174" t="s">
        <v>181</v>
      </c>
    </row>
    <row r="5175" spans="1:14" x14ac:dyDescent="0.3">
      <c r="A5175" t="s">
        <v>25</v>
      </c>
      <c r="B5175">
        <v>217</v>
      </c>
      <c r="C5175" t="s">
        <v>121</v>
      </c>
      <c r="D5175" t="s">
        <v>552</v>
      </c>
      <c r="E5175" t="s">
        <v>821</v>
      </c>
      <c r="F5175" t="s">
        <v>103</v>
      </c>
      <c r="G5175" t="s">
        <v>247</v>
      </c>
      <c r="H5175" t="s">
        <v>103</v>
      </c>
      <c r="I5175" t="s">
        <v>97</v>
      </c>
      <c r="J5175" t="s">
        <v>787</v>
      </c>
      <c r="K5175" t="s">
        <v>194</v>
      </c>
      <c r="L5175" t="s">
        <v>103</v>
      </c>
      <c r="M5175" t="s">
        <v>103</v>
      </c>
    </row>
    <row r="5176" spans="1:14" x14ac:dyDescent="0.3">
      <c r="A5176" t="s">
        <v>26</v>
      </c>
      <c r="B5176">
        <v>237</v>
      </c>
      <c r="C5176" t="s">
        <v>900</v>
      </c>
      <c r="D5176" t="s">
        <v>495</v>
      </c>
      <c r="E5176" t="s">
        <v>1197</v>
      </c>
      <c r="F5176" t="s">
        <v>122</v>
      </c>
      <c r="G5176" t="s">
        <v>254</v>
      </c>
      <c r="H5176" t="s">
        <v>282</v>
      </c>
      <c r="I5176" t="s">
        <v>103</v>
      </c>
      <c r="J5176" t="s">
        <v>1361</v>
      </c>
      <c r="K5176" t="s">
        <v>103</v>
      </c>
      <c r="L5176" t="s">
        <v>103</v>
      </c>
      <c r="M5176" t="s">
        <v>103</v>
      </c>
    </row>
    <row r="5177" spans="1:14" x14ac:dyDescent="0.3">
      <c r="A5177" t="s">
        <v>29</v>
      </c>
      <c r="B5177">
        <v>343</v>
      </c>
      <c r="C5177" t="s">
        <v>31</v>
      </c>
      <c r="D5177" t="s">
        <v>695</v>
      </c>
      <c r="E5177" t="s">
        <v>717</v>
      </c>
      <c r="F5177" t="s">
        <v>95</v>
      </c>
      <c r="G5177" t="s">
        <v>488</v>
      </c>
      <c r="H5177" t="s">
        <v>66</v>
      </c>
      <c r="I5177" t="s">
        <v>97</v>
      </c>
      <c r="J5177" t="s">
        <v>769</v>
      </c>
      <c r="K5177" t="s">
        <v>122</v>
      </c>
      <c r="L5177" t="s">
        <v>103</v>
      </c>
      <c r="M5177" t="s">
        <v>103</v>
      </c>
    </row>
    <row r="5178" spans="1:14" x14ac:dyDescent="0.3">
      <c r="A5178" t="s">
        <v>28</v>
      </c>
      <c r="B5178">
        <v>172</v>
      </c>
      <c r="C5178" t="s">
        <v>547</v>
      </c>
      <c r="D5178" t="s">
        <v>137</v>
      </c>
      <c r="E5178" t="s">
        <v>384</v>
      </c>
      <c r="F5178" t="s">
        <v>139</v>
      </c>
      <c r="G5178" t="s">
        <v>493</v>
      </c>
      <c r="H5178" t="s">
        <v>122</v>
      </c>
      <c r="I5178" t="s">
        <v>103</v>
      </c>
      <c r="J5178" t="s">
        <v>1295</v>
      </c>
      <c r="K5178" t="s">
        <v>120</v>
      </c>
      <c r="L5178" t="s">
        <v>103</v>
      </c>
      <c r="M5178" t="s">
        <v>103</v>
      </c>
    </row>
    <row r="5179" spans="1:14" x14ac:dyDescent="0.3">
      <c r="A5179" t="s">
        <v>27</v>
      </c>
      <c r="B5179">
        <v>168</v>
      </c>
      <c r="C5179" t="s">
        <v>1198</v>
      </c>
      <c r="D5179" t="s">
        <v>261</v>
      </c>
      <c r="E5179" t="s">
        <v>383</v>
      </c>
      <c r="F5179" t="s">
        <v>103</v>
      </c>
      <c r="G5179" t="s">
        <v>575</v>
      </c>
      <c r="H5179" t="s">
        <v>103</v>
      </c>
      <c r="I5179" t="s">
        <v>116</v>
      </c>
      <c r="J5179" t="s">
        <v>418</v>
      </c>
      <c r="K5179" t="s">
        <v>110</v>
      </c>
      <c r="L5179" t="s">
        <v>122</v>
      </c>
      <c r="M5179" t="s">
        <v>103</v>
      </c>
    </row>
    <row r="5180" spans="1:14" x14ac:dyDescent="0.3">
      <c r="A5180" t="s">
        <v>41</v>
      </c>
      <c r="B5180">
        <v>1137</v>
      </c>
      <c r="C5180" t="s">
        <v>660</v>
      </c>
      <c r="D5180" t="s">
        <v>555</v>
      </c>
      <c r="E5180" t="s">
        <v>1172</v>
      </c>
      <c r="F5180" t="s">
        <v>97</v>
      </c>
      <c r="G5180" t="s">
        <v>104</v>
      </c>
      <c r="H5180" t="s">
        <v>116</v>
      </c>
      <c r="I5180" t="s">
        <v>122</v>
      </c>
      <c r="J5180" t="s">
        <v>51</v>
      </c>
      <c r="K5180" t="s">
        <v>120</v>
      </c>
      <c r="L5180" t="s">
        <v>103</v>
      </c>
      <c r="M5180" t="s">
        <v>103</v>
      </c>
    </row>
    <row r="5182" spans="1:14" x14ac:dyDescent="0.3">
      <c r="A5182" t="s">
        <v>2023</v>
      </c>
    </row>
    <row r="5183" spans="1:14" x14ac:dyDescent="0.3">
      <c r="A5183" t="s">
        <v>36</v>
      </c>
      <c r="B5183" t="s">
        <v>197</v>
      </c>
      <c r="C5183" t="s">
        <v>24</v>
      </c>
      <c r="D5183" t="s">
        <v>2014</v>
      </c>
      <c r="E5183" t="s">
        <v>2015</v>
      </c>
      <c r="F5183" t="s">
        <v>2016</v>
      </c>
      <c r="G5183" t="s">
        <v>2017</v>
      </c>
      <c r="H5183" t="s">
        <v>2018</v>
      </c>
      <c r="I5183" t="s">
        <v>2019</v>
      </c>
      <c r="J5183" t="s">
        <v>2020</v>
      </c>
      <c r="K5183" t="s">
        <v>2021</v>
      </c>
      <c r="L5183" t="s">
        <v>183</v>
      </c>
      <c r="M5183" t="s">
        <v>87</v>
      </c>
      <c r="N5183" t="s">
        <v>181</v>
      </c>
    </row>
    <row r="5184" spans="1:14" x14ac:dyDescent="0.3">
      <c r="A5184" t="s">
        <v>25</v>
      </c>
      <c r="B5184" t="s">
        <v>198</v>
      </c>
      <c r="C5184">
        <v>50</v>
      </c>
      <c r="D5184" t="s">
        <v>1014</v>
      </c>
      <c r="E5184" t="s">
        <v>607</v>
      </c>
      <c r="F5184" t="s">
        <v>426</v>
      </c>
      <c r="G5184" t="s">
        <v>103</v>
      </c>
      <c r="H5184" t="s">
        <v>132</v>
      </c>
      <c r="I5184" t="s">
        <v>103</v>
      </c>
      <c r="J5184" t="s">
        <v>118</v>
      </c>
      <c r="K5184" t="s">
        <v>948</v>
      </c>
      <c r="L5184" t="s">
        <v>103</v>
      </c>
      <c r="M5184" t="s">
        <v>103</v>
      </c>
      <c r="N5184" t="s">
        <v>103</v>
      </c>
    </row>
    <row r="5185" spans="1:14" x14ac:dyDescent="0.3">
      <c r="A5185" t="s">
        <v>25</v>
      </c>
      <c r="B5185" t="s">
        <v>199</v>
      </c>
      <c r="C5185">
        <v>167</v>
      </c>
      <c r="D5185" t="s">
        <v>480</v>
      </c>
      <c r="E5185" t="s">
        <v>409</v>
      </c>
      <c r="F5185" t="s">
        <v>618</v>
      </c>
      <c r="G5185" t="s">
        <v>103</v>
      </c>
      <c r="H5185" t="s">
        <v>190</v>
      </c>
      <c r="I5185" t="s">
        <v>103</v>
      </c>
      <c r="J5185" t="s">
        <v>103</v>
      </c>
      <c r="K5185" t="s">
        <v>1400</v>
      </c>
      <c r="L5185" t="s">
        <v>216</v>
      </c>
      <c r="M5185" t="s">
        <v>103</v>
      </c>
      <c r="N5185" t="s">
        <v>103</v>
      </c>
    </row>
    <row r="5186" spans="1:14" s="3" customFormat="1" x14ac:dyDescent="0.3">
      <c r="A5186" s="3" t="s">
        <v>26</v>
      </c>
      <c r="B5186" s="3" t="s">
        <v>198</v>
      </c>
      <c r="C5186" s="3">
        <v>27</v>
      </c>
      <c r="D5186" s="3" t="s">
        <v>1425</v>
      </c>
      <c r="E5186" s="3" t="s">
        <v>125</v>
      </c>
      <c r="F5186" s="3" t="s">
        <v>400</v>
      </c>
      <c r="G5186" s="3" t="s">
        <v>103</v>
      </c>
      <c r="H5186" s="3" t="s">
        <v>591</v>
      </c>
      <c r="I5186" s="3" t="s">
        <v>125</v>
      </c>
      <c r="J5186" s="3" t="s">
        <v>103</v>
      </c>
      <c r="K5186" s="3" t="s">
        <v>389</v>
      </c>
      <c r="L5186" s="3" t="s">
        <v>103</v>
      </c>
      <c r="M5186" s="3" t="s">
        <v>103</v>
      </c>
      <c r="N5186" s="3" t="s">
        <v>103</v>
      </c>
    </row>
    <row r="5187" spans="1:14" x14ac:dyDescent="0.3">
      <c r="A5187" t="s">
        <v>26</v>
      </c>
      <c r="B5187" t="s">
        <v>199</v>
      </c>
      <c r="C5187">
        <v>210</v>
      </c>
      <c r="D5187" t="s">
        <v>732</v>
      </c>
      <c r="E5187" t="s">
        <v>275</v>
      </c>
      <c r="F5187" t="s">
        <v>666</v>
      </c>
      <c r="G5187" t="s">
        <v>97</v>
      </c>
      <c r="H5187" t="s">
        <v>247</v>
      </c>
      <c r="I5187" t="s">
        <v>139</v>
      </c>
      <c r="J5187" t="s">
        <v>103</v>
      </c>
      <c r="K5187" t="s">
        <v>156</v>
      </c>
      <c r="L5187" t="s">
        <v>103</v>
      </c>
      <c r="M5187" t="s">
        <v>103</v>
      </c>
      <c r="N5187" t="s">
        <v>103</v>
      </c>
    </row>
    <row r="5188" spans="1:14" x14ac:dyDescent="0.3">
      <c r="A5188" t="s">
        <v>29</v>
      </c>
      <c r="B5188" t="s">
        <v>198</v>
      </c>
      <c r="C5188">
        <v>101</v>
      </c>
      <c r="D5188" t="s">
        <v>667</v>
      </c>
      <c r="E5188" t="s">
        <v>155</v>
      </c>
      <c r="F5188" t="s">
        <v>235</v>
      </c>
      <c r="G5188" t="s">
        <v>345</v>
      </c>
      <c r="H5188" t="s">
        <v>275</v>
      </c>
      <c r="I5188" t="s">
        <v>95</v>
      </c>
      <c r="J5188" t="s">
        <v>95</v>
      </c>
      <c r="K5188" t="s">
        <v>1359</v>
      </c>
      <c r="L5188" t="s">
        <v>239</v>
      </c>
      <c r="M5188" t="s">
        <v>103</v>
      </c>
      <c r="N5188" t="s">
        <v>103</v>
      </c>
    </row>
    <row r="5189" spans="1:14" x14ac:dyDescent="0.3">
      <c r="A5189" t="s">
        <v>29</v>
      </c>
      <c r="B5189" t="s">
        <v>199</v>
      </c>
      <c r="C5189">
        <v>242</v>
      </c>
      <c r="D5189" t="s">
        <v>398</v>
      </c>
      <c r="E5189" t="s">
        <v>1219</v>
      </c>
      <c r="F5189" t="s">
        <v>1062</v>
      </c>
      <c r="G5189" t="s">
        <v>120</v>
      </c>
      <c r="H5189" t="s">
        <v>164</v>
      </c>
      <c r="I5189" t="s">
        <v>103</v>
      </c>
      <c r="J5189" t="s">
        <v>122</v>
      </c>
      <c r="K5189" t="s">
        <v>1361</v>
      </c>
      <c r="L5189" t="s">
        <v>103</v>
      </c>
      <c r="M5189" t="s">
        <v>103</v>
      </c>
      <c r="N5189" t="s">
        <v>103</v>
      </c>
    </row>
    <row r="5190" spans="1:14" x14ac:dyDescent="0.3">
      <c r="A5190" t="s">
        <v>28</v>
      </c>
      <c r="B5190" t="s">
        <v>198</v>
      </c>
      <c r="C5190">
        <v>45</v>
      </c>
      <c r="D5190" t="s">
        <v>522</v>
      </c>
      <c r="E5190" t="s">
        <v>126</v>
      </c>
      <c r="F5190" t="s">
        <v>1059</v>
      </c>
      <c r="G5190" t="s">
        <v>103</v>
      </c>
      <c r="H5190" t="s">
        <v>341</v>
      </c>
      <c r="I5190" t="s">
        <v>103</v>
      </c>
      <c r="J5190" t="s">
        <v>103</v>
      </c>
      <c r="K5190" t="s">
        <v>1229</v>
      </c>
      <c r="L5190" t="s">
        <v>103</v>
      </c>
      <c r="M5190" t="s">
        <v>103</v>
      </c>
      <c r="N5190" t="s">
        <v>103</v>
      </c>
    </row>
    <row r="5191" spans="1:14" x14ac:dyDescent="0.3">
      <c r="A5191" t="s">
        <v>28</v>
      </c>
      <c r="B5191" t="s">
        <v>199</v>
      </c>
      <c r="C5191">
        <v>127</v>
      </c>
      <c r="D5191" t="s">
        <v>644</v>
      </c>
      <c r="E5191" t="s">
        <v>99</v>
      </c>
      <c r="F5191" t="s">
        <v>1006</v>
      </c>
      <c r="G5191" t="s">
        <v>345</v>
      </c>
      <c r="H5191" t="s">
        <v>532</v>
      </c>
      <c r="I5191" t="s">
        <v>120</v>
      </c>
      <c r="J5191" t="s">
        <v>103</v>
      </c>
      <c r="K5191" t="s">
        <v>1294</v>
      </c>
      <c r="L5191" t="s">
        <v>98</v>
      </c>
      <c r="M5191" t="s">
        <v>103</v>
      </c>
      <c r="N5191" t="s">
        <v>103</v>
      </c>
    </row>
    <row r="5192" spans="1:14" x14ac:dyDescent="0.3">
      <c r="A5192" t="s">
        <v>27</v>
      </c>
      <c r="B5192" t="s">
        <v>198</v>
      </c>
      <c r="C5192">
        <v>82</v>
      </c>
      <c r="D5192" t="s">
        <v>522</v>
      </c>
      <c r="E5192" t="s">
        <v>554</v>
      </c>
      <c r="F5192" t="s">
        <v>417</v>
      </c>
      <c r="G5192" t="s">
        <v>103</v>
      </c>
      <c r="H5192" t="s">
        <v>126</v>
      </c>
      <c r="I5192" t="s">
        <v>103</v>
      </c>
      <c r="J5192" t="s">
        <v>120</v>
      </c>
      <c r="K5192" t="s">
        <v>1015</v>
      </c>
      <c r="L5192" t="s">
        <v>195</v>
      </c>
      <c r="M5192" t="s">
        <v>282</v>
      </c>
      <c r="N5192" t="s">
        <v>103</v>
      </c>
    </row>
    <row r="5193" spans="1:14" x14ac:dyDescent="0.3">
      <c r="A5193" t="s">
        <v>27</v>
      </c>
      <c r="B5193" t="s">
        <v>199</v>
      </c>
      <c r="C5193">
        <v>86</v>
      </c>
      <c r="D5193" t="s">
        <v>479</v>
      </c>
      <c r="E5193" t="s">
        <v>491</v>
      </c>
      <c r="F5193" t="s">
        <v>1096</v>
      </c>
      <c r="G5193" t="s">
        <v>103</v>
      </c>
      <c r="H5193" t="s">
        <v>127</v>
      </c>
      <c r="I5193" t="s">
        <v>103</v>
      </c>
      <c r="J5193" t="s">
        <v>103</v>
      </c>
      <c r="K5193" t="s">
        <v>402</v>
      </c>
      <c r="L5193" t="s">
        <v>103</v>
      </c>
      <c r="M5193" t="s">
        <v>103</v>
      </c>
      <c r="N5193" t="s">
        <v>103</v>
      </c>
    </row>
    <row r="5194" spans="1:14" x14ac:dyDescent="0.3">
      <c r="A5194" t="s">
        <v>41</v>
      </c>
      <c r="B5194" t="s">
        <v>198</v>
      </c>
      <c r="C5194">
        <v>305</v>
      </c>
      <c r="D5194" t="s">
        <v>650</v>
      </c>
      <c r="E5194" t="s">
        <v>470</v>
      </c>
      <c r="F5194" t="s">
        <v>1328</v>
      </c>
      <c r="G5194" t="s">
        <v>95</v>
      </c>
      <c r="H5194" t="s">
        <v>488</v>
      </c>
      <c r="I5194" t="s">
        <v>95</v>
      </c>
      <c r="J5194" t="s">
        <v>98</v>
      </c>
      <c r="K5194" t="s">
        <v>926</v>
      </c>
      <c r="L5194" t="s">
        <v>468</v>
      </c>
      <c r="M5194" t="s">
        <v>91</v>
      </c>
      <c r="N5194" t="s">
        <v>103</v>
      </c>
    </row>
    <row r="5195" spans="1:14" x14ac:dyDescent="0.3">
      <c r="A5195" t="s">
        <v>41</v>
      </c>
      <c r="B5195" t="s">
        <v>199</v>
      </c>
      <c r="C5195">
        <v>832</v>
      </c>
      <c r="D5195" t="s">
        <v>875</v>
      </c>
      <c r="E5195" t="s">
        <v>672</v>
      </c>
      <c r="F5195" t="s">
        <v>508</v>
      </c>
      <c r="G5195" t="s">
        <v>122</v>
      </c>
      <c r="H5195" t="s">
        <v>890</v>
      </c>
      <c r="I5195" t="s">
        <v>66</v>
      </c>
      <c r="J5195" t="s">
        <v>66</v>
      </c>
      <c r="K5195" t="s">
        <v>408</v>
      </c>
      <c r="L5195" t="s">
        <v>116</v>
      </c>
      <c r="M5195" t="s">
        <v>103</v>
      </c>
      <c r="N5195" t="s">
        <v>103</v>
      </c>
    </row>
    <row r="5197" spans="1:14" x14ac:dyDescent="0.3">
      <c r="A5197" t="s">
        <v>2024</v>
      </c>
    </row>
    <row r="5198" spans="1:14" x14ac:dyDescent="0.3">
      <c r="A5198" t="s">
        <v>36</v>
      </c>
      <c r="B5198" t="s">
        <v>1233</v>
      </c>
      <c r="C5198" t="s">
        <v>24</v>
      </c>
      <c r="D5198" t="s">
        <v>2014</v>
      </c>
      <c r="E5198" t="s">
        <v>2015</v>
      </c>
      <c r="F5198" t="s">
        <v>2016</v>
      </c>
      <c r="G5198" t="s">
        <v>2017</v>
      </c>
      <c r="H5198" t="s">
        <v>2018</v>
      </c>
      <c r="I5198" t="s">
        <v>2019</v>
      </c>
      <c r="J5198" t="s">
        <v>2020</v>
      </c>
      <c r="K5198" t="s">
        <v>2021</v>
      </c>
      <c r="L5198" t="s">
        <v>183</v>
      </c>
      <c r="M5198" t="s">
        <v>87</v>
      </c>
      <c r="N5198" t="s">
        <v>181</v>
      </c>
    </row>
    <row r="5199" spans="1:14" x14ac:dyDescent="0.3">
      <c r="A5199" t="s">
        <v>25</v>
      </c>
      <c r="B5199" t="s">
        <v>1234</v>
      </c>
      <c r="C5199">
        <v>141</v>
      </c>
      <c r="D5199" t="s">
        <v>357</v>
      </c>
      <c r="E5199" t="s">
        <v>691</v>
      </c>
      <c r="F5199" t="s">
        <v>905</v>
      </c>
      <c r="G5199" t="s">
        <v>103</v>
      </c>
      <c r="H5199" t="s">
        <v>104</v>
      </c>
      <c r="I5199" t="s">
        <v>103</v>
      </c>
      <c r="J5199" t="s">
        <v>95</v>
      </c>
      <c r="K5199" t="s">
        <v>978</v>
      </c>
      <c r="L5199" t="s">
        <v>282</v>
      </c>
      <c r="M5199" t="s">
        <v>103</v>
      </c>
      <c r="N5199" t="s">
        <v>103</v>
      </c>
    </row>
    <row r="5200" spans="1:14" s="3" customFormat="1" x14ac:dyDescent="0.3">
      <c r="A5200" s="3" t="s">
        <v>25</v>
      </c>
      <c r="B5200" s="3" t="s">
        <v>1235</v>
      </c>
      <c r="C5200" s="3">
        <v>14</v>
      </c>
      <c r="D5200" s="3" t="s">
        <v>1039</v>
      </c>
      <c r="E5200" s="3" t="s">
        <v>353</v>
      </c>
      <c r="F5200" s="3" t="s">
        <v>730</v>
      </c>
      <c r="G5200" s="3" t="s">
        <v>103</v>
      </c>
      <c r="H5200" s="3" t="s">
        <v>463</v>
      </c>
      <c r="I5200" s="3" t="s">
        <v>103</v>
      </c>
      <c r="J5200" s="3" t="s">
        <v>103</v>
      </c>
      <c r="K5200" s="3" t="s">
        <v>931</v>
      </c>
      <c r="L5200" s="3" t="s">
        <v>103</v>
      </c>
      <c r="M5200" s="3" t="s">
        <v>103</v>
      </c>
      <c r="N5200" s="3" t="s">
        <v>103</v>
      </c>
    </row>
    <row r="5201" spans="1:14" x14ac:dyDescent="0.3">
      <c r="A5201" t="s">
        <v>25</v>
      </c>
      <c r="B5201" t="s">
        <v>1237</v>
      </c>
      <c r="C5201">
        <v>62</v>
      </c>
      <c r="D5201" t="s">
        <v>682</v>
      </c>
      <c r="E5201" t="s">
        <v>113</v>
      </c>
      <c r="F5201" t="s">
        <v>720</v>
      </c>
      <c r="G5201" t="s">
        <v>103</v>
      </c>
      <c r="H5201" t="s">
        <v>493</v>
      </c>
      <c r="I5201" t="s">
        <v>103</v>
      </c>
      <c r="J5201" t="s">
        <v>103</v>
      </c>
      <c r="K5201" t="s">
        <v>1089</v>
      </c>
      <c r="L5201" t="s">
        <v>93</v>
      </c>
      <c r="M5201" t="s">
        <v>103</v>
      </c>
      <c r="N5201" t="s">
        <v>103</v>
      </c>
    </row>
    <row r="5202" spans="1:14" x14ac:dyDescent="0.3">
      <c r="A5202" t="s">
        <v>26</v>
      </c>
      <c r="B5202" t="s">
        <v>1234</v>
      </c>
      <c r="C5202">
        <v>147</v>
      </c>
      <c r="D5202" t="s">
        <v>565</v>
      </c>
      <c r="E5202" t="s">
        <v>173</v>
      </c>
      <c r="F5202" t="s">
        <v>1014</v>
      </c>
      <c r="G5202" t="s">
        <v>103</v>
      </c>
      <c r="H5202" t="s">
        <v>205</v>
      </c>
      <c r="I5202" t="s">
        <v>245</v>
      </c>
      <c r="J5202" t="s">
        <v>103</v>
      </c>
      <c r="K5202" t="s">
        <v>884</v>
      </c>
      <c r="L5202" t="s">
        <v>103</v>
      </c>
      <c r="M5202" t="s">
        <v>103</v>
      </c>
      <c r="N5202" t="s">
        <v>103</v>
      </c>
    </row>
    <row r="5203" spans="1:14" s="3" customFormat="1" x14ac:dyDescent="0.3">
      <c r="A5203" s="3" t="s">
        <v>26</v>
      </c>
      <c r="B5203" s="3" t="s">
        <v>1235</v>
      </c>
      <c r="C5203" s="3">
        <v>25</v>
      </c>
      <c r="D5203" s="3" t="s">
        <v>1054</v>
      </c>
      <c r="E5203" s="3" t="s">
        <v>477</v>
      </c>
      <c r="F5203" s="3" t="s">
        <v>695</v>
      </c>
      <c r="G5203" s="3" t="s">
        <v>103</v>
      </c>
      <c r="H5203" s="3" t="s">
        <v>469</v>
      </c>
      <c r="I5203" s="3" t="s">
        <v>103</v>
      </c>
      <c r="J5203" s="3" t="s">
        <v>103</v>
      </c>
      <c r="K5203" s="3" t="s">
        <v>145</v>
      </c>
      <c r="L5203" s="3" t="s">
        <v>103</v>
      </c>
      <c r="M5203" s="3" t="s">
        <v>103</v>
      </c>
      <c r="N5203" s="3" t="s">
        <v>103</v>
      </c>
    </row>
    <row r="5204" spans="1:14" x14ac:dyDescent="0.3">
      <c r="A5204" t="s">
        <v>26</v>
      </c>
      <c r="B5204" t="s">
        <v>1237</v>
      </c>
      <c r="C5204">
        <v>65</v>
      </c>
      <c r="D5204" t="s">
        <v>558</v>
      </c>
      <c r="E5204" t="s">
        <v>205</v>
      </c>
      <c r="F5204" t="s">
        <v>748</v>
      </c>
      <c r="G5204" t="s">
        <v>216</v>
      </c>
      <c r="H5204" t="s">
        <v>127</v>
      </c>
      <c r="I5204" t="s">
        <v>103</v>
      </c>
      <c r="J5204" t="s">
        <v>103</v>
      </c>
      <c r="K5204" t="s">
        <v>51</v>
      </c>
      <c r="L5204" t="s">
        <v>103</v>
      </c>
      <c r="M5204" t="s">
        <v>103</v>
      </c>
      <c r="N5204" t="s">
        <v>103</v>
      </c>
    </row>
    <row r="5205" spans="1:14" x14ac:dyDescent="0.3">
      <c r="A5205" t="s">
        <v>29</v>
      </c>
      <c r="B5205" t="s">
        <v>1234</v>
      </c>
      <c r="C5205">
        <v>248</v>
      </c>
      <c r="D5205" t="s">
        <v>261</v>
      </c>
      <c r="E5205" t="s">
        <v>688</v>
      </c>
      <c r="F5205" t="s">
        <v>814</v>
      </c>
      <c r="G5205" t="s">
        <v>282</v>
      </c>
      <c r="H5205" t="s">
        <v>169</v>
      </c>
      <c r="I5205" t="s">
        <v>116</v>
      </c>
      <c r="J5205" t="s">
        <v>95</v>
      </c>
      <c r="K5205" t="s">
        <v>1022</v>
      </c>
      <c r="L5205" t="s">
        <v>103</v>
      </c>
      <c r="M5205" t="s">
        <v>103</v>
      </c>
      <c r="N5205" t="s">
        <v>103</v>
      </c>
    </row>
    <row r="5206" spans="1:14" s="3" customFormat="1" x14ac:dyDescent="0.3">
      <c r="A5206" s="3" t="s">
        <v>29</v>
      </c>
      <c r="B5206" s="3" t="s">
        <v>1235</v>
      </c>
      <c r="C5206" s="3">
        <v>20</v>
      </c>
      <c r="D5206" s="3" t="s">
        <v>655</v>
      </c>
      <c r="E5206" s="3" t="s">
        <v>160</v>
      </c>
      <c r="F5206" s="3" t="s">
        <v>423</v>
      </c>
      <c r="G5206" s="3" t="s">
        <v>103</v>
      </c>
      <c r="H5206" s="3" t="s">
        <v>551</v>
      </c>
      <c r="I5206" s="3" t="s">
        <v>103</v>
      </c>
      <c r="J5206" s="3" t="s">
        <v>103</v>
      </c>
      <c r="K5206" s="3" t="s">
        <v>1180</v>
      </c>
      <c r="L5206" s="3" t="s">
        <v>103</v>
      </c>
      <c r="M5206" s="3" t="s">
        <v>103</v>
      </c>
      <c r="N5206" s="3" t="s">
        <v>103</v>
      </c>
    </row>
    <row r="5207" spans="1:14" x14ac:dyDescent="0.3">
      <c r="A5207" t="s">
        <v>29</v>
      </c>
      <c r="B5207" t="s">
        <v>1237</v>
      </c>
      <c r="C5207">
        <v>75</v>
      </c>
      <c r="D5207" t="s">
        <v>482</v>
      </c>
      <c r="E5207" t="s">
        <v>266</v>
      </c>
      <c r="F5207" t="s">
        <v>884</v>
      </c>
      <c r="G5207" t="s">
        <v>103</v>
      </c>
      <c r="H5207" t="s">
        <v>505</v>
      </c>
      <c r="I5207" t="s">
        <v>103</v>
      </c>
      <c r="J5207" t="s">
        <v>103</v>
      </c>
      <c r="K5207" t="s">
        <v>1321</v>
      </c>
      <c r="L5207" t="s">
        <v>329</v>
      </c>
      <c r="M5207" t="s">
        <v>103</v>
      </c>
      <c r="N5207" t="s">
        <v>103</v>
      </c>
    </row>
    <row r="5208" spans="1:14" x14ac:dyDescent="0.3">
      <c r="A5208" t="s">
        <v>28</v>
      </c>
      <c r="B5208" t="s">
        <v>1234</v>
      </c>
      <c r="C5208">
        <v>66</v>
      </c>
      <c r="D5208" t="s">
        <v>560</v>
      </c>
      <c r="E5208" t="s">
        <v>551</v>
      </c>
      <c r="F5208" t="s">
        <v>1030</v>
      </c>
      <c r="G5208" t="s">
        <v>103</v>
      </c>
      <c r="H5208" t="s">
        <v>272</v>
      </c>
      <c r="I5208" t="s">
        <v>103</v>
      </c>
      <c r="J5208" t="s">
        <v>103</v>
      </c>
      <c r="K5208" t="s">
        <v>1402</v>
      </c>
      <c r="L5208" t="s">
        <v>103</v>
      </c>
      <c r="M5208" t="s">
        <v>103</v>
      </c>
      <c r="N5208" t="s">
        <v>103</v>
      </c>
    </row>
    <row r="5209" spans="1:14" s="3" customFormat="1" x14ac:dyDescent="0.3">
      <c r="A5209" s="3" t="s">
        <v>28</v>
      </c>
      <c r="B5209" s="3" t="s">
        <v>1235</v>
      </c>
      <c r="C5209" s="3">
        <v>9</v>
      </c>
      <c r="D5209" s="3" t="s">
        <v>268</v>
      </c>
      <c r="E5209" s="3" t="s">
        <v>127</v>
      </c>
      <c r="F5209" s="3" t="s">
        <v>453</v>
      </c>
      <c r="G5209" s="3" t="s">
        <v>466</v>
      </c>
      <c r="H5209" s="3" t="s">
        <v>103</v>
      </c>
      <c r="I5209" s="3" t="s">
        <v>103</v>
      </c>
      <c r="J5209" s="3" t="s">
        <v>103</v>
      </c>
      <c r="K5209" s="3" t="s">
        <v>1392</v>
      </c>
      <c r="L5209" s="3" t="s">
        <v>103</v>
      </c>
      <c r="M5209" s="3" t="s">
        <v>103</v>
      </c>
      <c r="N5209" s="3" t="s">
        <v>103</v>
      </c>
    </row>
    <row r="5210" spans="1:14" x14ac:dyDescent="0.3">
      <c r="A5210" t="s">
        <v>28</v>
      </c>
      <c r="B5210" t="s">
        <v>1237</v>
      </c>
      <c r="C5210">
        <v>97</v>
      </c>
      <c r="D5210" t="s">
        <v>474</v>
      </c>
      <c r="E5210" t="s">
        <v>113</v>
      </c>
      <c r="F5210" t="s">
        <v>1231</v>
      </c>
      <c r="G5210" t="s">
        <v>95</v>
      </c>
      <c r="H5210" t="s">
        <v>201</v>
      </c>
      <c r="I5210" t="s">
        <v>95</v>
      </c>
      <c r="J5210" t="s">
        <v>103</v>
      </c>
      <c r="K5210" t="s">
        <v>1295</v>
      </c>
      <c r="L5210" t="s">
        <v>282</v>
      </c>
      <c r="M5210" t="s">
        <v>103</v>
      </c>
      <c r="N5210" t="s">
        <v>103</v>
      </c>
    </row>
    <row r="5211" spans="1:14" x14ac:dyDescent="0.3">
      <c r="A5211" t="s">
        <v>27</v>
      </c>
      <c r="B5211" t="s">
        <v>1234</v>
      </c>
      <c r="C5211">
        <v>86</v>
      </c>
      <c r="D5211" t="s">
        <v>503</v>
      </c>
      <c r="E5211" t="s">
        <v>109</v>
      </c>
      <c r="F5211" t="s">
        <v>1066</v>
      </c>
      <c r="G5211" t="s">
        <v>103</v>
      </c>
      <c r="H5211" t="s">
        <v>737</v>
      </c>
      <c r="I5211" t="s">
        <v>103</v>
      </c>
      <c r="J5211" t="s">
        <v>120</v>
      </c>
      <c r="K5211" t="s">
        <v>666</v>
      </c>
      <c r="L5211" t="s">
        <v>103</v>
      </c>
      <c r="M5211" t="s">
        <v>98</v>
      </c>
      <c r="N5211" t="s">
        <v>103</v>
      </c>
    </row>
    <row r="5212" spans="1:14" s="3" customFormat="1" x14ac:dyDescent="0.3">
      <c r="A5212" s="3" t="s">
        <v>27</v>
      </c>
      <c r="B5212" s="3" t="s">
        <v>1235</v>
      </c>
      <c r="C5212" s="3">
        <v>10</v>
      </c>
      <c r="D5212" s="3" t="s">
        <v>692</v>
      </c>
      <c r="E5212" s="3" t="s">
        <v>1224</v>
      </c>
      <c r="F5212" s="3" t="s">
        <v>1030</v>
      </c>
      <c r="G5212" s="3" t="s">
        <v>103</v>
      </c>
      <c r="H5212" s="3" t="s">
        <v>1218</v>
      </c>
      <c r="I5212" s="3" t="s">
        <v>103</v>
      </c>
      <c r="J5212" s="3" t="s">
        <v>103</v>
      </c>
      <c r="K5212" s="3" t="s">
        <v>1087</v>
      </c>
      <c r="L5212" s="3" t="s">
        <v>103</v>
      </c>
      <c r="M5212" s="3" t="s">
        <v>103</v>
      </c>
      <c r="N5212" s="3" t="s">
        <v>103</v>
      </c>
    </row>
    <row r="5213" spans="1:14" x14ac:dyDescent="0.3">
      <c r="A5213" t="s">
        <v>27</v>
      </c>
      <c r="B5213" t="s">
        <v>1237</v>
      </c>
      <c r="C5213">
        <v>72</v>
      </c>
      <c r="D5213" t="s">
        <v>571</v>
      </c>
      <c r="E5213" t="s">
        <v>552</v>
      </c>
      <c r="F5213" t="s">
        <v>1137</v>
      </c>
      <c r="G5213" t="s">
        <v>103</v>
      </c>
      <c r="H5213" t="s">
        <v>118</v>
      </c>
      <c r="I5213" t="s">
        <v>103</v>
      </c>
      <c r="J5213" t="s">
        <v>103</v>
      </c>
      <c r="K5213" t="s">
        <v>938</v>
      </c>
      <c r="L5213" t="s">
        <v>438</v>
      </c>
      <c r="M5213" t="s">
        <v>103</v>
      </c>
      <c r="N5213" t="s">
        <v>103</v>
      </c>
    </row>
    <row r="5214" spans="1:14" x14ac:dyDescent="0.3">
      <c r="A5214" t="s">
        <v>41</v>
      </c>
      <c r="B5214" t="s">
        <v>1234</v>
      </c>
      <c r="C5214">
        <v>688</v>
      </c>
      <c r="D5214" t="s">
        <v>236</v>
      </c>
      <c r="E5214" t="s">
        <v>975</v>
      </c>
      <c r="F5214" t="s">
        <v>1578</v>
      </c>
      <c r="G5214" t="s">
        <v>120</v>
      </c>
      <c r="H5214" t="s">
        <v>652</v>
      </c>
      <c r="I5214" t="s">
        <v>97</v>
      </c>
      <c r="J5214" t="s">
        <v>120</v>
      </c>
      <c r="K5214" t="s">
        <v>1001</v>
      </c>
      <c r="L5214" t="s">
        <v>66</v>
      </c>
      <c r="M5214" t="s">
        <v>103</v>
      </c>
      <c r="N5214" t="s">
        <v>103</v>
      </c>
    </row>
    <row r="5215" spans="1:14" x14ac:dyDescent="0.3">
      <c r="A5215" t="s">
        <v>41</v>
      </c>
      <c r="B5215" t="s">
        <v>1235</v>
      </c>
      <c r="C5215">
        <v>78</v>
      </c>
      <c r="D5215" t="s">
        <v>1091</v>
      </c>
      <c r="E5215" t="s">
        <v>398</v>
      </c>
      <c r="F5215" t="s">
        <v>496</v>
      </c>
      <c r="G5215" t="s">
        <v>66</v>
      </c>
      <c r="H5215" t="s">
        <v>515</v>
      </c>
      <c r="I5215" t="s">
        <v>103</v>
      </c>
      <c r="J5215" t="s">
        <v>103</v>
      </c>
      <c r="K5215" t="s">
        <v>1362</v>
      </c>
      <c r="L5215" t="s">
        <v>103</v>
      </c>
      <c r="M5215" t="s">
        <v>103</v>
      </c>
      <c r="N5215" t="s">
        <v>103</v>
      </c>
    </row>
    <row r="5216" spans="1:14" x14ac:dyDescent="0.3">
      <c r="A5216" t="s">
        <v>41</v>
      </c>
      <c r="B5216" t="s">
        <v>1237</v>
      </c>
      <c r="C5216">
        <v>371</v>
      </c>
      <c r="D5216" t="s">
        <v>169</v>
      </c>
      <c r="E5216" t="s">
        <v>662</v>
      </c>
      <c r="F5216" t="s">
        <v>1317</v>
      </c>
      <c r="G5216" t="s">
        <v>122</v>
      </c>
      <c r="H5216" t="s">
        <v>164</v>
      </c>
      <c r="I5216" t="s">
        <v>91</v>
      </c>
      <c r="J5216" t="s">
        <v>103</v>
      </c>
      <c r="K5216" t="s">
        <v>1048</v>
      </c>
      <c r="L5216" t="s">
        <v>245</v>
      </c>
      <c r="M5216" t="s">
        <v>103</v>
      </c>
      <c r="N5216" t="s">
        <v>103</v>
      </c>
    </row>
    <row r="5218" spans="1:14" x14ac:dyDescent="0.3">
      <c r="A5218" t="s">
        <v>2025</v>
      </c>
    </row>
    <row r="5219" spans="1:14" x14ac:dyDescent="0.3">
      <c r="A5219" t="s">
        <v>36</v>
      </c>
      <c r="B5219" t="s">
        <v>307</v>
      </c>
      <c r="C5219" t="s">
        <v>24</v>
      </c>
      <c r="D5219" t="s">
        <v>2014</v>
      </c>
      <c r="E5219" t="s">
        <v>2015</v>
      </c>
      <c r="F5219" t="s">
        <v>2016</v>
      </c>
      <c r="G5219" t="s">
        <v>2017</v>
      </c>
      <c r="H5219" t="s">
        <v>2018</v>
      </c>
      <c r="I5219" t="s">
        <v>2019</v>
      </c>
      <c r="J5219" t="s">
        <v>2020</v>
      </c>
      <c r="K5219" t="s">
        <v>2021</v>
      </c>
      <c r="L5219" t="s">
        <v>183</v>
      </c>
      <c r="M5219" t="s">
        <v>87</v>
      </c>
      <c r="N5219" t="s">
        <v>181</v>
      </c>
    </row>
    <row r="5220" spans="1:14" x14ac:dyDescent="0.3">
      <c r="A5220" t="s">
        <v>25</v>
      </c>
      <c r="B5220" t="s">
        <v>291</v>
      </c>
      <c r="C5220">
        <v>84</v>
      </c>
      <c r="D5220" t="s">
        <v>1219</v>
      </c>
      <c r="E5220" t="s">
        <v>687</v>
      </c>
      <c r="F5220" t="s">
        <v>1154</v>
      </c>
      <c r="G5220" t="s">
        <v>103</v>
      </c>
      <c r="H5220" t="s">
        <v>254</v>
      </c>
      <c r="I5220" t="s">
        <v>103</v>
      </c>
      <c r="J5220" t="s">
        <v>103</v>
      </c>
      <c r="K5220" t="s">
        <v>724</v>
      </c>
      <c r="L5220" t="s">
        <v>216</v>
      </c>
      <c r="M5220" t="s">
        <v>103</v>
      </c>
      <c r="N5220" t="s">
        <v>103</v>
      </c>
    </row>
    <row r="5221" spans="1:14" x14ac:dyDescent="0.3">
      <c r="A5221" t="s">
        <v>25</v>
      </c>
      <c r="B5221" t="s">
        <v>292</v>
      </c>
      <c r="C5221">
        <v>130</v>
      </c>
      <c r="D5221" t="s">
        <v>367</v>
      </c>
      <c r="E5221" t="s">
        <v>658</v>
      </c>
      <c r="F5221" t="s">
        <v>1420</v>
      </c>
      <c r="G5221" t="s">
        <v>103</v>
      </c>
      <c r="H5221" t="s">
        <v>191</v>
      </c>
      <c r="I5221" t="s">
        <v>103</v>
      </c>
      <c r="J5221" t="s">
        <v>139</v>
      </c>
      <c r="K5221" t="s">
        <v>1374</v>
      </c>
      <c r="L5221" t="s">
        <v>345</v>
      </c>
      <c r="M5221" t="s">
        <v>103</v>
      </c>
      <c r="N5221" t="s">
        <v>103</v>
      </c>
    </row>
    <row r="5222" spans="1:14" x14ac:dyDescent="0.3">
      <c r="A5222" t="s">
        <v>25</v>
      </c>
      <c r="B5222" t="s">
        <v>308</v>
      </c>
      <c r="C5222">
        <v>3</v>
      </c>
      <c r="D5222" t="s">
        <v>103</v>
      </c>
      <c r="E5222" t="s">
        <v>176</v>
      </c>
      <c r="F5222" t="s">
        <v>192</v>
      </c>
      <c r="G5222" t="s">
        <v>103</v>
      </c>
      <c r="H5222" t="s">
        <v>103</v>
      </c>
      <c r="I5222" t="s">
        <v>103</v>
      </c>
      <c r="J5222" t="s">
        <v>103</v>
      </c>
      <c r="K5222" t="s">
        <v>176</v>
      </c>
      <c r="L5222" t="s">
        <v>103</v>
      </c>
      <c r="M5222" t="s">
        <v>103</v>
      </c>
      <c r="N5222" t="s">
        <v>103</v>
      </c>
    </row>
    <row r="5223" spans="1:14" x14ac:dyDescent="0.3">
      <c r="A5223" t="s">
        <v>26</v>
      </c>
      <c r="B5223" t="s">
        <v>291</v>
      </c>
      <c r="C5223">
        <v>64</v>
      </c>
      <c r="D5223" t="s">
        <v>750</v>
      </c>
      <c r="E5223" t="s">
        <v>106</v>
      </c>
      <c r="F5223" t="s">
        <v>1053</v>
      </c>
      <c r="G5223" t="s">
        <v>103</v>
      </c>
      <c r="H5223" t="s">
        <v>271</v>
      </c>
      <c r="I5223" t="s">
        <v>245</v>
      </c>
      <c r="J5223" t="s">
        <v>103</v>
      </c>
      <c r="K5223" t="s">
        <v>878</v>
      </c>
      <c r="L5223" t="s">
        <v>103</v>
      </c>
      <c r="M5223" t="s">
        <v>103</v>
      </c>
      <c r="N5223" t="s">
        <v>103</v>
      </c>
    </row>
    <row r="5224" spans="1:14" x14ac:dyDescent="0.3">
      <c r="A5224" t="s">
        <v>26</v>
      </c>
      <c r="B5224" t="s">
        <v>292</v>
      </c>
      <c r="C5224">
        <v>171</v>
      </c>
      <c r="D5224" t="s">
        <v>684</v>
      </c>
      <c r="E5224" t="s">
        <v>524</v>
      </c>
      <c r="F5224" t="s">
        <v>559</v>
      </c>
      <c r="G5224" t="s">
        <v>120</v>
      </c>
      <c r="H5224" t="s">
        <v>127</v>
      </c>
      <c r="I5224" t="s">
        <v>139</v>
      </c>
      <c r="J5224" t="s">
        <v>103</v>
      </c>
      <c r="K5224" t="s">
        <v>1348</v>
      </c>
      <c r="L5224" t="s">
        <v>103</v>
      </c>
      <c r="M5224" t="s">
        <v>103</v>
      </c>
      <c r="N5224" t="s">
        <v>103</v>
      </c>
    </row>
    <row r="5225" spans="1:14" x14ac:dyDescent="0.3">
      <c r="A5225" t="s">
        <v>26</v>
      </c>
      <c r="B5225" t="s">
        <v>308</v>
      </c>
      <c r="C5225">
        <v>2</v>
      </c>
      <c r="D5225" t="s">
        <v>103</v>
      </c>
      <c r="E5225" t="s">
        <v>103</v>
      </c>
      <c r="F5225" t="s">
        <v>103</v>
      </c>
      <c r="G5225" t="s">
        <v>103</v>
      </c>
      <c r="H5225" t="s">
        <v>103</v>
      </c>
      <c r="I5225" t="s">
        <v>103</v>
      </c>
      <c r="J5225" t="s">
        <v>103</v>
      </c>
      <c r="K5225" t="s">
        <v>192</v>
      </c>
      <c r="L5225" t="s">
        <v>103</v>
      </c>
      <c r="M5225" t="s">
        <v>103</v>
      </c>
      <c r="N5225" t="s">
        <v>103</v>
      </c>
    </row>
    <row r="5226" spans="1:14" x14ac:dyDescent="0.3">
      <c r="A5226" t="s">
        <v>29</v>
      </c>
      <c r="B5226" t="s">
        <v>291</v>
      </c>
      <c r="C5226">
        <v>147</v>
      </c>
      <c r="D5226" t="s">
        <v>56</v>
      </c>
      <c r="E5226" t="s">
        <v>516</v>
      </c>
      <c r="F5226" t="s">
        <v>728</v>
      </c>
      <c r="G5226" t="s">
        <v>139</v>
      </c>
      <c r="H5226" t="s">
        <v>485</v>
      </c>
      <c r="I5226" t="s">
        <v>97</v>
      </c>
      <c r="J5226" t="s">
        <v>468</v>
      </c>
      <c r="K5226" t="s">
        <v>1153</v>
      </c>
      <c r="L5226" t="s">
        <v>97</v>
      </c>
      <c r="M5226" t="s">
        <v>103</v>
      </c>
      <c r="N5226" t="s">
        <v>103</v>
      </c>
    </row>
    <row r="5227" spans="1:14" x14ac:dyDescent="0.3">
      <c r="A5227" t="s">
        <v>29</v>
      </c>
      <c r="B5227" t="s">
        <v>292</v>
      </c>
      <c r="C5227">
        <v>196</v>
      </c>
      <c r="D5227" t="s">
        <v>230</v>
      </c>
      <c r="E5227" t="s">
        <v>484</v>
      </c>
      <c r="F5227" t="s">
        <v>1240</v>
      </c>
      <c r="G5227" t="s">
        <v>95</v>
      </c>
      <c r="H5227" t="s">
        <v>117</v>
      </c>
      <c r="I5227" t="s">
        <v>103</v>
      </c>
      <c r="J5227" t="s">
        <v>103</v>
      </c>
      <c r="K5227" t="s">
        <v>1316</v>
      </c>
      <c r="L5227" t="s">
        <v>122</v>
      </c>
      <c r="M5227" t="s">
        <v>103</v>
      </c>
      <c r="N5227" t="s">
        <v>103</v>
      </c>
    </row>
    <row r="5228" spans="1:14" x14ac:dyDescent="0.3">
      <c r="A5228" t="s">
        <v>28</v>
      </c>
      <c r="B5228" t="s">
        <v>291</v>
      </c>
      <c r="C5228">
        <v>72</v>
      </c>
      <c r="D5228" t="s">
        <v>115</v>
      </c>
      <c r="E5228" t="s">
        <v>135</v>
      </c>
      <c r="F5228" t="s">
        <v>249</v>
      </c>
      <c r="G5228" t="s">
        <v>245</v>
      </c>
      <c r="H5228" t="s">
        <v>615</v>
      </c>
      <c r="I5228" t="s">
        <v>103</v>
      </c>
      <c r="J5228" t="s">
        <v>103</v>
      </c>
      <c r="K5228" t="s">
        <v>1251</v>
      </c>
      <c r="L5228" t="s">
        <v>110</v>
      </c>
      <c r="M5228" t="s">
        <v>103</v>
      </c>
      <c r="N5228" t="s">
        <v>103</v>
      </c>
    </row>
    <row r="5229" spans="1:14" x14ac:dyDescent="0.3">
      <c r="A5229" t="s">
        <v>28</v>
      </c>
      <c r="B5229" t="s">
        <v>292</v>
      </c>
      <c r="C5229">
        <v>93</v>
      </c>
      <c r="D5229" t="s">
        <v>109</v>
      </c>
      <c r="E5229" t="s">
        <v>101</v>
      </c>
      <c r="F5229" t="s">
        <v>677</v>
      </c>
      <c r="G5229" t="s">
        <v>103</v>
      </c>
      <c r="H5229" t="s">
        <v>272</v>
      </c>
      <c r="I5229" t="s">
        <v>139</v>
      </c>
      <c r="J5229" t="s">
        <v>103</v>
      </c>
      <c r="K5229" t="s">
        <v>1055</v>
      </c>
      <c r="L5229" t="s">
        <v>103</v>
      </c>
      <c r="M5229" t="s">
        <v>103</v>
      </c>
      <c r="N5229" t="s">
        <v>103</v>
      </c>
    </row>
    <row r="5230" spans="1:14" x14ac:dyDescent="0.3">
      <c r="A5230" t="s">
        <v>28</v>
      </c>
      <c r="B5230" t="s">
        <v>308</v>
      </c>
      <c r="C5230">
        <v>7</v>
      </c>
      <c r="D5230" t="s">
        <v>667</v>
      </c>
      <c r="E5230" t="s">
        <v>484</v>
      </c>
      <c r="F5230" t="s">
        <v>1207</v>
      </c>
      <c r="G5230" t="s">
        <v>103</v>
      </c>
      <c r="H5230" t="s">
        <v>103</v>
      </c>
      <c r="I5230" t="s">
        <v>103</v>
      </c>
      <c r="J5230" t="s">
        <v>103</v>
      </c>
      <c r="K5230" t="s">
        <v>1377</v>
      </c>
      <c r="L5230" t="s">
        <v>103</v>
      </c>
      <c r="M5230" t="s">
        <v>103</v>
      </c>
      <c r="N5230" t="s">
        <v>103</v>
      </c>
    </row>
    <row r="5231" spans="1:14" x14ac:dyDescent="0.3">
      <c r="A5231" t="s">
        <v>27</v>
      </c>
      <c r="B5231" t="s">
        <v>291</v>
      </c>
      <c r="C5231">
        <v>53</v>
      </c>
      <c r="D5231" t="s">
        <v>132</v>
      </c>
      <c r="E5231" t="s">
        <v>521</v>
      </c>
      <c r="F5231" t="s">
        <v>801</v>
      </c>
      <c r="G5231" t="s">
        <v>103</v>
      </c>
      <c r="H5231" t="s">
        <v>188</v>
      </c>
      <c r="I5231" t="s">
        <v>103</v>
      </c>
      <c r="J5231" t="s">
        <v>282</v>
      </c>
      <c r="K5231" t="s">
        <v>355</v>
      </c>
      <c r="L5231" t="s">
        <v>68</v>
      </c>
      <c r="M5231" t="s">
        <v>216</v>
      </c>
      <c r="N5231" t="s">
        <v>103</v>
      </c>
    </row>
    <row r="5232" spans="1:14" x14ac:dyDescent="0.3">
      <c r="A5232" t="s">
        <v>27</v>
      </c>
      <c r="B5232" t="s">
        <v>292</v>
      </c>
      <c r="C5232">
        <v>111</v>
      </c>
      <c r="D5232" t="s">
        <v>654</v>
      </c>
      <c r="E5232" t="s">
        <v>121</v>
      </c>
      <c r="F5232" t="s">
        <v>415</v>
      </c>
      <c r="G5232" t="s">
        <v>103</v>
      </c>
      <c r="H5232" t="s">
        <v>191</v>
      </c>
      <c r="I5232" t="s">
        <v>103</v>
      </c>
      <c r="J5232" t="s">
        <v>103</v>
      </c>
      <c r="K5232" t="s">
        <v>816</v>
      </c>
      <c r="L5232" t="s">
        <v>95</v>
      </c>
      <c r="M5232" t="s">
        <v>103</v>
      </c>
      <c r="N5232" t="s">
        <v>103</v>
      </c>
    </row>
    <row r="5233" spans="1:14" x14ac:dyDescent="0.3">
      <c r="A5233" t="s">
        <v>27</v>
      </c>
      <c r="B5233" t="s">
        <v>308</v>
      </c>
      <c r="C5233">
        <v>4</v>
      </c>
      <c r="D5233" t="s">
        <v>504</v>
      </c>
      <c r="E5233" t="s">
        <v>350</v>
      </c>
      <c r="F5233" t="s">
        <v>921</v>
      </c>
      <c r="G5233" t="s">
        <v>103</v>
      </c>
      <c r="H5233" t="s">
        <v>103</v>
      </c>
      <c r="I5233" t="s">
        <v>103</v>
      </c>
      <c r="J5233" t="s">
        <v>103</v>
      </c>
      <c r="K5233" t="s">
        <v>409</v>
      </c>
      <c r="L5233" t="s">
        <v>103</v>
      </c>
      <c r="M5233" t="s">
        <v>103</v>
      </c>
      <c r="N5233" t="s">
        <v>103</v>
      </c>
    </row>
    <row r="5234" spans="1:14" x14ac:dyDescent="0.3">
      <c r="A5234" t="s">
        <v>41</v>
      </c>
      <c r="B5234" t="s">
        <v>291</v>
      </c>
      <c r="C5234">
        <v>420</v>
      </c>
      <c r="D5234" t="s">
        <v>472</v>
      </c>
      <c r="E5234" t="s">
        <v>495</v>
      </c>
      <c r="F5234" t="s">
        <v>747</v>
      </c>
      <c r="G5234" t="s">
        <v>120</v>
      </c>
      <c r="H5234" t="s">
        <v>131</v>
      </c>
      <c r="I5234" t="s">
        <v>97</v>
      </c>
      <c r="J5234" t="s">
        <v>139</v>
      </c>
      <c r="K5234" t="s">
        <v>1359</v>
      </c>
      <c r="L5234" t="s">
        <v>95</v>
      </c>
      <c r="M5234" t="s">
        <v>91</v>
      </c>
      <c r="N5234" t="s">
        <v>103</v>
      </c>
    </row>
    <row r="5235" spans="1:14" x14ac:dyDescent="0.3">
      <c r="A5235" t="s">
        <v>41</v>
      </c>
      <c r="B5235" t="s">
        <v>292</v>
      </c>
      <c r="C5235">
        <v>701</v>
      </c>
      <c r="D5235" t="s">
        <v>1090</v>
      </c>
      <c r="E5235" t="s">
        <v>658</v>
      </c>
      <c r="F5235" t="s">
        <v>1089</v>
      </c>
      <c r="G5235" t="s">
        <v>97</v>
      </c>
      <c r="H5235" t="s">
        <v>693</v>
      </c>
      <c r="I5235" t="s">
        <v>66</v>
      </c>
      <c r="J5235" t="s">
        <v>91</v>
      </c>
      <c r="K5235" t="s">
        <v>1317</v>
      </c>
      <c r="L5235" t="s">
        <v>122</v>
      </c>
      <c r="M5235" t="s">
        <v>103</v>
      </c>
      <c r="N5235" t="s">
        <v>103</v>
      </c>
    </row>
    <row r="5236" spans="1:14" x14ac:dyDescent="0.3">
      <c r="A5236" t="s">
        <v>41</v>
      </c>
      <c r="B5236" t="s">
        <v>308</v>
      </c>
      <c r="C5236">
        <v>16</v>
      </c>
      <c r="D5236" t="s">
        <v>62</v>
      </c>
      <c r="E5236" t="s">
        <v>562</v>
      </c>
      <c r="F5236" t="s">
        <v>1015</v>
      </c>
      <c r="G5236" t="s">
        <v>103</v>
      </c>
      <c r="H5236" t="s">
        <v>103</v>
      </c>
      <c r="I5236" t="s">
        <v>103</v>
      </c>
      <c r="J5236" t="s">
        <v>103</v>
      </c>
      <c r="K5236" t="s">
        <v>1169</v>
      </c>
      <c r="L5236" t="s">
        <v>103</v>
      </c>
      <c r="M5236" t="s">
        <v>103</v>
      </c>
      <c r="N5236" t="s">
        <v>103</v>
      </c>
    </row>
    <row r="5238" spans="1:14" x14ac:dyDescent="0.3">
      <c r="A5238" t="s">
        <v>2026</v>
      </c>
    </row>
    <row r="5239" spans="1:14" x14ac:dyDescent="0.3">
      <c r="A5239" t="s">
        <v>36</v>
      </c>
      <c r="B5239" t="s">
        <v>210</v>
      </c>
      <c r="C5239" t="s">
        <v>24</v>
      </c>
      <c r="D5239" t="s">
        <v>2014</v>
      </c>
      <c r="E5239" t="s">
        <v>2015</v>
      </c>
      <c r="F5239" t="s">
        <v>2016</v>
      </c>
      <c r="G5239" t="s">
        <v>2017</v>
      </c>
      <c r="H5239" t="s">
        <v>2018</v>
      </c>
      <c r="I5239" t="s">
        <v>2019</v>
      </c>
      <c r="J5239" t="s">
        <v>2020</v>
      </c>
      <c r="K5239" t="s">
        <v>2021</v>
      </c>
      <c r="L5239" t="s">
        <v>183</v>
      </c>
      <c r="M5239" t="s">
        <v>87</v>
      </c>
      <c r="N5239" t="s">
        <v>181</v>
      </c>
    </row>
    <row r="5240" spans="1:14" x14ac:dyDescent="0.3">
      <c r="A5240" t="s">
        <v>25</v>
      </c>
      <c r="B5240" t="s">
        <v>211</v>
      </c>
      <c r="C5240">
        <v>217</v>
      </c>
      <c r="D5240" t="s">
        <v>121</v>
      </c>
      <c r="E5240" t="s">
        <v>552</v>
      </c>
      <c r="F5240" t="s">
        <v>821</v>
      </c>
      <c r="G5240" t="s">
        <v>103</v>
      </c>
      <c r="H5240" t="s">
        <v>247</v>
      </c>
      <c r="I5240" t="s">
        <v>103</v>
      </c>
      <c r="J5240" t="s">
        <v>97</v>
      </c>
      <c r="K5240" t="s">
        <v>787</v>
      </c>
      <c r="L5240" t="s">
        <v>194</v>
      </c>
      <c r="M5240" t="s">
        <v>103</v>
      </c>
      <c r="N5240" t="s">
        <v>103</v>
      </c>
    </row>
    <row r="5241" spans="1:14" x14ac:dyDescent="0.3">
      <c r="A5241" t="s">
        <v>26</v>
      </c>
      <c r="B5241" t="s">
        <v>211</v>
      </c>
      <c r="C5241">
        <v>72</v>
      </c>
      <c r="D5241" t="s">
        <v>809</v>
      </c>
      <c r="E5241" t="s">
        <v>119</v>
      </c>
      <c r="F5241" t="s">
        <v>440</v>
      </c>
      <c r="G5241" t="s">
        <v>194</v>
      </c>
      <c r="H5241" t="s">
        <v>257</v>
      </c>
      <c r="I5241" t="s">
        <v>98</v>
      </c>
      <c r="J5241" t="s">
        <v>103</v>
      </c>
      <c r="K5241" t="s">
        <v>1369</v>
      </c>
      <c r="L5241" t="s">
        <v>103</v>
      </c>
      <c r="M5241" t="s">
        <v>103</v>
      </c>
      <c r="N5241" t="s">
        <v>103</v>
      </c>
    </row>
    <row r="5242" spans="1:14" x14ac:dyDescent="0.3">
      <c r="A5242" t="s">
        <v>26</v>
      </c>
      <c r="B5242" t="s">
        <v>212</v>
      </c>
      <c r="C5242">
        <v>165</v>
      </c>
      <c r="D5242" t="s">
        <v>686</v>
      </c>
      <c r="E5242" t="s">
        <v>682</v>
      </c>
      <c r="F5242" t="s">
        <v>1028</v>
      </c>
      <c r="G5242" t="s">
        <v>103</v>
      </c>
      <c r="H5242" t="s">
        <v>536</v>
      </c>
      <c r="I5242" t="s">
        <v>345</v>
      </c>
      <c r="J5242" t="s">
        <v>103</v>
      </c>
      <c r="K5242" t="s">
        <v>735</v>
      </c>
      <c r="L5242" t="s">
        <v>103</v>
      </c>
      <c r="M5242" t="s">
        <v>103</v>
      </c>
      <c r="N5242" t="s">
        <v>103</v>
      </c>
    </row>
    <row r="5243" spans="1:14" x14ac:dyDescent="0.3">
      <c r="A5243" t="s">
        <v>29</v>
      </c>
      <c r="B5243" t="s">
        <v>211</v>
      </c>
      <c r="C5243">
        <v>343</v>
      </c>
      <c r="D5243" t="s">
        <v>31</v>
      </c>
      <c r="E5243" t="s">
        <v>695</v>
      </c>
      <c r="F5243" t="s">
        <v>717</v>
      </c>
      <c r="G5243" t="s">
        <v>95</v>
      </c>
      <c r="H5243" t="s">
        <v>488</v>
      </c>
      <c r="I5243" t="s">
        <v>66</v>
      </c>
      <c r="J5243" t="s">
        <v>97</v>
      </c>
      <c r="K5243" t="s">
        <v>769</v>
      </c>
      <c r="L5243" t="s">
        <v>122</v>
      </c>
      <c r="M5243" t="s">
        <v>103</v>
      </c>
      <c r="N5243" t="s">
        <v>103</v>
      </c>
    </row>
    <row r="5244" spans="1:14" x14ac:dyDescent="0.3">
      <c r="A5244" t="s">
        <v>28</v>
      </c>
      <c r="B5244" t="s">
        <v>211</v>
      </c>
      <c r="C5244">
        <v>161</v>
      </c>
      <c r="D5244" t="s">
        <v>646</v>
      </c>
      <c r="E5244" t="s">
        <v>482</v>
      </c>
      <c r="F5244" t="s">
        <v>664</v>
      </c>
      <c r="G5244" t="s">
        <v>139</v>
      </c>
      <c r="H5244" t="s">
        <v>114</v>
      </c>
      <c r="I5244" t="s">
        <v>122</v>
      </c>
      <c r="J5244" t="s">
        <v>103</v>
      </c>
      <c r="K5244" t="s">
        <v>804</v>
      </c>
      <c r="L5244" t="s">
        <v>120</v>
      </c>
      <c r="M5244" t="s">
        <v>103</v>
      </c>
      <c r="N5244" t="s">
        <v>103</v>
      </c>
    </row>
    <row r="5245" spans="1:14" s="3" customFormat="1" x14ac:dyDescent="0.3">
      <c r="A5245" s="3" t="s">
        <v>28</v>
      </c>
      <c r="B5245" s="3" t="s">
        <v>212</v>
      </c>
      <c r="C5245" s="3">
        <v>11</v>
      </c>
      <c r="D5245" s="3" t="s">
        <v>660</v>
      </c>
      <c r="E5245" s="3" t="s">
        <v>466</v>
      </c>
      <c r="F5245" s="3" t="s">
        <v>1441</v>
      </c>
      <c r="G5245" s="3" t="s">
        <v>103</v>
      </c>
      <c r="H5245" s="3" t="s">
        <v>103</v>
      </c>
      <c r="I5245" s="3" t="s">
        <v>103</v>
      </c>
      <c r="J5245" s="3" t="s">
        <v>103</v>
      </c>
      <c r="K5245" s="3" t="s">
        <v>635</v>
      </c>
      <c r="L5245" s="3" t="s">
        <v>103</v>
      </c>
      <c r="M5245" s="3" t="s">
        <v>103</v>
      </c>
      <c r="N5245" s="3" t="s">
        <v>103</v>
      </c>
    </row>
    <row r="5246" spans="1:14" x14ac:dyDescent="0.3">
      <c r="A5246" t="s">
        <v>27</v>
      </c>
      <c r="B5246" t="s">
        <v>211</v>
      </c>
      <c r="C5246">
        <v>158</v>
      </c>
      <c r="D5246" t="s">
        <v>672</v>
      </c>
      <c r="E5246" t="s">
        <v>234</v>
      </c>
      <c r="F5246" t="s">
        <v>1327</v>
      </c>
      <c r="G5246" t="s">
        <v>103</v>
      </c>
      <c r="H5246" t="s">
        <v>242</v>
      </c>
      <c r="I5246" t="s">
        <v>103</v>
      </c>
      <c r="J5246" t="s">
        <v>116</v>
      </c>
      <c r="K5246" t="s">
        <v>1197</v>
      </c>
      <c r="L5246" t="s">
        <v>110</v>
      </c>
      <c r="M5246" t="s">
        <v>97</v>
      </c>
      <c r="N5246" t="s">
        <v>103</v>
      </c>
    </row>
    <row r="5247" spans="1:14" s="3" customFormat="1" x14ac:dyDescent="0.3">
      <c r="A5247" s="3" t="s">
        <v>27</v>
      </c>
      <c r="B5247" s="3" t="s">
        <v>212</v>
      </c>
      <c r="C5247" s="3">
        <v>10</v>
      </c>
      <c r="D5247" s="3" t="s">
        <v>405</v>
      </c>
      <c r="E5247" s="3" t="s">
        <v>521</v>
      </c>
      <c r="F5247" s="3" t="s">
        <v>530</v>
      </c>
      <c r="G5247" s="3" t="s">
        <v>103</v>
      </c>
      <c r="H5247" s="3" t="s">
        <v>103</v>
      </c>
      <c r="I5247" s="3" t="s">
        <v>103</v>
      </c>
      <c r="J5247" s="3" t="s">
        <v>103</v>
      </c>
      <c r="K5247" s="3" t="s">
        <v>103</v>
      </c>
      <c r="L5247" s="3" t="s">
        <v>103</v>
      </c>
      <c r="M5247" s="3" t="s">
        <v>103</v>
      </c>
      <c r="N5247" s="3" t="s">
        <v>103</v>
      </c>
    </row>
    <row r="5248" spans="1:14" x14ac:dyDescent="0.3">
      <c r="A5248" t="s">
        <v>41</v>
      </c>
      <c r="B5248" t="s">
        <v>211</v>
      </c>
      <c r="C5248">
        <v>951</v>
      </c>
      <c r="D5248" t="s">
        <v>875</v>
      </c>
      <c r="E5248" t="s">
        <v>30</v>
      </c>
      <c r="F5248" t="s">
        <v>304</v>
      </c>
      <c r="G5248" t="s">
        <v>120</v>
      </c>
      <c r="H5248" t="s">
        <v>119</v>
      </c>
      <c r="I5248" t="s">
        <v>66</v>
      </c>
      <c r="J5248" t="s">
        <v>122</v>
      </c>
      <c r="K5248" t="s">
        <v>808</v>
      </c>
      <c r="L5248" t="s">
        <v>120</v>
      </c>
      <c r="M5248" t="s">
        <v>103</v>
      </c>
      <c r="N5248" t="s">
        <v>103</v>
      </c>
    </row>
    <row r="5249" spans="1:14" x14ac:dyDescent="0.3">
      <c r="A5249" t="s">
        <v>41</v>
      </c>
      <c r="B5249" t="s">
        <v>212</v>
      </c>
      <c r="C5249">
        <v>186</v>
      </c>
      <c r="D5249" t="s">
        <v>556</v>
      </c>
      <c r="E5249" t="s">
        <v>687</v>
      </c>
      <c r="F5249" t="s">
        <v>370</v>
      </c>
      <c r="G5249" t="s">
        <v>103</v>
      </c>
      <c r="H5249" t="s">
        <v>111</v>
      </c>
      <c r="I5249" t="s">
        <v>345</v>
      </c>
      <c r="J5249" t="s">
        <v>103</v>
      </c>
      <c r="K5249" t="s">
        <v>878</v>
      </c>
      <c r="L5249" t="s">
        <v>103</v>
      </c>
      <c r="M5249" t="s">
        <v>103</v>
      </c>
      <c r="N5249" t="s">
        <v>103</v>
      </c>
    </row>
    <row r="5251" spans="1:14" x14ac:dyDescent="0.3">
      <c r="A5251" t="s">
        <v>2027</v>
      </c>
    </row>
    <row r="5252" spans="1:14" x14ac:dyDescent="0.3">
      <c r="A5252" t="s">
        <v>36</v>
      </c>
      <c r="B5252" t="s">
        <v>307</v>
      </c>
      <c r="C5252" t="s">
        <v>24</v>
      </c>
      <c r="D5252" t="s">
        <v>2028</v>
      </c>
      <c r="E5252" t="s">
        <v>2029</v>
      </c>
      <c r="F5252" t="s">
        <v>2030</v>
      </c>
      <c r="G5252" t="s">
        <v>2031</v>
      </c>
    </row>
    <row r="5253" spans="1:14" x14ac:dyDescent="0.3">
      <c r="A5253" t="s">
        <v>25</v>
      </c>
      <c r="B5253" t="s">
        <v>291</v>
      </c>
      <c r="C5253">
        <v>156</v>
      </c>
      <c r="D5253" t="s">
        <v>1038</v>
      </c>
      <c r="E5253" t="s">
        <v>114</v>
      </c>
      <c r="F5253" t="s">
        <v>1029</v>
      </c>
      <c r="G5253" t="s">
        <v>262</v>
      </c>
    </row>
    <row r="5254" spans="1:14" x14ac:dyDescent="0.3">
      <c r="A5254" t="s">
        <v>25</v>
      </c>
      <c r="B5254" t="s">
        <v>292</v>
      </c>
      <c r="C5254">
        <v>254</v>
      </c>
      <c r="D5254" t="s">
        <v>875</v>
      </c>
      <c r="E5254" t="s">
        <v>120</v>
      </c>
      <c r="F5254" t="s">
        <v>1321</v>
      </c>
      <c r="G5254" t="s">
        <v>649</v>
      </c>
    </row>
    <row r="5255" spans="1:14" x14ac:dyDescent="0.3">
      <c r="A5255" t="s">
        <v>25</v>
      </c>
      <c r="B5255" t="s">
        <v>308</v>
      </c>
      <c r="C5255">
        <v>4</v>
      </c>
      <c r="D5255" t="s">
        <v>693</v>
      </c>
      <c r="E5255" t="s">
        <v>103</v>
      </c>
      <c r="F5255" t="s">
        <v>298</v>
      </c>
      <c r="G5255" t="s">
        <v>456</v>
      </c>
    </row>
    <row r="5256" spans="1:14" x14ac:dyDescent="0.3">
      <c r="A5256" t="s">
        <v>26</v>
      </c>
      <c r="B5256" t="s">
        <v>291</v>
      </c>
      <c r="C5256">
        <v>122</v>
      </c>
      <c r="D5256" t="s">
        <v>580</v>
      </c>
      <c r="E5256" t="s">
        <v>32</v>
      </c>
      <c r="F5256" t="s">
        <v>1329</v>
      </c>
      <c r="G5256" t="s">
        <v>568</v>
      </c>
    </row>
    <row r="5257" spans="1:14" x14ac:dyDescent="0.3">
      <c r="A5257" t="s">
        <v>26</v>
      </c>
      <c r="B5257" t="s">
        <v>292</v>
      </c>
      <c r="C5257">
        <v>352</v>
      </c>
      <c r="D5257" t="s">
        <v>162</v>
      </c>
      <c r="E5257" t="s">
        <v>245</v>
      </c>
      <c r="F5257" t="s">
        <v>356</v>
      </c>
      <c r="G5257" t="s">
        <v>50</v>
      </c>
    </row>
    <row r="5258" spans="1:14" x14ac:dyDescent="0.3">
      <c r="A5258" t="s">
        <v>26</v>
      </c>
      <c r="B5258" t="s">
        <v>308</v>
      </c>
      <c r="C5258">
        <v>3</v>
      </c>
      <c r="D5258" t="s">
        <v>103</v>
      </c>
      <c r="E5258" t="s">
        <v>103</v>
      </c>
      <c r="F5258" t="s">
        <v>784</v>
      </c>
      <c r="G5258" t="s">
        <v>699</v>
      </c>
    </row>
    <row r="5259" spans="1:14" x14ac:dyDescent="0.3">
      <c r="A5259" t="s">
        <v>29</v>
      </c>
      <c r="B5259" t="s">
        <v>291</v>
      </c>
      <c r="C5259">
        <v>205</v>
      </c>
      <c r="D5259" t="s">
        <v>746</v>
      </c>
      <c r="E5259" t="s">
        <v>133</v>
      </c>
      <c r="F5259" t="s">
        <v>1284</v>
      </c>
      <c r="G5259" t="s">
        <v>476</v>
      </c>
    </row>
    <row r="5260" spans="1:14" x14ac:dyDescent="0.3">
      <c r="A5260" t="s">
        <v>29</v>
      </c>
      <c r="B5260" t="s">
        <v>292</v>
      </c>
      <c r="C5260">
        <v>325</v>
      </c>
      <c r="D5260" t="s">
        <v>476</v>
      </c>
      <c r="E5260" t="s">
        <v>127</v>
      </c>
      <c r="F5260" t="s">
        <v>572</v>
      </c>
      <c r="G5260" t="s">
        <v>526</v>
      </c>
    </row>
    <row r="5261" spans="1:14" x14ac:dyDescent="0.3">
      <c r="A5261" t="s">
        <v>28</v>
      </c>
      <c r="B5261" t="s">
        <v>291</v>
      </c>
      <c r="C5261">
        <v>114</v>
      </c>
      <c r="D5261" t="s">
        <v>244</v>
      </c>
      <c r="E5261" t="s">
        <v>194</v>
      </c>
      <c r="F5261" t="s">
        <v>249</v>
      </c>
      <c r="G5261" t="s">
        <v>577</v>
      </c>
    </row>
    <row r="5262" spans="1:14" x14ac:dyDescent="0.3">
      <c r="A5262" t="s">
        <v>28</v>
      </c>
      <c r="B5262" t="s">
        <v>292</v>
      </c>
      <c r="C5262">
        <v>191</v>
      </c>
      <c r="D5262" t="s">
        <v>214</v>
      </c>
      <c r="E5262" t="s">
        <v>245</v>
      </c>
      <c r="F5262" t="s">
        <v>748</v>
      </c>
      <c r="G5262" t="s">
        <v>729</v>
      </c>
    </row>
    <row r="5263" spans="1:14" x14ac:dyDescent="0.3">
      <c r="A5263" t="s">
        <v>28</v>
      </c>
      <c r="B5263" t="s">
        <v>308</v>
      </c>
      <c r="C5263">
        <v>12</v>
      </c>
      <c r="D5263" t="s">
        <v>103</v>
      </c>
      <c r="E5263" t="s">
        <v>103</v>
      </c>
      <c r="F5263" t="s">
        <v>823</v>
      </c>
      <c r="G5263" t="s">
        <v>1093</v>
      </c>
    </row>
    <row r="5264" spans="1:14" x14ac:dyDescent="0.3">
      <c r="A5264" t="s">
        <v>27</v>
      </c>
      <c r="B5264" t="s">
        <v>291</v>
      </c>
      <c r="C5264">
        <v>95</v>
      </c>
      <c r="D5264" t="s">
        <v>453</v>
      </c>
      <c r="E5264" t="s">
        <v>188</v>
      </c>
      <c r="F5264" t="s">
        <v>1579</v>
      </c>
      <c r="G5264" t="s">
        <v>146</v>
      </c>
    </row>
    <row r="5265" spans="1:7" x14ac:dyDescent="0.3">
      <c r="A5265" t="s">
        <v>27</v>
      </c>
      <c r="B5265" t="s">
        <v>292</v>
      </c>
      <c r="C5265">
        <v>198</v>
      </c>
      <c r="D5265" t="s">
        <v>461</v>
      </c>
      <c r="E5265" t="s">
        <v>105</v>
      </c>
      <c r="F5265" t="s">
        <v>979</v>
      </c>
      <c r="G5265" t="s">
        <v>70</v>
      </c>
    </row>
    <row r="5266" spans="1:7" x14ac:dyDescent="0.3">
      <c r="A5266" t="s">
        <v>27</v>
      </c>
      <c r="B5266" t="s">
        <v>308</v>
      </c>
      <c r="C5266">
        <v>7</v>
      </c>
      <c r="D5266" t="s">
        <v>301</v>
      </c>
      <c r="E5266" t="s">
        <v>103</v>
      </c>
      <c r="F5266" t="s">
        <v>410</v>
      </c>
      <c r="G5266" t="s">
        <v>488</v>
      </c>
    </row>
    <row r="5267" spans="1:7" x14ac:dyDescent="0.3">
      <c r="A5267" t="s">
        <v>41</v>
      </c>
      <c r="B5267" t="s">
        <v>291</v>
      </c>
      <c r="C5267">
        <v>692</v>
      </c>
      <c r="D5267" t="s">
        <v>651</v>
      </c>
      <c r="E5267" t="s">
        <v>214</v>
      </c>
      <c r="F5267" t="s">
        <v>1067</v>
      </c>
      <c r="G5267" t="s">
        <v>142</v>
      </c>
    </row>
    <row r="5268" spans="1:7" x14ac:dyDescent="0.3">
      <c r="A5268" t="s">
        <v>41</v>
      </c>
      <c r="B5268" t="s">
        <v>292</v>
      </c>
      <c r="C5268">
        <v>1320</v>
      </c>
      <c r="D5268" t="s">
        <v>681</v>
      </c>
      <c r="E5268" t="s">
        <v>186</v>
      </c>
      <c r="F5268" t="s">
        <v>678</v>
      </c>
      <c r="G5268" t="s">
        <v>483</v>
      </c>
    </row>
    <row r="5269" spans="1:7" x14ac:dyDescent="0.3">
      <c r="A5269" t="s">
        <v>41</v>
      </c>
      <c r="B5269" t="s">
        <v>308</v>
      </c>
      <c r="C5269">
        <v>26</v>
      </c>
      <c r="D5269" t="s">
        <v>205</v>
      </c>
      <c r="E5269" t="s">
        <v>103</v>
      </c>
      <c r="F5269" t="s">
        <v>826</v>
      </c>
      <c r="G5269" t="s">
        <v>503</v>
      </c>
    </row>
    <row r="5271" spans="1:7" x14ac:dyDescent="0.3">
      <c r="A5271" t="s">
        <v>2032</v>
      </c>
    </row>
    <row r="5272" spans="1:7" x14ac:dyDescent="0.3">
      <c r="A5272" t="s">
        <v>36</v>
      </c>
      <c r="B5272" t="s">
        <v>310</v>
      </c>
      <c r="C5272" t="s">
        <v>24</v>
      </c>
      <c r="D5272" t="s">
        <v>2028</v>
      </c>
      <c r="E5272" t="s">
        <v>2029</v>
      </c>
      <c r="F5272" t="s">
        <v>2030</v>
      </c>
      <c r="G5272" t="s">
        <v>2031</v>
      </c>
    </row>
    <row r="5273" spans="1:7" x14ac:dyDescent="0.3">
      <c r="A5273" t="s">
        <v>25</v>
      </c>
      <c r="B5273" t="s">
        <v>311</v>
      </c>
      <c r="C5273">
        <v>324</v>
      </c>
      <c r="D5273" t="s">
        <v>429</v>
      </c>
      <c r="E5273" t="s">
        <v>239</v>
      </c>
      <c r="F5273" t="s">
        <v>628</v>
      </c>
      <c r="G5273" t="s">
        <v>191</v>
      </c>
    </row>
    <row r="5274" spans="1:7" x14ac:dyDescent="0.3">
      <c r="A5274" t="s">
        <v>25</v>
      </c>
      <c r="B5274" t="s">
        <v>312</v>
      </c>
      <c r="C5274">
        <v>80</v>
      </c>
      <c r="D5274" t="s">
        <v>155</v>
      </c>
      <c r="E5274" t="s">
        <v>468</v>
      </c>
      <c r="F5274" t="s">
        <v>2033</v>
      </c>
      <c r="G5274" t="s">
        <v>693</v>
      </c>
    </row>
    <row r="5275" spans="1:7" x14ac:dyDescent="0.3">
      <c r="A5275" t="s">
        <v>25</v>
      </c>
      <c r="B5275" t="s">
        <v>308</v>
      </c>
      <c r="C5275">
        <v>10</v>
      </c>
      <c r="D5275" t="s">
        <v>472</v>
      </c>
      <c r="E5275" t="s">
        <v>524</v>
      </c>
      <c r="F5275" t="s">
        <v>621</v>
      </c>
      <c r="G5275" t="s">
        <v>108</v>
      </c>
    </row>
    <row r="5276" spans="1:7" x14ac:dyDescent="0.3">
      <c r="A5276" t="s">
        <v>26</v>
      </c>
      <c r="B5276" t="s">
        <v>311</v>
      </c>
      <c r="C5276">
        <v>343</v>
      </c>
      <c r="D5276" t="s">
        <v>486</v>
      </c>
      <c r="E5276" t="s">
        <v>118</v>
      </c>
      <c r="F5276" t="s">
        <v>395</v>
      </c>
      <c r="G5276" t="s">
        <v>672</v>
      </c>
    </row>
    <row r="5277" spans="1:7" x14ac:dyDescent="0.3">
      <c r="A5277" t="s">
        <v>26</v>
      </c>
      <c r="B5277" t="s">
        <v>312</v>
      </c>
      <c r="C5277">
        <v>96</v>
      </c>
      <c r="D5277" t="s">
        <v>549</v>
      </c>
      <c r="E5277" t="s">
        <v>103</v>
      </c>
      <c r="F5277" t="s">
        <v>1373</v>
      </c>
      <c r="G5277" t="s">
        <v>580</v>
      </c>
    </row>
    <row r="5278" spans="1:7" x14ac:dyDescent="0.3">
      <c r="A5278" t="s">
        <v>26</v>
      </c>
      <c r="B5278" t="s">
        <v>308</v>
      </c>
      <c r="C5278">
        <v>38</v>
      </c>
      <c r="D5278" t="s">
        <v>206</v>
      </c>
      <c r="E5278" t="s">
        <v>254</v>
      </c>
      <c r="F5278" t="s">
        <v>302</v>
      </c>
      <c r="G5278" t="s">
        <v>750</v>
      </c>
    </row>
    <row r="5279" spans="1:7" x14ac:dyDescent="0.3">
      <c r="A5279" t="s">
        <v>29</v>
      </c>
      <c r="B5279" t="s">
        <v>311</v>
      </c>
      <c r="C5279">
        <v>414</v>
      </c>
      <c r="D5279" t="s">
        <v>1084</v>
      </c>
      <c r="E5279" t="s">
        <v>452</v>
      </c>
      <c r="F5279" t="s">
        <v>358</v>
      </c>
      <c r="G5279" t="s">
        <v>472</v>
      </c>
    </row>
    <row r="5280" spans="1:7" x14ac:dyDescent="0.3">
      <c r="A5280" t="s">
        <v>29</v>
      </c>
      <c r="B5280" t="s">
        <v>312</v>
      </c>
      <c r="C5280">
        <v>103</v>
      </c>
      <c r="D5280" t="s">
        <v>472</v>
      </c>
      <c r="E5280" t="s">
        <v>652</v>
      </c>
      <c r="F5280" t="s">
        <v>1081</v>
      </c>
      <c r="G5280" t="s">
        <v>1093</v>
      </c>
    </row>
    <row r="5281" spans="1:7" x14ac:dyDescent="0.3">
      <c r="A5281" t="s">
        <v>29</v>
      </c>
      <c r="B5281" t="s">
        <v>308</v>
      </c>
      <c r="C5281">
        <v>13</v>
      </c>
      <c r="D5281" t="s">
        <v>579</v>
      </c>
      <c r="E5281" t="s">
        <v>108</v>
      </c>
      <c r="F5281" t="s">
        <v>423</v>
      </c>
      <c r="G5281" t="s">
        <v>581</v>
      </c>
    </row>
    <row r="5282" spans="1:7" x14ac:dyDescent="0.3">
      <c r="A5282" t="s">
        <v>28</v>
      </c>
      <c r="B5282" t="s">
        <v>311</v>
      </c>
      <c r="C5282">
        <v>223</v>
      </c>
      <c r="D5282" t="s">
        <v>482</v>
      </c>
      <c r="E5282" t="s">
        <v>110</v>
      </c>
      <c r="F5282" t="s">
        <v>410</v>
      </c>
      <c r="G5282" t="s">
        <v>402</v>
      </c>
    </row>
    <row r="5283" spans="1:7" x14ac:dyDescent="0.3">
      <c r="A5283" t="s">
        <v>28</v>
      </c>
      <c r="B5283" t="s">
        <v>312</v>
      </c>
      <c r="C5283">
        <v>93</v>
      </c>
      <c r="D5283" t="s">
        <v>93</v>
      </c>
      <c r="E5283" t="s">
        <v>216</v>
      </c>
      <c r="F5283" t="s">
        <v>982</v>
      </c>
      <c r="G5283" t="s">
        <v>529</v>
      </c>
    </row>
    <row r="5284" spans="1:7" x14ac:dyDescent="0.3">
      <c r="A5284" t="s">
        <v>28</v>
      </c>
      <c r="B5284" t="s">
        <v>308</v>
      </c>
      <c r="C5284">
        <v>1</v>
      </c>
      <c r="D5284" t="s">
        <v>103</v>
      </c>
      <c r="E5284" t="s">
        <v>103</v>
      </c>
      <c r="F5284" t="s">
        <v>192</v>
      </c>
      <c r="G5284" t="s">
        <v>103</v>
      </c>
    </row>
    <row r="5285" spans="1:7" x14ac:dyDescent="0.3">
      <c r="A5285" t="s">
        <v>27</v>
      </c>
      <c r="B5285" t="s">
        <v>311</v>
      </c>
      <c r="C5285">
        <v>237</v>
      </c>
      <c r="D5285" t="s">
        <v>683</v>
      </c>
      <c r="E5285" t="s">
        <v>64</v>
      </c>
      <c r="F5285" t="s">
        <v>372</v>
      </c>
      <c r="G5285" t="s">
        <v>101</v>
      </c>
    </row>
    <row r="5286" spans="1:7" x14ac:dyDescent="0.3">
      <c r="A5286" t="s">
        <v>27</v>
      </c>
      <c r="B5286" t="s">
        <v>312</v>
      </c>
      <c r="C5286">
        <v>60</v>
      </c>
      <c r="D5286" t="s">
        <v>815</v>
      </c>
      <c r="E5286" t="s">
        <v>103</v>
      </c>
      <c r="F5286" t="s">
        <v>1375</v>
      </c>
      <c r="G5286" t="s">
        <v>615</v>
      </c>
    </row>
    <row r="5287" spans="1:7" x14ac:dyDescent="0.3">
      <c r="A5287" t="s">
        <v>27</v>
      </c>
      <c r="B5287" t="s">
        <v>308</v>
      </c>
      <c r="C5287">
        <v>3</v>
      </c>
      <c r="D5287" t="s">
        <v>103</v>
      </c>
      <c r="E5287" t="s">
        <v>103</v>
      </c>
      <c r="F5287" t="s">
        <v>943</v>
      </c>
      <c r="G5287" t="s">
        <v>527</v>
      </c>
    </row>
    <row r="5288" spans="1:7" x14ac:dyDescent="0.3">
      <c r="A5288" t="s">
        <v>41</v>
      </c>
      <c r="B5288" t="s">
        <v>311</v>
      </c>
      <c r="C5288">
        <v>1541</v>
      </c>
      <c r="D5288" t="s">
        <v>644</v>
      </c>
      <c r="E5288" t="s">
        <v>114</v>
      </c>
      <c r="F5288" t="s">
        <v>231</v>
      </c>
      <c r="G5288" t="s">
        <v>253</v>
      </c>
    </row>
    <row r="5289" spans="1:7" x14ac:dyDescent="0.3">
      <c r="A5289" t="s">
        <v>41</v>
      </c>
      <c r="B5289" t="s">
        <v>312</v>
      </c>
      <c r="C5289">
        <v>432</v>
      </c>
      <c r="D5289" t="s">
        <v>160</v>
      </c>
      <c r="E5289" t="s">
        <v>284</v>
      </c>
      <c r="F5289" t="s">
        <v>1053</v>
      </c>
      <c r="G5289" t="s">
        <v>646</v>
      </c>
    </row>
    <row r="5290" spans="1:7" x14ac:dyDescent="0.3">
      <c r="A5290" t="s">
        <v>41</v>
      </c>
      <c r="B5290" t="s">
        <v>308</v>
      </c>
      <c r="C5290">
        <v>65</v>
      </c>
      <c r="D5290" t="s">
        <v>119</v>
      </c>
      <c r="E5290" t="s">
        <v>629</v>
      </c>
      <c r="F5290" t="s">
        <v>620</v>
      </c>
      <c r="G5290" t="s">
        <v>687</v>
      </c>
    </row>
    <row r="5292" spans="1:7" x14ac:dyDescent="0.3">
      <c r="A5292" t="s">
        <v>2034</v>
      </c>
    </row>
    <row r="5293" spans="1:7" x14ac:dyDescent="0.3">
      <c r="A5293" t="s">
        <v>36</v>
      </c>
      <c r="B5293" t="s">
        <v>197</v>
      </c>
      <c r="C5293" t="s">
        <v>24</v>
      </c>
      <c r="D5293" t="s">
        <v>2028</v>
      </c>
      <c r="E5293" t="s">
        <v>2029</v>
      </c>
      <c r="F5293" t="s">
        <v>2030</v>
      </c>
      <c r="G5293" t="s">
        <v>2031</v>
      </c>
    </row>
    <row r="5294" spans="1:7" x14ac:dyDescent="0.3">
      <c r="A5294" t="s">
        <v>25</v>
      </c>
      <c r="B5294" t="s">
        <v>198</v>
      </c>
      <c r="C5294">
        <v>104</v>
      </c>
      <c r="D5294" t="s">
        <v>155</v>
      </c>
      <c r="E5294" t="s">
        <v>114</v>
      </c>
      <c r="F5294" t="s">
        <v>717</v>
      </c>
      <c r="G5294" t="s">
        <v>549</v>
      </c>
    </row>
    <row r="5295" spans="1:7" x14ac:dyDescent="0.3">
      <c r="A5295" t="s">
        <v>25</v>
      </c>
      <c r="B5295" t="s">
        <v>199</v>
      </c>
      <c r="C5295">
        <v>310</v>
      </c>
      <c r="D5295" t="s">
        <v>301</v>
      </c>
      <c r="E5295" t="s">
        <v>194</v>
      </c>
      <c r="F5295" t="s">
        <v>300</v>
      </c>
      <c r="G5295" t="s">
        <v>135</v>
      </c>
    </row>
    <row r="5296" spans="1:7" x14ac:dyDescent="0.3">
      <c r="A5296" t="s">
        <v>26</v>
      </c>
      <c r="B5296" t="s">
        <v>198</v>
      </c>
      <c r="C5296">
        <v>41</v>
      </c>
      <c r="D5296" t="s">
        <v>521</v>
      </c>
      <c r="E5296" t="s">
        <v>118</v>
      </c>
      <c r="F5296" t="s">
        <v>294</v>
      </c>
      <c r="G5296" t="s">
        <v>548</v>
      </c>
    </row>
    <row r="5297" spans="1:7" x14ac:dyDescent="0.3">
      <c r="A5297" t="s">
        <v>26</v>
      </c>
      <c r="B5297" t="s">
        <v>199</v>
      </c>
      <c r="C5297">
        <v>436</v>
      </c>
      <c r="D5297" t="s">
        <v>273</v>
      </c>
      <c r="E5297" t="s">
        <v>257</v>
      </c>
      <c r="F5297" t="s">
        <v>835</v>
      </c>
      <c r="G5297" t="s">
        <v>727</v>
      </c>
    </row>
    <row r="5298" spans="1:7" x14ac:dyDescent="0.3">
      <c r="A5298" t="s">
        <v>29</v>
      </c>
      <c r="B5298" t="s">
        <v>198</v>
      </c>
      <c r="C5298">
        <v>170</v>
      </c>
      <c r="D5298" t="s">
        <v>1227</v>
      </c>
      <c r="E5298" t="s">
        <v>100</v>
      </c>
      <c r="F5298" t="s">
        <v>427</v>
      </c>
      <c r="G5298" t="s">
        <v>900</v>
      </c>
    </row>
    <row r="5299" spans="1:7" x14ac:dyDescent="0.3">
      <c r="A5299" t="s">
        <v>29</v>
      </c>
      <c r="B5299" t="s">
        <v>199</v>
      </c>
      <c r="C5299">
        <v>360</v>
      </c>
      <c r="D5299" t="s">
        <v>548</v>
      </c>
      <c r="E5299" t="s">
        <v>94</v>
      </c>
      <c r="F5299" t="s">
        <v>1404</v>
      </c>
      <c r="G5299" t="s">
        <v>727</v>
      </c>
    </row>
    <row r="5300" spans="1:7" x14ac:dyDescent="0.3">
      <c r="A5300" t="s">
        <v>28</v>
      </c>
      <c r="B5300" t="s">
        <v>198</v>
      </c>
      <c r="C5300">
        <v>70</v>
      </c>
      <c r="D5300" t="s">
        <v>103</v>
      </c>
      <c r="E5300" t="s">
        <v>103</v>
      </c>
      <c r="F5300" t="s">
        <v>1056</v>
      </c>
      <c r="G5300" t="s">
        <v>256</v>
      </c>
    </row>
    <row r="5301" spans="1:7" x14ac:dyDescent="0.3">
      <c r="A5301" t="s">
        <v>28</v>
      </c>
      <c r="B5301" t="s">
        <v>199</v>
      </c>
      <c r="C5301">
        <v>247</v>
      </c>
      <c r="D5301" t="s">
        <v>191</v>
      </c>
      <c r="E5301" t="s">
        <v>341</v>
      </c>
      <c r="F5301" t="s">
        <v>441</v>
      </c>
      <c r="G5301" t="s">
        <v>1057</v>
      </c>
    </row>
    <row r="5302" spans="1:7" x14ac:dyDescent="0.3">
      <c r="A5302" t="s">
        <v>27</v>
      </c>
      <c r="B5302" t="s">
        <v>198</v>
      </c>
      <c r="C5302">
        <v>136</v>
      </c>
      <c r="D5302" t="s">
        <v>650</v>
      </c>
      <c r="E5302" t="s">
        <v>103</v>
      </c>
      <c r="F5302" t="s">
        <v>1321</v>
      </c>
      <c r="G5302" t="s">
        <v>629</v>
      </c>
    </row>
    <row r="5303" spans="1:7" x14ac:dyDescent="0.3">
      <c r="A5303" t="s">
        <v>27</v>
      </c>
      <c r="B5303" t="s">
        <v>199</v>
      </c>
      <c r="C5303">
        <v>164</v>
      </c>
      <c r="D5303" t="s">
        <v>489</v>
      </c>
      <c r="E5303" t="s">
        <v>201</v>
      </c>
      <c r="F5303" t="s">
        <v>410</v>
      </c>
      <c r="G5303" t="s">
        <v>214</v>
      </c>
    </row>
    <row r="5304" spans="1:7" x14ac:dyDescent="0.3">
      <c r="A5304" t="s">
        <v>41</v>
      </c>
      <c r="B5304" t="s">
        <v>198</v>
      </c>
      <c r="C5304">
        <v>521</v>
      </c>
      <c r="D5304" t="s">
        <v>539</v>
      </c>
      <c r="E5304" t="s">
        <v>112</v>
      </c>
      <c r="F5304" t="s">
        <v>1260</v>
      </c>
      <c r="G5304" t="s">
        <v>579</v>
      </c>
    </row>
    <row r="5305" spans="1:7" x14ac:dyDescent="0.3">
      <c r="A5305" t="s">
        <v>41</v>
      </c>
      <c r="B5305" t="s">
        <v>199</v>
      </c>
      <c r="C5305">
        <v>1517</v>
      </c>
      <c r="D5305" t="s">
        <v>672</v>
      </c>
      <c r="E5305" t="s">
        <v>114</v>
      </c>
      <c r="F5305" t="s">
        <v>793</v>
      </c>
      <c r="G5305" t="s">
        <v>483</v>
      </c>
    </row>
    <row r="5307" spans="1:7" x14ac:dyDescent="0.3">
      <c r="A5307" t="s">
        <v>2035</v>
      </c>
    </row>
    <row r="5308" spans="1:7" x14ac:dyDescent="0.3">
      <c r="A5308" t="s">
        <v>36</v>
      </c>
      <c r="B5308" t="s">
        <v>24</v>
      </c>
      <c r="C5308" t="s">
        <v>2028</v>
      </c>
      <c r="D5308" t="s">
        <v>2029</v>
      </c>
      <c r="E5308" t="s">
        <v>2030</v>
      </c>
      <c r="F5308" t="s">
        <v>2031</v>
      </c>
    </row>
    <row r="5309" spans="1:7" x14ac:dyDescent="0.3">
      <c r="A5309" t="s">
        <v>25</v>
      </c>
      <c r="B5309">
        <v>414</v>
      </c>
      <c r="C5309" t="s">
        <v>250</v>
      </c>
      <c r="D5309" t="s">
        <v>105</v>
      </c>
      <c r="E5309" t="s">
        <v>419</v>
      </c>
      <c r="F5309" t="s">
        <v>99</v>
      </c>
    </row>
    <row r="5310" spans="1:7" x14ac:dyDescent="0.3">
      <c r="A5310" t="s">
        <v>26</v>
      </c>
      <c r="B5310">
        <v>477</v>
      </c>
      <c r="C5310" t="s">
        <v>275</v>
      </c>
      <c r="D5310" t="s">
        <v>257</v>
      </c>
      <c r="E5310" t="s">
        <v>835</v>
      </c>
      <c r="F5310" t="s">
        <v>727</v>
      </c>
    </row>
    <row r="5311" spans="1:7" x14ac:dyDescent="0.3">
      <c r="A5311" t="s">
        <v>29</v>
      </c>
      <c r="B5311">
        <v>530</v>
      </c>
      <c r="C5311" t="s">
        <v>667</v>
      </c>
      <c r="D5311" t="s">
        <v>607</v>
      </c>
      <c r="E5311" t="s">
        <v>387</v>
      </c>
      <c r="F5311" t="s">
        <v>732</v>
      </c>
    </row>
    <row r="5312" spans="1:7" x14ac:dyDescent="0.3">
      <c r="A5312" t="s">
        <v>28</v>
      </c>
      <c r="B5312">
        <v>317</v>
      </c>
      <c r="C5312" t="s">
        <v>124</v>
      </c>
      <c r="D5312" t="s">
        <v>239</v>
      </c>
      <c r="E5312" t="s">
        <v>371</v>
      </c>
      <c r="F5312" t="s">
        <v>382</v>
      </c>
    </row>
    <row r="5313" spans="1:68" x14ac:dyDescent="0.3">
      <c r="A5313" t="s">
        <v>27</v>
      </c>
      <c r="B5313">
        <v>300</v>
      </c>
      <c r="C5313" t="s">
        <v>788</v>
      </c>
      <c r="D5313" t="s">
        <v>128</v>
      </c>
      <c r="E5313" t="s">
        <v>1221</v>
      </c>
      <c r="F5313" t="s">
        <v>511</v>
      </c>
    </row>
    <row r="5314" spans="1:68" x14ac:dyDescent="0.3">
      <c r="A5314" t="s">
        <v>41</v>
      </c>
      <c r="B5314">
        <v>2038</v>
      </c>
      <c r="C5314" t="s">
        <v>1198</v>
      </c>
      <c r="D5314" t="s">
        <v>113</v>
      </c>
      <c r="E5314" t="s">
        <v>1292</v>
      </c>
      <c r="F5314" t="s">
        <v>142</v>
      </c>
    </row>
    <row r="5316" spans="1:68" x14ac:dyDescent="0.3">
      <c r="A5316" t="s">
        <v>2036</v>
      </c>
    </row>
    <row r="5317" spans="1:68" x14ac:dyDescent="0.3">
      <c r="A5317" t="s">
        <v>36</v>
      </c>
      <c r="B5317" t="s">
        <v>2037</v>
      </c>
      <c r="C5317" t="s">
        <v>2038</v>
      </c>
      <c r="D5317" t="s">
        <v>2039</v>
      </c>
      <c r="E5317" t="s">
        <v>2040</v>
      </c>
      <c r="F5317" t="s">
        <v>2041</v>
      </c>
      <c r="G5317" t="s">
        <v>2042</v>
      </c>
      <c r="H5317" t="s">
        <v>2043</v>
      </c>
      <c r="I5317" t="s">
        <v>2044</v>
      </c>
      <c r="J5317" t="s">
        <v>2045</v>
      </c>
      <c r="K5317" t="s">
        <v>2046</v>
      </c>
      <c r="L5317" t="s">
        <v>2047</v>
      </c>
      <c r="M5317" t="s">
        <v>2048</v>
      </c>
      <c r="N5317" t="s">
        <v>2049</v>
      </c>
      <c r="O5317" t="s">
        <v>2050</v>
      </c>
      <c r="P5317" t="s">
        <v>2051</v>
      </c>
      <c r="Q5317" t="s">
        <v>2052</v>
      </c>
      <c r="R5317" t="s">
        <v>2053</v>
      </c>
      <c r="S5317" t="s">
        <v>2054</v>
      </c>
      <c r="T5317" t="s">
        <v>2055</v>
      </c>
      <c r="U5317" t="s">
        <v>2056</v>
      </c>
      <c r="V5317" t="s">
        <v>2057</v>
      </c>
      <c r="W5317" t="s">
        <v>2058</v>
      </c>
      <c r="X5317" t="s">
        <v>2059</v>
      </c>
      <c r="Y5317" t="s">
        <v>2060</v>
      </c>
      <c r="Z5317" t="s">
        <v>2061</v>
      </c>
      <c r="AA5317" t="s">
        <v>2062</v>
      </c>
      <c r="AB5317" t="s">
        <v>2063</v>
      </c>
      <c r="AC5317" t="s">
        <v>2064</v>
      </c>
      <c r="AD5317" t="s">
        <v>2065</v>
      </c>
      <c r="AE5317" t="s">
        <v>2066</v>
      </c>
      <c r="AF5317" t="s">
        <v>2067</v>
      </c>
      <c r="AG5317" t="s">
        <v>2068</v>
      </c>
      <c r="AH5317" t="s">
        <v>2069</v>
      </c>
      <c r="AI5317" t="s">
        <v>2070</v>
      </c>
      <c r="AJ5317" t="s">
        <v>2071</v>
      </c>
      <c r="AK5317" t="s">
        <v>2072</v>
      </c>
      <c r="AL5317" t="s">
        <v>2073</v>
      </c>
      <c r="AM5317" t="s">
        <v>2074</v>
      </c>
      <c r="AN5317" t="s">
        <v>2075</v>
      </c>
      <c r="AO5317" t="s">
        <v>2076</v>
      </c>
      <c r="AP5317" t="s">
        <v>2077</v>
      </c>
      <c r="AQ5317" t="s">
        <v>2078</v>
      </c>
      <c r="AR5317" t="s">
        <v>2079</v>
      </c>
      <c r="AS5317" t="s">
        <v>2080</v>
      </c>
      <c r="AT5317" t="s">
        <v>2081</v>
      </c>
      <c r="AU5317" t="s">
        <v>2082</v>
      </c>
      <c r="AV5317" t="s">
        <v>2083</v>
      </c>
      <c r="AW5317" t="s">
        <v>2084</v>
      </c>
      <c r="AX5317" t="s">
        <v>2085</v>
      </c>
      <c r="AY5317" t="s">
        <v>2086</v>
      </c>
      <c r="AZ5317" t="s">
        <v>2087</v>
      </c>
      <c r="BA5317" t="s">
        <v>2088</v>
      </c>
      <c r="BB5317" t="s">
        <v>2089</v>
      </c>
      <c r="BC5317" t="s">
        <v>2090</v>
      </c>
      <c r="BD5317" t="s">
        <v>2091</v>
      </c>
      <c r="BE5317" t="s">
        <v>2092</v>
      </c>
      <c r="BF5317" t="s">
        <v>2093</v>
      </c>
      <c r="BG5317" t="s">
        <v>2094</v>
      </c>
      <c r="BH5317" t="s">
        <v>2095</v>
      </c>
      <c r="BI5317" t="s">
        <v>2096</v>
      </c>
      <c r="BJ5317" t="s">
        <v>2097</v>
      </c>
      <c r="BK5317" t="s">
        <v>2098</v>
      </c>
      <c r="BL5317" t="s">
        <v>2099</v>
      </c>
      <c r="BM5317" t="s">
        <v>2100</v>
      </c>
      <c r="BN5317" t="s">
        <v>2101</v>
      </c>
      <c r="BO5317" t="s">
        <v>2102</v>
      </c>
    </row>
    <row r="5318" spans="1:68" x14ac:dyDescent="0.3">
      <c r="A5318" t="s">
        <v>25</v>
      </c>
      <c r="B5318">
        <v>414</v>
      </c>
      <c r="C5318" t="s">
        <v>258</v>
      </c>
      <c r="D5318" t="s">
        <v>122</v>
      </c>
      <c r="E5318" t="s">
        <v>480</v>
      </c>
      <c r="F5318" t="s">
        <v>33</v>
      </c>
      <c r="G5318" t="s">
        <v>591</v>
      </c>
      <c r="H5318">
        <v>414</v>
      </c>
      <c r="I5318" t="s">
        <v>1015</v>
      </c>
      <c r="J5318" t="s">
        <v>575</v>
      </c>
      <c r="K5318" t="s">
        <v>1014</v>
      </c>
      <c r="L5318" t="s">
        <v>33</v>
      </c>
      <c r="M5318" t="s">
        <v>157</v>
      </c>
      <c r="N5318">
        <v>414</v>
      </c>
      <c r="O5318" t="s">
        <v>143</v>
      </c>
      <c r="P5318" t="s">
        <v>66</v>
      </c>
      <c r="Q5318" t="s">
        <v>460</v>
      </c>
      <c r="R5318" t="s">
        <v>33</v>
      </c>
      <c r="S5318" t="s">
        <v>558</v>
      </c>
      <c r="T5318">
        <v>414</v>
      </c>
      <c r="U5318" t="s">
        <v>622</v>
      </c>
      <c r="V5318" t="s">
        <v>97</v>
      </c>
      <c r="W5318" t="s">
        <v>60</v>
      </c>
      <c r="X5318" t="s">
        <v>33</v>
      </c>
      <c r="Y5318" t="s">
        <v>102</v>
      </c>
      <c r="Z5318">
        <v>414</v>
      </c>
      <c r="AA5318" t="s">
        <v>502</v>
      </c>
      <c r="AB5318" t="s">
        <v>66</v>
      </c>
      <c r="AC5318" t="s">
        <v>112</v>
      </c>
      <c r="AD5318" t="s">
        <v>33</v>
      </c>
      <c r="AE5318" t="s">
        <v>875</v>
      </c>
      <c r="AF5318">
        <v>414</v>
      </c>
      <c r="AG5318" t="s">
        <v>426</v>
      </c>
      <c r="AH5318" t="s">
        <v>122</v>
      </c>
      <c r="AI5318" t="s">
        <v>365</v>
      </c>
      <c r="AJ5318" t="s">
        <v>33</v>
      </c>
      <c r="AK5318" t="s">
        <v>239</v>
      </c>
      <c r="AL5318">
        <v>414</v>
      </c>
      <c r="AM5318" t="s">
        <v>2103</v>
      </c>
      <c r="AN5318" t="s">
        <v>455</v>
      </c>
      <c r="AO5318" t="s">
        <v>33</v>
      </c>
      <c r="AP5318" t="s">
        <v>103</v>
      </c>
      <c r="AQ5318" t="s">
        <v>103</v>
      </c>
      <c r="AR5318">
        <v>414</v>
      </c>
      <c r="AS5318" t="s">
        <v>878</v>
      </c>
      <c r="AT5318" t="s">
        <v>91</v>
      </c>
      <c r="AU5318" t="s">
        <v>918</v>
      </c>
      <c r="AV5318" t="s">
        <v>33</v>
      </c>
      <c r="AW5318" t="s">
        <v>239</v>
      </c>
      <c r="AX5318">
        <v>414</v>
      </c>
      <c r="AY5318" t="s">
        <v>2104</v>
      </c>
      <c r="AZ5318" t="s">
        <v>104</v>
      </c>
      <c r="BA5318" t="s">
        <v>33</v>
      </c>
      <c r="BB5318" t="s">
        <v>97</v>
      </c>
      <c r="BC5318" t="s">
        <v>103</v>
      </c>
      <c r="BD5318">
        <v>414</v>
      </c>
      <c r="BE5318" t="s">
        <v>1418</v>
      </c>
      <c r="BF5318" t="s">
        <v>122</v>
      </c>
      <c r="BG5318" t="s">
        <v>1011</v>
      </c>
      <c r="BH5318" t="s">
        <v>33</v>
      </c>
      <c r="BI5318" t="s">
        <v>194</v>
      </c>
      <c r="BJ5318">
        <v>414</v>
      </c>
      <c r="BK5318" t="s">
        <v>163</v>
      </c>
      <c r="BL5318" t="s">
        <v>126</v>
      </c>
      <c r="BM5318" t="s">
        <v>33</v>
      </c>
      <c r="BN5318" t="s">
        <v>110</v>
      </c>
      <c r="BO5318" t="s">
        <v>103</v>
      </c>
    </row>
    <row r="5319" spans="1:68" x14ac:dyDescent="0.3">
      <c r="A5319" t="s">
        <v>26</v>
      </c>
      <c r="B5319">
        <v>477</v>
      </c>
      <c r="C5319" t="s">
        <v>1220</v>
      </c>
      <c r="D5319" t="s">
        <v>282</v>
      </c>
      <c r="E5319" t="s">
        <v>934</v>
      </c>
      <c r="F5319" t="s">
        <v>103</v>
      </c>
      <c r="G5319" t="s">
        <v>216</v>
      </c>
      <c r="H5319">
        <v>477</v>
      </c>
      <c r="I5319" t="s">
        <v>1220</v>
      </c>
      <c r="J5319" t="s">
        <v>652</v>
      </c>
      <c r="K5319" t="s">
        <v>685</v>
      </c>
      <c r="L5319" t="s">
        <v>103</v>
      </c>
      <c r="M5319" t="s">
        <v>123</v>
      </c>
      <c r="N5319">
        <v>477</v>
      </c>
      <c r="O5319" t="s">
        <v>1441</v>
      </c>
      <c r="P5319" t="s">
        <v>128</v>
      </c>
      <c r="Q5319" t="s">
        <v>472</v>
      </c>
      <c r="R5319" t="s">
        <v>103</v>
      </c>
      <c r="S5319" t="s">
        <v>532</v>
      </c>
      <c r="T5319">
        <v>477</v>
      </c>
      <c r="U5319" t="s">
        <v>1046</v>
      </c>
      <c r="V5319" t="s">
        <v>103</v>
      </c>
      <c r="W5319" t="s">
        <v>1319</v>
      </c>
      <c r="X5319" t="s">
        <v>103</v>
      </c>
      <c r="Y5319" t="s">
        <v>99</v>
      </c>
      <c r="Z5319">
        <v>477</v>
      </c>
      <c r="AA5319" t="s">
        <v>618</v>
      </c>
      <c r="AB5319" t="s">
        <v>103</v>
      </c>
      <c r="AC5319" t="s">
        <v>575</v>
      </c>
      <c r="AD5319" t="s">
        <v>103</v>
      </c>
      <c r="AE5319" t="s">
        <v>470</v>
      </c>
      <c r="AF5319">
        <v>477</v>
      </c>
      <c r="AG5319" t="s">
        <v>1259</v>
      </c>
      <c r="AH5319" t="s">
        <v>103</v>
      </c>
      <c r="AI5319" t="s">
        <v>746</v>
      </c>
      <c r="AJ5319" t="s">
        <v>103</v>
      </c>
      <c r="AK5319" t="s">
        <v>194</v>
      </c>
      <c r="AL5319">
        <v>477</v>
      </c>
      <c r="AM5319" t="s">
        <v>1556</v>
      </c>
      <c r="AN5319" t="s">
        <v>1425</v>
      </c>
      <c r="AO5319" t="s">
        <v>103</v>
      </c>
      <c r="AP5319" t="s">
        <v>97</v>
      </c>
      <c r="AQ5319" t="s">
        <v>103</v>
      </c>
      <c r="AR5319">
        <v>477</v>
      </c>
      <c r="AS5319" t="s">
        <v>821</v>
      </c>
      <c r="AT5319" t="s">
        <v>91</v>
      </c>
      <c r="AU5319" t="s">
        <v>503</v>
      </c>
      <c r="AV5319" t="s">
        <v>103</v>
      </c>
      <c r="AW5319" t="s">
        <v>66</v>
      </c>
      <c r="AX5319">
        <v>477</v>
      </c>
      <c r="AY5319" t="s">
        <v>821</v>
      </c>
      <c r="AZ5319" t="s">
        <v>921</v>
      </c>
      <c r="BA5319" t="s">
        <v>103</v>
      </c>
      <c r="BB5319" t="s">
        <v>282</v>
      </c>
      <c r="BC5319" t="s">
        <v>66</v>
      </c>
      <c r="BD5319">
        <v>477</v>
      </c>
      <c r="BE5319" t="s">
        <v>1210</v>
      </c>
      <c r="BF5319" t="s">
        <v>66</v>
      </c>
      <c r="BG5319" t="s">
        <v>675</v>
      </c>
      <c r="BH5319" t="s">
        <v>103</v>
      </c>
      <c r="BI5319" t="s">
        <v>103</v>
      </c>
      <c r="BJ5319">
        <v>477</v>
      </c>
      <c r="BK5319" t="s">
        <v>769</v>
      </c>
      <c r="BL5319" t="s">
        <v>476</v>
      </c>
      <c r="BM5319" t="s">
        <v>103</v>
      </c>
      <c r="BN5319" t="s">
        <v>282</v>
      </c>
      <c r="BO5319" t="s">
        <v>103</v>
      </c>
    </row>
    <row r="5320" spans="1:68" x14ac:dyDescent="0.3">
      <c r="A5320" t="s">
        <v>29</v>
      </c>
      <c r="B5320">
        <v>530</v>
      </c>
      <c r="C5320" t="s">
        <v>358</v>
      </c>
      <c r="D5320" t="s">
        <v>345</v>
      </c>
      <c r="E5320" t="s">
        <v>627</v>
      </c>
      <c r="F5320" t="s">
        <v>133</v>
      </c>
      <c r="G5320" t="s">
        <v>245</v>
      </c>
      <c r="H5320">
        <v>530</v>
      </c>
      <c r="I5320" t="s">
        <v>1054</v>
      </c>
      <c r="J5320" t="s">
        <v>511</v>
      </c>
      <c r="K5320" t="s">
        <v>695</v>
      </c>
      <c r="L5320" t="s">
        <v>662</v>
      </c>
      <c r="M5320" t="s">
        <v>505</v>
      </c>
      <c r="N5320">
        <v>530</v>
      </c>
      <c r="O5320" t="s">
        <v>1400</v>
      </c>
      <c r="P5320" t="s">
        <v>95</v>
      </c>
      <c r="Q5320" t="s">
        <v>244</v>
      </c>
      <c r="R5320" t="s">
        <v>662</v>
      </c>
      <c r="S5320" t="s">
        <v>262</v>
      </c>
      <c r="T5320">
        <v>530</v>
      </c>
      <c r="U5320" t="s">
        <v>1243</v>
      </c>
      <c r="V5320" t="s">
        <v>95</v>
      </c>
      <c r="W5320" t="s">
        <v>160</v>
      </c>
      <c r="X5320" t="s">
        <v>133</v>
      </c>
      <c r="Y5320" t="s">
        <v>131</v>
      </c>
      <c r="Z5320">
        <v>530</v>
      </c>
      <c r="AA5320" t="s">
        <v>1044</v>
      </c>
      <c r="AB5320" t="s">
        <v>120</v>
      </c>
      <c r="AC5320" t="s">
        <v>737</v>
      </c>
      <c r="AD5320" t="s">
        <v>662</v>
      </c>
      <c r="AE5320" t="s">
        <v>478</v>
      </c>
      <c r="AF5320">
        <v>530</v>
      </c>
      <c r="AG5320" t="s">
        <v>796</v>
      </c>
      <c r="AH5320" t="s">
        <v>95</v>
      </c>
      <c r="AI5320" t="s">
        <v>554</v>
      </c>
      <c r="AJ5320" t="s">
        <v>133</v>
      </c>
      <c r="AK5320" t="s">
        <v>214</v>
      </c>
      <c r="AL5320">
        <v>530</v>
      </c>
      <c r="AM5320" t="s">
        <v>664</v>
      </c>
      <c r="AN5320" t="s">
        <v>399</v>
      </c>
      <c r="AO5320" t="s">
        <v>133</v>
      </c>
      <c r="AP5320" t="s">
        <v>95</v>
      </c>
      <c r="AQ5320" t="s">
        <v>66</v>
      </c>
      <c r="AR5320">
        <v>530</v>
      </c>
      <c r="AS5320" t="s">
        <v>1222</v>
      </c>
      <c r="AT5320" t="s">
        <v>98</v>
      </c>
      <c r="AU5320" t="s">
        <v>522</v>
      </c>
      <c r="AV5320" t="s">
        <v>558</v>
      </c>
      <c r="AW5320" t="s">
        <v>216</v>
      </c>
      <c r="AX5320">
        <v>530</v>
      </c>
      <c r="AY5320" t="s">
        <v>2033</v>
      </c>
      <c r="AZ5320" t="s">
        <v>1198</v>
      </c>
      <c r="BA5320" t="s">
        <v>133</v>
      </c>
      <c r="BB5320" t="s">
        <v>195</v>
      </c>
      <c r="BC5320" t="s">
        <v>116</v>
      </c>
      <c r="BD5320">
        <v>530</v>
      </c>
      <c r="BE5320" t="s">
        <v>1396</v>
      </c>
      <c r="BF5320" t="s">
        <v>468</v>
      </c>
      <c r="BG5320" t="s">
        <v>1402</v>
      </c>
      <c r="BH5320" t="s">
        <v>662</v>
      </c>
      <c r="BI5320" t="s">
        <v>120</v>
      </c>
      <c r="BJ5320">
        <v>530</v>
      </c>
      <c r="BK5320" t="s">
        <v>1348</v>
      </c>
      <c r="BL5320" t="s">
        <v>488</v>
      </c>
      <c r="BM5320" t="s">
        <v>452</v>
      </c>
      <c r="BN5320" t="s">
        <v>217</v>
      </c>
      <c r="BO5320" t="s">
        <v>97</v>
      </c>
    </row>
    <row r="5321" spans="1:68" x14ac:dyDescent="0.3">
      <c r="A5321" t="s">
        <v>28</v>
      </c>
      <c r="B5321">
        <v>317</v>
      </c>
      <c r="C5321" t="s">
        <v>768</v>
      </c>
      <c r="D5321" t="s">
        <v>66</v>
      </c>
      <c r="E5321" t="s">
        <v>468</v>
      </c>
      <c r="F5321" t="s">
        <v>66</v>
      </c>
      <c r="G5321" t="s">
        <v>282</v>
      </c>
      <c r="H5321">
        <v>317</v>
      </c>
      <c r="I5321" t="s">
        <v>1456</v>
      </c>
      <c r="J5321" t="s">
        <v>32</v>
      </c>
      <c r="K5321" t="s">
        <v>118</v>
      </c>
      <c r="L5321" t="s">
        <v>66</v>
      </c>
      <c r="M5321" t="s">
        <v>536</v>
      </c>
      <c r="N5321">
        <v>317</v>
      </c>
      <c r="O5321" t="s">
        <v>339</v>
      </c>
      <c r="P5321" t="s">
        <v>103</v>
      </c>
      <c r="Q5321" t="s">
        <v>139</v>
      </c>
      <c r="R5321" t="s">
        <v>66</v>
      </c>
      <c r="S5321" t="s">
        <v>110</v>
      </c>
      <c r="T5321">
        <v>317</v>
      </c>
      <c r="U5321" t="s">
        <v>728</v>
      </c>
      <c r="V5321" t="s">
        <v>103</v>
      </c>
      <c r="W5321" t="s">
        <v>66</v>
      </c>
      <c r="X5321" t="s">
        <v>66</v>
      </c>
      <c r="Y5321" t="s">
        <v>555</v>
      </c>
      <c r="Z5321">
        <v>317</v>
      </c>
      <c r="AA5321" t="s">
        <v>1484</v>
      </c>
      <c r="AB5321" t="s">
        <v>103</v>
      </c>
      <c r="AC5321" t="s">
        <v>282</v>
      </c>
      <c r="AD5321" t="s">
        <v>66</v>
      </c>
      <c r="AE5321" t="s">
        <v>558</v>
      </c>
      <c r="AF5321">
        <v>317</v>
      </c>
      <c r="AG5321" t="s">
        <v>867</v>
      </c>
      <c r="AH5321" t="s">
        <v>122</v>
      </c>
      <c r="AI5321" t="s">
        <v>245</v>
      </c>
      <c r="AJ5321" t="s">
        <v>66</v>
      </c>
      <c r="AK5321" t="s">
        <v>194</v>
      </c>
      <c r="AL5321">
        <v>317</v>
      </c>
      <c r="AM5321" t="s">
        <v>1176</v>
      </c>
      <c r="AN5321" t="s">
        <v>245</v>
      </c>
      <c r="AO5321" t="s">
        <v>120</v>
      </c>
      <c r="AP5321" t="s">
        <v>103</v>
      </c>
      <c r="AQ5321" t="s">
        <v>103</v>
      </c>
      <c r="AR5321">
        <v>317</v>
      </c>
      <c r="AS5321" t="s">
        <v>340</v>
      </c>
      <c r="AT5321" t="s">
        <v>103</v>
      </c>
      <c r="AU5321" t="s">
        <v>110</v>
      </c>
      <c r="AV5321" t="s">
        <v>66</v>
      </c>
      <c r="AW5321" t="s">
        <v>103</v>
      </c>
      <c r="AX5321">
        <v>317</v>
      </c>
      <c r="AY5321" t="s">
        <v>880</v>
      </c>
      <c r="AZ5321" t="s">
        <v>239</v>
      </c>
      <c r="BA5321" t="s">
        <v>66</v>
      </c>
      <c r="BB5321" t="s">
        <v>139</v>
      </c>
      <c r="BC5321" t="s">
        <v>103</v>
      </c>
      <c r="BD5321">
        <v>317</v>
      </c>
      <c r="BE5321" t="s">
        <v>624</v>
      </c>
      <c r="BF5321" t="s">
        <v>139</v>
      </c>
      <c r="BG5321" t="s">
        <v>232</v>
      </c>
      <c r="BH5321" t="s">
        <v>66</v>
      </c>
      <c r="BI5321" t="s">
        <v>95</v>
      </c>
      <c r="BJ5321">
        <v>317</v>
      </c>
      <c r="BK5321" t="s">
        <v>346</v>
      </c>
      <c r="BL5321" t="s">
        <v>66</v>
      </c>
      <c r="BM5321" t="s">
        <v>66</v>
      </c>
      <c r="BN5321" t="s">
        <v>95</v>
      </c>
      <c r="BO5321" t="s">
        <v>103</v>
      </c>
    </row>
    <row r="5322" spans="1:68" x14ac:dyDescent="0.3">
      <c r="A5322" t="s">
        <v>27</v>
      </c>
      <c r="B5322">
        <v>300</v>
      </c>
      <c r="C5322" t="s">
        <v>1329</v>
      </c>
      <c r="D5322" t="s">
        <v>110</v>
      </c>
      <c r="E5322" t="s">
        <v>491</v>
      </c>
      <c r="F5322" t="s">
        <v>119</v>
      </c>
      <c r="G5322" t="s">
        <v>116</v>
      </c>
      <c r="H5322">
        <v>300</v>
      </c>
      <c r="I5322" t="s">
        <v>1208</v>
      </c>
      <c r="J5322" t="s">
        <v>70</v>
      </c>
      <c r="K5322" t="s">
        <v>402</v>
      </c>
      <c r="L5322" t="s">
        <v>119</v>
      </c>
      <c r="M5322" t="s">
        <v>232</v>
      </c>
      <c r="N5322">
        <v>300</v>
      </c>
      <c r="O5322" t="s">
        <v>400</v>
      </c>
      <c r="P5322" t="s">
        <v>103</v>
      </c>
      <c r="Q5322" t="s">
        <v>683</v>
      </c>
      <c r="R5322" t="s">
        <v>463</v>
      </c>
      <c r="S5322" t="s">
        <v>186</v>
      </c>
      <c r="T5322">
        <v>300</v>
      </c>
      <c r="U5322" t="s">
        <v>665</v>
      </c>
      <c r="V5322" t="s">
        <v>120</v>
      </c>
      <c r="W5322" t="s">
        <v>1200</v>
      </c>
      <c r="X5322" t="s">
        <v>119</v>
      </c>
      <c r="Y5322" t="s">
        <v>239</v>
      </c>
      <c r="Z5322">
        <v>300</v>
      </c>
      <c r="AA5322" t="s">
        <v>635</v>
      </c>
      <c r="AB5322" t="s">
        <v>95</v>
      </c>
      <c r="AC5322" t="s">
        <v>697</v>
      </c>
      <c r="AD5322" t="s">
        <v>119</v>
      </c>
      <c r="AE5322" t="s">
        <v>935</v>
      </c>
      <c r="AF5322">
        <v>300</v>
      </c>
      <c r="AG5322" t="s">
        <v>934</v>
      </c>
      <c r="AH5322" t="s">
        <v>116</v>
      </c>
      <c r="AI5322" t="s">
        <v>619</v>
      </c>
      <c r="AJ5322" t="s">
        <v>119</v>
      </c>
      <c r="AK5322" t="s">
        <v>190</v>
      </c>
      <c r="AL5322">
        <v>300</v>
      </c>
      <c r="AM5322" t="s">
        <v>1098</v>
      </c>
      <c r="AN5322" t="s">
        <v>375</v>
      </c>
      <c r="AO5322" t="s">
        <v>119</v>
      </c>
      <c r="AP5322" t="s">
        <v>103</v>
      </c>
      <c r="AQ5322" t="s">
        <v>122</v>
      </c>
      <c r="AR5322">
        <v>300</v>
      </c>
      <c r="AS5322" t="s">
        <v>405</v>
      </c>
      <c r="AT5322" t="s">
        <v>95</v>
      </c>
      <c r="AU5322" t="s">
        <v>421</v>
      </c>
      <c r="AV5322" t="s">
        <v>536</v>
      </c>
      <c r="AW5322" t="s">
        <v>341</v>
      </c>
      <c r="AX5322">
        <v>300</v>
      </c>
      <c r="AY5322" t="s">
        <v>930</v>
      </c>
      <c r="AZ5322" t="s">
        <v>454</v>
      </c>
      <c r="BA5322" t="s">
        <v>111</v>
      </c>
      <c r="BB5322" t="s">
        <v>122</v>
      </c>
      <c r="BC5322" t="s">
        <v>103</v>
      </c>
      <c r="BD5322">
        <v>300</v>
      </c>
      <c r="BE5322" t="s">
        <v>661</v>
      </c>
      <c r="BF5322" t="s">
        <v>103</v>
      </c>
      <c r="BG5322" t="s">
        <v>353</v>
      </c>
      <c r="BH5322" t="s">
        <v>119</v>
      </c>
      <c r="BI5322" t="s">
        <v>116</v>
      </c>
      <c r="BJ5322">
        <v>300</v>
      </c>
      <c r="BK5322" t="s">
        <v>1461</v>
      </c>
      <c r="BL5322" t="s">
        <v>421</v>
      </c>
      <c r="BM5322" t="s">
        <v>119</v>
      </c>
      <c r="BN5322" t="s">
        <v>239</v>
      </c>
      <c r="BO5322" t="s">
        <v>103</v>
      </c>
    </row>
    <row r="5323" spans="1:68" x14ac:dyDescent="0.3">
      <c r="A5323" t="s">
        <v>41</v>
      </c>
      <c r="B5323">
        <v>2038</v>
      </c>
      <c r="C5323" t="s">
        <v>1279</v>
      </c>
      <c r="D5323" t="s">
        <v>98</v>
      </c>
      <c r="E5323" t="s">
        <v>407</v>
      </c>
      <c r="F5323" t="s">
        <v>591</v>
      </c>
      <c r="G5323" t="s">
        <v>208</v>
      </c>
      <c r="H5323">
        <v>2038</v>
      </c>
      <c r="I5323" t="s">
        <v>934</v>
      </c>
      <c r="J5323" t="s">
        <v>575</v>
      </c>
      <c r="K5323" t="s">
        <v>539</v>
      </c>
      <c r="L5323" t="s">
        <v>186</v>
      </c>
      <c r="M5323" t="s">
        <v>521</v>
      </c>
      <c r="N5323">
        <v>2038</v>
      </c>
      <c r="O5323" t="s">
        <v>1393</v>
      </c>
      <c r="P5323" t="s">
        <v>98</v>
      </c>
      <c r="Q5323" t="s">
        <v>148</v>
      </c>
      <c r="R5323" t="s">
        <v>186</v>
      </c>
      <c r="S5323" t="s">
        <v>251</v>
      </c>
      <c r="T5323">
        <v>2038</v>
      </c>
      <c r="U5323" t="s">
        <v>1362</v>
      </c>
      <c r="V5323" t="s">
        <v>97</v>
      </c>
      <c r="W5323" t="s">
        <v>131</v>
      </c>
      <c r="X5323" t="s">
        <v>591</v>
      </c>
      <c r="Y5323" t="s">
        <v>169</v>
      </c>
      <c r="Z5323">
        <v>2038</v>
      </c>
      <c r="AA5323" t="s">
        <v>979</v>
      </c>
      <c r="AB5323" t="s">
        <v>116</v>
      </c>
      <c r="AC5323" t="s">
        <v>108</v>
      </c>
      <c r="AD5323" t="s">
        <v>186</v>
      </c>
      <c r="AE5323" t="s">
        <v>695</v>
      </c>
      <c r="AF5323">
        <v>2038</v>
      </c>
      <c r="AG5323" t="s">
        <v>857</v>
      </c>
      <c r="AH5323" t="s">
        <v>97</v>
      </c>
      <c r="AI5323" t="s">
        <v>539</v>
      </c>
      <c r="AJ5323" t="s">
        <v>591</v>
      </c>
      <c r="AK5323" t="s">
        <v>272</v>
      </c>
      <c r="AL5323">
        <v>2038</v>
      </c>
      <c r="AM5323" t="s">
        <v>939</v>
      </c>
      <c r="AN5323" t="s">
        <v>509</v>
      </c>
      <c r="AO5323" t="s">
        <v>591</v>
      </c>
      <c r="AP5323" t="s">
        <v>122</v>
      </c>
      <c r="AQ5323" t="s">
        <v>91</v>
      </c>
      <c r="AR5323">
        <v>2038</v>
      </c>
      <c r="AS5323" t="s">
        <v>741</v>
      </c>
      <c r="AT5323" t="s">
        <v>97</v>
      </c>
      <c r="AU5323" t="s">
        <v>1083</v>
      </c>
      <c r="AV5323" t="s">
        <v>107</v>
      </c>
      <c r="AW5323" t="s">
        <v>468</v>
      </c>
      <c r="AX5323">
        <v>2038</v>
      </c>
      <c r="AY5323" t="s">
        <v>51</v>
      </c>
      <c r="AZ5323" t="s">
        <v>732</v>
      </c>
      <c r="BA5323" t="s">
        <v>591</v>
      </c>
      <c r="BB5323" t="s">
        <v>105</v>
      </c>
      <c r="BC5323" t="s">
        <v>66</v>
      </c>
      <c r="BD5323">
        <v>2038</v>
      </c>
      <c r="BE5323" t="s">
        <v>1284</v>
      </c>
      <c r="BF5323" t="s">
        <v>95</v>
      </c>
      <c r="BG5323" t="s">
        <v>770</v>
      </c>
      <c r="BH5323" t="s">
        <v>186</v>
      </c>
      <c r="BI5323" t="s">
        <v>120</v>
      </c>
      <c r="BJ5323">
        <v>2038</v>
      </c>
      <c r="BK5323" t="s">
        <v>1001</v>
      </c>
      <c r="BL5323" t="s">
        <v>519</v>
      </c>
      <c r="BM5323" t="s">
        <v>113</v>
      </c>
      <c r="BN5323" t="s">
        <v>105</v>
      </c>
      <c r="BO5323" t="s">
        <v>66</v>
      </c>
    </row>
    <row r="5325" spans="1:68" x14ac:dyDescent="0.3">
      <c r="A5325" t="s">
        <v>2105</v>
      </c>
    </row>
    <row r="5326" spans="1:68" x14ac:dyDescent="0.3">
      <c r="A5326" t="s">
        <v>36</v>
      </c>
      <c r="B5326" t="s">
        <v>307</v>
      </c>
      <c r="C5326" t="s">
        <v>2037</v>
      </c>
      <c r="D5326" t="s">
        <v>2038</v>
      </c>
      <c r="E5326" t="s">
        <v>2039</v>
      </c>
      <c r="F5326" t="s">
        <v>2040</v>
      </c>
      <c r="G5326" t="s">
        <v>2041</v>
      </c>
      <c r="H5326" t="s">
        <v>2042</v>
      </c>
      <c r="I5326" t="s">
        <v>2043</v>
      </c>
      <c r="J5326" t="s">
        <v>2044</v>
      </c>
      <c r="K5326" t="s">
        <v>2045</v>
      </c>
      <c r="L5326" t="s">
        <v>2046</v>
      </c>
      <c r="M5326" t="s">
        <v>2047</v>
      </c>
      <c r="N5326" t="s">
        <v>2048</v>
      </c>
      <c r="O5326" t="s">
        <v>2049</v>
      </c>
      <c r="P5326" t="s">
        <v>2050</v>
      </c>
      <c r="Q5326" t="s">
        <v>2051</v>
      </c>
      <c r="R5326" t="s">
        <v>2052</v>
      </c>
      <c r="S5326" t="s">
        <v>2053</v>
      </c>
      <c r="T5326" t="s">
        <v>2054</v>
      </c>
      <c r="U5326" t="s">
        <v>2055</v>
      </c>
      <c r="V5326" t="s">
        <v>2056</v>
      </c>
      <c r="W5326" t="s">
        <v>2057</v>
      </c>
      <c r="X5326" t="s">
        <v>2058</v>
      </c>
      <c r="Y5326" t="s">
        <v>2059</v>
      </c>
      <c r="Z5326" t="s">
        <v>2060</v>
      </c>
      <c r="AA5326" t="s">
        <v>2061</v>
      </c>
      <c r="AB5326" t="s">
        <v>2062</v>
      </c>
      <c r="AC5326" t="s">
        <v>2064</v>
      </c>
      <c r="AD5326" t="s">
        <v>2065</v>
      </c>
      <c r="AE5326" t="s">
        <v>2066</v>
      </c>
      <c r="AF5326" t="s">
        <v>2063</v>
      </c>
      <c r="AG5326" t="s">
        <v>2067</v>
      </c>
      <c r="AH5326" t="s">
        <v>2068</v>
      </c>
      <c r="AI5326" t="s">
        <v>2070</v>
      </c>
      <c r="AJ5326" t="s">
        <v>2071</v>
      </c>
      <c r="AK5326" t="s">
        <v>2072</v>
      </c>
      <c r="AL5326" t="s">
        <v>2069</v>
      </c>
      <c r="AM5326" t="s">
        <v>2073</v>
      </c>
      <c r="AN5326" t="s">
        <v>2074</v>
      </c>
      <c r="AO5326" t="s">
        <v>2075</v>
      </c>
      <c r="AP5326" t="s">
        <v>2076</v>
      </c>
      <c r="AQ5326" t="s">
        <v>2077</v>
      </c>
      <c r="AR5326" t="s">
        <v>2078</v>
      </c>
      <c r="AS5326" t="s">
        <v>2079</v>
      </c>
      <c r="AT5326" t="s">
        <v>2080</v>
      </c>
      <c r="AU5326" t="s">
        <v>2082</v>
      </c>
      <c r="AV5326" t="s">
        <v>2083</v>
      </c>
      <c r="AW5326" t="s">
        <v>2084</v>
      </c>
      <c r="AX5326" t="s">
        <v>2081</v>
      </c>
      <c r="AY5326" t="s">
        <v>2085</v>
      </c>
      <c r="AZ5326" t="s">
        <v>2086</v>
      </c>
      <c r="BA5326" t="s">
        <v>2087</v>
      </c>
      <c r="BB5326" t="s">
        <v>2088</v>
      </c>
      <c r="BC5326" t="s">
        <v>2089</v>
      </c>
      <c r="BD5326" t="s">
        <v>2090</v>
      </c>
      <c r="BE5326" t="s">
        <v>2091</v>
      </c>
      <c r="BF5326" t="s">
        <v>2092</v>
      </c>
      <c r="BG5326" t="s">
        <v>2093</v>
      </c>
      <c r="BH5326" t="s">
        <v>2094</v>
      </c>
      <c r="BI5326" t="s">
        <v>2095</v>
      </c>
      <c r="BJ5326" t="s">
        <v>2096</v>
      </c>
      <c r="BK5326" t="s">
        <v>2097</v>
      </c>
      <c r="BL5326" t="s">
        <v>2098</v>
      </c>
      <c r="BM5326" t="s">
        <v>2099</v>
      </c>
      <c r="BN5326" t="s">
        <v>2100</v>
      </c>
      <c r="BO5326" t="s">
        <v>2101</v>
      </c>
      <c r="BP5326" t="s">
        <v>2102</v>
      </c>
    </row>
    <row r="5327" spans="1:68" x14ac:dyDescent="0.3">
      <c r="A5327" t="s">
        <v>25</v>
      </c>
      <c r="B5327" t="s">
        <v>291</v>
      </c>
      <c r="C5327">
        <v>156</v>
      </c>
      <c r="D5327" t="s">
        <v>1241</v>
      </c>
      <c r="E5327" t="s">
        <v>282</v>
      </c>
      <c r="F5327" t="s">
        <v>236</v>
      </c>
      <c r="G5327" t="s">
        <v>452</v>
      </c>
      <c r="H5327" t="s">
        <v>278</v>
      </c>
      <c r="I5327">
        <v>156</v>
      </c>
      <c r="J5327" t="s">
        <v>464</v>
      </c>
      <c r="K5327" t="s">
        <v>242</v>
      </c>
      <c r="L5327" t="s">
        <v>938</v>
      </c>
      <c r="M5327" t="s">
        <v>452</v>
      </c>
      <c r="N5327" t="s">
        <v>687</v>
      </c>
      <c r="O5327">
        <v>156</v>
      </c>
      <c r="P5327" t="s">
        <v>612</v>
      </c>
      <c r="Q5327" t="s">
        <v>120</v>
      </c>
      <c r="R5327" t="s">
        <v>125</v>
      </c>
      <c r="S5327" t="s">
        <v>452</v>
      </c>
      <c r="T5327" t="s">
        <v>113</v>
      </c>
      <c r="U5327">
        <v>156</v>
      </c>
      <c r="V5327" t="s">
        <v>600</v>
      </c>
      <c r="W5327" t="s">
        <v>345</v>
      </c>
      <c r="X5327" t="s">
        <v>102</v>
      </c>
      <c r="Y5327" t="s">
        <v>452</v>
      </c>
      <c r="Z5327" t="s">
        <v>493</v>
      </c>
      <c r="AA5327">
        <v>156</v>
      </c>
      <c r="AB5327" t="s">
        <v>1390</v>
      </c>
      <c r="AC5327" t="s">
        <v>216</v>
      </c>
      <c r="AD5327" t="s">
        <v>452</v>
      </c>
      <c r="AE5327" t="s">
        <v>1207</v>
      </c>
      <c r="AF5327" t="s">
        <v>103</v>
      </c>
      <c r="AG5327">
        <v>156</v>
      </c>
      <c r="AH5327" t="s">
        <v>231</v>
      </c>
      <c r="AI5327" t="s">
        <v>729</v>
      </c>
      <c r="AJ5327" t="s">
        <v>452</v>
      </c>
      <c r="AK5327" t="s">
        <v>194</v>
      </c>
      <c r="AL5327" t="s">
        <v>103</v>
      </c>
      <c r="AM5327">
        <v>156</v>
      </c>
      <c r="AN5327" t="s">
        <v>892</v>
      </c>
      <c r="AO5327" t="s">
        <v>788</v>
      </c>
      <c r="AP5327" t="s">
        <v>452</v>
      </c>
      <c r="AQ5327" t="s">
        <v>103</v>
      </c>
      <c r="AR5327" t="s">
        <v>103</v>
      </c>
      <c r="AS5327">
        <v>156</v>
      </c>
      <c r="AT5327" t="s">
        <v>1144</v>
      </c>
      <c r="AU5327" t="s">
        <v>117</v>
      </c>
      <c r="AV5327" t="s">
        <v>452</v>
      </c>
      <c r="AW5327" t="s">
        <v>282</v>
      </c>
      <c r="AX5327" t="s">
        <v>103</v>
      </c>
      <c r="AY5327">
        <v>156</v>
      </c>
      <c r="AZ5327" t="s">
        <v>1308</v>
      </c>
      <c r="BA5327" t="s">
        <v>137</v>
      </c>
      <c r="BB5327" t="s">
        <v>452</v>
      </c>
      <c r="BC5327" t="s">
        <v>139</v>
      </c>
      <c r="BD5327" t="s">
        <v>103</v>
      </c>
      <c r="BE5327">
        <v>156</v>
      </c>
      <c r="BF5327" t="s">
        <v>371</v>
      </c>
      <c r="BG5327" t="s">
        <v>97</v>
      </c>
      <c r="BH5327" t="s">
        <v>1088</v>
      </c>
      <c r="BI5327" t="s">
        <v>452</v>
      </c>
      <c r="BJ5327" t="s">
        <v>128</v>
      </c>
      <c r="BK5327">
        <v>156</v>
      </c>
      <c r="BL5327" t="s">
        <v>605</v>
      </c>
      <c r="BM5327" t="s">
        <v>532</v>
      </c>
      <c r="BN5327" t="s">
        <v>452</v>
      </c>
      <c r="BO5327" t="s">
        <v>68</v>
      </c>
      <c r="BP5327" t="s">
        <v>103</v>
      </c>
    </row>
    <row r="5328" spans="1:68" x14ac:dyDescent="0.3">
      <c r="A5328" t="s">
        <v>25</v>
      </c>
      <c r="B5328" t="s">
        <v>292</v>
      </c>
      <c r="C5328">
        <v>254</v>
      </c>
      <c r="D5328" t="s">
        <v>1390</v>
      </c>
      <c r="E5328" t="s">
        <v>91</v>
      </c>
      <c r="F5328" t="s">
        <v>1206</v>
      </c>
      <c r="G5328" t="s">
        <v>188</v>
      </c>
      <c r="H5328" t="s">
        <v>438</v>
      </c>
      <c r="I5328">
        <v>254</v>
      </c>
      <c r="J5328" t="s">
        <v>500</v>
      </c>
      <c r="K5328" t="s">
        <v>127</v>
      </c>
      <c r="L5328" t="s">
        <v>1211</v>
      </c>
      <c r="M5328" t="s">
        <v>188</v>
      </c>
      <c r="N5328" t="s">
        <v>571</v>
      </c>
      <c r="O5328">
        <v>254</v>
      </c>
      <c r="P5328" t="s">
        <v>267</v>
      </c>
      <c r="Q5328" t="s">
        <v>103</v>
      </c>
      <c r="R5328" t="s">
        <v>191</v>
      </c>
      <c r="S5328" t="s">
        <v>188</v>
      </c>
      <c r="T5328" t="s">
        <v>140</v>
      </c>
      <c r="U5328">
        <v>254</v>
      </c>
      <c r="V5328" t="s">
        <v>775</v>
      </c>
      <c r="W5328" t="s">
        <v>103</v>
      </c>
      <c r="X5328" t="s">
        <v>693</v>
      </c>
      <c r="Y5328" t="s">
        <v>188</v>
      </c>
      <c r="Z5328" t="s">
        <v>102</v>
      </c>
      <c r="AA5328">
        <v>254</v>
      </c>
      <c r="AB5328" t="s">
        <v>979</v>
      </c>
      <c r="AC5328" t="s">
        <v>205</v>
      </c>
      <c r="AD5328" t="s">
        <v>188</v>
      </c>
      <c r="AE5328" t="s">
        <v>476</v>
      </c>
      <c r="AF5328" t="s">
        <v>116</v>
      </c>
      <c r="AG5328">
        <v>254</v>
      </c>
      <c r="AH5328" t="s">
        <v>621</v>
      </c>
      <c r="AI5328" t="s">
        <v>1218</v>
      </c>
      <c r="AJ5328" t="s">
        <v>188</v>
      </c>
      <c r="AK5328" t="s">
        <v>245</v>
      </c>
      <c r="AL5328" t="s">
        <v>120</v>
      </c>
      <c r="AM5328">
        <v>254</v>
      </c>
      <c r="AN5328" t="s">
        <v>1221</v>
      </c>
      <c r="AO5328" t="s">
        <v>380</v>
      </c>
      <c r="AP5328" t="s">
        <v>188</v>
      </c>
      <c r="AQ5328" t="s">
        <v>103</v>
      </c>
      <c r="AR5328" t="s">
        <v>103</v>
      </c>
      <c r="AS5328">
        <v>254</v>
      </c>
      <c r="AT5328" t="s">
        <v>47</v>
      </c>
      <c r="AU5328" t="s">
        <v>164</v>
      </c>
      <c r="AV5328" t="s">
        <v>188</v>
      </c>
      <c r="AW5328" t="s">
        <v>216</v>
      </c>
      <c r="AX5328" t="s">
        <v>66</v>
      </c>
      <c r="AY5328">
        <v>254</v>
      </c>
      <c r="AZ5328" t="s">
        <v>202</v>
      </c>
      <c r="BA5328" t="s">
        <v>148</v>
      </c>
      <c r="BB5328" t="s">
        <v>188</v>
      </c>
      <c r="BC5328" t="s">
        <v>116</v>
      </c>
      <c r="BD5328" t="s">
        <v>103</v>
      </c>
      <c r="BE5328">
        <v>254</v>
      </c>
      <c r="BF5328" t="s">
        <v>1577</v>
      </c>
      <c r="BG5328" t="s">
        <v>116</v>
      </c>
      <c r="BH5328" t="s">
        <v>1576</v>
      </c>
      <c r="BI5328" t="s">
        <v>188</v>
      </c>
      <c r="BJ5328" t="s">
        <v>139</v>
      </c>
      <c r="BK5328">
        <v>254</v>
      </c>
      <c r="BL5328" t="s">
        <v>163</v>
      </c>
      <c r="BM5328" t="s">
        <v>459</v>
      </c>
      <c r="BN5328" t="s">
        <v>188</v>
      </c>
      <c r="BO5328" t="s">
        <v>116</v>
      </c>
      <c r="BP5328" t="s">
        <v>103</v>
      </c>
    </row>
    <row r="5329" spans="1:68" x14ac:dyDescent="0.3">
      <c r="A5329" t="s">
        <v>25</v>
      </c>
      <c r="B5329" t="s">
        <v>308</v>
      </c>
      <c r="C5329">
        <v>4</v>
      </c>
      <c r="D5329" t="s">
        <v>297</v>
      </c>
      <c r="E5329" t="s">
        <v>103</v>
      </c>
      <c r="F5329" t="s">
        <v>455</v>
      </c>
      <c r="G5329" t="s">
        <v>534</v>
      </c>
      <c r="H5329" t="s">
        <v>103</v>
      </c>
      <c r="I5329">
        <v>4</v>
      </c>
      <c r="J5329" t="s">
        <v>1205</v>
      </c>
      <c r="K5329" t="s">
        <v>103</v>
      </c>
      <c r="L5329" t="s">
        <v>103</v>
      </c>
      <c r="M5329" t="s">
        <v>534</v>
      </c>
      <c r="N5329" t="s">
        <v>456</v>
      </c>
      <c r="O5329">
        <v>4</v>
      </c>
      <c r="P5329" t="s">
        <v>1438</v>
      </c>
      <c r="Q5329" t="s">
        <v>103</v>
      </c>
      <c r="R5329" t="s">
        <v>103</v>
      </c>
      <c r="S5329" t="s">
        <v>534</v>
      </c>
      <c r="T5329" t="s">
        <v>103</v>
      </c>
      <c r="U5329">
        <v>4</v>
      </c>
      <c r="V5329" t="s">
        <v>1438</v>
      </c>
      <c r="W5329" t="s">
        <v>103</v>
      </c>
      <c r="X5329" t="s">
        <v>103</v>
      </c>
      <c r="Y5329" t="s">
        <v>534</v>
      </c>
      <c r="Z5329" t="s">
        <v>103</v>
      </c>
      <c r="AA5329">
        <v>4</v>
      </c>
      <c r="AB5329" t="s">
        <v>1438</v>
      </c>
      <c r="AC5329" t="s">
        <v>103</v>
      </c>
      <c r="AD5329" t="s">
        <v>534</v>
      </c>
      <c r="AE5329" t="s">
        <v>103</v>
      </c>
      <c r="AF5329" t="s">
        <v>103</v>
      </c>
      <c r="AG5329">
        <v>4</v>
      </c>
      <c r="AH5329" t="s">
        <v>351</v>
      </c>
      <c r="AI5329" t="s">
        <v>693</v>
      </c>
      <c r="AJ5329" t="s">
        <v>534</v>
      </c>
      <c r="AK5329" t="s">
        <v>103</v>
      </c>
      <c r="AL5329" t="s">
        <v>103</v>
      </c>
      <c r="AM5329">
        <v>4</v>
      </c>
      <c r="AN5329" t="s">
        <v>1438</v>
      </c>
      <c r="AO5329" t="s">
        <v>103</v>
      </c>
      <c r="AP5329" t="s">
        <v>534</v>
      </c>
      <c r="AQ5329" t="s">
        <v>103</v>
      </c>
      <c r="AR5329" t="s">
        <v>103</v>
      </c>
      <c r="AS5329">
        <v>4</v>
      </c>
      <c r="AT5329" t="s">
        <v>351</v>
      </c>
      <c r="AU5329" t="s">
        <v>103</v>
      </c>
      <c r="AV5329" t="s">
        <v>534</v>
      </c>
      <c r="AW5329" t="s">
        <v>693</v>
      </c>
      <c r="AX5329" t="s">
        <v>103</v>
      </c>
      <c r="AY5329">
        <v>4</v>
      </c>
      <c r="AZ5329" t="s">
        <v>1438</v>
      </c>
      <c r="BA5329" t="s">
        <v>103</v>
      </c>
      <c r="BB5329" t="s">
        <v>534</v>
      </c>
      <c r="BC5329" t="s">
        <v>103</v>
      </c>
      <c r="BD5329" t="s">
        <v>103</v>
      </c>
      <c r="BE5329">
        <v>4</v>
      </c>
      <c r="BF5329" t="s">
        <v>1438</v>
      </c>
      <c r="BG5329" t="s">
        <v>103</v>
      </c>
      <c r="BH5329" t="s">
        <v>103</v>
      </c>
      <c r="BI5329" t="s">
        <v>534</v>
      </c>
      <c r="BJ5329" t="s">
        <v>103</v>
      </c>
      <c r="BK5329">
        <v>4</v>
      </c>
      <c r="BL5329" t="s">
        <v>1438</v>
      </c>
      <c r="BM5329" t="s">
        <v>103</v>
      </c>
      <c r="BN5329" t="s">
        <v>534</v>
      </c>
      <c r="BO5329" t="s">
        <v>103</v>
      </c>
      <c r="BP5329" t="s">
        <v>103</v>
      </c>
    </row>
    <row r="5330" spans="1:68" x14ac:dyDescent="0.3">
      <c r="A5330" t="s">
        <v>26</v>
      </c>
      <c r="B5330" t="s">
        <v>291</v>
      </c>
      <c r="C5330">
        <v>122</v>
      </c>
      <c r="D5330" t="s">
        <v>1070</v>
      </c>
      <c r="E5330" t="s">
        <v>93</v>
      </c>
      <c r="F5330" t="s">
        <v>628</v>
      </c>
      <c r="G5330" t="s">
        <v>103</v>
      </c>
      <c r="H5330" t="s">
        <v>105</v>
      </c>
      <c r="I5330">
        <v>122</v>
      </c>
      <c r="J5330" t="s">
        <v>1576</v>
      </c>
      <c r="K5330" t="s">
        <v>524</v>
      </c>
      <c r="L5330" t="s">
        <v>501</v>
      </c>
      <c r="M5330" t="s">
        <v>103</v>
      </c>
      <c r="N5330" t="s">
        <v>649</v>
      </c>
      <c r="O5330">
        <v>122</v>
      </c>
      <c r="P5330" t="s">
        <v>2103</v>
      </c>
      <c r="Q5330" t="s">
        <v>257</v>
      </c>
      <c r="R5330" t="s">
        <v>382</v>
      </c>
      <c r="S5330" t="s">
        <v>103</v>
      </c>
      <c r="T5330" t="s">
        <v>270</v>
      </c>
      <c r="U5330">
        <v>122</v>
      </c>
      <c r="V5330" t="s">
        <v>403</v>
      </c>
      <c r="W5330" t="s">
        <v>103</v>
      </c>
      <c r="X5330" t="s">
        <v>479</v>
      </c>
      <c r="Y5330" t="s">
        <v>103</v>
      </c>
      <c r="Z5330" t="s">
        <v>918</v>
      </c>
      <c r="AA5330">
        <v>122</v>
      </c>
      <c r="AB5330" t="s">
        <v>736</v>
      </c>
      <c r="AC5330" t="s">
        <v>254</v>
      </c>
      <c r="AD5330" t="s">
        <v>103</v>
      </c>
      <c r="AE5330" t="s">
        <v>547</v>
      </c>
      <c r="AF5330" t="s">
        <v>103</v>
      </c>
      <c r="AG5330">
        <v>122</v>
      </c>
      <c r="AH5330" t="s">
        <v>2106</v>
      </c>
      <c r="AI5330" t="s">
        <v>458</v>
      </c>
      <c r="AJ5330" t="s">
        <v>103</v>
      </c>
      <c r="AK5330" t="s">
        <v>341</v>
      </c>
      <c r="AL5330" t="s">
        <v>103</v>
      </c>
      <c r="AM5330">
        <v>122</v>
      </c>
      <c r="AN5330" t="s">
        <v>676</v>
      </c>
      <c r="AO5330" t="s">
        <v>675</v>
      </c>
      <c r="AP5330" t="s">
        <v>103</v>
      </c>
      <c r="AQ5330" t="s">
        <v>103</v>
      </c>
      <c r="AR5330" t="s">
        <v>103</v>
      </c>
      <c r="AS5330">
        <v>122</v>
      </c>
      <c r="AT5330" t="s">
        <v>933</v>
      </c>
      <c r="AU5330" t="s">
        <v>934</v>
      </c>
      <c r="AV5330" t="s">
        <v>103</v>
      </c>
      <c r="AW5330" t="s">
        <v>103</v>
      </c>
      <c r="AX5330" t="s">
        <v>103</v>
      </c>
      <c r="AY5330">
        <v>122</v>
      </c>
      <c r="AZ5330" t="s">
        <v>1240</v>
      </c>
      <c r="BA5330" t="s">
        <v>421</v>
      </c>
      <c r="BB5330" t="s">
        <v>103</v>
      </c>
      <c r="BC5330" t="s">
        <v>272</v>
      </c>
      <c r="BD5330" t="s">
        <v>103</v>
      </c>
      <c r="BE5330">
        <v>122</v>
      </c>
      <c r="BF5330" t="s">
        <v>583</v>
      </c>
      <c r="BG5330" t="s">
        <v>103</v>
      </c>
      <c r="BH5330" t="s">
        <v>1420</v>
      </c>
      <c r="BI5330" t="s">
        <v>103</v>
      </c>
      <c r="BJ5330" t="s">
        <v>103</v>
      </c>
      <c r="BK5330">
        <v>122</v>
      </c>
      <c r="BL5330" t="s">
        <v>1379</v>
      </c>
      <c r="BM5330" t="s">
        <v>567</v>
      </c>
      <c r="BN5330" t="s">
        <v>103</v>
      </c>
      <c r="BO5330" t="s">
        <v>216</v>
      </c>
      <c r="BP5330" t="s">
        <v>103</v>
      </c>
    </row>
    <row r="5331" spans="1:68" x14ac:dyDescent="0.3">
      <c r="A5331" t="s">
        <v>26</v>
      </c>
      <c r="B5331" t="s">
        <v>292</v>
      </c>
      <c r="C5331">
        <v>352</v>
      </c>
      <c r="D5331" t="s">
        <v>1549</v>
      </c>
      <c r="E5331" t="s">
        <v>120</v>
      </c>
      <c r="F5331" t="s">
        <v>1081</v>
      </c>
      <c r="G5331" t="s">
        <v>103</v>
      </c>
      <c r="H5331" t="s">
        <v>216</v>
      </c>
      <c r="I5331">
        <v>352</v>
      </c>
      <c r="J5331" t="s">
        <v>1032</v>
      </c>
      <c r="K5331" t="s">
        <v>262</v>
      </c>
      <c r="L5331" t="s">
        <v>577</v>
      </c>
      <c r="M5331" t="s">
        <v>103</v>
      </c>
      <c r="N5331" t="s">
        <v>104</v>
      </c>
      <c r="O5331">
        <v>352</v>
      </c>
      <c r="P5331" t="s">
        <v>978</v>
      </c>
      <c r="Q5331" t="s">
        <v>93</v>
      </c>
      <c r="R5331" t="s">
        <v>171</v>
      </c>
      <c r="S5331" t="s">
        <v>103</v>
      </c>
      <c r="T5331" t="s">
        <v>278</v>
      </c>
      <c r="U5331">
        <v>352</v>
      </c>
      <c r="V5331" t="s">
        <v>1348</v>
      </c>
      <c r="W5331" t="s">
        <v>103</v>
      </c>
      <c r="X5331" t="s">
        <v>524</v>
      </c>
      <c r="Y5331" t="s">
        <v>103</v>
      </c>
      <c r="Z5331" t="s">
        <v>737</v>
      </c>
      <c r="AA5331">
        <v>352</v>
      </c>
      <c r="AB5331" t="s">
        <v>602</v>
      </c>
      <c r="AC5331" t="s">
        <v>494</v>
      </c>
      <c r="AD5331" t="s">
        <v>103</v>
      </c>
      <c r="AE5331" t="s">
        <v>162</v>
      </c>
      <c r="AF5331" t="s">
        <v>103</v>
      </c>
      <c r="AG5331">
        <v>352</v>
      </c>
      <c r="AH5331" t="s">
        <v>1348</v>
      </c>
      <c r="AI5331" t="s">
        <v>789</v>
      </c>
      <c r="AJ5331" t="s">
        <v>103</v>
      </c>
      <c r="AK5331" t="s">
        <v>468</v>
      </c>
      <c r="AL5331" t="s">
        <v>103</v>
      </c>
      <c r="AM5331">
        <v>352</v>
      </c>
      <c r="AN5331" t="s">
        <v>1426</v>
      </c>
      <c r="AO5331" t="s">
        <v>1060</v>
      </c>
      <c r="AP5331" t="s">
        <v>103</v>
      </c>
      <c r="AQ5331" t="s">
        <v>95</v>
      </c>
      <c r="AR5331" t="s">
        <v>103</v>
      </c>
      <c r="AS5331">
        <v>352</v>
      </c>
      <c r="AT5331" t="s">
        <v>1361</v>
      </c>
      <c r="AU5331" t="s">
        <v>264</v>
      </c>
      <c r="AV5331" t="s">
        <v>103</v>
      </c>
      <c r="AW5331" t="s">
        <v>116</v>
      </c>
      <c r="AX5331" t="s">
        <v>91</v>
      </c>
      <c r="AY5331">
        <v>352</v>
      </c>
      <c r="AZ5331" t="s">
        <v>1359</v>
      </c>
      <c r="BA5331" t="s">
        <v>900</v>
      </c>
      <c r="BB5331" t="s">
        <v>103</v>
      </c>
      <c r="BC5331" t="s">
        <v>116</v>
      </c>
      <c r="BD5331" t="s">
        <v>116</v>
      </c>
      <c r="BE5331">
        <v>352</v>
      </c>
      <c r="BF5331" t="s">
        <v>405</v>
      </c>
      <c r="BG5331" t="s">
        <v>66</v>
      </c>
      <c r="BH5331" t="s">
        <v>363</v>
      </c>
      <c r="BI5331" t="s">
        <v>103</v>
      </c>
      <c r="BJ5331" t="s">
        <v>103</v>
      </c>
      <c r="BK5331">
        <v>352</v>
      </c>
      <c r="BL5331" t="s">
        <v>243</v>
      </c>
      <c r="BM5331" t="s">
        <v>682</v>
      </c>
      <c r="BN5331" t="s">
        <v>103</v>
      </c>
      <c r="BO5331" t="s">
        <v>139</v>
      </c>
      <c r="BP5331" t="s">
        <v>103</v>
      </c>
    </row>
    <row r="5332" spans="1:68" x14ac:dyDescent="0.3">
      <c r="A5332" t="s">
        <v>26</v>
      </c>
      <c r="B5332" t="s">
        <v>308</v>
      </c>
      <c r="C5332">
        <v>3</v>
      </c>
      <c r="D5332" t="s">
        <v>1009</v>
      </c>
      <c r="E5332" t="s">
        <v>103</v>
      </c>
      <c r="F5332" t="s">
        <v>1202</v>
      </c>
      <c r="G5332" t="s">
        <v>103</v>
      </c>
      <c r="H5332" t="s">
        <v>103</v>
      </c>
      <c r="I5332">
        <v>3</v>
      </c>
      <c r="J5332" t="s">
        <v>192</v>
      </c>
      <c r="K5332" t="s">
        <v>103</v>
      </c>
      <c r="L5332" t="s">
        <v>103</v>
      </c>
      <c r="M5332" t="s">
        <v>103</v>
      </c>
      <c r="N5332" t="s">
        <v>103</v>
      </c>
      <c r="O5332">
        <v>3</v>
      </c>
      <c r="P5332" t="s">
        <v>192</v>
      </c>
      <c r="Q5332" t="s">
        <v>103</v>
      </c>
      <c r="R5332" t="s">
        <v>103</v>
      </c>
      <c r="S5332" t="s">
        <v>103</v>
      </c>
      <c r="T5332" t="s">
        <v>103</v>
      </c>
      <c r="U5332">
        <v>3</v>
      </c>
      <c r="V5332" t="s">
        <v>784</v>
      </c>
      <c r="W5332" t="s">
        <v>103</v>
      </c>
      <c r="X5332" t="s">
        <v>103</v>
      </c>
      <c r="Y5332" t="s">
        <v>103</v>
      </c>
      <c r="Z5332" t="s">
        <v>699</v>
      </c>
      <c r="AA5332">
        <v>3</v>
      </c>
      <c r="AB5332" t="s">
        <v>192</v>
      </c>
      <c r="AC5332" t="s">
        <v>103</v>
      </c>
      <c r="AD5332" t="s">
        <v>103</v>
      </c>
      <c r="AE5332" t="s">
        <v>103</v>
      </c>
      <c r="AF5332" t="s">
        <v>103</v>
      </c>
      <c r="AG5332">
        <v>3</v>
      </c>
      <c r="AH5332" t="s">
        <v>192</v>
      </c>
      <c r="AI5332" t="s">
        <v>103</v>
      </c>
      <c r="AJ5332" t="s">
        <v>103</v>
      </c>
      <c r="AK5332" t="s">
        <v>103</v>
      </c>
      <c r="AL5332" t="s">
        <v>103</v>
      </c>
      <c r="AM5332">
        <v>3</v>
      </c>
      <c r="AN5332" t="s">
        <v>784</v>
      </c>
      <c r="AO5332" t="s">
        <v>699</v>
      </c>
      <c r="AP5332" t="s">
        <v>103</v>
      </c>
      <c r="AQ5332" t="s">
        <v>103</v>
      </c>
      <c r="AR5332" t="s">
        <v>103</v>
      </c>
      <c r="AS5332">
        <v>3</v>
      </c>
      <c r="AT5332" t="s">
        <v>192</v>
      </c>
      <c r="AU5332" t="s">
        <v>103</v>
      </c>
      <c r="AV5332" t="s">
        <v>103</v>
      </c>
      <c r="AW5332" t="s">
        <v>103</v>
      </c>
      <c r="AX5332" t="s">
        <v>103</v>
      </c>
      <c r="AY5332">
        <v>3</v>
      </c>
      <c r="AZ5332" t="s">
        <v>192</v>
      </c>
      <c r="BA5332" t="s">
        <v>103</v>
      </c>
      <c r="BB5332" t="s">
        <v>103</v>
      </c>
      <c r="BC5332" t="s">
        <v>103</v>
      </c>
      <c r="BD5332" t="s">
        <v>103</v>
      </c>
      <c r="BE5332">
        <v>3</v>
      </c>
      <c r="BF5332" t="s">
        <v>784</v>
      </c>
      <c r="BG5332" t="s">
        <v>103</v>
      </c>
      <c r="BH5332" t="s">
        <v>699</v>
      </c>
      <c r="BI5332" t="s">
        <v>103</v>
      </c>
      <c r="BJ5332" t="s">
        <v>103</v>
      </c>
      <c r="BK5332">
        <v>3</v>
      </c>
      <c r="BL5332" t="s">
        <v>192</v>
      </c>
      <c r="BM5332" t="s">
        <v>103</v>
      </c>
      <c r="BN5332" t="s">
        <v>103</v>
      </c>
      <c r="BO5332" t="s">
        <v>103</v>
      </c>
      <c r="BP5332" t="s">
        <v>103</v>
      </c>
    </row>
    <row r="5333" spans="1:68" x14ac:dyDescent="0.3">
      <c r="A5333" t="s">
        <v>29</v>
      </c>
      <c r="B5333" t="s">
        <v>291</v>
      </c>
      <c r="C5333">
        <v>205</v>
      </c>
      <c r="D5333" t="s">
        <v>839</v>
      </c>
      <c r="E5333" t="s">
        <v>110</v>
      </c>
      <c r="F5333" t="s">
        <v>1028</v>
      </c>
      <c r="G5333" t="s">
        <v>594</v>
      </c>
      <c r="H5333" t="s">
        <v>345</v>
      </c>
      <c r="I5333">
        <v>205</v>
      </c>
      <c r="J5333" t="s">
        <v>453</v>
      </c>
      <c r="K5333" t="s">
        <v>101</v>
      </c>
      <c r="L5333" t="s">
        <v>707</v>
      </c>
      <c r="M5333" t="s">
        <v>594</v>
      </c>
      <c r="N5333" t="s">
        <v>650</v>
      </c>
      <c r="O5333">
        <v>205</v>
      </c>
      <c r="P5333" t="s">
        <v>1035</v>
      </c>
      <c r="Q5333" t="s">
        <v>120</v>
      </c>
      <c r="R5333" t="s">
        <v>92</v>
      </c>
      <c r="S5333" t="s">
        <v>140</v>
      </c>
      <c r="T5333" t="s">
        <v>594</v>
      </c>
      <c r="U5333">
        <v>205</v>
      </c>
      <c r="V5333" t="s">
        <v>1327</v>
      </c>
      <c r="W5333" t="s">
        <v>194</v>
      </c>
      <c r="X5333" t="s">
        <v>264</v>
      </c>
      <c r="Y5333" t="s">
        <v>594</v>
      </c>
      <c r="Z5333" t="s">
        <v>148</v>
      </c>
      <c r="AA5333">
        <v>205</v>
      </c>
      <c r="AB5333" t="s">
        <v>431</v>
      </c>
      <c r="AC5333" t="s">
        <v>269</v>
      </c>
      <c r="AD5333" t="s">
        <v>190</v>
      </c>
      <c r="AE5333" t="s">
        <v>1226</v>
      </c>
      <c r="AF5333" t="s">
        <v>110</v>
      </c>
      <c r="AG5333">
        <v>205</v>
      </c>
      <c r="AH5333" t="s">
        <v>502</v>
      </c>
      <c r="AI5333" t="s">
        <v>1084</v>
      </c>
      <c r="AJ5333" t="s">
        <v>594</v>
      </c>
      <c r="AK5333" t="s">
        <v>186</v>
      </c>
      <c r="AL5333" t="s">
        <v>110</v>
      </c>
      <c r="AM5333">
        <v>205</v>
      </c>
      <c r="AN5333" t="s">
        <v>1293</v>
      </c>
      <c r="AO5333" t="s">
        <v>1284</v>
      </c>
      <c r="AP5333" t="s">
        <v>594</v>
      </c>
      <c r="AQ5333" t="s">
        <v>97</v>
      </c>
      <c r="AR5333" t="s">
        <v>122</v>
      </c>
      <c r="AS5333">
        <v>205</v>
      </c>
      <c r="AT5333" t="s">
        <v>866</v>
      </c>
      <c r="AU5333" t="s">
        <v>295</v>
      </c>
      <c r="AV5333" t="s">
        <v>60</v>
      </c>
      <c r="AW5333" t="s">
        <v>139</v>
      </c>
      <c r="AX5333" t="s">
        <v>128</v>
      </c>
      <c r="AY5333">
        <v>205</v>
      </c>
      <c r="AZ5333" t="s">
        <v>799</v>
      </c>
      <c r="BA5333" t="s">
        <v>667</v>
      </c>
      <c r="BB5333" t="s">
        <v>594</v>
      </c>
      <c r="BC5333" t="s">
        <v>208</v>
      </c>
      <c r="BD5333" t="s">
        <v>98</v>
      </c>
      <c r="BE5333">
        <v>205</v>
      </c>
      <c r="BF5333" t="s">
        <v>411</v>
      </c>
      <c r="BG5333" t="s">
        <v>110</v>
      </c>
      <c r="BH5333" t="s">
        <v>1284</v>
      </c>
      <c r="BI5333" t="s">
        <v>251</v>
      </c>
      <c r="BJ5333" t="s">
        <v>97</v>
      </c>
      <c r="BK5333">
        <v>205</v>
      </c>
      <c r="BL5333" t="s">
        <v>1316</v>
      </c>
      <c r="BM5333" t="s">
        <v>92</v>
      </c>
      <c r="BN5333" t="s">
        <v>140</v>
      </c>
      <c r="BO5333" t="s">
        <v>216</v>
      </c>
      <c r="BP5333" t="s">
        <v>98</v>
      </c>
    </row>
    <row r="5334" spans="1:68" x14ac:dyDescent="0.3">
      <c r="A5334" t="s">
        <v>29</v>
      </c>
      <c r="B5334" t="s">
        <v>292</v>
      </c>
      <c r="C5334">
        <v>325</v>
      </c>
      <c r="D5334" t="s">
        <v>1096</v>
      </c>
      <c r="E5334" t="s">
        <v>282</v>
      </c>
      <c r="F5334" t="s">
        <v>297</v>
      </c>
      <c r="G5334" t="s">
        <v>33</v>
      </c>
      <c r="H5334" t="s">
        <v>208</v>
      </c>
      <c r="I5334">
        <v>325</v>
      </c>
      <c r="J5334" t="s">
        <v>500</v>
      </c>
      <c r="K5334" t="s">
        <v>511</v>
      </c>
      <c r="L5334" t="s">
        <v>479</v>
      </c>
      <c r="M5334" t="s">
        <v>278</v>
      </c>
      <c r="N5334" t="s">
        <v>522</v>
      </c>
      <c r="O5334">
        <v>325</v>
      </c>
      <c r="P5334" t="s">
        <v>51</v>
      </c>
      <c r="Q5334" t="s">
        <v>95</v>
      </c>
      <c r="R5334" t="s">
        <v>269</v>
      </c>
      <c r="S5334" t="s">
        <v>33</v>
      </c>
      <c r="T5334" t="s">
        <v>62</v>
      </c>
      <c r="U5334">
        <v>325</v>
      </c>
      <c r="V5334" t="s">
        <v>926</v>
      </c>
      <c r="W5334" t="s">
        <v>122</v>
      </c>
      <c r="X5334" t="s">
        <v>700</v>
      </c>
      <c r="Y5334" t="s">
        <v>33</v>
      </c>
      <c r="Z5334" t="s">
        <v>528</v>
      </c>
      <c r="AA5334">
        <v>325</v>
      </c>
      <c r="AB5334" t="s">
        <v>905</v>
      </c>
      <c r="AC5334" t="s">
        <v>511</v>
      </c>
      <c r="AD5334" t="s">
        <v>33</v>
      </c>
      <c r="AE5334" t="s">
        <v>50</v>
      </c>
      <c r="AF5334" t="s">
        <v>91</v>
      </c>
      <c r="AG5334">
        <v>325</v>
      </c>
      <c r="AH5334" t="s">
        <v>263</v>
      </c>
      <c r="AI5334" t="s">
        <v>264</v>
      </c>
      <c r="AJ5334" t="s">
        <v>33</v>
      </c>
      <c r="AK5334" t="s">
        <v>284</v>
      </c>
      <c r="AL5334" t="s">
        <v>116</v>
      </c>
      <c r="AM5334">
        <v>325</v>
      </c>
      <c r="AN5334" t="s">
        <v>1260</v>
      </c>
      <c r="AO5334" t="s">
        <v>535</v>
      </c>
      <c r="AP5334" t="s">
        <v>33</v>
      </c>
      <c r="AQ5334" t="s">
        <v>139</v>
      </c>
      <c r="AR5334" t="s">
        <v>91</v>
      </c>
      <c r="AS5334">
        <v>325</v>
      </c>
      <c r="AT5334" t="s">
        <v>1031</v>
      </c>
      <c r="AU5334" t="s">
        <v>506</v>
      </c>
      <c r="AV5334" t="s">
        <v>33</v>
      </c>
      <c r="AW5334" t="s">
        <v>329</v>
      </c>
      <c r="AX5334" t="s">
        <v>103</v>
      </c>
      <c r="AY5334">
        <v>325</v>
      </c>
      <c r="AZ5334" t="s">
        <v>428</v>
      </c>
      <c r="BA5334" t="s">
        <v>732</v>
      </c>
      <c r="BB5334" t="s">
        <v>33</v>
      </c>
      <c r="BC5334" t="s">
        <v>125</v>
      </c>
      <c r="BD5334" t="s">
        <v>103</v>
      </c>
      <c r="BE5334">
        <v>325</v>
      </c>
      <c r="BF5334" t="s">
        <v>500</v>
      </c>
      <c r="BG5334" t="s">
        <v>345</v>
      </c>
      <c r="BH5334" t="s">
        <v>1228</v>
      </c>
      <c r="BI5334" t="s">
        <v>278</v>
      </c>
      <c r="BJ5334" t="s">
        <v>120</v>
      </c>
      <c r="BK5334">
        <v>325</v>
      </c>
      <c r="BL5334" t="s">
        <v>1324</v>
      </c>
      <c r="BM5334" t="s">
        <v>171</v>
      </c>
      <c r="BN5334" t="s">
        <v>662</v>
      </c>
      <c r="BO5334" t="s">
        <v>272</v>
      </c>
      <c r="BP5334" t="s">
        <v>66</v>
      </c>
    </row>
    <row r="5335" spans="1:68" x14ac:dyDescent="0.3">
      <c r="A5335" t="s">
        <v>28</v>
      </c>
      <c r="B5335" t="s">
        <v>291</v>
      </c>
      <c r="C5335">
        <v>114</v>
      </c>
      <c r="D5335" t="s">
        <v>837</v>
      </c>
      <c r="E5335" t="s">
        <v>103</v>
      </c>
      <c r="F5335" t="s">
        <v>329</v>
      </c>
      <c r="G5335" t="s">
        <v>103</v>
      </c>
      <c r="H5335" t="s">
        <v>98</v>
      </c>
      <c r="I5335">
        <v>114</v>
      </c>
      <c r="J5335" t="s">
        <v>978</v>
      </c>
      <c r="K5335" t="s">
        <v>110</v>
      </c>
      <c r="L5335" t="s">
        <v>281</v>
      </c>
      <c r="M5335" t="s">
        <v>103</v>
      </c>
      <c r="N5335" t="s">
        <v>131</v>
      </c>
      <c r="O5335">
        <v>114</v>
      </c>
      <c r="P5335" t="s">
        <v>880</v>
      </c>
      <c r="Q5335" t="s">
        <v>103</v>
      </c>
      <c r="R5335" t="s">
        <v>468</v>
      </c>
      <c r="S5335" t="s">
        <v>103</v>
      </c>
      <c r="T5335" t="s">
        <v>194</v>
      </c>
      <c r="U5335">
        <v>114</v>
      </c>
      <c r="V5335" t="s">
        <v>1371</v>
      </c>
      <c r="W5335" t="s">
        <v>103</v>
      </c>
      <c r="X5335" t="s">
        <v>97</v>
      </c>
      <c r="Y5335" t="s">
        <v>103</v>
      </c>
      <c r="Z5335" t="s">
        <v>273</v>
      </c>
      <c r="AA5335">
        <v>114</v>
      </c>
      <c r="AB5335" t="s">
        <v>742</v>
      </c>
      <c r="AC5335" t="s">
        <v>257</v>
      </c>
      <c r="AD5335" t="s">
        <v>103</v>
      </c>
      <c r="AE5335" t="s">
        <v>601</v>
      </c>
      <c r="AF5335" t="s">
        <v>103</v>
      </c>
      <c r="AG5335">
        <v>114</v>
      </c>
      <c r="AH5335" t="s">
        <v>61</v>
      </c>
      <c r="AI5335" t="s">
        <v>113</v>
      </c>
      <c r="AJ5335" t="s">
        <v>103</v>
      </c>
      <c r="AK5335" t="s">
        <v>105</v>
      </c>
      <c r="AL5335" t="s">
        <v>98</v>
      </c>
      <c r="AM5335">
        <v>114</v>
      </c>
      <c r="AN5335" t="s">
        <v>200</v>
      </c>
      <c r="AO5335" t="s">
        <v>102</v>
      </c>
      <c r="AP5335" t="s">
        <v>98</v>
      </c>
      <c r="AQ5335" t="s">
        <v>103</v>
      </c>
      <c r="AR5335" t="s">
        <v>103</v>
      </c>
      <c r="AS5335">
        <v>114</v>
      </c>
      <c r="AT5335" t="s">
        <v>879</v>
      </c>
      <c r="AU5335" t="s">
        <v>266</v>
      </c>
      <c r="AV5335" t="s">
        <v>103</v>
      </c>
      <c r="AW5335" t="s">
        <v>103</v>
      </c>
      <c r="AX5335" t="s">
        <v>103</v>
      </c>
      <c r="AY5335">
        <v>114</v>
      </c>
      <c r="AZ5335" t="s">
        <v>880</v>
      </c>
      <c r="BA5335" t="s">
        <v>257</v>
      </c>
      <c r="BB5335" t="s">
        <v>103</v>
      </c>
      <c r="BC5335" t="s">
        <v>103</v>
      </c>
      <c r="BD5335" t="s">
        <v>103</v>
      </c>
      <c r="BE5335">
        <v>114</v>
      </c>
      <c r="BF5335" t="s">
        <v>889</v>
      </c>
      <c r="BG5335" t="s">
        <v>239</v>
      </c>
      <c r="BH5335" t="s">
        <v>60</v>
      </c>
      <c r="BI5335" t="s">
        <v>103</v>
      </c>
      <c r="BJ5335" t="s">
        <v>105</v>
      </c>
      <c r="BK5335">
        <v>114</v>
      </c>
      <c r="BL5335" t="s">
        <v>326</v>
      </c>
      <c r="BM5335" t="s">
        <v>103</v>
      </c>
      <c r="BN5335" t="s">
        <v>103</v>
      </c>
      <c r="BO5335" t="s">
        <v>194</v>
      </c>
      <c r="BP5335" t="s">
        <v>103</v>
      </c>
    </row>
    <row r="5336" spans="1:68" x14ac:dyDescent="0.3">
      <c r="A5336" t="s">
        <v>28</v>
      </c>
      <c r="B5336" t="s">
        <v>292</v>
      </c>
      <c r="C5336">
        <v>191</v>
      </c>
      <c r="D5336" t="s">
        <v>1176</v>
      </c>
      <c r="E5336" t="s">
        <v>122</v>
      </c>
      <c r="F5336" t="s">
        <v>120</v>
      </c>
      <c r="G5336" t="s">
        <v>103</v>
      </c>
      <c r="H5336" t="s">
        <v>468</v>
      </c>
      <c r="I5336">
        <v>191</v>
      </c>
      <c r="J5336" t="s">
        <v>202</v>
      </c>
      <c r="K5336" t="s">
        <v>112</v>
      </c>
      <c r="L5336" t="s">
        <v>120</v>
      </c>
      <c r="M5336" t="s">
        <v>103</v>
      </c>
      <c r="N5336" t="s">
        <v>123</v>
      </c>
      <c r="O5336">
        <v>191</v>
      </c>
      <c r="P5336" t="s">
        <v>335</v>
      </c>
      <c r="Q5336" t="s">
        <v>103</v>
      </c>
      <c r="R5336" t="s">
        <v>120</v>
      </c>
      <c r="S5336" t="s">
        <v>103</v>
      </c>
      <c r="T5336" t="s">
        <v>98</v>
      </c>
      <c r="U5336">
        <v>191</v>
      </c>
      <c r="V5336" t="s">
        <v>1316</v>
      </c>
      <c r="W5336" t="s">
        <v>103</v>
      </c>
      <c r="X5336" t="s">
        <v>103</v>
      </c>
      <c r="Y5336" t="s">
        <v>103</v>
      </c>
      <c r="Z5336" t="s">
        <v>557</v>
      </c>
      <c r="AA5336">
        <v>191</v>
      </c>
      <c r="AB5336" t="s">
        <v>287</v>
      </c>
      <c r="AC5336" t="s">
        <v>103</v>
      </c>
      <c r="AD5336" t="s">
        <v>103</v>
      </c>
      <c r="AE5336" t="s">
        <v>591</v>
      </c>
      <c r="AF5336" t="s">
        <v>103</v>
      </c>
      <c r="AG5336">
        <v>191</v>
      </c>
      <c r="AH5336" t="s">
        <v>876</v>
      </c>
      <c r="AI5336" t="s">
        <v>103</v>
      </c>
      <c r="AJ5336" t="s">
        <v>103</v>
      </c>
      <c r="AK5336" t="s">
        <v>282</v>
      </c>
      <c r="AL5336" t="s">
        <v>103</v>
      </c>
      <c r="AM5336">
        <v>191</v>
      </c>
      <c r="AN5336" t="s">
        <v>343</v>
      </c>
      <c r="AO5336" t="s">
        <v>120</v>
      </c>
      <c r="AP5336" t="s">
        <v>103</v>
      </c>
      <c r="AQ5336" t="s">
        <v>103</v>
      </c>
      <c r="AR5336" t="s">
        <v>103</v>
      </c>
      <c r="AS5336">
        <v>191</v>
      </c>
      <c r="AT5336" t="s">
        <v>343</v>
      </c>
      <c r="AU5336" t="s">
        <v>120</v>
      </c>
      <c r="AV5336" t="s">
        <v>103</v>
      </c>
      <c r="AW5336" t="s">
        <v>103</v>
      </c>
      <c r="AX5336" t="s">
        <v>103</v>
      </c>
      <c r="AY5336">
        <v>191</v>
      </c>
      <c r="AZ5336" t="s">
        <v>852</v>
      </c>
      <c r="BA5336" t="s">
        <v>98</v>
      </c>
      <c r="BB5336" t="s">
        <v>103</v>
      </c>
      <c r="BC5336" t="s">
        <v>194</v>
      </c>
      <c r="BD5336" t="s">
        <v>103</v>
      </c>
      <c r="BE5336">
        <v>191</v>
      </c>
      <c r="BF5336" t="s">
        <v>752</v>
      </c>
      <c r="BG5336" t="s">
        <v>122</v>
      </c>
      <c r="BH5336" t="s">
        <v>70</v>
      </c>
      <c r="BI5336" t="s">
        <v>103</v>
      </c>
      <c r="BJ5336" t="s">
        <v>103</v>
      </c>
      <c r="BK5336">
        <v>191</v>
      </c>
      <c r="BL5336" t="s">
        <v>334</v>
      </c>
      <c r="BM5336" t="s">
        <v>122</v>
      </c>
      <c r="BN5336" t="s">
        <v>103</v>
      </c>
      <c r="BO5336" t="s">
        <v>122</v>
      </c>
      <c r="BP5336" t="s">
        <v>103</v>
      </c>
    </row>
    <row r="5337" spans="1:68" x14ac:dyDescent="0.3">
      <c r="A5337" t="s">
        <v>28</v>
      </c>
      <c r="B5337" t="s">
        <v>308</v>
      </c>
      <c r="C5337">
        <v>12</v>
      </c>
      <c r="D5337" t="s">
        <v>859</v>
      </c>
      <c r="E5337" t="s">
        <v>103</v>
      </c>
      <c r="F5337" t="s">
        <v>103</v>
      </c>
      <c r="G5337" t="s">
        <v>112</v>
      </c>
      <c r="H5337" t="s">
        <v>103</v>
      </c>
      <c r="I5337">
        <v>12</v>
      </c>
      <c r="J5337" t="s">
        <v>379</v>
      </c>
      <c r="K5337" t="s">
        <v>1093</v>
      </c>
      <c r="L5337" t="s">
        <v>103</v>
      </c>
      <c r="M5337" t="s">
        <v>112</v>
      </c>
      <c r="N5337" t="s">
        <v>103</v>
      </c>
      <c r="O5337">
        <v>12</v>
      </c>
      <c r="P5337" t="s">
        <v>1131</v>
      </c>
      <c r="Q5337" t="s">
        <v>103</v>
      </c>
      <c r="R5337" t="s">
        <v>103</v>
      </c>
      <c r="S5337" t="s">
        <v>112</v>
      </c>
      <c r="T5337" t="s">
        <v>459</v>
      </c>
      <c r="U5337">
        <v>12</v>
      </c>
      <c r="V5337" t="s">
        <v>859</v>
      </c>
      <c r="W5337" t="s">
        <v>103</v>
      </c>
      <c r="X5337" t="s">
        <v>103</v>
      </c>
      <c r="Y5337" t="s">
        <v>112</v>
      </c>
      <c r="Z5337" t="s">
        <v>103</v>
      </c>
      <c r="AA5337">
        <v>12</v>
      </c>
      <c r="AB5337" t="s">
        <v>859</v>
      </c>
      <c r="AC5337" t="s">
        <v>103</v>
      </c>
      <c r="AD5337" t="s">
        <v>112</v>
      </c>
      <c r="AE5337" t="s">
        <v>103</v>
      </c>
      <c r="AF5337" t="s">
        <v>103</v>
      </c>
      <c r="AG5337">
        <v>12</v>
      </c>
      <c r="AH5337" t="s">
        <v>859</v>
      </c>
      <c r="AI5337" t="s">
        <v>103</v>
      </c>
      <c r="AJ5337" t="s">
        <v>112</v>
      </c>
      <c r="AK5337" t="s">
        <v>103</v>
      </c>
      <c r="AL5337" t="s">
        <v>103</v>
      </c>
      <c r="AM5337">
        <v>12</v>
      </c>
      <c r="AN5337" t="s">
        <v>859</v>
      </c>
      <c r="AO5337" t="s">
        <v>103</v>
      </c>
      <c r="AP5337" t="s">
        <v>112</v>
      </c>
      <c r="AQ5337" t="s">
        <v>103</v>
      </c>
      <c r="AR5337" t="s">
        <v>103</v>
      </c>
      <c r="AS5337">
        <v>12</v>
      </c>
      <c r="AT5337" t="s">
        <v>859</v>
      </c>
      <c r="AU5337" t="s">
        <v>103</v>
      </c>
      <c r="AV5337" t="s">
        <v>112</v>
      </c>
      <c r="AW5337" t="s">
        <v>103</v>
      </c>
      <c r="AX5337" t="s">
        <v>103</v>
      </c>
      <c r="AY5337">
        <v>12</v>
      </c>
      <c r="AZ5337" t="s">
        <v>859</v>
      </c>
      <c r="BA5337" t="s">
        <v>103</v>
      </c>
      <c r="BB5337" t="s">
        <v>112</v>
      </c>
      <c r="BC5337" t="s">
        <v>103</v>
      </c>
      <c r="BD5337" t="s">
        <v>103</v>
      </c>
      <c r="BE5337">
        <v>12</v>
      </c>
      <c r="BF5337" t="s">
        <v>859</v>
      </c>
      <c r="BG5337" t="s">
        <v>103</v>
      </c>
      <c r="BH5337" t="s">
        <v>103</v>
      </c>
      <c r="BI5337" t="s">
        <v>112</v>
      </c>
      <c r="BJ5337" t="s">
        <v>103</v>
      </c>
      <c r="BK5337">
        <v>12</v>
      </c>
      <c r="BL5337" t="s">
        <v>859</v>
      </c>
      <c r="BM5337" t="s">
        <v>103</v>
      </c>
      <c r="BN5337" t="s">
        <v>112</v>
      </c>
      <c r="BO5337" t="s">
        <v>103</v>
      </c>
      <c r="BP5337" t="s">
        <v>103</v>
      </c>
    </row>
    <row r="5338" spans="1:68" x14ac:dyDescent="0.3">
      <c r="A5338" t="s">
        <v>27</v>
      </c>
      <c r="B5338" t="s">
        <v>291</v>
      </c>
      <c r="C5338">
        <v>95</v>
      </c>
      <c r="D5338" t="s">
        <v>1461</v>
      </c>
      <c r="E5338" t="s">
        <v>194</v>
      </c>
      <c r="F5338" t="s">
        <v>357</v>
      </c>
      <c r="G5338" t="s">
        <v>171</v>
      </c>
      <c r="H5338" t="s">
        <v>282</v>
      </c>
      <c r="I5338">
        <v>95</v>
      </c>
      <c r="J5338" t="s">
        <v>1015</v>
      </c>
      <c r="K5338" t="s">
        <v>517</v>
      </c>
      <c r="L5338" t="s">
        <v>259</v>
      </c>
      <c r="M5338" t="s">
        <v>171</v>
      </c>
      <c r="N5338" t="s">
        <v>126</v>
      </c>
      <c r="O5338">
        <v>95</v>
      </c>
      <c r="P5338" t="s">
        <v>1032</v>
      </c>
      <c r="Q5338" t="s">
        <v>103</v>
      </c>
      <c r="R5338" t="s">
        <v>457</v>
      </c>
      <c r="S5338" t="s">
        <v>171</v>
      </c>
      <c r="T5338" t="s">
        <v>281</v>
      </c>
      <c r="U5338">
        <v>95</v>
      </c>
      <c r="V5338" t="s">
        <v>1006</v>
      </c>
      <c r="W5338" t="s">
        <v>139</v>
      </c>
      <c r="X5338" t="s">
        <v>530</v>
      </c>
      <c r="Y5338" t="s">
        <v>171</v>
      </c>
      <c r="Z5338" t="s">
        <v>64</v>
      </c>
      <c r="AA5338">
        <v>95</v>
      </c>
      <c r="AB5338" t="s">
        <v>1219</v>
      </c>
      <c r="AC5338" t="s">
        <v>1143</v>
      </c>
      <c r="AD5338" t="s">
        <v>171</v>
      </c>
      <c r="AE5338" t="s">
        <v>1576</v>
      </c>
      <c r="AF5338" t="s">
        <v>468</v>
      </c>
      <c r="AG5338">
        <v>95</v>
      </c>
      <c r="AH5338" t="s">
        <v>513</v>
      </c>
      <c r="AI5338" t="s">
        <v>797</v>
      </c>
      <c r="AJ5338" t="s">
        <v>171</v>
      </c>
      <c r="AK5338" t="s">
        <v>118</v>
      </c>
      <c r="AL5338" t="s">
        <v>468</v>
      </c>
      <c r="AM5338">
        <v>95</v>
      </c>
      <c r="AN5338" t="s">
        <v>816</v>
      </c>
      <c r="AO5338" t="s">
        <v>423</v>
      </c>
      <c r="AP5338" t="s">
        <v>171</v>
      </c>
      <c r="AQ5338" t="s">
        <v>103</v>
      </c>
      <c r="AR5338" t="s">
        <v>194</v>
      </c>
      <c r="AS5338">
        <v>95</v>
      </c>
      <c r="AT5338" t="s">
        <v>1028</v>
      </c>
      <c r="AU5338" t="s">
        <v>1028</v>
      </c>
      <c r="AV5338" t="s">
        <v>518</v>
      </c>
      <c r="AW5338" t="s">
        <v>118</v>
      </c>
      <c r="AX5338" t="s">
        <v>208</v>
      </c>
      <c r="AY5338">
        <v>95</v>
      </c>
      <c r="AZ5338" t="s">
        <v>1579</v>
      </c>
      <c r="BA5338" t="s">
        <v>655</v>
      </c>
      <c r="BB5338" t="s">
        <v>519</v>
      </c>
      <c r="BC5338" t="s">
        <v>110</v>
      </c>
      <c r="BD5338" t="s">
        <v>103</v>
      </c>
      <c r="BE5338">
        <v>95</v>
      </c>
      <c r="BF5338" t="s">
        <v>1224</v>
      </c>
      <c r="BG5338" t="s">
        <v>103</v>
      </c>
      <c r="BH5338" t="s">
        <v>839</v>
      </c>
      <c r="BI5338" t="s">
        <v>171</v>
      </c>
      <c r="BJ5338" t="s">
        <v>282</v>
      </c>
      <c r="BK5338">
        <v>95</v>
      </c>
      <c r="BL5338" t="s">
        <v>349</v>
      </c>
      <c r="BM5338" t="s">
        <v>382</v>
      </c>
      <c r="BN5338" t="s">
        <v>171</v>
      </c>
      <c r="BO5338" t="s">
        <v>282</v>
      </c>
      <c r="BP5338" t="s">
        <v>103</v>
      </c>
    </row>
    <row r="5339" spans="1:68" x14ac:dyDescent="0.3">
      <c r="A5339" t="s">
        <v>27</v>
      </c>
      <c r="B5339" t="s">
        <v>292</v>
      </c>
      <c r="C5339">
        <v>198</v>
      </c>
      <c r="D5339" t="s">
        <v>1251</v>
      </c>
      <c r="E5339" t="s">
        <v>239</v>
      </c>
      <c r="F5339" t="s">
        <v>1038</v>
      </c>
      <c r="G5339" t="s">
        <v>652</v>
      </c>
      <c r="H5339" t="s">
        <v>103</v>
      </c>
      <c r="I5339">
        <v>198</v>
      </c>
      <c r="J5339" t="s">
        <v>405</v>
      </c>
      <c r="K5339" t="s">
        <v>266</v>
      </c>
      <c r="L5339" t="s">
        <v>357</v>
      </c>
      <c r="M5339" t="s">
        <v>652</v>
      </c>
      <c r="N5339" t="s">
        <v>281</v>
      </c>
      <c r="O5339">
        <v>198</v>
      </c>
      <c r="P5339" t="s">
        <v>414</v>
      </c>
      <c r="Q5339" t="s">
        <v>103</v>
      </c>
      <c r="R5339" t="s">
        <v>705</v>
      </c>
      <c r="S5339" t="s">
        <v>543</v>
      </c>
      <c r="T5339" t="s">
        <v>467</v>
      </c>
      <c r="U5339">
        <v>198</v>
      </c>
      <c r="V5339" t="s">
        <v>368</v>
      </c>
      <c r="W5339" t="s">
        <v>97</v>
      </c>
      <c r="X5339" t="s">
        <v>458</v>
      </c>
      <c r="Y5339" t="s">
        <v>652</v>
      </c>
      <c r="Z5339" t="s">
        <v>282</v>
      </c>
      <c r="AA5339">
        <v>198</v>
      </c>
      <c r="AB5339" t="s">
        <v>1098</v>
      </c>
      <c r="AC5339" t="s">
        <v>552</v>
      </c>
      <c r="AD5339" t="s">
        <v>652</v>
      </c>
      <c r="AE5339" t="s">
        <v>650</v>
      </c>
      <c r="AF5339" t="s">
        <v>97</v>
      </c>
      <c r="AG5339">
        <v>198</v>
      </c>
      <c r="AH5339" t="s">
        <v>1250</v>
      </c>
      <c r="AI5339" t="s">
        <v>138</v>
      </c>
      <c r="AJ5339" t="s">
        <v>652</v>
      </c>
      <c r="AK5339" t="s">
        <v>205</v>
      </c>
      <c r="AL5339" t="s">
        <v>103</v>
      </c>
      <c r="AM5339">
        <v>198</v>
      </c>
      <c r="AN5339" t="s">
        <v>873</v>
      </c>
      <c r="AO5339" t="s">
        <v>661</v>
      </c>
      <c r="AP5339" t="s">
        <v>652</v>
      </c>
      <c r="AQ5339" t="s">
        <v>103</v>
      </c>
      <c r="AR5339" t="s">
        <v>103</v>
      </c>
      <c r="AS5339">
        <v>198</v>
      </c>
      <c r="AT5339" t="s">
        <v>993</v>
      </c>
      <c r="AU5339" t="s">
        <v>1229</v>
      </c>
      <c r="AV5339" t="s">
        <v>269</v>
      </c>
      <c r="AW5339" t="s">
        <v>105</v>
      </c>
      <c r="AX5339" t="s">
        <v>66</v>
      </c>
      <c r="AY5339">
        <v>198</v>
      </c>
      <c r="AZ5339" t="s">
        <v>1402</v>
      </c>
      <c r="BA5339" t="s">
        <v>1043</v>
      </c>
      <c r="BB5339" t="s">
        <v>652</v>
      </c>
      <c r="BC5339" t="s">
        <v>103</v>
      </c>
      <c r="BD5339" t="s">
        <v>103</v>
      </c>
      <c r="BE5339">
        <v>198</v>
      </c>
      <c r="BF5339" t="s">
        <v>500</v>
      </c>
      <c r="BG5339" t="s">
        <v>103</v>
      </c>
      <c r="BH5339" t="s">
        <v>1396</v>
      </c>
      <c r="BI5339" t="s">
        <v>652</v>
      </c>
      <c r="BJ5339" t="s">
        <v>103</v>
      </c>
      <c r="BK5339">
        <v>198</v>
      </c>
      <c r="BL5339" t="s">
        <v>405</v>
      </c>
      <c r="BM5339" t="s">
        <v>134</v>
      </c>
      <c r="BN5339" t="s">
        <v>652</v>
      </c>
      <c r="BO5339" t="s">
        <v>105</v>
      </c>
      <c r="BP5339" t="s">
        <v>103</v>
      </c>
    </row>
    <row r="5340" spans="1:68" x14ac:dyDescent="0.3">
      <c r="A5340" t="s">
        <v>27</v>
      </c>
      <c r="B5340" t="s">
        <v>308</v>
      </c>
      <c r="C5340">
        <v>7</v>
      </c>
      <c r="D5340" t="s">
        <v>443</v>
      </c>
      <c r="E5340" t="s">
        <v>103</v>
      </c>
      <c r="F5340" t="s">
        <v>411</v>
      </c>
      <c r="G5340" t="s">
        <v>150</v>
      </c>
      <c r="H5340" t="s">
        <v>103</v>
      </c>
      <c r="I5340">
        <v>7</v>
      </c>
      <c r="J5340" t="s">
        <v>443</v>
      </c>
      <c r="K5340" t="s">
        <v>488</v>
      </c>
      <c r="L5340" t="s">
        <v>301</v>
      </c>
      <c r="M5340" t="s">
        <v>150</v>
      </c>
      <c r="N5340" t="s">
        <v>103</v>
      </c>
      <c r="O5340">
        <v>7</v>
      </c>
      <c r="P5340" t="s">
        <v>443</v>
      </c>
      <c r="Q5340" t="s">
        <v>103</v>
      </c>
      <c r="R5340" t="s">
        <v>301</v>
      </c>
      <c r="S5340" t="s">
        <v>150</v>
      </c>
      <c r="T5340" t="s">
        <v>488</v>
      </c>
      <c r="U5340">
        <v>7</v>
      </c>
      <c r="V5340" t="s">
        <v>443</v>
      </c>
      <c r="W5340" t="s">
        <v>103</v>
      </c>
      <c r="X5340" t="s">
        <v>411</v>
      </c>
      <c r="Y5340" t="s">
        <v>150</v>
      </c>
      <c r="Z5340" t="s">
        <v>103</v>
      </c>
      <c r="AA5340">
        <v>7</v>
      </c>
      <c r="AB5340" t="s">
        <v>1018</v>
      </c>
      <c r="AC5340" t="s">
        <v>103</v>
      </c>
      <c r="AD5340" t="s">
        <v>150</v>
      </c>
      <c r="AE5340" t="s">
        <v>301</v>
      </c>
      <c r="AF5340" t="s">
        <v>103</v>
      </c>
      <c r="AG5340">
        <v>7</v>
      </c>
      <c r="AH5340" t="s">
        <v>1018</v>
      </c>
      <c r="AI5340" t="s">
        <v>488</v>
      </c>
      <c r="AJ5340" t="s">
        <v>150</v>
      </c>
      <c r="AK5340" t="s">
        <v>54</v>
      </c>
      <c r="AL5340" t="s">
        <v>103</v>
      </c>
      <c r="AM5340">
        <v>7</v>
      </c>
      <c r="AN5340" t="s">
        <v>443</v>
      </c>
      <c r="AO5340" t="s">
        <v>411</v>
      </c>
      <c r="AP5340" t="s">
        <v>150</v>
      </c>
      <c r="AQ5340" t="s">
        <v>103</v>
      </c>
      <c r="AR5340" t="s">
        <v>103</v>
      </c>
      <c r="AS5340">
        <v>7</v>
      </c>
      <c r="AT5340" t="s">
        <v>1018</v>
      </c>
      <c r="AU5340" t="s">
        <v>301</v>
      </c>
      <c r="AV5340" t="s">
        <v>150</v>
      </c>
      <c r="AW5340" t="s">
        <v>103</v>
      </c>
      <c r="AX5340" t="s">
        <v>103</v>
      </c>
      <c r="AY5340">
        <v>7</v>
      </c>
      <c r="AZ5340" t="s">
        <v>1018</v>
      </c>
      <c r="BA5340" t="s">
        <v>301</v>
      </c>
      <c r="BB5340" t="s">
        <v>150</v>
      </c>
      <c r="BC5340" t="s">
        <v>103</v>
      </c>
      <c r="BD5340" t="s">
        <v>103</v>
      </c>
      <c r="BE5340">
        <v>7</v>
      </c>
      <c r="BF5340" t="s">
        <v>1018</v>
      </c>
      <c r="BG5340" t="s">
        <v>103</v>
      </c>
      <c r="BH5340" t="s">
        <v>301</v>
      </c>
      <c r="BI5340" t="s">
        <v>150</v>
      </c>
      <c r="BJ5340" t="s">
        <v>103</v>
      </c>
      <c r="BK5340">
        <v>7</v>
      </c>
      <c r="BL5340" t="s">
        <v>1018</v>
      </c>
      <c r="BM5340" t="s">
        <v>301</v>
      </c>
      <c r="BN5340" t="s">
        <v>150</v>
      </c>
      <c r="BO5340" t="s">
        <v>103</v>
      </c>
      <c r="BP5340" t="s">
        <v>103</v>
      </c>
    </row>
    <row r="5341" spans="1:68" x14ac:dyDescent="0.3">
      <c r="A5341" t="s">
        <v>41</v>
      </c>
      <c r="B5341" t="s">
        <v>291</v>
      </c>
      <c r="C5341">
        <v>692</v>
      </c>
      <c r="D5341" t="s">
        <v>358</v>
      </c>
      <c r="E5341" t="s">
        <v>110</v>
      </c>
      <c r="F5341" t="s">
        <v>659</v>
      </c>
      <c r="G5341" t="s">
        <v>278</v>
      </c>
      <c r="H5341" t="s">
        <v>208</v>
      </c>
      <c r="I5341">
        <v>692</v>
      </c>
      <c r="J5341" t="s">
        <v>370</v>
      </c>
      <c r="K5341" t="s">
        <v>571</v>
      </c>
      <c r="L5341" t="s">
        <v>1226</v>
      </c>
      <c r="M5341" t="s">
        <v>278</v>
      </c>
      <c r="N5341" t="s">
        <v>155</v>
      </c>
      <c r="O5341">
        <v>692</v>
      </c>
      <c r="P5341" t="s">
        <v>1017</v>
      </c>
      <c r="Q5341" t="s">
        <v>98</v>
      </c>
      <c r="R5341" t="s">
        <v>519</v>
      </c>
      <c r="S5341" t="s">
        <v>281</v>
      </c>
      <c r="T5341" t="s">
        <v>33</v>
      </c>
      <c r="U5341">
        <v>692</v>
      </c>
      <c r="V5341" t="s">
        <v>979</v>
      </c>
      <c r="W5341" t="s">
        <v>98</v>
      </c>
      <c r="X5341" t="s">
        <v>734</v>
      </c>
      <c r="Y5341" t="s">
        <v>278</v>
      </c>
      <c r="Z5341" t="s">
        <v>269</v>
      </c>
      <c r="AA5341">
        <v>692</v>
      </c>
      <c r="AB5341" t="s">
        <v>948</v>
      </c>
      <c r="AC5341" t="s">
        <v>224</v>
      </c>
      <c r="AD5341" t="s">
        <v>70</v>
      </c>
      <c r="AE5341" t="s">
        <v>1226</v>
      </c>
      <c r="AF5341" t="s">
        <v>95</v>
      </c>
      <c r="AG5341">
        <v>692</v>
      </c>
      <c r="AH5341" t="s">
        <v>2106</v>
      </c>
      <c r="AI5341" t="s">
        <v>234</v>
      </c>
      <c r="AJ5341" t="s">
        <v>278</v>
      </c>
      <c r="AK5341" t="s">
        <v>270</v>
      </c>
      <c r="AL5341" t="s">
        <v>139</v>
      </c>
      <c r="AM5341">
        <v>692</v>
      </c>
      <c r="AN5341" t="s">
        <v>1220</v>
      </c>
      <c r="AO5341" t="s">
        <v>1055</v>
      </c>
      <c r="AP5341" t="s">
        <v>278</v>
      </c>
      <c r="AQ5341" t="s">
        <v>116</v>
      </c>
      <c r="AR5341" t="s">
        <v>116</v>
      </c>
      <c r="AS5341">
        <v>692</v>
      </c>
      <c r="AT5341" t="s">
        <v>979</v>
      </c>
      <c r="AU5341" t="s">
        <v>295</v>
      </c>
      <c r="AV5341" t="s">
        <v>662</v>
      </c>
      <c r="AW5341" t="s">
        <v>95</v>
      </c>
      <c r="AX5341" t="s">
        <v>194</v>
      </c>
      <c r="AY5341">
        <v>692</v>
      </c>
      <c r="AZ5341" t="s">
        <v>1392</v>
      </c>
      <c r="BA5341" t="s">
        <v>658</v>
      </c>
      <c r="BB5341" t="s">
        <v>278</v>
      </c>
      <c r="BC5341" t="s">
        <v>105</v>
      </c>
      <c r="BD5341" t="s">
        <v>122</v>
      </c>
      <c r="BE5341">
        <v>692</v>
      </c>
      <c r="BF5341" t="s">
        <v>1579</v>
      </c>
      <c r="BG5341" t="s">
        <v>98</v>
      </c>
      <c r="BH5341" t="s">
        <v>34</v>
      </c>
      <c r="BI5341" t="s">
        <v>281</v>
      </c>
      <c r="BJ5341" t="s">
        <v>98</v>
      </c>
      <c r="BK5341">
        <v>692</v>
      </c>
      <c r="BL5341" t="s">
        <v>895</v>
      </c>
      <c r="BM5341" t="s">
        <v>160</v>
      </c>
      <c r="BN5341" t="s">
        <v>281</v>
      </c>
      <c r="BO5341" t="s">
        <v>341</v>
      </c>
      <c r="BP5341" t="s">
        <v>122</v>
      </c>
    </row>
    <row r="5342" spans="1:68" x14ac:dyDescent="0.3">
      <c r="A5342" t="s">
        <v>41</v>
      </c>
      <c r="B5342" t="s">
        <v>292</v>
      </c>
      <c r="C5342">
        <v>1320</v>
      </c>
      <c r="D5342" t="s">
        <v>1251</v>
      </c>
      <c r="E5342" t="s">
        <v>95</v>
      </c>
      <c r="F5342" t="s">
        <v>1057</v>
      </c>
      <c r="G5342" t="s">
        <v>438</v>
      </c>
      <c r="H5342" t="s">
        <v>208</v>
      </c>
      <c r="I5342">
        <v>1320</v>
      </c>
      <c r="J5342" t="s">
        <v>384</v>
      </c>
      <c r="K5342" t="s">
        <v>460</v>
      </c>
      <c r="L5342" t="s">
        <v>31</v>
      </c>
      <c r="M5342" t="s">
        <v>102</v>
      </c>
      <c r="N5342" t="s">
        <v>275</v>
      </c>
      <c r="O5342">
        <v>1320</v>
      </c>
      <c r="P5342" t="s">
        <v>755</v>
      </c>
      <c r="Q5342" t="s">
        <v>98</v>
      </c>
      <c r="R5342" t="s">
        <v>244</v>
      </c>
      <c r="S5342" t="s">
        <v>438</v>
      </c>
      <c r="T5342" t="s">
        <v>494</v>
      </c>
      <c r="U5342">
        <v>1320</v>
      </c>
      <c r="V5342" t="s">
        <v>1398</v>
      </c>
      <c r="W5342" t="s">
        <v>66</v>
      </c>
      <c r="X5342" t="s">
        <v>813</v>
      </c>
      <c r="Y5342" t="s">
        <v>438</v>
      </c>
      <c r="Z5342" t="s">
        <v>169</v>
      </c>
      <c r="AA5342">
        <v>1320</v>
      </c>
      <c r="AB5342" t="s">
        <v>1438</v>
      </c>
      <c r="AC5342" t="s">
        <v>127</v>
      </c>
      <c r="AD5342" t="s">
        <v>438</v>
      </c>
      <c r="AE5342" t="s">
        <v>474</v>
      </c>
      <c r="AF5342" t="s">
        <v>91</v>
      </c>
      <c r="AG5342">
        <v>1320</v>
      </c>
      <c r="AH5342" t="s">
        <v>1581</v>
      </c>
      <c r="AI5342" t="s">
        <v>1023</v>
      </c>
      <c r="AJ5342" t="s">
        <v>438</v>
      </c>
      <c r="AK5342" t="s">
        <v>467</v>
      </c>
      <c r="AL5342" t="s">
        <v>116</v>
      </c>
      <c r="AM5342">
        <v>1320</v>
      </c>
      <c r="AN5342" t="s">
        <v>1577</v>
      </c>
      <c r="AO5342" t="s">
        <v>573</v>
      </c>
      <c r="AP5342" t="s">
        <v>438</v>
      </c>
      <c r="AQ5342" t="s">
        <v>97</v>
      </c>
      <c r="AR5342" t="s">
        <v>103</v>
      </c>
      <c r="AS5342">
        <v>1320</v>
      </c>
      <c r="AT5342" t="s">
        <v>1680</v>
      </c>
      <c r="AU5342" t="s">
        <v>548</v>
      </c>
      <c r="AV5342" t="s">
        <v>438</v>
      </c>
      <c r="AW5342" t="s">
        <v>110</v>
      </c>
      <c r="AX5342" t="s">
        <v>91</v>
      </c>
      <c r="AY5342">
        <v>1320</v>
      </c>
      <c r="AZ5342" t="s">
        <v>397</v>
      </c>
      <c r="BA5342" t="s">
        <v>580</v>
      </c>
      <c r="BB5342" t="s">
        <v>438</v>
      </c>
      <c r="BC5342" t="s">
        <v>105</v>
      </c>
      <c r="BD5342" t="s">
        <v>91</v>
      </c>
      <c r="BE5342">
        <v>1320</v>
      </c>
      <c r="BF5342" t="s">
        <v>487</v>
      </c>
      <c r="BG5342" t="s">
        <v>120</v>
      </c>
      <c r="BH5342" t="s">
        <v>399</v>
      </c>
      <c r="BI5342" t="s">
        <v>102</v>
      </c>
      <c r="BJ5342" t="s">
        <v>122</v>
      </c>
      <c r="BK5342">
        <v>1320</v>
      </c>
      <c r="BL5342" t="s">
        <v>267</v>
      </c>
      <c r="BM5342" t="s">
        <v>524</v>
      </c>
      <c r="BN5342" t="s">
        <v>493</v>
      </c>
      <c r="BO5342" t="s">
        <v>105</v>
      </c>
      <c r="BP5342" t="s">
        <v>91</v>
      </c>
    </row>
    <row r="5343" spans="1:68" x14ac:dyDescent="0.3">
      <c r="A5343" t="s">
        <v>41</v>
      </c>
      <c r="B5343" t="s">
        <v>308</v>
      </c>
      <c r="C5343">
        <v>26</v>
      </c>
      <c r="D5343" t="s">
        <v>1230</v>
      </c>
      <c r="E5343" t="s">
        <v>103</v>
      </c>
      <c r="F5343" t="s">
        <v>503</v>
      </c>
      <c r="G5343" t="s">
        <v>544</v>
      </c>
      <c r="H5343" t="s">
        <v>103</v>
      </c>
      <c r="I5343">
        <v>26</v>
      </c>
      <c r="J5343" t="s">
        <v>730</v>
      </c>
      <c r="K5343" t="s">
        <v>517</v>
      </c>
      <c r="L5343" t="s">
        <v>112</v>
      </c>
      <c r="M5343" t="s">
        <v>544</v>
      </c>
      <c r="N5343" t="s">
        <v>242</v>
      </c>
      <c r="O5343">
        <v>26</v>
      </c>
      <c r="P5343" t="s">
        <v>1316</v>
      </c>
      <c r="Q5343" t="s">
        <v>103</v>
      </c>
      <c r="R5343" t="s">
        <v>112</v>
      </c>
      <c r="S5343" t="s">
        <v>544</v>
      </c>
      <c r="T5343" t="s">
        <v>133</v>
      </c>
      <c r="U5343">
        <v>26</v>
      </c>
      <c r="V5343" t="s">
        <v>986</v>
      </c>
      <c r="W5343" t="s">
        <v>103</v>
      </c>
      <c r="X5343" t="s">
        <v>205</v>
      </c>
      <c r="Y5343" t="s">
        <v>544</v>
      </c>
      <c r="Z5343" t="s">
        <v>737</v>
      </c>
      <c r="AA5343">
        <v>26</v>
      </c>
      <c r="AB5343" t="s">
        <v>758</v>
      </c>
      <c r="AC5343" t="s">
        <v>103</v>
      </c>
      <c r="AD5343" t="s">
        <v>544</v>
      </c>
      <c r="AE5343" t="s">
        <v>112</v>
      </c>
      <c r="AF5343" t="s">
        <v>103</v>
      </c>
      <c r="AG5343">
        <v>26</v>
      </c>
      <c r="AH5343" t="s">
        <v>267</v>
      </c>
      <c r="AI5343" t="s">
        <v>281</v>
      </c>
      <c r="AJ5343" t="s">
        <v>544</v>
      </c>
      <c r="AK5343" t="s">
        <v>270</v>
      </c>
      <c r="AL5343" t="s">
        <v>103</v>
      </c>
      <c r="AM5343">
        <v>26</v>
      </c>
      <c r="AN5343" t="s">
        <v>986</v>
      </c>
      <c r="AO5343" t="s">
        <v>570</v>
      </c>
      <c r="AP5343" t="s">
        <v>544</v>
      </c>
      <c r="AQ5343" t="s">
        <v>103</v>
      </c>
      <c r="AR5343" t="s">
        <v>103</v>
      </c>
      <c r="AS5343">
        <v>26</v>
      </c>
      <c r="AT5343" t="s">
        <v>267</v>
      </c>
      <c r="AU5343" t="s">
        <v>112</v>
      </c>
      <c r="AV5343" t="s">
        <v>544</v>
      </c>
      <c r="AW5343" t="s">
        <v>217</v>
      </c>
      <c r="AX5343" t="s">
        <v>103</v>
      </c>
      <c r="AY5343">
        <v>26</v>
      </c>
      <c r="AZ5343" t="s">
        <v>758</v>
      </c>
      <c r="BA5343" t="s">
        <v>112</v>
      </c>
      <c r="BB5343" t="s">
        <v>544</v>
      </c>
      <c r="BC5343" t="s">
        <v>103</v>
      </c>
      <c r="BD5343" t="s">
        <v>103</v>
      </c>
      <c r="BE5343">
        <v>26</v>
      </c>
      <c r="BF5343" t="s">
        <v>1017</v>
      </c>
      <c r="BG5343" t="s">
        <v>103</v>
      </c>
      <c r="BH5343" t="s">
        <v>566</v>
      </c>
      <c r="BI5343" t="s">
        <v>544</v>
      </c>
      <c r="BJ5343" t="s">
        <v>103</v>
      </c>
      <c r="BK5343">
        <v>26</v>
      </c>
      <c r="BL5343" t="s">
        <v>758</v>
      </c>
      <c r="BM5343" t="s">
        <v>112</v>
      </c>
      <c r="BN5343" t="s">
        <v>544</v>
      </c>
      <c r="BO5343" t="s">
        <v>103</v>
      </c>
      <c r="BP5343" t="s">
        <v>103</v>
      </c>
    </row>
    <row r="5345" spans="1:68" x14ac:dyDescent="0.3">
      <c r="A5345" t="s">
        <v>2107</v>
      </c>
    </row>
    <row r="5346" spans="1:68" x14ac:dyDescent="0.3">
      <c r="A5346" t="s">
        <v>36</v>
      </c>
      <c r="B5346" t="s">
        <v>197</v>
      </c>
      <c r="C5346" t="s">
        <v>2037</v>
      </c>
      <c r="D5346" t="s">
        <v>2038</v>
      </c>
      <c r="E5346" t="s">
        <v>2039</v>
      </c>
      <c r="F5346" t="s">
        <v>2040</v>
      </c>
      <c r="G5346" t="s">
        <v>2041</v>
      </c>
      <c r="H5346" t="s">
        <v>2042</v>
      </c>
      <c r="I5346" t="s">
        <v>2043</v>
      </c>
      <c r="J5346" t="s">
        <v>2044</v>
      </c>
      <c r="K5346" t="s">
        <v>2045</v>
      </c>
      <c r="L5346" t="s">
        <v>2046</v>
      </c>
      <c r="M5346" t="s">
        <v>2047</v>
      </c>
      <c r="N5346" t="s">
        <v>2048</v>
      </c>
      <c r="O5346" t="s">
        <v>2049</v>
      </c>
      <c r="P5346" t="s">
        <v>2050</v>
      </c>
      <c r="Q5346" t="s">
        <v>2052</v>
      </c>
      <c r="R5346" t="s">
        <v>2053</v>
      </c>
      <c r="S5346" t="s">
        <v>2054</v>
      </c>
      <c r="T5346" t="s">
        <v>2051</v>
      </c>
      <c r="U5346" t="s">
        <v>2055</v>
      </c>
      <c r="V5346" t="s">
        <v>2056</v>
      </c>
      <c r="W5346" t="s">
        <v>2058</v>
      </c>
      <c r="X5346" t="s">
        <v>2059</v>
      </c>
      <c r="Y5346" t="s">
        <v>2060</v>
      </c>
      <c r="Z5346" t="s">
        <v>2057</v>
      </c>
      <c r="AA5346" t="s">
        <v>2061</v>
      </c>
      <c r="AB5346" t="s">
        <v>2062</v>
      </c>
      <c r="AC5346" t="s">
        <v>2064</v>
      </c>
      <c r="AD5346" t="s">
        <v>2065</v>
      </c>
      <c r="AE5346" t="s">
        <v>2066</v>
      </c>
      <c r="AF5346" t="s">
        <v>2063</v>
      </c>
      <c r="AG5346" t="s">
        <v>2067</v>
      </c>
      <c r="AH5346" t="s">
        <v>2068</v>
      </c>
      <c r="AI5346" t="s">
        <v>2069</v>
      </c>
      <c r="AJ5346" t="s">
        <v>2070</v>
      </c>
      <c r="AK5346" t="s">
        <v>2071</v>
      </c>
      <c r="AL5346" t="s">
        <v>2072</v>
      </c>
      <c r="AM5346" t="s">
        <v>2073</v>
      </c>
      <c r="AN5346" t="s">
        <v>2074</v>
      </c>
      <c r="AO5346" t="s">
        <v>2075</v>
      </c>
      <c r="AP5346" t="s">
        <v>2076</v>
      </c>
      <c r="AQ5346" t="s">
        <v>2077</v>
      </c>
      <c r="AR5346" t="s">
        <v>2078</v>
      </c>
      <c r="AS5346" t="s">
        <v>2079</v>
      </c>
      <c r="AT5346" t="s">
        <v>2080</v>
      </c>
      <c r="AU5346" t="s">
        <v>2082</v>
      </c>
      <c r="AV5346" t="s">
        <v>2083</v>
      </c>
      <c r="AW5346" t="s">
        <v>2084</v>
      </c>
      <c r="AX5346" t="s">
        <v>2081</v>
      </c>
      <c r="AY5346" t="s">
        <v>2085</v>
      </c>
      <c r="AZ5346" t="s">
        <v>2086</v>
      </c>
      <c r="BA5346" t="s">
        <v>2087</v>
      </c>
      <c r="BB5346" t="s">
        <v>2088</v>
      </c>
      <c r="BC5346" t="s">
        <v>2089</v>
      </c>
      <c r="BD5346" t="s">
        <v>2090</v>
      </c>
      <c r="BE5346" t="s">
        <v>2091</v>
      </c>
      <c r="BF5346" t="s">
        <v>2092</v>
      </c>
      <c r="BG5346" t="s">
        <v>2093</v>
      </c>
      <c r="BH5346" t="s">
        <v>2094</v>
      </c>
      <c r="BI5346" t="s">
        <v>2095</v>
      </c>
      <c r="BJ5346" t="s">
        <v>2096</v>
      </c>
      <c r="BK5346" t="s">
        <v>2097</v>
      </c>
      <c r="BL5346" t="s">
        <v>2098</v>
      </c>
      <c r="BM5346" t="s">
        <v>2099</v>
      </c>
      <c r="BN5346" t="s">
        <v>2100</v>
      </c>
      <c r="BO5346" t="s">
        <v>2101</v>
      </c>
      <c r="BP5346" t="s">
        <v>2102</v>
      </c>
    </row>
    <row r="5347" spans="1:68" x14ac:dyDescent="0.3">
      <c r="A5347" t="s">
        <v>25</v>
      </c>
      <c r="B5347" t="s">
        <v>198</v>
      </c>
      <c r="C5347">
        <v>104</v>
      </c>
      <c r="D5347" t="s">
        <v>1279</v>
      </c>
      <c r="E5347" t="s">
        <v>98</v>
      </c>
      <c r="F5347" t="s">
        <v>797</v>
      </c>
      <c r="G5347" t="s">
        <v>245</v>
      </c>
      <c r="H5347" t="s">
        <v>103</v>
      </c>
      <c r="I5347">
        <v>104</v>
      </c>
      <c r="J5347" t="s">
        <v>399</v>
      </c>
      <c r="K5347" t="s">
        <v>544</v>
      </c>
      <c r="L5347" t="s">
        <v>491</v>
      </c>
      <c r="M5347" t="s">
        <v>245</v>
      </c>
      <c r="N5347" t="s">
        <v>262</v>
      </c>
      <c r="O5347">
        <v>104</v>
      </c>
      <c r="P5347" t="s">
        <v>437</v>
      </c>
      <c r="Q5347" t="s">
        <v>578</v>
      </c>
      <c r="R5347" t="s">
        <v>245</v>
      </c>
      <c r="S5347" t="s">
        <v>125</v>
      </c>
      <c r="T5347" t="s">
        <v>103</v>
      </c>
      <c r="U5347">
        <v>104</v>
      </c>
      <c r="V5347" t="s">
        <v>267</v>
      </c>
      <c r="W5347" t="s">
        <v>275</v>
      </c>
      <c r="X5347" t="s">
        <v>245</v>
      </c>
      <c r="Y5347" t="s">
        <v>270</v>
      </c>
      <c r="Z5347" t="s">
        <v>103</v>
      </c>
      <c r="AA5347">
        <v>104</v>
      </c>
      <c r="AB5347" t="s">
        <v>618</v>
      </c>
      <c r="AC5347" t="s">
        <v>135</v>
      </c>
      <c r="AD5347" t="s">
        <v>245</v>
      </c>
      <c r="AE5347" t="s">
        <v>700</v>
      </c>
      <c r="AF5347" t="s">
        <v>103</v>
      </c>
      <c r="AG5347">
        <v>104</v>
      </c>
      <c r="AH5347" t="s">
        <v>782</v>
      </c>
      <c r="AI5347" t="s">
        <v>105</v>
      </c>
      <c r="AJ5347" t="s">
        <v>545</v>
      </c>
      <c r="AK5347" t="s">
        <v>245</v>
      </c>
      <c r="AL5347" t="s">
        <v>217</v>
      </c>
      <c r="AM5347">
        <v>104</v>
      </c>
      <c r="AN5347" t="s">
        <v>1294</v>
      </c>
      <c r="AO5347" t="s">
        <v>226</v>
      </c>
      <c r="AP5347" t="s">
        <v>245</v>
      </c>
      <c r="AQ5347" t="s">
        <v>103</v>
      </c>
      <c r="AR5347" t="s">
        <v>103</v>
      </c>
      <c r="AS5347">
        <v>104</v>
      </c>
      <c r="AT5347" t="s">
        <v>189</v>
      </c>
      <c r="AU5347" t="s">
        <v>750</v>
      </c>
      <c r="AV5347" t="s">
        <v>245</v>
      </c>
      <c r="AW5347" t="s">
        <v>122</v>
      </c>
      <c r="AX5347" t="s">
        <v>103</v>
      </c>
      <c r="AY5347">
        <v>104</v>
      </c>
      <c r="AZ5347" t="s">
        <v>720</v>
      </c>
      <c r="BA5347" t="s">
        <v>516</v>
      </c>
      <c r="BB5347" t="s">
        <v>245</v>
      </c>
      <c r="BC5347" t="s">
        <v>282</v>
      </c>
      <c r="BD5347" t="s">
        <v>103</v>
      </c>
      <c r="BE5347">
        <v>104</v>
      </c>
      <c r="BF5347" t="s">
        <v>358</v>
      </c>
      <c r="BG5347" t="s">
        <v>98</v>
      </c>
      <c r="BH5347" t="s">
        <v>797</v>
      </c>
      <c r="BI5347" t="s">
        <v>245</v>
      </c>
      <c r="BJ5347" t="s">
        <v>272</v>
      </c>
      <c r="BK5347">
        <v>104</v>
      </c>
      <c r="BL5347" t="s">
        <v>45</v>
      </c>
      <c r="BM5347" t="s">
        <v>115</v>
      </c>
      <c r="BN5347" t="s">
        <v>245</v>
      </c>
      <c r="BO5347" t="s">
        <v>270</v>
      </c>
      <c r="BP5347" t="s">
        <v>103</v>
      </c>
    </row>
    <row r="5348" spans="1:68" x14ac:dyDescent="0.3">
      <c r="A5348" t="s">
        <v>25</v>
      </c>
      <c r="B5348" t="s">
        <v>199</v>
      </c>
      <c r="C5348">
        <v>310</v>
      </c>
      <c r="D5348" t="s">
        <v>298</v>
      </c>
      <c r="E5348" t="s">
        <v>116</v>
      </c>
      <c r="F5348" t="s">
        <v>477</v>
      </c>
      <c r="G5348" t="s">
        <v>558</v>
      </c>
      <c r="H5348" t="s">
        <v>278</v>
      </c>
      <c r="I5348">
        <v>310</v>
      </c>
      <c r="J5348" t="s">
        <v>677</v>
      </c>
      <c r="K5348" t="s">
        <v>251</v>
      </c>
      <c r="L5348" t="s">
        <v>816</v>
      </c>
      <c r="M5348" t="s">
        <v>558</v>
      </c>
      <c r="N5348" t="s">
        <v>144</v>
      </c>
      <c r="O5348">
        <v>310</v>
      </c>
      <c r="P5348" t="s">
        <v>202</v>
      </c>
      <c r="Q5348" t="s">
        <v>615</v>
      </c>
      <c r="R5348" t="s">
        <v>558</v>
      </c>
      <c r="S5348" t="s">
        <v>466</v>
      </c>
      <c r="T5348" t="s">
        <v>116</v>
      </c>
      <c r="U5348">
        <v>310</v>
      </c>
      <c r="V5348" t="s">
        <v>870</v>
      </c>
      <c r="W5348" t="s">
        <v>32</v>
      </c>
      <c r="X5348" t="s">
        <v>558</v>
      </c>
      <c r="Y5348" t="s">
        <v>493</v>
      </c>
      <c r="Z5348" t="s">
        <v>120</v>
      </c>
      <c r="AA5348">
        <v>310</v>
      </c>
      <c r="AB5348" t="s">
        <v>366</v>
      </c>
      <c r="AC5348" t="s">
        <v>201</v>
      </c>
      <c r="AD5348" t="s">
        <v>558</v>
      </c>
      <c r="AE5348" t="s">
        <v>920</v>
      </c>
      <c r="AF5348" t="s">
        <v>66</v>
      </c>
      <c r="AG5348">
        <v>310</v>
      </c>
      <c r="AH5348" t="s">
        <v>1240</v>
      </c>
      <c r="AI5348" t="s">
        <v>103</v>
      </c>
      <c r="AJ5348" t="s">
        <v>816</v>
      </c>
      <c r="AK5348" t="s">
        <v>558</v>
      </c>
      <c r="AL5348" t="s">
        <v>468</v>
      </c>
      <c r="AM5348">
        <v>310</v>
      </c>
      <c r="AN5348" t="s">
        <v>364</v>
      </c>
      <c r="AO5348" t="s">
        <v>1204</v>
      </c>
      <c r="AP5348" t="s">
        <v>558</v>
      </c>
      <c r="AQ5348" t="s">
        <v>103</v>
      </c>
      <c r="AR5348" t="s">
        <v>103</v>
      </c>
      <c r="AS5348">
        <v>310</v>
      </c>
      <c r="AT5348" t="s">
        <v>1456</v>
      </c>
      <c r="AU5348" t="s">
        <v>157</v>
      </c>
      <c r="AV5348" t="s">
        <v>558</v>
      </c>
      <c r="AW5348" t="s">
        <v>105</v>
      </c>
      <c r="AX5348" t="s">
        <v>91</v>
      </c>
      <c r="AY5348">
        <v>310</v>
      </c>
      <c r="AZ5348" t="s">
        <v>711</v>
      </c>
      <c r="BA5348" t="s">
        <v>890</v>
      </c>
      <c r="BB5348" t="s">
        <v>558</v>
      </c>
      <c r="BC5348" t="s">
        <v>116</v>
      </c>
      <c r="BD5348" t="s">
        <v>103</v>
      </c>
      <c r="BE5348">
        <v>310</v>
      </c>
      <c r="BF5348" t="s">
        <v>678</v>
      </c>
      <c r="BG5348" t="s">
        <v>66</v>
      </c>
      <c r="BH5348" t="s">
        <v>1097</v>
      </c>
      <c r="BI5348" t="s">
        <v>558</v>
      </c>
      <c r="BJ5348" t="s">
        <v>139</v>
      </c>
      <c r="BK5348">
        <v>310</v>
      </c>
      <c r="BL5348" t="s">
        <v>168</v>
      </c>
      <c r="BM5348" t="s">
        <v>94</v>
      </c>
      <c r="BN5348" t="s">
        <v>558</v>
      </c>
      <c r="BO5348" t="s">
        <v>98</v>
      </c>
      <c r="BP5348" t="s">
        <v>103</v>
      </c>
    </row>
    <row r="5349" spans="1:68" x14ac:dyDescent="0.3">
      <c r="A5349" t="s">
        <v>26</v>
      </c>
      <c r="B5349" t="s">
        <v>198</v>
      </c>
      <c r="C5349">
        <v>41</v>
      </c>
      <c r="D5349" t="s">
        <v>1015</v>
      </c>
      <c r="E5349" t="s">
        <v>103</v>
      </c>
      <c r="F5349" t="s">
        <v>1025</v>
      </c>
      <c r="G5349" t="s">
        <v>103</v>
      </c>
      <c r="H5349" t="s">
        <v>438</v>
      </c>
      <c r="I5349">
        <v>41</v>
      </c>
      <c r="J5349" t="s">
        <v>138</v>
      </c>
      <c r="K5349" t="s">
        <v>113</v>
      </c>
      <c r="L5349" t="s">
        <v>407</v>
      </c>
      <c r="M5349" t="s">
        <v>103</v>
      </c>
      <c r="N5349" t="s">
        <v>565</v>
      </c>
      <c r="O5349">
        <v>41</v>
      </c>
      <c r="P5349" t="s">
        <v>1348</v>
      </c>
      <c r="Q5349" t="s">
        <v>130</v>
      </c>
      <c r="R5349" t="s">
        <v>103</v>
      </c>
      <c r="S5349" t="s">
        <v>95</v>
      </c>
      <c r="T5349" t="s">
        <v>693</v>
      </c>
      <c r="U5349">
        <v>41</v>
      </c>
      <c r="V5349" t="s">
        <v>895</v>
      </c>
      <c r="W5349" t="s">
        <v>581</v>
      </c>
      <c r="X5349" t="s">
        <v>103</v>
      </c>
      <c r="Y5349" t="s">
        <v>103</v>
      </c>
      <c r="Z5349" t="s">
        <v>103</v>
      </c>
      <c r="AA5349">
        <v>41</v>
      </c>
      <c r="AB5349" t="s">
        <v>1362</v>
      </c>
      <c r="AC5349" t="s">
        <v>146</v>
      </c>
      <c r="AD5349" t="s">
        <v>103</v>
      </c>
      <c r="AE5349" t="s">
        <v>555</v>
      </c>
      <c r="AF5349" t="s">
        <v>103</v>
      </c>
      <c r="AG5349">
        <v>41</v>
      </c>
      <c r="AH5349" t="s">
        <v>676</v>
      </c>
      <c r="AI5349" t="s">
        <v>103</v>
      </c>
      <c r="AJ5349" t="s">
        <v>675</v>
      </c>
      <c r="AK5349" t="s">
        <v>103</v>
      </c>
      <c r="AL5349" t="s">
        <v>103</v>
      </c>
      <c r="AM5349">
        <v>41</v>
      </c>
      <c r="AN5349" t="s">
        <v>838</v>
      </c>
      <c r="AO5349" t="s">
        <v>839</v>
      </c>
      <c r="AP5349" t="s">
        <v>103</v>
      </c>
      <c r="AQ5349" t="s">
        <v>103</v>
      </c>
      <c r="AR5349" t="s">
        <v>103</v>
      </c>
      <c r="AS5349">
        <v>41</v>
      </c>
      <c r="AT5349" t="s">
        <v>1241</v>
      </c>
      <c r="AU5349" t="s">
        <v>1007</v>
      </c>
      <c r="AV5349" t="s">
        <v>103</v>
      </c>
      <c r="AW5349" t="s">
        <v>103</v>
      </c>
      <c r="AX5349" t="s">
        <v>103</v>
      </c>
      <c r="AY5349">
        <v>41</v>
      </c>
      <c r="AZ5349" t="s">
        <v>835</v>
      </c>
      <c r="BA5349" t="s">
        <v>655</v>
      </c>
      <c r="BB5349" t="s">
        <v>103</v>
      </c>
      <c r="BC5349" t="s">
        <v>103</v>
      </c>
      <c r="BD5349" t="s">
        <v>103</v>
      </c>
      <c r="BE5349">
        <v>41</v>
      </c>
      <c r="BF5349" t="s">
        <v>561</v>
      </c>
      <c r="BG5349" t="s">
        <v>103</v>
      </c>
      <c r="BH5349" t="s">
        <v>979</v>
      </c>
      <c r="BI5349" t="s">
        <v>103</v>
      </c>
      <c r="BJ5349" t="s">
        <v>103</v>
      </c>
      <c r="BK5349">
        <v>41</v>
      </c>
      <c r="BL5349" t="s">
        <v>1439</v>
      </c>
      <c r="BM5349" t="s">
        <v>457</v>
      </c>
      <c r="BN5349" t="s">
        <v>103</v>
      </c>
      <c r="BO5349" t="s">
        <v>118</v>
      </c>
      <c r="BP5349" t="s">
        <v>103</v>
      </c>
    </row>
    <row r="5350" spans="1:68" x14ac:dyDescent="0.3">
      <c r="A5350" t="s">
        <v>26</v>
      </c>
      <c r="B5350" t="s">
        <v>199</v>
      </c>
      <c r="C5350">
        <v>436</v>
      </c>
      <c r="D5350" t="s">
        <v>1087</v>
      </c>
      <c r="E5350" t="s">
        <v>345</v>
      </c>
      <c r="F5350" t="s">
        <v>369</v>
      </c>
      <c r="G5350" t="s">
        <v>103</v>
      </c>
      <c r="H5350" t="s">
        <v>239</v>
      </c>
      <c r="I5350">
        <v>436</v>
      </c>
      <c r="J5350" t="s">
        <v>665</v>
      </c>
      <c r="K5350" t="s">
        <v>890</v>
      </c>
      <c r="L5350" t="s">
        <v>523</v>
      </c>
      <c r="M5350" t="s">
        <v>103</v>
      </c>
      <c r="N5350" t="s">
        <v>459</v>
      </c>
      <c r="O5350">
        <v>436</v>
      </c>
      <c r="P5350" t="s">
        <v>397</v>
      </c>
      <c r="Q5350" t="s">
        <v>680</v>
      </c>
      <c r="R5350" t="s">
        <v>103</v>
      </c>
      <c r="S5350" t="s">
        <v>214</v>
      </c>
      <c r="T5350" t="s">
        <v>105</v>
      </c>
      <c r="U5350">
        <v>436</v>
      </c>
      <c r="V5350" t="s">
        <v>2108</v>
      </c>
      <c r="W5350" t="s">
        <v>106</v>
      </c>
      <c r="X5350" t="s">
        <v>103</v>
      </c>
      <c r="Y5350" t="s">
        <v>652</v>
      </c>
      <c r="Z5350" t="s">
        <v>103</v>
      </c>
      <c r="AA5350">
        <v>436</v>
      </c>
      <c r="AB5350" t="s">
        <v>755</v>
      </c>
      <c r="AC5350" t="s">
        <v>127</v>
      </c>
      <c r="AD5350" t="s">
        <v>103</v>
      </c>
      <c r="AE5350" t="s">
        <v>687</v>
      </c>
      <c r="AF5350" t="s">
        <v>103</v>
      </c>
      <c r="AG5350">
        <v>436</v>
      </c>
      <c r="AH5350" t="s">
        <v>1393</v>
      </c>
      <c r="AI5350" t="s">
        <v>103</v>
      </c>
      <c r="AJ5350" t="s">
        <v>557</v>
      </c>
      <c r="AK5350" t="s">
        <v>103</v>
      </c>
      <c r="AL5350" t="s">
        <v>110</v>
      </c>
      <c r="AM5350">
        <v>436</v>
      </c>
      <c r="AN5350" t="s">
        <v>933</v>
      </c>
      <c r="AO5350" t="s">
        <v>1545</v>
      </c>
      <c r="AP5350" t="s">
        <v>103</v>
      </c>
      <c r="AQ5350" t="s">
        <v>97</v>
      </c>
      <c r="AR5350" t="s">
        <v>103</v>
      </c>
      <c r="AS5350">
        <v>436</v>
      </c>
      <c r="AT5350" t="s">
        <v>1400</v>
      </c>
      <c r="AU5350" t="s">
        <v>686</v>
      </c>
      <c r="AV5350" t="s">
        <v>103</v>
      </c>
      <c r="AW5350" t="s">
        <v>66</v>
      </c>
      <c r="AX5350" t="s">
        <v>91</v>
      </c>
      <c r="AY5350">
        <v>436</v>
      </c>
      <c r="AZ5350" t="s">
        <v>2109</v>
      </c>
      <c r="BA5350" t="s">
        <v>650</v>
      </c>
      <c r="BB5350" t="s">
        <v>103</v>
      </c>
      <c r="BC5350" t="s">
        <v>345</v>
      </c>
      <c r="BD5350" t="s">
        <v>116</v>
      </c>
      <c r="BE5350">
        <v>436</v>
      </c>
      <c r="BF5350" t="s">
        <v>416</v>
      </c>
      <c r="BG5350" t="s">
        <v>66</v>
      </c>
      <c r="BH5350" t="s">
        <v>392</v>
      </c>
      <c r="BI5350" t="s">
        <v>103</v>
      </c>
      <c r="BJ5350" t="s">
        <v>103</v>
      </c>
      <c r="BK5350">
        <v>436</v>
      </c>
      <c r="BL5350" t="s">
        <v>1361</v>
      </c>
      <c r="BM5350" t="s">
        <v>732</v>
      </c>
      <c r="BN5350" t="s">
        <v>103</v>
      </c>
      <c r="BO5350" t="s">
        <v>98</v>
      </c>
      <c r="BP5350" t="s">
        <v>103</v>
      </c>
    </row>
    <row r="5351" spans="1:68" x14ac:dyDescent="0.3">
      <c r="A5351" t="s">
        <v>29</v>
      </c>
      <c r="B5351" t="s">
        <v>198</v>
      </c>
      <c r="C5351">
        <v>170</v>
      </c>
      <c r="D5351" t="s">
        <v>804</v>
      </c>
      <c r="E5351" t="s">
        <v>103</v>
      </c>
      <c r="F5351" t="s">
        <v>411</v>
      </c>
      <c r="G5351" t="s">
        <v>662</v>
      </c>
      <c r="H5351" t="s">
        <v>103</v>
      </c>
      <c r="I5351">
        <v>170</v>
      </c>
      <c r="J5351" t="s">
        <v>1422</v>
      </c>
      <c r="K5351" t="s">
        <v>100</v>
      </c>
      <c r="L5351" t="s">
        <v>50</v>
      </c>
      <c r="M5351" t="s">
        <v>531</v>
      </c>
      <c r="N5351" t="s">
        <v>507</v>
      </c>
      <c r="O5351">
        <v>170</v>
      </c>
      <c r="P5351" t="s">
        <v>1012</v>
      </c>
      <c r="Q5351" t="s">
        <v>140</v>
      </c>
      <c r="R5351" t="s">
        <v>232</v>
      </c>
      <c r="S5351" t="s">
        <v>119</v>
      </c>
      <c r="T5351" t="s">
        <v>120</v>
      </c>
      <c r="U5351">
        <v>170</v>
      </c>
      <c r="V5351" t="s">
        <v>294</v>
      </c>
      <c r="W5351" t="s">
        <v>268</v>
      </c>
      <c r="X5351" t="s">
        <v>662</v>
      </c>
      <c r="Y5351" t="s">
        <v>173</v>
      </c>
      <c r="Z5351" t="s">
        <v>468</v>
      </c>
      <c r="AA5351">
        <v>170</v>
      </c>
      <c r="AB5351" t="s">
        <v>229</v>
      </c>
      <c r="AC5351" t="s">
        <v>195</v>
      </c>
      <c r="AD5351" t="s">
        <v>662</v>
      </c>
      <c r="AE5351" t="s">
        <v>261</v>
      </c>
      <c r="AF5351" t="s">
        <v>103</v>
      </c>
      <c r="AG5351">
        <v>170</v>
      </c>
      <c r="AH5351" t="s">
        <v>364</v>
      </c>
      <c r="AI5351" t="s">
        <v>120</v>
      </c>
      <c r="AJ5351" t="s">
        <v>547</v>
      </c>
      <c r="AK5351" t="s">
        <v>662</v>
      </c>
      <c r="AL5351" t="s">
        <v>60</v>
      </c>
      <c r="AM5351">
        <v>170</v>
      </c>
      <c r="AN5351" t="s">
        <v>427</v>
      </c>
      <c r="AO5351" t="s">
        <v>657</v>
      </c>
      <c r="AP5351" t="s">
        <v>662</v>
      </c>
      <c r="AQ5351" t="s">
        <v>116</v>
      </c>
      <c r="AR5351" t="s">
        <v>103</v>
      </c>
      <c r="AS5351">
        <v>170</v>
      </c>
      <c r="AT5351" t="s">
        <v>428</v>
      </c>
      <c r="AU5351" t="s">
        <v>476</v>
      </c>
      <c r="AV5351" t="s">
        <v>662</v>
      </c>
      <c r="AW5351" t="s">
        <v>110</v>
      </c>
      <c r="AX5351" t="s">
        <v>468</v>
      </c>
      <c r="AY5351">
        <v>170</v>
      </c>
      <c r="AZ5351" t="s">
        <v>1013</v>
      </c>
      <c r="BA5351" t="s">
        <v>475</v>
      </c>
      <c r="BB5351" t="s">
        <v>662</v>
      </c>
      <c r="BC5351" t="s">
        <v>284</v>
      </c>
      <c r="BD5351" t="s">
        <v>103</v>
      </c>
      <c r="BE5351">
        <v>170</v>
      </c>
      <c r="BF5351" t="s">
        <v>393</v>
      </c>
      <c r="BG5351" t="s">
        <v>120</v>
      </c>
      <c r="BH5351" t="s">
        <v>415</v>
      </c>
      <c r="BI5351" t="s">
        <v>594</v>
      </c>
      <c r="BJ5351" t="s">
        <v>103</v>
      </c>
      <c r="BK5351">
        <v>170</v>
      </c>
      <c r="BL5351" t="s">
        <v>711</v>
      </c>
      <c r="BM5351" t="s">
        <v>100</v>
      </c>
      <c r="BN5351" t="s">
        <v>190</v>
      </c>
      <c r="BO5351" t="s">
        <v>245</v>
      </c>
      <c r="BP5351" t="s">
        <v>97</v>
      </c>
    </row>
    <row r="5352" spans="1:68" x14ac:dyDescent="0.3">
      <c r="A5352" t="s">
        <v>29</v>
      </c>
      <c r="B5352" t="s">
        <v>199</v>
      </c>
      <c r="C5352">
        <v>360</v>
      </c>
      <c r="D5352" t="s">
        <v>791</v>
      </c>
      <c r="E5352" t="s">
        <v>245</v>
      </c>
      <c r="F5352" t="s">
        <v>352</v>
      </c>
      <c r="G5352" t="s">
        <v>70</v>
      </c>
      <c r="H5352" t="s">
        <v>118</v>
      </c>
      <c r="I5352">
        <v>360</v>
      </c>
      <c r="J5352" t="s">
        <v>1559</v>
      </c>
      <c r="K5352" t="s">
        <v>140</v>
      </c>
      <c r="L5352" t="s">
        <v>1083</v>
      </c>
      <c r="M5352" t="s">
        <v>133</v>
      </c>
      <c r="N5352" t="s">
        <v>789</v>
      </c>
      <c r="O5352">
        <v>360</v>
      </c>
      <c r="P5352" t="s">
        <v>944</v>
      </c>
      <c r="Q5352" t="s">
        <v>750</v>
      </c>
      <c r="R5352" t="s">
        <v>112</v>
      </c>
      <c r="S5352" t="s">
        <v>127</v>
      </c>
      <c r="T5352" t="s">
        <v>95</v>
      </c>
      <c r="U5352">
        <v>360</v>
      </c>
      <c r="V5352" t="s">
        <v>726</v>
      </c>
      <c r="W5352" t="s">
        <v>528</v>
      </c>
      <c r="X5352" t="s">
        <v>70</v>
      </c>
      <c r="Y5352" t="s">
        <v>92</v>
      </c>
      <c r="Z5352" t="s">
        <v>97</v>
      </c>
      <c r="AA5352">
        <v>360</v>
      </c>
      <c r="AB5352" t="s">
        <v>817</v>
      </c>
      <c r="AC5352" t="s">
        <v>117</v>
      </c>
      <c r="AD5352" t="s">
        <v>112</v>
      </c>
      <c r="AE5352" t="s">
        <v>548</v>
      </c>
      <c r="AF5352" t="s">
        <v>139</v>
      </c>
      <c r="AG5352">
        <v>360</v>
      </c>
      <c r="AH5352" t="s">
        <v>822</v>
      </c>
      <c r="AI5352" t="s">
        <v>139</v>
      </c>
      <c r="AJ5352" t="s">
        <v>789</v>
      </c>
      <c r="AK5352" t="s">
        <v>70</v>
      </c>
      <c r="AL5352" t="s">
        <v>125</v>
      </c>
      <c r="AM5352">
        <v>360</v>
      </c>
      <c r="AN5352" t="s">
        <v>527</v>
      </c>
      <c r="AO5352" t="s">
        <v>226</v>
      </c>
      <c r="AP5352" t="s">
        <v>70</v>
      </c>
      <c r="AQ5352" t="s">
        <v>139</v>
      </c>
      <c r="AR5352" t="s">
        <v>116</v>
      </c>
      <c r="AS5352">
        <v>360</v>
      </c>
      <c r="AT5352" t="s">
        <v>790</v>
      </c>
      <c r="AU5352" t="s">
        <v>1023</v>
      </c>
      <c r="AV5352" t="s">
        <v>232</v>
      </c>
      <c r="AW5352" t="s">
        <v>245</v>
      </c>
      <c r="AX5352" t="s">
        <v>95</v>
      </c>
      <c r="AY5352">
        <v>360</v>
      </c>
      <c r="AZ5352" t="s">
        <v>785</v>
      </c>
      <c r="BA5352" t="s">
        <v>820</v>
      </c>
      <c r="BB5352" t="s">
        <v>70</v>
      </c>
      <c r="BC5352" t="s">
        <v>329</v>
      </c>
      <c r="BD5352" t="s">
        <v>97</v>
      </c>
      <c r="BE5352">
        <v>360</v>
      </c>
      <c r="BF5352" t="s">
        <v>405</v>
      </c>
      <c r="BG5352" t="s">
        <v>239</v>
      </c>
      <c r="BH5352" t="s">
        <v>1049</v>
      </c>
      <c r="BI5352" t="s">
        <v>70</v>
      </c>
      <c r="BJ5352" t="s">
        <v>98</v>
      </c>
      <c r="BK5352">
        <v>360</v>
      </c>
      <c r="BL5352" t="s">
        <v>1281</v>
      </c>
      <c r="BM5352" t="s">
        <v>570</v>
      </c>
      <c r="BN5352" t="s">
        <v>662</v>
      </c>
      <c r="BO5352" t="s">
        <v>195</v>
      </c>
      <c r="BP5352" t="s">
        <v>97</v>
      </c>
    </row>
    <row r="5353" spans="1:68" x14ac:dyDescent="0.3">
      <c r="A5353" t="s">
        <v>28</v>
      </c>
      <c r="B5353" t="s">
        <v>198</v>
      </c>
      <c r="C5353">
        <v>70</v>
      </c>
      <c r="D5353" t="s">
        <v>326</v>
      </c>
      <c r="E5353" t="s">
        <v>103</v>
      </c>
      <c r="F5353" t="s">
        <v>194</v>
      </c>
      <c r="G5353" t="s">
        <v>103</v>
      </c>
      <c r="H5353" t="s">
        <v>103</v>
      </c>
      <c r="I5353">
        <v>70</v>
      </c>
      <c r="J5353" t="s">
        <v>985</v>
      </c>
      <c r="K5353" t="s">
        <v>550</v>
      </c>
      <c r="L5353" t="s">
        <v>102</v>
      </c>
      <c r="M5353" t="s">
        <v>103</v>
      </c>
      <c r="N5353" t="s">
        <v>102</v>
      </c>
      <c r="O5353">
        <v>70</v>
      </c>
      <c r="P5353" t="s">
        <v>335</v>
      </c>
      <c r="Q5353" t="s">
        <v>103</v>
      </c>
      <c r="R5353" t="s">
        <v>103</v>
      </c>
      <c r="S5353" t="s">
        <v>239</v>
      </c>
      <c r="T5353" t="s">
        <v>103</v>
      </c>
      <c r="U5353">
        <v>70</v>
      </c>
      <c r="V5353" t="s">
        <v>192</v>
      </c>
      <c r="W5353" t="s">
        <v>103</v>
      </c>
      <c r="X5353" t="s">
        <v>103</v>
      </c>
      <c r="Y5353" t="s">
        <v>103</v>
      </c>
      <c r="Z5353" t="s">
        <v>103</v>
      </c>
      <c r="AA5353">
        <v>70</v>
      </c>
      <c r="AB5353" t="s">
        <v>326</v>
      </c>
      <c r="AC5353" t="s">
        <v>194</v>
      </c>
      <c r="AD5353" t="s">
        <v>103</v>
      </c>
      <c r="AE5353" t="s">
        <v>103</v>
      </c>
      <c r="AF5353" t="s">
        <v>103</v>
      </c>
      <c r="AG5353">
        <v>70</v>
      </c>
      <c r="AH5353" t="s">
        <v>326</v>
      </c>
      <c r="AI5353" t="s">
        <v>103</v>
      </c>
      <c r="AJ5353" t="s">
        <v>194</v>
      </c>
      <c r="AK5353" t="s">
        <v>103</v>
      </c>
      <c r="AL5353" t="s">
        <v>103</v>
      </c>
      <c r="AM5353">
        <v>70</v>
      </c>
      <c r="AN5353" t="s">
        <v>879</v>
      </c>
      <c r="AO5353" t="s">
        <v>266</v>
      </c>
      <c r="AP5353" t="s">
        <v>103</v>
      </c>
      <c r="AQ5353" t="s">
        <v>103</v>
      </c>
      <c r="AR5353" t="s">
        <v>103</v>
      </c>
      <c r="AS5353">
        <v>70</v>
      </c>
      <c r="AT5353" t="s">
        <v>326</v>
      </c>
      <c r="AU5353" t="s">
        <v>194</v>
      </c>
      <c r="AV5353" t="s">
        <v>103</v>
      </c>
      <c r="AW5353" t="s">
        <v>103</v>
      </c>
      <c r="AX5353" t="s">
        <v>103</v>
      </c>
      <c r="AY5353">
        <v>70</v>
      </c>
      <c r="AZ5353" t="s">
        <v>326</v>
      </c>
      <c r="BA5353" t="s">
        <v>194</v>
      </c>
      <c r="BB5353" t="s">
        <v>103</v>
      </c>
      <c r="BC5353" t="s">
        <v>103</v>
      </c>
      <c r="BD5353" t="s">
        <v>103</v>
      </c>
      <c r="BE5353">
        <v>70</v>
      </c>
      <c r="BF5353" t="s">
        <v>326</v>
      </c>
      <c r="BG5353" t="s">
        <v>103</v>
      </c>
      <c r="BH5353" t="s">
        <v>194</v>
      </c>
      <c r="BI5353" t="s">
        <v>103</v>
      </c>
      <c r="BJ5353" t="s">
        <v>103</v>
      </c>
      <c r="BK5353">
        <v>70</v>
      </c>
      <c r="BL5353" t="s">
        <v>192</v>
      </c>
      <c r="BM5353" t="s">
        <v>103</v>
      </c>
      <c r="BN5353" t="s">
        <v>103</v>
      </c>
      <c r="BO5353" t="s">
        <v>103</v>
      </c>
      <c r="BP5353" t="s">
        <v>103</v>
      </c>
    </row>
    <row r="5354" spans="1:68" x14ac:dyDescent="0.3">
      <c r="A5354" t="s">
        <v>28</v>
      </c>
      <c r="B5354" t="s">
        <v>199</v>
      </c>
      <c r="C5354">
        <v>247</v>
      </c>
      <c r="D5354" t="s">
        <v>837</v>
      </c>
      <c r="E5354" t="s">
        <v>116</v>
      </c>
      <c r="F5354" t="s">
        <v>345</v>
      </c>
      <c r="G5354" t="s">
        <v>116</v>
      </c>
      <c r="H5354" t="s">
        <v>110</v>
      </c>
      <c r="I5354">
        <v>247</v>
      </c>
      <c r="J5354" t="s">
        <v>1144</v>
      </c>
      <c r="K5354" t="s">
        <v>468</v>
      </c>
      <c r="L5354" t="s">
        <v>208</v>
      </c>
      <c r="M5354" t="s">
        <v>116</v>
      </c>
      <c r="N5354" t="s">
        <v>516</v>
      </c>
      <c r="O5354">
        <v>247</v>
      </c>
      <c r="P5354" t="s">
        <v>65</v>
      </c>
      <c r="Q5354" t="s">
        <v>345</v>
      </c>
      <c r="R5354" t="s">
        <v>116</v>
      </c>
      <c r="S5354" t="s">
        <v>110</v>
      </c>
      <c r="T5354" t="s">
        <v>103</v>
      </c>
      <c r="U5354">
        <v>247</v>
      </c>
      <c r="V5354" t="s">
        <v>1017</v>
      </c>
      <c r="W5354" t="s">
        <v>116</v>
      </c>
      <c r="X5354" t="s">
        <v>116</v>
      </c>
      <c r="Y5354" t="s">
        <v>484</v>
      </c>
      <c r="Z5354" t="s">
        <v>103</v>
      </c>
      <c r="AA5354">
        <v>247</v>
      </c>
      <c r="AB5354" t="s">
        <v>827</v>
      </c>
      <c r="AC5354" t="s">
        <v>139</v>
      </c>
      <c r="AD5354" t="s">
        <v>116</v>
      </c>
      <c r="AE5354" t="s">
        <v>127</v>
      </c>
      <c r="AF5354" t="s">
        <v>103</v>
      </c>
      <c r="AG5354">
        <v>247</v>
      </c>
      <c r="AH5354" t="s">
        <v>1173</v>
      </c>
      <c r="AI5354" t="s">
        <v>97</v>
      </c>
      <c r="AJ5354" t="s">
        <v>105</v>
      </c>
      <c r="AK5354" t="s">
        <v>116</v>
      </c>
      <c r="AL5354" t="s">
        <v>245</v>
      </c>
      <c r="AM5354">
        <v>247</v>
      </c>
      <c r="AN5354" t="s">
        <v>328</v>
      </c>
      <c r="AO5354" t="s">
        <v>194</v>
      </c>
      <c r="AP5354" t="s">
        <v>95</v>
      </c>
      <c r="AQ5354" t="s">
        <v>103</v>
      </c>
      <c r="AR5354" t="s">
        <v>103</v>
      </c>
      <c r="AS5354">
        <v>247</v>
      </c>
      <c r="AT5354" t="s">
        <v>1471</v>
      </c>
      <c r="AU5354" t="s">
        <v>110</v>
      </c>
      <c r="AV5354" t="s">
        <v>116</v>
      </c>
      <c r="AW5354" t="s">
        <v>103</v>
      </c>
      <c r="AX5354" t="s">
        <v>103</v>
      </c>
      <c r="AY5354">
        <v>247</v>
      </c>
      <c r="AZ5354" t="s">
        <v>65</v>
      </c>
      <c r="BA5354" t="s">
        <v>216</v>
      </c>
      <c r="BB5354" t="s">
        <v>116</v>
      </c>
      <c r="BC5354" t="s">
        <v>282</v>
      </c>
      <c r="BD5354" t="s">
        <v>103</v>
      </c>
      <c r="BE5354">
        <v>247</v>
      </c>
      <c r="BF5354" t="s">
        <v>632</v>
      </c>
      <c r="BG5354" t="s">
        <v>282</v>
      </c>
      <c r="BH5354" t="s">
        <v>124</v>
      </c>
      <c r="BI5354" t="s">
        <v>116</v>
      </c>
      <c r="BJ5354" t="s">
        <v>98</v>
      </c>
      <c r="BK5354">
        <v>247</v>
      </c>
      <c r="BL5354" t="s">
        <v>335</v>
      </c>
      <c r="BM5354" t="s">
        <v>116</v>
      </c>
      <c r="BN5354" t="s">
        <v>116</v>
      </c>
      <c r="BO5354" t="s">
        <v>98</v>
      </c>
      <c r="BP5354" t="s">
        <v>103</v>
      </c>
    </row>
    <row r="5355" spans="1:68" x14ac:dyDescent="0.3">
      <c r="A5355" t="s">
        <v>27</v>
      </c>
      <c r="B5355" t="s">
        <v>198</v>
      </c>
      <c r="C5355">
        <v>136</v>
      </c>
      <c r="D5355" t="s">
        <v>1089</v>
      </c>
      <c r="E5355" t="s">
        <v>239</v>
      </c>
      <c r="F5355" t="s">
        <v>893</v>
      </c>
      <c r="G5355" t="s">
        <v>649</v>
      </c>
      <c r="H5355" t="s">
        <v>103</v>
      </c>
      <c r="I5355">
        <v>136</v>
      </c>
      <c r="J5355" t="s">
        <v>462</v>
      </c>
      <c r="K5355" t="s">
        <v>571</v>
      </c>
      <c r="L5355" t="s">
        <v>121</v>
      </c>
      <c r="M5355" t="s">
        <v>649</v>
      </c>
      <c r="N5355" t="s">
        <v>60</v>
      </c>
      <c r="O5355">
        <v>136</v>
      </c>
      <c r="P5355" t="s">
        <v>804</v>
      </c>
      <c r="Q5355" t="s">
        <v>382</v>
      </c>
      <c r="R5355" t="s">
        <v>62</v>
      </c>
      <c r="S5355" t="s">
        <v>558</v>
      </c>
      <c r="T5355" t="s">
        <v>103</v>
      </c>
      <c r="U5355">
        <v>136</v>
      </c>
      <c r="V5355" t="s">
        <v>1208</v>
      </c>
      <c r="W5355" t="s">
        <v>661</v>
      </c>
      <c r="X5355" t="s">
        <v>649</v>
      </c>
      <c r="Y5355" t="s">
        <v>216</v>
      </c>
      <c r="Z5355" t="s">
        <v>103</v>
      </c>
      <c r="AA5355">
        <v>136</v>
      </c>
      <c r="AB5355" t="s">
        <v>669</v>
      </c>
      <c r="AC5355" t="s">
        <v>484</v>
      </c>
      <c r="AD5355" t="s">
        <v>649</v>
      </c>
      <c r="AE5355" t="s">
        <v>706</v>
      </c>
      <c r="AF5355" t="s">
        <v>110</v>
      </c>
      <c r="AG5355">
        <v>136</v>
      </c>
      <c r="AH5355" t="s">
        <v>1007</v>
      </c>
      <c r="AI5355" t="s">
        <v>95</v>
      </c>
      <c r="AJ5355" t="s">
        <v>1055</v>
      </c>
      <c r="AK5355" t="s">
        <v>649</v>
      </c>
      <c r="AL5355" t="s">
        <v>70</v>
      </c>
      <c r="AM5355">
        <v>136</v>
      </c>
      <c r="AN5355" t="s">
        <v>297</v>
      </c>
      <c r="AO5355" t="s">
        <v>665</v>
      </c>
      <c r="AP5355" t="s">
        <v>649</v>
      </c>
      <c r="AQ5355" t="s">
        <v>103</v>
      </c>
      <c r="AR5355" t="s">
        <v>103</v>
      </c>
      <c r="AS5355">
        <v>136</v>
      </c>
      <c r="AT5355" t="s">
        <v>1081</v>
      </c>
      <c r="AU5355" t="s">
        <v>1216</v>
      </c>
      <c r="AV5355" t="s">
        <v>890</v>
      </c>
      <c r="AW5355" t="s">
        <v>125</v>
      </c>
      <c r="AX5355" t="s">
        <v>95</v>
      </c>
      <c r="AY5355">
        <v>136</v>
      </c>
      <c r="AZ5355" t="s">
        <v>661</v>
      </c>
      <c r="BA5355" t="s">
        <v>405</v>
      </c>
      <c r="BB5355" t="s">
        <v>649</v>
      </c>
      <c r="BC5355" t="s">
        <v>103</v>
      </c>
      <c r="BD5355" t="s">
        <v>103</v>
      </c>
      <c r="BE5355">
        <v>136</v>
      </c>
      <c r="BF5355" t="s">
        <v>1011</v>
      </c>
      <c r="BG5355" t="s">
        <v>103</v>
      </c>
      <c r="BH5355" t="s">
        <v>939</v>
      </c>
      <c r="BI5355" t="s">
        <v>649</v>
      </c>
      <c r="BJ5355" t="s">
        <v>103</v>
      </c>
      <c r="BK5355">
        <v>136</v>
      </c>
      <c r="BL5355" t="s">
        <v>1049</v>
      </c>
      <c r="BM5355" t="s">
        <v>1214</v>
      </c>
      <c r="BN5355" t="s">
        <v>649</v>
      </c>
      <c r="BO5355" t="s">
        <v>103</v>
      </c>
      <c r="BP5355" t="s">
        <v>103</v>
      </c>
    </row>
    <row r="5356" spans="1:68" x14ac:dyDescent="0.3">
      <c r="A5356" t="s">
        <v>27</v>
      </c>
      <c r="B5356" t="s">
        <v>199</v>
      </c>
      <c r="C5356">
        <v>164</v>
      </c>
      <c r="D5356" t="s">
        <v>1059</v>
      </c>
      <c r="E5356" t="s">
        <v>194</v>
      </c>
      <c r="F5356" t="s">
        <v>1213</v>
      </c>
      <c r="G5356" t="s">
        <v>700</v>
      </c>
      <c r="H5356" t="s">
        <v>120</v>
      </c>
      <c r="I5356">
        <v>164</v>
      </c>
      <c r="J5356" t="s">
        <v>928</v>
      </c>
      <c r="K5356" t="s">
        <v>128</v>
      </c>
      <c r="L5356" t="s">
        <v>541</v>
      </c>
      <c r="M5356" t="s">
        <v>700</v>
      </c>
      <c r="N5356" t="s">
        <v>532</v>
      </c>
      <c r="O5356">
        <v>164</v>
      </c>
      <c r="P5356" t="s">
        <v>410</v>
      </c>
      <c r="Q5356" t="s">
        <v>1203</v>
      </c>
      <c r="R5356" t="s">
        <v>700</v>
      </c>
      <c r="S5356" t="s">
        <v>217</v>
      </c>
      <c r="T5356" t="s">
        <v>103</v>
      </c>
      <c r="U5356">
        <v>164</v>
      </c>
      <c r="V5356" t="s">
        <v>942</v>
      </c>
      <c r="W5356" t="s">
        <v>574</v>
      </c>
      <c r="X5356" t="s">
        <v>700</v>
      </c>
      <c r="Y5356" t="s">
        <v>110</v>
      </c>
      <c r="Z5356" t="s">
        <v>345</v>
      </c>
      <c r="AA5356">
        <v>164</v>
      </c>
      <c r="AB5356" t="s">
        <v>1014</v>
      </c>
      <c r="AC5356" t="s">
        <v>473</v>
      </c>
      <c r="AD5356" t="s">
        <v>700</v>
      </c>
      <c r="AE5356" t="s">
        <v>1057</v>
      </c>
      <c r="AF5356" t="s">
        <v>103</v>
      </c>
      <c r="AG5356">
        <v>164</v>
      </c>
      <c r="AH5356" t="s">
        <v>358</v>
      </c>
      <c r="AI5356" t="s">
        <v>103</v>
      </c>
      <c r="AJ5356" t="s">
        <v>582</v>
      </c>
      <c r="AK5356" t="s">
        <v>700</v>
      </c>
      <c r="AL5356" t="s">
        <v>242</v>
      </c>
      <c r="AM5356">
        <v>164</v>
      </c>
      <c r="AN5356" t="s">
        <v>1402</v>
      </c>
      <c r="AO5356" t="s">
        <v>1576</v>
      </c>
      <c r="AP5356" t="s">
        <v>700</v>
      </c>
      <c r="AQ5356" t="s">
        <v>103</v>
      </c>
      <c r="AR5356" t="s">
        <v>95</v>
      </c>
      <c r="AS5356">
        <v>164</v>
      </c>
      <c r="AT5356" t="s">
        <v>358</v>
      </c>
      <c r="AU5356" t="s">
        <v>679</v>
      </c>
      <c r="AV5356" t="s">
        <v>164</v>
      </c>
      <c r="AW5356" t="s">
        <v>116</v>
      </c>
      <c r="AX5356" t="s">
        <v>95</v>
      </c>
      <c r="AY5356">
        <v>164</v>
      </c>
      <c r="AZ5356" t="s">
        <v>657</v>
      </c>
      <c r="BA5356" t="s">
        <v>1050</v>
      </c>
      <c r="BB5356" t="s">
        <v>164</v>
      </c>
      <c r="BC5356" t="s">
        <v>139</v>
      </c>
      <c r="BD5356" t="s">
        <v>103</v>
      </c>
      <c r="BE5356">
        <v>164</v>
      </c>
      <c r="BF5356" t="s">
        <v>1461</v>
      </c>
      <c r="BG5356" t="s">
        <v>103</v>
      </c>
      <c r="BH5356" t="s">
        <v>393</v>
      </c>
      <c r="BI5356" t="s">
        <v>700</v>
      </c>
      <c r="BJ5356" t="s">
        <v>120</v>
      </c>
      <c r="BK5356">
        <v>164</v>
      </c>
      <c r="BL5356" t="s">
        <v>1096</v>
      </c>
      <c r="BM5356" t="s">
        <v>121</v>
      </c>
      <c r="BN5356" t="s">
        <v>700</v>
      </c>
      <c r="BO5356" t="s">
        <v>270</v>
      </c>
      <c r="BP5356" t="s">
        <v>103</v>
      </c>
    </row>
    <row r="5357" spans="1:68" x14ac:dyDescent="0.3">
      <c r="A5357" t="s">
        <v>41</v>
      </c>
      <c r="B5357" t="s">
        <v>198</v>
      </c>
      <c r="C5357">
        <v>521</v>
      </c>
      <c r="D5357" t="s">
        <v>696</v>
      </c>
      <c r="E5357" t="s">
        <v>116</v>
      </c>
      <c r="F5357" t="s">
        <v>396</v>
      </c>
      <c r="G5357" t="s">
        <v>214</v>
      </c>
      <c r="H5357" t="s">
        <v>66</v>
      </c>
      <c r="I5357">
        <v>521</v>
      </c>
      <c r="J5357" t="s">
        <v>1205</v>
      </c>
      <c r="K5357" t="s">
        <v>262</v>
      </c>
      <c r="L5357" t="s">
        <v>547</v>
      </c>
      <c r="M5357" t="s">
        <v>284</v>
      </c>
      <c r="N5357" t="s">
        <v>927</v>
      </c>
      <c r="O5357">
        <v>521</v>
      </c>
      <c r="P5357" t="s">
        <v>989</v>
      </c>
      <c r="Q5357" t="s">
        <v>136</v>
      </c>
      <c r="R5357" t="s">
        <v>33</v>
      </c>
      <c r="S5357" t="s">
        <v>205</v>
      </c>
      <c r="T5357" t="s">
        <v>98</v>
      </c>
      <c r="U5357">
        <v>521</v>
      </c>
      <c r="V5357" t="s">
        <v>439</v>
      </c>
      <c r="W5357" t="s">
        <v>56</v>
      </c>
      <c r="X5357" t="s">
        <v>214</v>
      </c>
      <c r="Y5357" t="s">
        <v>649</v>
      </c>
      <c r="Z5357" t="s">
        <v>95</v>
      </c>
      <c r="AA5357">
        <v>521</v>
      </c>
      <c r="AB5357" t="s">
        <v>439</v>
      </c>
      <c r="AC5357" t="s">
        <v>190</v>
      </c>
      <c r="AD5357" t="s">
        <v>214</v>
      </c>
      <c r="AE5357" t="s">
        <v>667</v>
      </c>
      <c r="AF5357" t="s">
        <v>91</v>
      </c>
      <c r="AG5357">
        <v>521</v>
      </c>
      <c r="AH5357" t="s">
        <v>1221</v>
      </c>
      <c r="AI5357" t="s">
        <v>95</v>
      </c>
      <c r="AJ5357" t="s">
        <v>523</v>
      </c>
      <c r="AK5357" t="s">
        <v>214</v>
      </c>
      <c r="AL5357" t="s">
        <v>70</v>
      </c>
      <c r="AM5357">
        <v>521</v>
      </c>
      <c r="AN5357" t="s">
        <v>1024</v>
      </c>
      <c r="AO5357" t="s">
        <v>1402</v>
      </c>
      <c r="AP5357" t="s">
        <v>214</v>
      </c>
      <c r="AQ5357" t="s">
        <v>66</v>
      </c>
      <c r="AR5357" t="s">
        <v>103</v>
      </c>
      <c r="AS5357">
        <v>521</v>
      </c>
      <c r="AT5357" t="s">
        <v>302</v>
      </c>
      <c r="AU5357" t="s">
        <v>554</v>
      </c>
      <c r="AV5357" t="s">
        <v>32</v>
      </c>
      <c r="AW5357" t="s">
        <v>194</v>
      </c>
      <c r="AX5357" t="s">
        <v>139</v>
      </c>
      <c r="AY5357">
        <v>521</v>
      </c>
      <c r="AZ5357" t="s">
        <v>1377</v>
      </c>
      <c r="BA5357" t="s">
        <v>132</v>
      </c>
      <c r="BB5357" t="s">
        <v>214</v>
      </c>
      <c r="BC5357" t="s">
        <v>467</v>
      </c>
      <c r="BD5357" t="s">
        <v>103</v>
      </c>
      <c r="BE5357">
        <v>521</v>
      </c>
      <c r="BF5357" t="s">
        <v>535</v>
      </c>
      <c r="BG5357" t="s">
        <v>97</v>
      </c>
      <c r="BH5357" t="s">
        <v>839</v>
      </c>
      <c r="BI5357" t="s">
        <v>278</v>
      </c>
      <c r="BJ5357" t="s">
        <v>120</v>
      </c>
      <c r="BK5357">
        <v>521</v>
      </c>
      <c r="BL5357" t="s">
        <v>1153</v>
      </c>
      <c r="BM5357" t="s">
        <v>813</v>
      </c>
      <c r="BN5357" t="s">
        <v>133</v>
      </c>
      <c r="BO5357" t="s">
        <v>245</v>
      </c>
      <c r="BP5357" t="s">
        <v>116</v>
      </c>
    </row>
    <row r="5358" spans="1:68" x14ac:dyDescent="0.3">
      <c r="A5358" t="s">
        <v>41</v>
      </c>
      <c r="B5358" t="s">
        <v>199</v>
      </c>
      <c r="C5358">
        <v>1517</v>
      </c>
      <c r="D5358" t="s">
        <v>1577</v>
      </c>
      <c r="E5358" t="s">
        <v>345</v>
      </c>
      <c r="F5358" t="s">
        <v>464</v>
      </c>
      <c r="G5358" t="s">
        <v>188</v>
      </c>
      <c r="H5358" t="s">
        <v>217</v>
      </c>
      <c r="I5358">
        <v>1517</v>
      </c>
      <c r="J5358" t="s">
        <v>1402</v>
      </c>
      <c r="K5358" t="s">
        <v>124</v>
      </c>
      <c r="L5358" t="s">
        <v>295</v>
      </c>
      <c r="M5358" t="s">
        <v>188</v>
      </c>
      <c r="N5358" t="s">
        <v>273</v>
      </c>
      <c r="O5358">
        <v>1517</v>
      </c>
      <c r="P5358" t="s">
        <v>1016</v>
      </c>
      <c r="Q5358" t="s">
        <v>809</v>
      </c>
      <c r="R5358" t="s">
        <v>114</v>
      </c>
      <c r="S5358" t="s">
        <v>452</v>
      </c>
      <c r="T5358" t="s">
        <v>98</v>
      </c>
      <c r="U5358">
        <v>1517</v>
      </c>
      <c r="V5358" t="s">
        <v>808</v>
      </c>
      <c r="W5358" t="s">
        <v>115</v>
      </c>
      <c r="X5358" t="s">
        <v>188</v>
      </c>
      <c r="Y5358" t="s">
        <v>123</v>
      </c>
      <c r="Z5358" t="s">
        <v>122</v>
      </c>
      <c r="AA5358">
        <v>1517</v>
      </c>
      <c r="AB5358" t="s">
        <v>926</v>
      </c>
      <c r="AC5358" t="s">
        <v>90</v>
      </c>
      <c r="AD5358" t="s">
        <v>114</v>
      </c>
      <c r="AE5358" t="s">
        <v>672</v>
      </c>
      <c r="AF5358" t="s">
        <v>122</v>
      </c>
      <c r="AG5358">
        <v>1517</v>
      </c>
      <c r="AH5358" t="s">
        <v>1679</v>
      </c>
      <c r="AI5358" t="s">
        <v>122</v>
      </c>
      <c r="AJ5358" t="s">
        <v>505</v>
      </c>
      <c r="AK5358" t="s">
        <v>188</v>
      </c>
      <c r="AL5358" t="s">
        <v>257</v>
      </c>
      <c r="AM5358">
        <v>1517</v>
      </c>
      <c r="AN5358" t="s">
        <v>1053</v>
      </c>
      <c r="AO5358" t="s">
        <v>1576</v>
      </c>
      <c r="AP5358" t="s">
        <v>188</v>
      </c>
      <c r="AQ5358" t="s">
        <v>97</v>
      </c>
      <c r="AR5358" t="s">
        <v>66</v>
      </c>
      <c r="AS5358">
        <v>1517</v>
      </c>
      <c r="AT5358" t="s">
        <v>1282</v>
      </c>
      <c r="AU5358" t="s">
        <v>1198</v>
      </c>
      <c r="AV5358" t="s">
        <v>591</v>
      </c>
      <c r="AW5358" t="s">
        <v>345</v>
      </c>
      <c r="AX5358" t="s">
        <v>122</v>
      </c>
      <c r="AY5358">
        <v>1517</v>
      </c>
      <c r="AZ5358" t="s">
        <v>1325</v>
      </c>
      <c r="BA5358" t="s">
        <v>264</v>
      </c>
      <c r="BB5358" t="s">
        <v>188</v>
      </c>
      <c r="BC5358" t="s">
        <v>194</v>
      </c>
      <c r="BD5358" t="s">
        <v>116</v>
      </c>
      <c r="BE5358">
        <v>1517</v>
      </c>
      <c r="BF5358" t="s">
        <v>1242</v>
      </c>
      <c r="BG5358" t="s">
        <v>139</v>
      </c>
      <c r="BH5358" t="s">
        <v>1055</v>
      </c>
      <c r="BI5358" t="s">
        <v>188</v>
      </c>
      <c r="BJ5358" t="s">
        <v>120</v>
      </c>
      <c r="BK5358">
        <v>1517</v>
      </c>
      <c r="BL5358" t="s">
        <v>1361</v>
      </c>
      <c r="BM5358" t="s">
        <v>273</v>
      </c>
      <c r="BN5358" t="s">
        <v>114</v>
      </c>
      <c r="BO5358" t="s">
        <v>341</v>
      </c>
      <c r="BP5358" t="s">
        <v>66</v>
      </c>
    </row>
    <row r="5360" spans="1:68" x14ac:dyDescent="0.3">
      <c r="A5360" t="s">
        <v>2110</v>
      </c>
    </row>
    <row r="5361" spans="1:68" x14ac:dyDescent="0.3">
      <c r="A5361" t="s">
        <v>36</v>
      </c>
      <c r="B5361" t="s">
        <v>310</v>
      </c>
      <c r="C5361" t="s">
        <v>2037</v>
      </c>
      <c r="D5361" t="s">
        <v>2038</v>
      </c>
      <c r="E5361" t="s">
        <v>2039</v>
      </c>
      <c r="F5361" t="s">
        <v>2040</v>
      </c>
      <c r="G5361" t="s">
        <v>2041</v>
      </c>
      <c r="H5361" t="s">
        <v>2042</v>
      </c>
      <c r="I5361" t="s">
        <v>2043</v>
      </c>
      <c r="J5361" t="s">
        <v>2044</v>
      </c>
      <c r="K5361" t="s">
        <v>2045</v>
      </c>
      <c r="L5361" t="s">
        <v>2046</v>
      </c>
      <c r="M5361" t="s">
        <v>2047</v>
      </c>
      <c r="N5361" t="s">
        <v>2048</v>
      </c>
      <c r="O5361" t="s">
        <v>2049</v>
      </c>
      <c r="P5361" t="s">
        <v>2050</v>
      </c>
      <c r="Q5361" t="s">
        <v>2052</v>
      </c>
      <c r="R5361" t="s">
        <v>2053</v>
      </c>
      <c r="S5361" t="s">
        <v>2054</v>
      </c>
      <c r="T5361" t="s">
        <v>2051</v>
      </c>
      <c r="U5361" t="s">
        <v>2055</v>
      </c>
      <c r="V5361" t="s">
        <v>2056</v>
      </c>
      <c r="W5361" t="s">
        <v>2057</v>
      </c>
      <c r="X5361" t="s">
        <v>2058</v>
      </c>
      <c r="Y5361" t="s">
        <v>2059</v>
      </c>
      <c r="Z5361" t="s">
        <v>2060</v>
      </c>
      <c r="AA5361" t="s">
        <v>2061</v>
      </c>
      <c r="AB5361" t="s">
        <v>2062</v>
      </c>
      <c r="AC5361" t="s">
        <v>2063</v>
      </c>
      <c r="AD5361" t="s">
        <v>2064</v>
      </c>
      <c r="AE5361" t="s">
        <v>2065</v>
      </c>
      <c r="AF5361" t="s">
        <v>2066</v>
      </c>
      <c r="AG5361" t="s">
        <v>2067</v>
      </c>
      <c r="AH5361" t="s">
        <v>2068</v>
      </c>
      <c r="AI5361" t="s">
        <v>2069</v>
      </c>
      <c r="AJ5361" t="s">
        <v>2070</v>
      </c>
      <c r="AK5361" t="s">
        <v>2071</v>
      </c>
      <c r="AL5361" t="s">
        <v>2072</v>
      </c>
      <c r="AM5361" t="s">
        <v>2073</v>
      </c>
      <c r="AN5361" t="s">
        <v>2074</v>
      </c>
      <c r="AO5361" t="s">
        <v>2075</v>
      </c>
      <c r="AP5361" t="s">
        <v>2076</v>
      </c>
      <c r="AQ5361" t="s">
        <v>2077</v>
      </c>
      <c r="AR5361" t="s">
        <v>2078</v>
      </c>
      <c r="AS5361" t="s">
        <v>2079</v>
      </c>
      <c r="AT5361" t="s">
        <v>2080</v>
      </c>
      <c r="AU5361" t="s">
        <v>2081</v>
      </c>
      <c r="AV5361" t="s">
        <v>2082</v>
      </c>
      <c r="AW5361" t="s">
        <v>2083</v>
      </c>
      <c r="AX5361" t="s">
        <v>2084</v>
      </c>
      <c r="AY5361" t="s">
        <v>2085</v>
      </c>
      <c r="AZ5361" t="s">
        <v>2086</v>
      </c>
      <c r="BA5361" t="s">
        <v>2087</v>
      </c>
      <c r="BB5361" t="s">
        <v>2088</v>
      </c>
      <c r="BC5361" t="s">
        <v>2089</v>
      </c>
      <c r="BD5361" t="s">
        <v>2090</v>
      </c>
      <c r="BE5361" t="s">
        <v>2091</v>
      </c>
      <c r="BF5361" t="s">
        <v>2092</v>
      </c>
      <c r="BG5361" t="s">
        <v>2093</v>
      </c>
      <c r="BH5361" t="s">
        <v>2094</v>
      </c>
      <c r="BI5361" t="s">
        <v>2095</v>
      </c>
      <c r="BJ5361" t="s">
        <v>2096</v>
      </c>
      <c r="BK5361" t="s">
        <v>2097</v>
      </c>
      <c r="BL5361" t="s">
        <v>2098</v>
      </c>
      <c r="BM5361" t="s">
        <v>2099</v>
      </c>
      <c r="BN5361" t="s">
        <v>2100</v>
      </c>
      <c r="BO5361" t="s">
        <v>2101</v>
      </c>
      <c r="BP5361" t="s">
        <v>2102</v>
      </c>
    </row>
    <row r="5362" spans="1:68" x14ac:dyDescent="0.3">
      <c r="A5362" t="s">
        <v>25</v>
      </c>
      <c r="B5362" t="s">
        <v>311</v>
      </c>
      <c r="C5362">
        <v>324</v>
      </c>
      <c r="D5362" t="s">
        <v>628</v>
      </c>
      <c r="E5362" t="s">
        <v>116</v>
      </c>
      <c r="F5362" t="s">
        <v>1038</v>
      </c>
      <c r="G5362" t="s">
        <v>615</v>
      </c>
      <c r="H5362" t="s">
        <v>113</v>
      </c>
      <c r="I5362">
        <v>324</v>
      </c>
      <c r="J5362" t="s">
        <v>513</v>
      </c>
      <c r="K5362" t="s">
        <v>494</v>
      </c>
      <c r="L5362" t="s">
        <v>1014</v>
      </c>
      <c r="M5362" t="s">
        <v>615</v>
      </c>
      <c r="N5362" t="s">
        <v>148</v>
      </c>
      <c r="O5362">
        <v>324</v>
      </c>
      <c r="P5362" t="s">
        <v>1141</v>
      </c>
      <c r="Q5362" t="s">
        <v>494</v>
      </c>
      <c r="R5362" t="s">
        <v>615</v>
      </c>
      <c r="S5362" t="s">
        <v>531</v>
      </c>
      <c r="T5362" t="s">
        <v>103</v>
      </c>
      <c r="U5362">
        <v>324</v>
      </c>
      <c r="V5362" t="s">
        <v>1131</v>
      </c>
      <c r="W5362" t="s">
        <v>103</v>
      </c>
      <c r="X5362" t="s">
        <v>140</v>
      </c>
      <c r="Y5362" t="s">
        <v>615</v>
      </c>
      <c r="Z5362" t="s">
        <v>113</v>
      </c>
      <c r="AA5362">
        <v>324</v>
      </c>
      <c r="AB5362" t="s">
        <v>351</v>
      </c>
      <c r="AC5362" t="s">
        <v>66</v>
      </c>
      <c r="AD5362" t="s">
        <v>94</v>
      </c>
      <c r="AE5362" t="s">
        <v>615</v>
      </c>
      <c r="AF5362" t="s">
        <v>1082</v>
      </c>
      <c r="AG5362">
        <v>324</v>
      </c>
      <c r="AH5362" t="s">
        <v>1209</v>
      </c>
      <c r="AI5362" t="s">
        <v>97</v>
      </c>
      <c r="AJ5362" t="s">
        <v>1050</v>
      </c>
      <c r="AK5362" t="s">
        <v>615</v>
      </c>
      <c r="AL5362" t="s">
        <v>341</v>
      </c>
      <c r="AM5362">
        <v>324</v>
      </c>
      <c r="AN5362" t="s">
        <v>2106</v>
      </c>
      <c r="AO5362" t="s">
        <v>1088</v>
      </c>
      <c r="AP5362" t="s">
        <v>615</v>
      </c>
      <c r="AQ5362" t="s">
        <v>103</v>
      </c>
      <c r="AR5362" t="s">
        <v>103</v>
      </c>
      <c r="AS5362">
        <v>324</v>
      </c>
      <c r="AT5362" t="s">
        <v>878</v>
      </c>
      <c r="AU5362" t="s">
        <v>91</v>
      </c>
      <c r="AV5362" t="s">
        <v>152</v>
      </c>
      <c r="AW5362" t="s">
        <v>615</v>
      </c>
      <c r="AX5362" t="s">
        <v>468</v>
      </c>
      <c r="AY5362">
        <v>324</v>
      </c>
      <c r="AZ5362" t="s">
        <v>1371</v>
      </c>
      <c r="BA5362" t="s">
        <v>169</v>
      </c>
      <c r="BB5362" t="s">
        <v>615</v>
      </c>
      <c r="BC5362" t="s">
        <v>120</v>
      </c>
      <c r="BD5362" t="s">
        <v>103</v>
      </c>
      <c r="BE5362">
        <v>324</v>
      </c>
      <c r="BF5362" t="s">
        <v>1418</v>
      </c>
      <c r="BG5362" t="s">
        <v>91</v>
      </c>
      <c r="BH5362" t="s">
        <v>643</v>
      </c>
      <c r="BI5362" t="s">
        <v>615</v>
      </c>
      <c r="BJ5362" t="s">
        <v>110</v>
      </c>
      <c r="BK5362">
        <v>324</v>
      </c>
      <c r="BL5362" t="s">
        <v>165</v>
      </c>
      <c r="BM5362" t="s">
        <v>100</v>
      </c>
      <c r="BN5362" t="s">
        <v>615</v>
      </c>
      <c r="BO5362" t="s">
        <v>98</v>
      </c>
      <c r="BP5362" t="s">
        <v>103</v>
      </c>
    </row>
    <row r="5363" spans="1:68" x14ac:dyDescent="0.3">
      <c r="A5363" t="s">
        <v>25</v>
      </c>
      <c r="B5363" t="s">
        <v>312</v>
      </c>
      <c r="C5363">
        <v>80</v>
      </c>
      <c r="D5363" t="s">
        <v>1369</v>
      </c>
      <c r="E5363" t="s">
        <v>345</v>
      </c>
      <c r="F5363" t="s">
        <v>31</v>
      </c>
      <c r="G5363" t="s">
        <v>281</v>
      </c>
      <c r="H5363" t="s">
        <v>468</v>
      </c>
      <c r="I5363">
        <v>80</v>
      </c>
      <c r="J5363" t="s">
        <v>1210</v>
      </c>
      <c r="K5363" t="s">
        <v>108</v>
      </c>
      <c r="L5363" t="s">
        <v>418</v>
      </c>
      <c r="M5363" t="s">
        <v>281</v>
      </c>
      <c r="N5363" t="s">
        <v>594</v>
      </c>
      <c r="O5363">
        <v>80</v>
      </c>
      <c r="P5363" t="s">
        <v>775</v>
      </c>
      <c r="Q5363" t="s">
        <v>531</v>
      </c>
      <c r="R5363" t="s">
        <v>281</v>
      </c>
      <c r="S5363" t="s">
        <v>186</v>
      </c>
      <c r="T5363" t="s">
        <v>468</v>
      </c>
      <c r="U5363">
        <v>80</v>
      </c>
      <c r="V5363" t="s">
        <v>605</v>
      </c>
      <c r="W5363" t="s">
        <v>103</v>
      </c>
      <c r="X5363" t="s">
        <v>100</v>
      </c>
      <c r="Y5363" t="s">
        <v>281</v>
      </c>
      <c r="Z5363" t="s">
        <v>282</v>
      </c>
      <c r="AA5363">
        <v>80</v>
      </c>
      <c r="AB5363" t="s">
        <v>895</v>
      </c>
      <c r="AC5363" t="s">
        <v>103</v>
      </c>
      <c r="AD5363" t="s">
        <v>217</v>
      </c>
      <c r="AE5363" t="s">
        <v>281</v>
      </c>
      <c r="AF5363" t="s">
        <v>275</v>
      </c>
      <c r="AG5363">
        <v>80</v>
      </c>
      <c r="AH5363" t="s">
        <v>1327</v>
      </c>
      <c r="AI5363" t="s">
        <v>103</v>
      </c>
      <c r="AJ5363" t="s">
        <v>1070</v>
      </c>
      <c r="AK5363" t="s">
        <v>281</v>
      </c>
      <c r="AL5363" t="s">
        <v>103</v>
      </c>
      <c r="AM5363">
        <v>80</v>
      </c>
      <c r="AN5363" t="s">
        <v>1071</v>
      </c>
      <c r="AO5363" t="s">
        <v>1218</v>
      </c>
      <c r="AP5363" t="s">
        <v>281</v>
      </c>
      <c r="AQ5363" t="s">
        <v>103</v>
      </c>
      <c r="AR5363" t="s">
        <v>103</v>
      </c>
      <c r="AS5363">
        <v>80</v>
      </c>
      <c r="AT5363" t="s">
        <v>1138</v>
      </c>
      <c r="AU5363" t="s">
        <v>103</v>
      </c>
      <c r="AV5363" t="s">
        <v>890</v>
      </c>
      <c r="AW5363" t="s">
        <v>281</v>
      </c>
      <c r="AX5363" t="s">
        <v>266</v>
      </c>
      <c r="AY5363">
        <v>80</v>
      </c>
      <c r="AZ5363" t="s">
        <v>1144</v>
      </c>
      <c r="BA5363" t="s">
        <v>130</v>
      </c>
      <c r="BB5363" t="s">
        <v>281</v>
      </c>
      <c r="BC5363" t="s">
        <v>103</v>
      </c>
      <c r="BD5363" t="s">
        <v>103</v>
      </c>
      <c r="BE5363">
        <v>80</v>
      </c>
      <c r="BF5363" t="s">
        <v>410</v>
      </c>
      <c r="BG5363" t="s">
        <v>245</v>
      </c>
      <c r="BH5363" t="s">
        <v>816</v>
      </c>
      <c r="BI5363" t="s">
        <v>281</v>
      </c>
      <c r="BJ5363" t="s">
        <v>468</v>
      </c>
      <c r="BK5363">
        <v>80</v>
      </c>
      <c r="BL5363" t="s">
        <v>596</v>
      </c>
      <c r="BM5363" t="s">
        <v>124</v>
      </c>
      <c r="BN5363" t="s">
        <v>281</v>
      </c>
      <c r="BO5363" t="s">
        <v>468</v>
      </c>
      <c r="BP5363" t="s">
        <v>103</v>
      </c>
    </row>
    <row r="5364" spans="1:68" x14ac:dyDescent="0.3">
      <c r="A5364" t="s">
        <v>25</v>
      </c>
      <c r="B5364" t="s">
        <v>308</v>
      </c>
      <c r="C5364">
        <v>10</v>
      </c>
      <c r="D5364" t="s">
        <v>579</v>
      </c>
      <c r="E5364" t="s">
        <v>103</v>
      </c>
      <c r="F5364" t="s">
        <v>1401</v>
      </c>
      <c r="G5364" t="s">
        <v>135</v>
      </c>
      <c r="H5364" t="s">
        <v>131</v>
      </c>
      <c r="I5364">
        <v>10</v>
      </c>
      <c r="J5364" t="s">
        <v>1236</v>
      </c>
      <c r="K5364" t="s">
        <v>131</v>
      </c>
      <c r="L5364" t="s">
        <v>579</v>
      </c>
      <c r="M5364" t="s">
        <v>135</v>
      </c>
      <c r="N5364" t="s">
        <v>108</v>
      </c>
      <c r="O5364">
        <v>10</v>
      </c>
      <c r="P5364" t="s">
        <v>1316</v>
      </c>
      <c r="Q5364" t="s">
        <v>649</v>
      </c>
      <c r="R5364" t="s">
        <v>135</v>
      </c>
      <c r="S5364" t="s">
        <v>438</v>
      </c>
      <c r="T5364" t="s">
        <v>103</v>
      </c>
      <c r="U5364">
        <v>10</v>
      </c>
      <c r="V5364" t="s">
        <v>426</v>
      </c>
      <c r="W5364" t="s">
        <v>131</v>
      </c>
      <c r="X5364" t="s">
        <v>485</v>
      </c>
      <c r="Y5364" t="s">
        <v>135</v>
      </c>
      <c r="Z5364" t="s">
        <v>103</v>
      </c>
      <c r="AA5364">
        <v>10</v>
      </c>
      <c r="AB5364" t="s">
        <v>1094</v>
      </c>
      <c r="AC5364" t="s">
        <v>103</v>
      </c>
      <c r="AD5364" t="s">
        <v>103</v>
      </c>
      <c r="AE5364" t="s">
        <v>135</v>
      </c>
      <c r="AF5364" t="s">
        <v>789</v>
      </c>
      <c r="AG5364">
        <v>10</v>
      </c>
      <c r="AH5364" t="s">
        <v>1198</v>
      </c>
      <c r="AI5364" t="s">
        <v>103</v>
      </c>
      <c r="AJ5364" t="s">
        <v>1037</v>
      </c>
      <c r="AK5364" t="s">
        <v>135</v>
      </c>
      <c r="AL5364" t="s">
        <v>103</v>
      </c>
      <c r="AM5364">
        <v>10</v>
      </c>
      <c r="AN5364" t="s">
        <v>225</v>
      </c>
      <c r="AO5364" t="s">
        <v>1637</v>
      </c>
      <c r="AP5364" t="s">
        <v>135</v>
      </c>
      <c r="AQ5364" t="s">
        <v>103</v>
      </c>
      <c r="AR5364" t="s">
        <v>103</v>
      </c>
      <c r="AS5364">
        <v>10</v>
      </c>
      <c r="AT5364" t="s">
        <v>728</v>
      </c>
      <c r="AU5364" t="s">
        <v>103</v>
      </c>
      <c r="AV5364" t="s">
        <v>649</v>
      </c>
      <c r="AW5364" t="s">
        <v>135</v>
      </c>
      <c r="AX5364" t="s">
        <v>103</v>
      </c>
      <c r="AY5364">
        <v>10</v>
      </c>
      <c r="AZ5364" t="s">
        <v>821</v>
      </c>
      <c r="BA5364" t="s">
        <v>485</v>
      </c>
      <c r="BB5364" t="s">
        <v>135</v>
      </c>
      <c r="BC5364" t="s">
        <v>103</v>
      </c>
      <c r="BD5364" t="s">
        <v>103</v>
      </c>
      <c r="BE5364">
        <v>10</v>
      </c>
      <c r="BF5364" t="s">
        <v>426</v>
      </c>
      <c r="BG5364" t="s">
        <v>103</v>
      </c>
      <c r="BH5364" t="s">
        <v>626</v>
      </c>
      <c r="BI5364" t="s">
        <v>135</v>
      </c>
      <c r="BJ5364" t="s">
        <v>103</v>
      </c>
      <c r="BK5364">
        <v>10</v>
      </c>
      <c r="BL5364" t="s">
        <v>793</v>
      </c>
      <c r="BM5364" t="s">
        <v>485</v>
      </c>
      <c r="BN5364" t="s">
        <v>135</v>
      </c>
      <c r="BO5364" t="s">
        <v>524</v>
      </c>
      <c r="BP5364" t="s">
        <v>103</v>
      </c>
    </row>
    <row r="5365" spans="1:68" x14ac:dyDescent="0.3">
      <c r="A5365" t="s">
        <v>26</v>
      </c>
      <c r="B5365" t="s">
        <v>311</v>
      </c>
      <c r="C5365">
        <v>343</v>
      </c>
      <c r="D5365" t="s">
        <v>405</v>
      </c>
      <c r="E5365" t="s">
        <v>139</v>
      </c>
      <c r="F5365" t="s">
        <v>424</v>
      </c>
      <c r="G5365" t="s">
        <v>103</v>
      </c>
      <c r="H5365" t="s">
        <v>245</v>
      </c>
      <c r="I5365">
        <v>343</v>
      </c>
      <c r="J5365" t="s">
        <v>413</v>
      </c>
      <c r="K5365" t="s">
        <v>517</v>
      </c>
      <c r="L5365" t="s">
        <v>542</v>
      </c>
      <c r="M5365" t="s">
        <v>103</v>
      </c>
      <c r="N5365" t="s">
        <v>167</v>
      </c>
      <c r="O5365">
        <v>343</v>
      </c>
      <c r="P5365" t="s">
        <v>1354</v>
      </c>
      <c r="Q5365" t="s">
        <v>927</v>
      </c>
      <c r="R5365" t="s">
        <v>103</v>
      </c>
      <c r="S5365" t="s">
        <v>32</v>
      </c>
      <c r="T5365" t="s">
        <v>266</v>
      </c>
      <c r="U5365">
        <v>343</v>
      </c>
      <c r="V5365" t="s">
        <v>821</v>
      </c>
      <c r="W5365" t="s">
        <v>103</v>
      </c>
      <c r="X5365" t="s">
        <v>472</v>
      </c>
      <c r="Y5365" t="s">
        <v>103</v>
      </c>
      <c r="Z5365" t="s">
        <v>693</v>
      </c>
      <c r="AA5365">
        <v>343</v>
      </c>
      <c r="AB5365" t="s">
        <v>1322</v>
      </c>
      <c r="AC5365" t="s">
        <v>103</v>
      </c>
      <c r="AD5365" t="s">
        <v>737</v>
      </c>
      <c r="AE5365" t="s">
        <v>103</v>
      </c>
      <c r="AF5365" t="s">
        <v>727</v>
      </c>
      <c r="AG5365">
        <v>343</v>
      </c>
      <c r="AH5365" t="s">
        <v>1373</v>
      </c>
      <c r="AI5365" t="s">
        <v>103</v>
      </c>
      <c r="AJ5365" t="s">
        <v>504</v>
      </c>
      <c r="AK5365" t="s">
        <v>103</v>
      </c>
      <c r="AL5365" t="s">
        <v>239</v>
      </c>
      <c r="AM5365">
        <v>343</v>
      </c>
      <c r="AN5365" t="s">
        <v>791</v>
      </c>
      <c r="AO5365" t="s">
        <v>873</v>
      </c>
      <c r="AP5365" t="s">
        <v>103</v>
      </c>
      <c r="AQ5365" t="s">
        <v>103</v>
      </c>
      <c r="AR5365" t="s">
        <v>103</v>
      </c>
      <c r="AS5365">
        <v>343</v>
      </c>
      <c r="AT5365" t="s">
        <v>1369</v>
      </c>
      <c r="AU5365" t="s">
        <v>103</v>
      </c>
      <c r="AV5365" t="s">
        <v>1207</v>
      </c>
      <c r="AW5365" t="s">
        <v>103</v>
      </c>
      <c r="AX5365" t="s">
        <v>116</v>
      </c>
      <c r="AY5365">
        <v>343</v>
      </c>
      <c r="AZ5365" t="s">
        <v>1037</v>
      </c>
      <c r="BA5365" t="s">
        <v>935</v>
      </c>
      <c r="BB5365" t="s">
        <v>103</v>
      </c>
      <c r="BC5365" t="s">
        <v>110</v>
      </c>
      <c r="BD5365" t="s">
        <v>103</v>
      </c>
      <c r="BE5365">
        <v>343</v>
      </c>
      <c r="BF5365" t="s">
        <v>454</v>
      </c>
      <c r="BG5365" t="s">
        <v>103</v>
      </c>
      <c r="BH5365" t="s">
        <v>1578</v>
      </c>
      <c r="BI5365" t="s">
        <v>103</v>
      </c>
      <c r="BJ5365" t="s">
        <v>103</v>
      </c>
      <c r="BK5365">
        <v>343</v>
      </c>
      <c r="BL5365" t="s">
        <v>1281</v>
      </c>
      <c r="BM5365" t="s">
        <v>671</v>
      </c>
      <c r="BN5365" t="s">
        <v>103</v>
      </c>
      <c r="BO5365" t="s">
        <v>282</v>
      </c>
      <c r="BP5365" t="s">
        <v>103</v>
      </c>
    </row>
    <row r="5366" spans="1:68" x14ac:dyDescent="0.3">
      <c r="A5366" t="s">
        <v>26</v>
      </c>
      <c r="B5366" t="s">
        <v>312</v>
      </c>
      <c r="C5366">
        <v>96</v>
      </c>
      <c r="D5366" t="s">
        <v>1241</v>
      </c>
      <c r="E5366" t="s">
        <v>345</v>
      </c>
      <c r="F5366" t="s">
        <v>297</v>
      </c>
      <c r="G5366" t="s">
        <v>103</v>
      </c>
      <c r="H5366" t="s">
        <v>139</v>
      </c>
      <c r="I5366">
        <v>96</v>
      </c>
      <c r="J5366" t="s">
        <v>1243</v>
      </c>
      <c r="K5366" t="s">
        <v>558</v>
      </c>
      <c r="L5366" t="s">
        <v>505</v>
      </c>
      <c r="M5366" t="s">
        <v>103</v>
      </c>
      <c r="N5366" t="s">
        <v>94</v>
      </c>
      <c r="O5366">
        <v>96</v>
      </c>
      <c r="P5366" t="s">
        <v>189</v>
      </c>
      <c r="Q5366" t="s">
        <v>700</v>
      </c>
      <c r="R5366" t="s">
        <v>103</v>
      </c>
      <c r="S5366" t="s">
        <v>217</v>
      </c>
      <c r="T5366" t="s">
        <v>110</v>
      </c>
      <c r="U5366">
        <v>96</v>
      </c>
      <c r="V5366" t="s">
        <v>204</v>
      </c>
      <c r="W5366" t="s">
        <v>103</v>
      </c>
      <c r="X5366" t="s">
        <v>123</v>
      </c>
      <c r="Y5366" t="s">
        <v>103</v>
      </c>
      <c r="Z5366" t="s">
        <v>517</v>
      </c>
      <c r="AA5366">
        <v>96</v>
      </c>
      <c r="AB5366" t="s">
        <v>1357</v>
      </c>
      <c r="AC5366" t="s">
        <v>103</v>
      </c>
      <c r="AD5366" t="s">
        <v>124</v>
      </c>
      <c r="AE5366" t="s">
        <v>103</v>
      </c>
      <c r="AF5366" t="s">
        <v>466</v>
      </c>
      <c r="AG5366">
        <v>96</v>
      </c>
      <c r="AH5366" t="s">
        <v>884</v>
      </c>
      <c r="AI5366" t="s">
        <v>103</v>
      </c>
      <c r="AJ5366" t="s">
        <v>256</v>
      </c>
      <c r="AK5366" t="s">
        <v>103</v>
      </c>
      <c r="AL5366" t="s">
        <v>194</v>
      </c>
      <c r="AM5366">
        <v>96</v>
      </c>
      <c r="AN5366" t="s">
        <v>1172</v>
      </c>
      <c r="AO5366" t="s">
        <v>490</v>
      </c>
      <c r="AP5366" t="s">
        <v>103</v>
      </c>
      <c r="AQ5366" t="s">
        <v>103</v>
      </c>
      <c r="AR5366" t="s">
        <v>103</v>
      </c>
      <c r="AS5366">
        <v>96</v>
      </c>
      <c r="AT5366" t="s">
        <v>602</v>
      </c>
      <c r="AU5366" t="s">
        <v>116</v>
      </c>
      <c r="AV5366" t="s">
        <v>1198</v>
      </c>
      <c r="AW5366" t="s">
        <v>103</v>
      </c>
      <c r="AX5366" t="s">
        <v>103</v>
      </c>
      <c r="AY5366">
        <v>96</v>
      </c>
      <c r="AZ5366" t="s">
        <v>757</v>
      </c>
      <c r="BA5366" t="s">
        <v>756</v>
      </c>
      <c r="BB5366" t="s">
        <v>103</v>
      </c>
      <c r="BC5366" t="s">
        <v>103</v>
      </c>
      <c r="BD5366" t="s">
        <v>103</v>
      </c>
      <c r="BE5366">
        <v>96</v>
      </c>
      <c r="BF5366" t="s">
        <v>795</v>
      </c>
      <c r="BG5366" t="s">
        <v>98</v>
      </c>
      <c r="BH5366" t="s">
        <v>134</v>
      </c>
      <c r="BI5366" t="s">
        <v>103</v>
      </c>
      <c r="BJ5366" t="s">
        <v>103</v>
      </c>
      <c r="BK5366">
        <v>96</v>
      </c>
      <c r="BL5366" t="s">
        <v>712</v>
      </c>
      <c r="BM5366" t="s">
        <v>244</v>
      </c>
      <c r="BN5366" t="s">
        <v>103</v>
      </c>
      <c r="BO5366" t="s">
        <v>103</v>
      </c>
      <c r="BP5366" t="s">
        <v>103</v>
      </c>
    </row>
    <row r="5367" spans="1:68" x14ac:dyDescent="0.3">
      <c r="A5367" t="s">
        <v>26</v>
      </c>
      <c r="B5367" t="s">
        <v>308</v>
      </c>
      <c r="C5367">
        <v>38</v>
      </c>
      <c r="D5367" t="s">
        <v>1068</v>
      </c>
      <c r="E5367" t="s">
        <v>257</v>
      </c>
      <c r="F5367" t="s">
        <v>666</v>
      </c>
      <c r="G5367" t="s">
        <v>103</v>
      </c>
      <c r="H5367" t="s">
        <v>257</v>
      </c>
      <c r="I5367">
        <v>38</v>
      </c>
      <c r="J5367" t="s">
        <v>1436</v>
      </c>
      <c r="K5367" t="s">
        <v>157</v>
      </c>
      <c r="L5367" t="s">
        <v>734</v>
      </c>
      <c r="M5367" t="s">
        <v>103</v>
      </c>
      <c r="N5367" t="s">
        <v>103</v>
      </c>
      <c r="O5367">
        <v>38</v>
      </c>
      <c r="P5367" t="s">
        <v>871</v>
      </c>
      <c r="Q5367" t="s">
        <v>257</v>
      </c>
      <c r="R5367" t="s">
        <v>103</v>
      </c>
      <c r="S5367" t="s">
        <v>206</v>
      </c>
      <c r="T5367" t="s">
        <v>103</v>
      </c>
      <c r="U5367">
        <v>38</v>
      </c>
      <c r="V5367" t="s">
        <v>740</v>
      </c>
      <c r="W5367" t="s">
        <v>103</v>
      </c>
      <c r="X5367" t="s">
        <v>206</v>
      </c>
      <c r="Y5367" t="s">
        <v>103</v>
      </c>
      <c r="Z5367" t="s">
        <v>607</v>
      </c>
      <c r="AA5367">
        <v>38</v>
      </c>
      <c r="AB5367" t="s">
        <v>744</v>
      </c>
      <c r="AC5367" t="s">
        <v>103</v>
      </c>
      <c r="AD5367" t="s">
        <v>68</v>
      </c>
      <c r="AE5367" t="s">
        <v>103</v>
      </c>
      <c r="AF5367" t="s">
        <v>254</v>
      </c>
      <c r="AG5367">
        <v>38</v>
      </c>
      <c r="AH5367" t="s">
        <v>189</v>
      </c>
      <c r="AI5367" t="s">
        <v>103</v>
      </c>
      <c r="AJ5367" t="s">
        <v>807</v>
      </c>
      <c r="AK5367" t="s">
        <v>103</v>
      </c>
      <c r="AL5367" t="s">
        <v>103</v>
      </c>
      <c r="AM5367">
        <v>38</v>
      </c>
      <c r="AN5367" t="s">
        <v>499</v>
      </c>
      <c r="AO5367" t="s">
        <v>1292</v>
      </c>
      <c r="AP5367" t="s">
        <v>103</v>
      </c>
      <c r="AQ5367" t="s">
        <v>452</v>
      </c>
      <c r="AR5367" t="s">
        <v>103</v>
      </c>
      <c r="AS5367">
        <v>38</v>
      </c>
      <c r="AT5367" t="s">
        <v>781</v>
      </c>
      <c r="AU5367" t="s">
        <v>103</v>
      </c>
      <c r="AV5367" t="s">
        <v>284</v>
      </c>
      <c r="AW5367" t="s">
        <v>103</v>
      </c>
      <c r="AX5367" t="s">
        <v>103</v>
      </c>
      <c r="AY5367">
        <v>38</v>
      </c>
      <c r="AZ5367" t="s">
        <v>174</v>
      </c>
      <c r="BA5367" t="s">
        <v>743</v>
      </c>
      <c r="BB5367" t="s">
        <v>103</v>
      </c>
      <c r="BC5367" t="s">
        <v>103</v>
      </c>
      <c r="BD5367" t="s">
        <v>64</v>
      </c>
      <c r="BE5367">
        <v>38</v>
      </c>
      <c r="BF5367" t="s">
        <v>1049</v>
      </c>
      <c r="BG5367" t="s">
        <v>103</v>
      </c>
      <c r="BH5367" t="s">
        <v>431</v>
      </c>
      <c r="BI5367" t="s">
        <v>103</v>
      </c>
      <c r="BJ5367" t="s">
        <v>103</v>
      </c>
      <c r="BK5367">
        <v>38</v>
      </c>
      <c r="BL5367" t="s">
        <v>742</v>
      </c>
      <c r="BM5367" t="s">
        <v>224</v>
      </c>
      <c r="BN5367" t="s">
        <v>103</v>
      </c>
      <c r="BO5367" t="s">
        <v>270</v>
      </c>
      <c r="BP5367" t="s">
        <v>103</v>
      </c>
    </row>
    <row r="5368" spans="1:68" x14ac:dyDescent="0.3">
      <c r="A5368" t="s">
        <v>29</v>
      </c>
      <c r="B5368" t="s">
        <v>311</v>
      </c>
      <c r="C5368">
        <v>414</v>
      </c>
      <c r="D5368" t="s">
        <v>527</v>
      </c>
      <c r="E5368" t="s">
        <v>95</v>
      </c>
      <c r="F5368" t="s">
        <v>1028</v>
      </c>
      <c r="G5368" t="s">
        <v>133</v>
      </c>
      <c r="H5368" t="s">
        <v>105</v>
      </c>
      <c r="I5368">
        <v>414</v>
      </c>
      <c r="J5368" t="s">
        <v>1060</v>
      </c>
      <c r="K5368" t="s">
        <v>100</v>
      </c>
      <c r="L5368" t="s">
        <v>707</v>
      </c>
      <c r="M5368" t="s">
        <v>662</v>
      </c>
      <c r="N5368" t="s">
        <v>706</v>
      </c>
      <c r="O5368">
        <v>414</v>
      </c>
      <c r="P5368" t="s">
        <v>1325</v>
      </c>
      <c r="Q5368" t="s">
        <v>544</v>
      </c>
      <c r="R5368" t="s">
        <v>112</v>
      </c>
      <c r="S5368" t="s">
        <v>90</v>
      </c>
      <c r="T5368" t="s">
        <v>97</v>
      </c>
      <c r="U5368">
        <v>414</v>
      </c>
      <c r="V5368" t="s">
        <v>1321</v>
      </c>
      <c r="W5368" t="s">
        <v>95</v>
      </c>
      <c r="X5368" t="s">
        <v>829</v>
      </c>
      <c r="Y5368" t="s">
        <v>133</v>
      </c>
      <c r="Z5368" t="s">
        <v>918</v>
      </c>
      <c r="AA5368">
        <v>414</v>
      </c>
      <c r="AB5368" t="s">
        <v>892</v>
      </c>
      <c r="AC5368" t="s">
        <v>97</v>
      </c>
      <c r="AD5368" t="s">
        <v>127</v>
      </c>
      <c r="AE5368" t="s">
        <v>133</v>
      </c>
      <c r="AF5368" t="s">
        <v>805</v>
      </c>
      <c r="AG5368">
        <v>414</v>
      </c>
      <c r="AH5368" t="s">
        <v>1283</v>
      </c>
      <c r="AI5368" t="s">
        <v>95</v>
      </c>
      <c r="AJ5368" t="s">
        <v>805</v>
      </c>
      <c r="AK5368" t="s">
        <v>133</v>
      </c>
      <c r="AL5368" t="s">
        <v>32</v>
      </c>
      <c r="AM5368">
        <v>414</v>
      </c>
      <c r="AN5368" t="s">
        <v>930</v>
      </c>
      <c r="AO5368" t="s">
        <v>1425</v>
      </c>
      <c r="AP5368" t="s">
        <v>133</v>
      </c>
      <c r="AQ5368" t="s">
        <v>66</v>
      </c>
      <c r="AR5368" t="s">
        <v>103</v>
      </c>
      <c r="AS5368">
        <v>414</v>
      </c>
      <c r="AT5368" t="s">
        <v>799</v>
      </c>
      <c r="AU5368" t="s">
        <v>98</v>
      </c>
      <c r="AV5368" t="s">
        <v>975</v>
      </c>
      <c r="AW5368" t="s">
        <v>133</v>
      </c>
      <c r="AX5368" t="s">
        <v>239</v>
      </c>
      <c r="AY5368">
        <v>414</v>
      </c>
      <c r="AZ5368" t="s">
        <v>263</v>
      </c>
      <c r="BA5368" t="s">
        <v>667</v>
      </c>
      <c r="BB5368" t="s">
        <v>133</v>
      </c>
      <c r="BC5368" t="s">
        <v>195</v>
      </c>
      <c r="BD5368" t="s">
        <v>122</v>
      </c>
      <c r="BE5368">
        <v>414</v>
      </c>
      <c r="BF5368" t="s">
        <v>416</v>
      </c>
      <c r="BG5368" t="s">
        <v>194</v>
      </c>
      <c r="BH5368" t="s">
        <v>928</v>
      </c>
      <c r="BI5368" t="s">
        <v>662</v>
      </c>
      <c r="BJ5368" t="s">
        <v>97</v>
      </c>
      <c r="BK5368">
        <v>414</v>
      </c>
      <c r="BL5368" t="s">
        <v>1239</v>
      </c>
      <c r="BM5368" t="s">
        <v>54</v>
      </c>
      <c r="BN5368" t="s">
        <v>531</v>
      </c>
      <c r="BO5368" t="s">
        <v>128</v>
      </c>
      <c r="BP5368" t="s">
        <v>122</v>
      </c>
    </row>
    <row r="5369" spans="1:68" x14ac:dyDescent="0.3">
      <c r="A5369" t="s">
        <v>29</v>
      </c>
      <c r="B5369" t="s">
        <v>312</v>
      </c>
      <c r="C5369">
        <v>103</v>
      </c>
      <c r="D5369" t="s">
        <v>1549</v>
      </c>
      <c r="E5369" t="s">
        <v>68</v>
      </c>
      <c r="F5369" t="s">
        <v>464</v>
      </c>
      <c r="G5369" t="s">
        <v>278</v>
      </c>
      <c r="H5369" t="s">
        <v>103</v>
      </c>
      <c r="I5369">
        <v>103</v>
      </c>
      <c r="J5369" t="s">
        <v>496</v>
      </c>
      <c r="K5369" t="s">
        <v>114</v>
      </c>
      <c r="L5369" t="s">
        <v>56</v>
      </c>
      <c r="M5369" t="s">
        <v>70</v>
      </c>
      <c r="N5369" t="s">
        <v>429</v>
      </c>
      <c r="O5369">
        <v>103</v>
      </c>
      <c r="P5369" t="s">
        <v>2111</v>
      </c>
      <c r="Q5369" t="s">
        <v>152</v>
      </c>
      <c r="R5369" t="s">
        <v>70</v>
      </c>
      <c r="S5369" t="s">
        <v>269</v>
      </c>
      <c r="T5369" t="s">
        <v>468</v>
      </c>
      <c r="U5369">
        <v>103</v>
      </c>
      <c r="V5369" t="s">
        <v>1221</v>
      </c>
      <c r="W5369" t="s">
        <v>139</v>
      </c>
      <c r="X5369" t="s">
        <v>144</v>
      </c>
      <c r="Y5369" t="s">
        <v>278</v>
      </c>
      <c r="Z5369" t="s">
        <v>476</v>
      </c>
      <c r="AA5369">
        <v>103</v>
      </c>
      <c r="AB5369" t="s">
        <v>2103</v>
      </c>
      <c r="AC5369" t="s">
        <v>282</v>
      </c>
      <c r="AD5369" t="s">
        <v>136</v>
      </c>
      <c r="AE5369" t="s">
        <v>206</v>
      </c>
      <c r="AF5369" t="s">
        <v>256</v>
      </c>
      <c r="AG5369">
        <v>103</v>
      </c>
      <c r="AH5369" t="s">
        <v>905</v>
      </c>
      <c r="AI5369" t="s">
        <v>282</v>
      </c>
      <c r="AJ5369" t="s">
        <v>697</v>
      </c>
      <c r="AK5369" t="s">
        <v>278</v>
      </c>
      <c r="AL5369" t="s">
        <v>438</v>
      </c>
      <c r="AM5369">
        <v>103</v>
      </c>
      <c r="AN5369" t="s">
        <v>1089</v>
      </c>
      <c r="AO5369" t="s">
        <v>627</v>
      </c>
      <c r="AP5369" t="s">
        <v>278</v>
      </c>
      <c r="AQ5369" t="s">
        <v>257</v>
      </c>
      <c r="AR5369" t="s">
        <v>91</v>
      </c>
      <c r="AS5369">
        <v>103</v>
      </c>
      <c r="AT5369" t="s">
        <v>741</v>
      </c>
      <c r="AU5369" t="s">
        <v>139</v>
      </c>
      <c r="AV5369" t="s">
        <v>228</v>
      </c>
      <c r="AW5369" t="s">
        <v>607</v>
      </c>
      <c r="AX5369" t="s">
        <v>329</v>
      </c>
      <c r="AY5369">
        <v>103</v>
      </c>
      <c r="AZ5369" t="s">
        <v>747</v>
      </c>
      <c r="BA5369" t="s">
        <v>807</v>
      </c>
      <c r="BB5369" t="s">
        <v>278</v>
      </c>
      <c r="BC5369" t="s">
        <v>467</v>
      </c>
      <c r="BD5369" t="s">
        <v>103</v>
      </c>
      <c r="BE5369">
        <v>103</v>
      </c>
      <c r="BF5369" t="s">
        <v>770</v>
      </c>
      <c r="BG5369" t="s">
        <v>282</v>
      </c>
      <c r="BH5369" t="s">
        <v>359</v>
      </c>
      <c r="BI5369" t="s">
        <v>278</v>
      </c>
      <c r="BJ5369" t="s">
        <v>282</v>
      </c>
      <c r="BK5369">
        <v>103</v>
      </c>
      <c r="BL5369" t="s">
        <v>1320</v>
      </c>
      <c r="BM5369" t="s">
        <v>601</v>
      </c>
      <c r="BN5369" t="s">
        <v>278</v>
      </c>
      <c r="BO5369" t="s">
        <v>201</v>
      </c>
      <c r="BP5369" t="s">
        <v>139</v>
      </c>
    </row>
    <row r="5370" spans="1:68" x14ac:dyDescent="0.3">
      <c r="A5370" t="s">
        <v>29</v>
      </c>
      <c r="B5370" t="s">
        <v>308</v>
      </c>
      <c r="C5370">
        <v>13</v>
      </c>
      <c r="D5370" t="s">
        <v>810</v>
      </c>
      <c r="E5370" t="s">
        <v>468</v>
      </c>
      <c r="F5370" t="s">
        <v>650</v>
      </c>
      <c r="G5370" t="s">
        <v>649</v>
      </c>
      <c r="H5370" t="s">
        <v>99</v>
      </c>
      <c r="I5370">
        <v>13</v>
      </c>
      <c r="J5370" t="s">
        <v>509</v>
      </c>
      <c r="K5370" t="s">
        <v>925</v>
      </c>
      <c r="L5370" t="s">
        <v>103</v>
      </c>
      <c r="M5370" t="s">
        <v>649</v>
      </c>
      <c r="N5370" t="s">
        <v>893</v>
      </c>
      <c r="O5370">
        <v>13</v>
      </c>
      <c r="P5370" t="s">
        <v>603</v>
      </c>
      <c r="Q5370" t="s">
        <v>103</v>
      </c>
      <c r="R5370" t="s">
        <v>517</v>
      </c>
      <c r="S5370" t="s">
        <v>99</v>
      </c>
      <c r="T5370" t="s">
        <v>103</v>
      </c>
      <c r="U5370">
        <v>13</v>
      </c>
      <c r="V5370" t="s">
        <v>1279</v>
      </c>
      <c r="W5370" t="s">
        <v>103</v>
      </c>
      <c r="X5370" t="s">
        <v>594</v>
      </c>
      <c r="Y5370" t="s">
        <v>649</v>
      </c>
      <c r="Z5370" t="s">
        <v>574</v>
      </c>
      <c r="AA5370">
        <v>13</v>
      </c>
      <c r="AB5370" t="s">
        <v>1025</v>
      </c>
      <c r="AC5370" t="s">
        <v>103</v>
      </c>
      <c r="AD5370" t="s">
        <v>99</v>
      </c>
      <c r="AE5370" t="s">
        <v>649</v>
      </c>
      <c r="AF5370" t="s">
        <v>688</v>
      </c>
      <c r="AG5370">
        <v>13</v>
      </c>
      <c r="AH5370" t="s">
        <v>982</v>
      </c>
      <c r="AI5370" t="s">
        <v>103</v>
      </c>
      <c r="AJ5370" t="s">
        <v>54</v>
      </c>
      <c r="AK5370" t="s">
        <v>649</v>
      </c>
      <c r="AL5370" t="s">
        <v>544</v>
      </c>
      <c r="AM5370">
        <v>13</v>
      </c>
      <c r="AN5370" t="s">
        <v>1084</v>
      </c>
      <c r="AO5370" t="s">
        <v>1278</v>
      </c>
      <c r="AP5370" t="s">
        <v>649</v>
      </c>
      <c r="AQ5370" t="s">
        <v>103</v>
      </c>
      <c r="AR5370" t="s">
        <v>108</v>
      </c>
      <c r="AS5370">
        <v>13</v>
      </c>
      <c r="AT5370" t="s">
        <v>726</v>
      </c>
      <c r="AU5370" t="s">
        <v>103</v>
      </c>
      <c r="AV5370" t="s">
        <v>505</v>
      </c>
      <c r="AW5370" t="s">
        <v>517</v>
      </c>
      <c r="AX5370" t="s">
        <v>103</v>
      </c>
      <c r="AY5370">
        <v>13</v>
      </c>
      <c r="AZ5370" t="s">
        <v>2033</v>
      </c>
      <c r="BA5370" t="s">
        <v>526</v>
      </c>
      <c r="BB5370" t="s">
        <v>649</v>
      </c>
      <c r="BC5370" t="s">
        <v>103</v>
      </c>
      <c r="BD5370" t="s">
        <v>103</v>
      </c>
      <c r="BE5370">
        <v>13</v>
      </c>
      <c r="BF5370" t="s">
        <v>382</v>
      </c>
      <c r="BG5370" t="s">
        <v>103</v>
      </c>
      <c r="BH5370" t="s">
        <v>1068</v>
      </c>
      <c r="BI5370" t="s">
        <v>649</v>
      </c>
      <c r="BJ5370" t="s">
        <v>103</v>
      </c>
      <c r="BK5370">
        <v>13</v>
      </c>
      <c r="BL5370" t="s">
        <v>828</v>
      </c>
      <c r="BM5370" t="s">
        <v>103</v>
      </c>
      <c r="BN5370" t="s">
        <v>649</v>
      </c>
      <c r="BO5370" t="s">
        <v>103</v>
      </c>
      <c r="BP5370" t="s">
        <v>103</v>
      </c>
    </row>
    <row r="5371" spans="1:68" x14ac:dyDescent="0.3">
      <c r="A5371" t="s">
        <v>28</v>
      </c>
      <c r="B5371" t="s">
        <v>311</v>
      </c>
      <c r="C5371">
        <v>223</v>
      </c>
      <c r="D5371" t="s">
        <v>867</v>
      </c>
      <c r="E5371" t="s">
        <v>116</v>
      </c>
      <c r="F5371" t="s">
        <v>216</v>
      </c>
      <c r="G5371" t="s">
        <v>116</v>
      </c>
      <c r="H5371" t="s">
        <v>110</v>
      </c>
      <c r="I5371">
        <v>223</v>
      </c>
      <c r="J5371" t="s">
        <v>1324</v>
      </c>
      <c r="K5371" t="s">
        <v>232</v>
      </c>
      <c r="L5371" t="s">
        <v>272</v>
      </c>
      <c r="M5371" t="s">
        <v>116</v>
      </c>
      <c r="N5371" t="s">
        <v>175</v>
      </c>
      <c r="O5371">
        <v>223</v>
      </c>
      <c r="P5371" t="s">
        <v>988</v>
      </c>
      <c r="Q5371" t="s">
        <v>345</v>
      </c>
      <c r="R5371" t="s">
        <v>116</v>
      </c>
      <c r="S5371" t="s">
        <v>341</v>
      </c>
      <c r="T5371" t="s">
        <v>103</v>
      </c>
      <c r="U5371">
        <v>223</v>
      </c>
      <c r="V5371" t="s">
        <v>274</v>
      </c>
      <c r="W5371" t="s">
        <v>103</v>
      </c>
      <c r="X5371" t="s">
        <v>116</v>
      </c>
      <c r="Y5371" t="s">
        <v>116</v>
      </c>
      <c r="Z5371" t="s">
        <v>268</v>
      </c>
      <c r="AA5371">
        <v>223</v>
      </c>
      <c r="AB5371" t="s">
        <v>598</v>
      </c>
      <c r="AC5371" t="s">
        <v>103</v>
      </c>
      <c r="AD5371" t="s">
        <v>194</v>
      </c>
      <c r="AE5371" t="s">
        <v>116</v>
      </c>
      <c r="AF5371" t="s">
        <v>124</v>
      </c>
      <c r="AG5371">
        <v>223</v>
      </c>
      <c r="AH5371" t="s">
        <v>981</v>
      </c>
      <c r="AI5371" t="s">
        <v>97</v>
      </c>
      <c r="AJ5371" t="s">
        <v>128</v>
      </c>
      <c r="AK5371" t="s">
        <v>116</v>
      </c>
      <c r="AL5371" t="s">
        <v>239</v>
      </c>
      <c r="AM5371">
        <v>223</v>
      </c>
      <c r="AN5371" t="s">
        <v>837</v>
      </c>
      <c r="AO5371" t="s">
        <v>128</v>
      </c>
      <c r="AP5371" t="s">
        <v>139</v>
      </c>
      <c r="AQ5371" t="s">
        <v>103</v>
      </c>
      <c r="AR5371" t="s">
        <v>103</v>
      </c>
      <c r="AS5371">
        <v>223</v>
      </c>
      <c r="AT5371" t="s">
        <v>1176</v>
      </c>
      <c r="AU5371" t="s">
        <v>103</v>
      </c>
      <c r="AV5371" t="s">
        <v>341</v>
      </c>
      <c r="AW5371" t="s">
        <v>116</v>
      </c>
      <c r="AX5371" t="s">
        <v>103</v>
      </c>
      <c r="AY5371">
        <v>223</v>
      </c>
      <c r="AZ5371" t="s">
        <v>65</v>
      </c>
      <c r="BA5371" t="s">
        <v>245</v>
      </c>
      <c r="BB5371" t="s">
        <v>116</v>
      </c>
      <c r="BC5371" t="s">
        <v>95</v>
      </c>
      <c r="BD5371" t="s">
        <v>103</v>
      </c>
      <c r="BE5371">
        <v>223</v>
      </c>
      <c r="BF5371" t="s">
        <v>283</v>
      </c>
      <c r="BG5371" t="s">
        <v>345</v>
      </c>
      <c r="BH5371" t="s">
        <v>662</v>
      </c>
      <c r="BI5371" t="s">
        <v>116</v>
      </c>
      <c r="BJ5371" t="s">
        <v>282</v>
      </c>
      <c r="BK5371">
        <v>223</v>
      </c>
      <c r="BL5371" t="s">
        <v>876</v>
      </c>
      <c r="BM5371" t="s">
        <v>103</v>
      </c>
      <c r="BN5371" t="s">
        <v>116</v>
      </c>
      <c r="BO5371" t="s">
        <v>95</v>
      </c>
      <c r="BP5371" t="s">
        <v>103</v>
      </c>
    </row>
    <row r="5372" spans="1:68" x14ac:dyDescent="0.3">
      <c r="A5372" t="s">
        <v>28</v>
      </c>
      <c r="B5372" t="s">
        <v>312</v>
      </c>
      <c r="C5372">
        <v>93</v>
      </c>
      <c r="D5372" t="s">
        <v>192</v>
      </c>
      <c r="E5372" t="s">
        <v>103</v>
      </c>
      <c r="F5372" t="s">
        <v>103</v>
      </c>
      <c r="G5372" t="s">
        <v>103</v>
      </c>
      <c r="H5372" t="s">
        <v>103</v>
      </c>
      <c r="I5372">
        <v>93</v>
      </c>
      <c r="J5372" t="s">
        <v>828</v>
      </c>
      <c r="K5372" t="s">
        <v>329</v>
      </c>
      <c r="L5372" t="s">
        <v>103</v>
      </c>
      <c r="M5372" t="s">
        <v>103</v>
      </c>
      <c r="N5372" t="s">
        <v>100</v>
      </c>
      <c r="O5372">
        <v>93</v>
      </c>
      <c r="P5372" t="s">
        <v>192</v>
      </c>
      <c r="Q5372" t="s">
        <v>103</v>
      </c>
      <c r="R5372" t="s">
        <v>103</v>
      </c>
      <c r="S5372" t="s">
        <v>103</v>
      </c>
      <c r="T5372" t="s">
        <v>103</v>
      </c>
      <c r="U5372">
        <v>93</v>
      </c>
      <c r="V5372" t="s">
        <v>397</v>
      </c>
      <c r="W5372" t="s">
        <v>103</v>
      </c>
      <c r="X5372" t="s">
        <v>103</v>
      </c>
      <c r="Y5372" t="s">
        <v>103</v>
      </c>
      <c r="Z5372" t="s">
        <v>398</v>
      </c>
      <c r="AA5372">
        <v>93</v>
      </c>
      <c r="AB5372" t="s">
        <v>326</v>
      </c>
      <c r="AC5372" t="s">
        <v>103</v>
      </c>
      <c r="AD5372" t="s">
        <v>103</v>
      </c>
      <c r="AE5372" t="s">
        <v>103</v>
      </c>
      <c r="AF5372" t="s">
        <v>194</v>
      </c>
      <c r="AG5372">
        <v>93</v>
      </c>
      <c r="AH5372" t="s">
        <v>325</v>
      </c>
      <c r="AI5372" t="s">
        <v>103</v>
      </c>
      <c r="AJ5372" t="s">
        <v>103</v>
      </c>
      <c r="AK5372" t="s">
        <v>103</v>
      </c>
      <c r="AL5372" t="s">
        <v>139</v>
      </c>
      <c r="AM5372">
        <v>93</v>
      </c>
      <c r="AN5372" t="s">
        <v>192</v>
      </c>
      <c r="AO5372" t="s">
        <v>103</v>
      </c>
      <c r="AP5372" t="s">
        <v>103</v>
      </c>
      <c r="AQ5372" t="s">
        <v>103</v>
      </c>
      <c r="AR5372" t="s">
        <v>103</v>
      </c>
      <c r="AS5372">
        <v>93</v>
      </c>
      <c r="AT5372" t="s">
        <v>192</v>
      </c>
      <c r="AU5372" t="s">
        <v>103</v>
      </c>
      <c r="AV5372" t="s">
        <v>103</v>
      </c>
      <c r="AW5372" t="s">
        <v>103</v>
      </c>
      <c r="AX5372" t="s">
        <v>103</v>
      </c>
      <c r="AY5372">
        <v>93</v>
      </c>
      <c r="AZ5372" t="s">
        <v>1471</v>
      </c>
      <c r="BA5372" t="s">
        <v>139</v>
      </c>
      <c r="BB5372" t="s">
        <v>103</v>
      </c>
      <c r="BC5372" t="s">
        <v>139</v>
      </c>
      <c r="BD5372" t="s">
        <v>103</v>
      </c>
      <c r="BE5372">
        <v>93</v>
      </c>
      <c r="BF5372" t="s">
        <v>633</v>
      </c>
      <c r="BG5372" t="s">
        <v>103</v>
      </c>
      <c r="BH5372" t="s">
        <v>594</v>
      </c>
      <c r="BI5372" t="s">
        <v>103</v>
      </c>
      <c r="BJ5372" t="s">
        <v>103</v>
      </c>
      <c r="BK5372">
        <v>93</v>
      </c>
      <c r="BL5372" t="s">
        <v>340</v>
      </c>
      <c r="BM5372" t="s">
        <v>139</v>
      </c>
      <c r="BN5372" t="s">
        <v>103</v>
      </c>
      <c r="BO5372" t="s">
        <v>139</v>
      </c>
      <c r="BP5372" t="s">
        <v>103</v>
      </c>
    </row>
    <row r="5373" spans="1:68" x14ac:dyDescent="0.3">
      <c r="A5373" t="s">
        <v>28</v>
      </c>
      <c r="B5373" t="s">
        <v>308</v>
      </c>
      <c r="C5373">
        <v>1</v>
      </c>
      <c r="D5373" t="s">
        <v>192</v>
      </c>
      <c r="E5373" t="s">
        <v>103</v>
      </c>
      <c r="F5373" t="s">
        <v>103</v>
      </c>
      <c r="G5373" t="s">
        <v>103</v>
      </c>
      <c r="H5373" t="s">
        <v>103</v>
      </c>
      <c r="I5373">
        <v>1</v>
      </c>
      <c r="J5373" t="s">
        <v>192</v>
      </c>
      <c r="K5373" t="s">
        <v>103</v>
      </c>
      <c r="L5373" t="s">
        <v>103</v>
      </c>
      <c r="M5373" t="s">
        <v>103</v>
      </c>
      <c r="N5373" t="s">
        <v>103</v>
      </c>
      <c r="O5373">
        <v>1</v>
      </c>
      <c r="P5373" t="s">
        <v>192</v>
      </c>
      <c r="Q5373" t="s">
        <v>103</v>
      </c>
      <c r="R5373" t="s">
        <v>103</v>
      </c>
      <c r="S5373" t="s">
        <v>103</v>
      </c>
      <c r="T5373" t="s">
        <v>103</v>
      </c>
      <c r="U5373">
        <v>1</v>
      </c>
      <c r="V5373" t="s">
        <v>192</v>
      </c>
      <c r="W5373" t="s">
        <v>103</v>
      </c>
      <c r="X5373" t="s">
        <v>103</v>
      </c>
      <c r="Y5373" t="s">
        <v>103</v>
      </c>
      <c r="Z5373" t="s">
        <v>103</v>
      </c>
      <c r="AA5373">
        <v>1</v>
      </c>
      <c r="AB5373" t="s">
        <v>192</v>
      </c>
      <c r="AC5373" t="s">
        <v>103</v>
      </c>
      <c r="AD5373" t="s">
        <v>103</v>
      </c>
      <c r="AE5373" t="s">
        <v>103</v>
      </c>
      <c r="AF5373" t="s">
        <v>103</v>
      </c>
      <c r="AG5373">
        <v>1</v>
      </c>
      <c r="AH5373" t="s">
        <v>192</v>
      </c>
      <c r="AI5373" t="s">
        <v>103</v>
      </c>
      <c r="AJ5373" t="s">
        <v>103</v>
      </c>
      <c r="AK5373" t="s">
        <v>103</v>
      </c>
      <c r="AL5373" t="s">
        <v>103</v>
      </c>
      <c r="AM5373">
        <v>1</v>
      </c>
      <c r="AN5373" t="s">
        <v>192</v>
      </c>
      <c r="AO5373" t="s">
        <v>103</v>
      </c>
      <c r="AP5373" t="s">
        <v>103</v>
      </c>
      <c r="AQ5373" t="s">
        <v>103</v>
      </c>
      <c r="AR5373" t="s">
        <v>103</v>
      </c>
      <c r="AS5373">
        <v>1</v>
      </c>
      <c r="AT5373" t="s">
        <v>192</v>
      </c>
      <c r="AU5373" t="s">
        <v>103</v>
      </c>
      <c r="AV5373" t="s">
        <v>103</v>
      </c>
      <c r="AW5373" t="s">
        <v>103</v>
      </c>
      <c r="AX5373" t="s">
        <v>103</v>
      </c>
      <c r="AY5373">
        <v>1</v>
      </c>
      <c r="AZ5373" t="s">
        <v>192</v>
      </c>
      <c r="BA5373" t="s">
        <v>103</v>
      </c>
      <c r="BB5373" t="s">
        <v>103</v>
      </c>
      <c r="BC5373" t="s">
        <v>103</v>
      </c>
      <c r="BD5373" t="s">
        <v>103</v>
      </c>
      <c r="BE5373">
        <v>1</v>
      </c>
      <c r="BF5373" t="s">
        <v>192</v>
      </c>
      <c r="BG5373" t="s">
        <v>103</v>
      </c>
      <c r="BH5373" t="s">
        <v>103</v>
      </c>
      <c r="BI5373" t="s">
        <v>103</v>
      </c>
      <c r="BJ5373" t="s">
        <v>103</v>
      </c>
      <c r="BK5373">
        <v>1</v>
      </c>
      <c r="BL5373" t="s">
        <v>192</v>
      </c>
      <c r="BM5373" t="s">
        <v>103</v>
      </c>
      <c r="BN5373" t="s">
        <v>103</v>
      </c>
      <c r="BO5373" t="s">
        <v>103</v>
      </c>
      <c r="BP5373" t="s">
        <v>103</v>
      </c>
    </row>
    <row r="5374" spans="1:68" x14ac:dyDescent="0.3">
      <c r="A5374" t="s">
        <v>27</v>
      </c>
      <c r="B5374" t="s">
        <v>311</v>
      </c>
      <c r="C5374">
        <v>237</v>
      </c>
      <c r="D5374" t="s">
        <v>354</v>
      </c>
      <c r="E5374" t="s">
        <v>239</v>
      </c>
      <c r="F5374" t="s">
        <v>542</v>
      </c>
      <c r="G5374" t="s">
        <v>130</v>
      </c>
      <c r="H5374" t="s">
        <v>122</v>
      </c>
      <c r="I5374">
        <v>237</v>
      </c>
      <c r="J5374" t="s">
        <v>443</v>
      </c>
      <c r="K5374" t="s">
        <v>278</v>
      </c>
      <c r="L5374" t="s">
        <v>559</v>
      </c>
      <c r="M5374" t="s">
        <v>130</v>
      </c>
      <c r="N5374" t="s">
        <v>251</v>
      </c>
      <c r="O5374">
        <v>237</v>
      </c>
      <c r="P5374" t="s">
        <v>363</v>
      </c>
      <c r="Q5374" t="s">
        <v>674</v>
      </c>
      <c r="R5374" t="s">
        <v>130</v>
      </c>
      <c r="S5374" t="s">
        <v>201</v>
      </c>
      <c r="T5374" t="s">
        <v>103</v>
      </c>
      <c r="U5374">
        <v>237</v>
      </c>
      <c r="V5374" t="s">
        <v>1215</v>
      </c>
      <c r="W5374" t="s">
        <v>116</v>
      </c>
      <c r="X5374" t="s">
        <v>418</v>
      </c>
      <c r="Y5374" t="s">
        <v>130</v>
      </c>
      <c r="Z5374" t="s">
        <v>105</v>
      </c>
      <c r="AA5374">
        <v>237</v>
      </c>
      <c r="AB5374" t="s">
        <v>458</v>
      </c>
      <c r="AC5374" t="s">
        <v>139</v>
      </c>
      <c r="AD5374" t="s">
        <v>805</v>
      </c>
      <c r="AE5374" t="s">
        <v>130</v>
      </c>
      <c r="AF5374" t="s">
        <v>788</v>
      </c>
      <c r="AG5374">
        <v>237</v>
      </c>
      <c r="AH5374" t="s">
        <v>432</v>
      </c>
      <c r="AI5374" t="s">
        <v>122</v>
      </c>
      <c r="AJ5374" t="s">
        <v>510</v>
      </c>
      <c r="AK5374" t="s">
        <v>130</v>
      </c>
      <c r="AL5374" t="s">
        <v>190</v>
      </c>
      <c r="AM5374">
        <v>237</v>
      </c>
      <c r="AN5374" t="s">
        <v>1007</v>
      </c>
      <c r="AO5374" t="s">
        <v>1425</v>
      </c>
      <c r="AP5374" t="s">
        <v>130</v>
      </c>
      <c r="AQ5374" t="s">
        <v>103</v>
      </c>
      <c r="AR5374" t="s">
        <v>122</v>
      </c>
      <c r="AS5374">
        <v>237</v>
      </c>
      <c r="AT5374" t="s">
        <v>1396</v>
      </c>
      <c r="AU5374" t="s">
        <v>95</v>
      </c>
      <c r="AV5374" t="s">
        <v>573</v>
      </c>
      <c r="AW5374" t="s">
        <v>164</v>
      </c>
      <c r="AX5374" t="s">
        <v>128</v>
      </c>
      <c r="AY5374">
        <v>237</v>
      </c>
      <c r="AZ5374" t="s">
        <v>770</v>
      </c>
      <c r="BA5374" t="s">
        <v>677</v>
      </c>
      <c r="BB5374" t="s">
        <v>164</v>
      </c>
      <c r="BC5374" t="s">
        <v>97</v>
      </c>
      <c r="BD5374" t="s">
        <v>103</v>
      </c>
      <c r="BE5374">
        <v>237</v>
      </c>
      <c r="BF5374" t="s">
        <v>1202</v>
      </c>
      <c r="BG5374" t="s">
        <v>103</v>
      </c>
      <c r="BH5374" t="s">
        <v>1425</v>
      </c>
      <c r="BI5374" t="s">
        <v>130</v>
      </c>
      <c r="BJ5374" t="s">
        <v>122</v>
      </c>
      <c r="BK5374">
        <v>237</v>
      </c>
      <c r="BL5374" t="s">
        <v>934</v>
      </c>
      <c r="BM5374" t="s">
        <v>1422</v>
      </c>
      <c r="BN5374" t="s">
        <v>130</v>
      </c>
      <c r="BO5374" t="s">
        <v>105</v>
      </c>
      <c r="BP5374" t="s">
        <v>103</v>
      </c>
    </row>
    <row r="5375" spans="1:68" x14ac:dyDescent="0.3">
      <c r="A5375" t="s">
        <v>27</v>
      </c>
      <c r="B5375" t="s">
        <v>312</v>
      </c>
      <c r="C5375">
        <v>60</v>
      </c>
      <c r="D5375" t="s">
        <v>1029</v>
      </c>
      <c r="E5375" t="s">
        <v>98</v>
      </c>
      <c r="F5375" t="s">
        <v>293</v>
      </c>
      <c r="G5375" t="s">
        <v>107</v>
      </c>
      <c r="H5375" t="s">
        <v>103</v>
      </c>
      <c r="I5375">
        <v>60</v>
      </c>
      <c r="J5375" t="s">
        <v>368</v>
      </c>
      <c r="K5375" t="s">
        <v>186</v>
      </c>
      <c r="L5375" t="s">
        <v>537</v>
      </c>
      <c r="M5375" t="s">
        <v>107</v>
      </c>
      <c r="N5375" t="s">
        <v>257</v>
      </c>
      <c r="O5375">
        <v>60</v>
      </c>
      <c r="P5375" t="s">
        <v>502</v>
      </c>
      <c r="Q5375" t="s">
        <v>457</v>
      </c>
      <c r="R5375" t="s">
        <v>662</v>
      </c>
      <c r="S5375" t="s">
        <v>118</v>
      </c>
      <c r="T5375" t="s">
        <v>103</v>
      </c>
      <c r="U5375">
        <v>60</v>
      </c>
      <c r="V5375" t="s">
        <v>260</v>
      </c>
      <c r="W5375" t="s">
        <v>329</v>
      </c>
      <c r="X5375" t="s">
        <v>435</v>
      </c>
      <c r="Y5375" t="s">
        <v>107</v>
      </c>
      <c r="Z5375" t="s">
        <v>103</v>
      </c>
      <c r="AA5375">
        <v>60</v>
      </c>
      <c r="AB5375" t="s">
        <v>422</v>
      </c>
      <c r="AC5375" t="s">
        <v>103</v>
      </c>
      <c r="AD5375" t="s">
        <v>46</v>
      </c>
      <c r="AE5375" t="s">
        <v>107</v>
      </c>
      <c r="AF5375" t="s">
        <v>456</v>
      </c>
      <c r="AG5375">
        <v>60</v>
      </c>
      <c r="AH5375" t="s">
        <v>231</v>
      </c>
      <c r="AI5375" t="s">
        <v>103</v>
      </c>
      <c r="AJ5375" t="s">
        <v>561</v>
      </c>
      <c r="AK5375" t="s">
        <v>107</v>
      </c>
      <c r="AL5375" t="s">
        <v>190</v>
      </c>
      <c r="AM5375">
        <v>60</v>
      </c>
      <c r="AN5375" t="s">
        <v>1394</v>
      </c>
      <c r="AO5375" t="s">
        <v>573</v>
      </c>
      <c r="AP5375" t="s">
        <v>107</v>
      </c>
      <c r="AQ5375" t="s">
        <v>103</v>
      </c>
      <c r="AR5375" t="s">
        <v>103</v>
      </c>
      <c r="AS5375">
        <v>60</v>
      </c>
      <c r="AT5375" t="s">
        <v>1221</v>
      </c>
      <c r="AU5375" t="s">
        <v>98</v>
      </c>
      <c r="AV5375" t="s">
        <v>626</v>
      </c>
      <c r="AW5375" t="s">
        <v>594</v>
      </c>
      <c r="AX5375" t="s">
        <v>103</v>
      </c>
      <c r="AY5375">
        <v>60</v>
      </c>
      <c r="AZ5375" t="s">
        <v>795</v>
      </c>
      <c r="BA5375" t="s">
        <v>1229</v>
      </c>
      <c r="BB5375" t="s">
        <v>107</v>
      </c>
      <c r="BC5375" t="s">
        <v>103</v>
      </c>
      <c r="BD5375" t="s">
        <v>103</v>
      </c>
      <c r="BE5375">
        <v>60</v>
      </c>
      <c r="BF5375" t="s">
        <v>349</v>
      </c>
      <c r="BG5375" t="s">
        <v>103</v>
      </c>
      <c r="BH5375" t="s">
        <v>411</v>
      </c>
      <c r="BI5375" t="s">
        <v>107</v>
      </c>
      <c r="BJ5375" t="s">
        <v>103</v>
      </c>
      <c r="BK5375">
        <v>60</v>
      </c>
      <c r="BL5375" t="s">
        <v>372</v>
      </c>
      <c r="BM5375" t="s">
        <v>537</v>
      </c>
      <c r="BN5375" t="s">
        <v>107</v>
      </c>
      <c r="BO5375" t="s">
        <v>103</v>
      </c>
      <c r="BP5375" t="s">
        <v>103</v>
      </c>
    </row>
    <row r="5376" spans="1:68" x14ac:dyDescent="0.3">
      <c r="A5376" t="s">
        <v>27</v>
      </c>
      <c r="B5376" t="s">
        <v>308</v>
      </c>
      <c r="C5376">
        <v>3</v>
      </c>
      <c r="D5376" t="s">
        <v>192</v>
      </c>
      <c r="E5376" t="s">
        <v>103</v>
      </c>
      <c r="F5376" t="s">
        <v>103</v>
      </c>
      <c r="G5376" t="s">
        <v>103</v>
      </c>
      <c r="H5376" t="s">
        <v>103</v>
      </c>
      <c r="I5376">
        <v>3</v>
      </c>
      <c r="J5376" t="s">
        <v>943</v>
      </c>
      <c r="K5376" t="s">
        <v>527</v>
      </c>
      <c r="L5376" t="s">
        <v>103</v>
      </c>
      <c r="M5376" t="s">
        <v>103</v>
      </c>
      <c r="N5376" t="s">
        <v>103</v>
      </c>
      <c r="O5376">
        <v>3</v>
      </c>
      <c r="P5376" t="s">
        <v>192</v>
      </c>
      <c r="Q5376" t="s">
        <v>103</v>
      </c>
      <c r="R5376" t="s">
        <v>103</v>
      </c>
      <c r="S5376" t="s">
        <v>103</v>
      </c>
      <c r="T5376" t="s">
        <v>103</v>
      </c>
      <c r="U5376">
        <v>3</v>
      </c>
      <c r="V5376" t="s">
        <v>192</v>
      </c>
      <c r="W5376" t="s">
        <v>103</v>
      </c>
      <c r="X5376" t="s">
        <v>103</v>
      </c>
      <c r="Y5376" t="s">
        <v>103</v>
      </c>
      <c r="Z5376" t="s">
        <v>103</v>
      </c>
      <c r="AA5376">
        <v>3</v>
      </c>
      <c r="AB5376" t="s">
        <v>192</v>
      </c>
      <c r="AC5376" t="s">
        <v>103</v>
      </c>
      <c r="AD5376" t="s">
        <v>103</v>
      </c>
      <c r="AE5376" t="s">
        <v>103</v>
      </c>
      <c r="AF5376" t="s">
        <v>103</v>
      </c>
      <c r="AG5376">
        <v>3</v>
      </c>
      <c r="AH5376" t="s">
        <v>943</v>
      </c>
      <c r="AI5376" t="s">
        <v>103</v>
      </c>
      <c r="AJ5376" t="s">
        <v>527</v>
      </c>
      <c r="AK5376" t="s">
        <v>103</v>
      </c>
      <c r="AL5376" t="s">
        <v>103</v>
      </c>
      <c r="AM5376">
        <v>3</v>
      </c>
      <c r="AN5376" t="s">
        <v>192</v>
      </c>
      <c r="AO5376" t="s">
        <v>103</v>
      </c>
      <c r="AP5376" t="s">
        <v>103</v>
      </c>
      <c r="AQ5376" t="s">
        <v>103</v>
      </c>
      <c r="AR5376" t="s">
        <v>103</v>
      </c>
      <c r="AS5376">
        <v>3</v>
      </c>
      <c r="AT5376" t="s">
        <v>192</v>
      </c>
      <c r="AU5376" t="s">
        <v>103</v>
      </c>
      <c r="AV5376" t="s">
        <v>103</v>
      </c>
      <c r="AW5376" t="s">
        <v>103</v>
      </c>
      <c r="AX5376" t="s">
        <v>103</v>
      </c>
      <c r="AY5376">
        <v>3</v>
      </c>
      <c r="AZ5376" t="s">
        <v>192</v>
      </c>
      <c r="BA5376" t="s">
        <v>103</v>
      </c>
      <c r="BB5376" t="s">
        <v>103</v>
      </c>
      <c r="BC5376" t="s">
        <v>103</v>
      </c>
      <c r="BD5376" t="s">
        <v>103</v>
      </c>
      <c r="BE5376">
        <v>3</v>
      </c>
      <c r="BF5376" t="s">
        <v>943</v>
      </c>
      <c r="BG5376" t="s">
        <v>103</v>
      </c>
      <c r="BH5376" t="s">
        <v>527</v>
      </c>
      <c r="BI5376" t="s">
        <v>103</v>
      </c>
      <c r="BJ5376" t="s">
        <v>103</v>
      </c>
      <c r="BK5376">
        <v>3</v>
      </c>
      <c r="BL5376" t="s">
        <v>192</v>
      </c>
      <c r="BM5376" t="s">
        <v>103</v>
      </c>
      <c r="BN5376" t="s">
        <v>103</v>
      </c>
      <c r="BO5376" t="s">
        <v>103</v>
      </c>
      <c r="BP5376" t="s">
        <v>103</v>
      </c>
    </row>
    <row r="5377" spans="1:68" x14ac:dyDescent="0.3">
      <c r="A5377" t="s">
        <v>41</v>
      </c>
      <c r="B5377" t="s">
        <v>311</v>
      </c>
      <c r="C5377">
        <v>1541</v>
      </c>
      <c r="D5377" t="s">
        <v>1025</v>
      </c>
      <c r="E5377" t="s">
        <v>95</v>
      </c>
      <c r="F5377" t="s">
        <v>293</v>
      </c>
      <c r="G5377" t="s">
        <v>186</v>
      </c>
      <c r="H5377" t="s">
        <v>93</v>
      </c>
      <c r="I5377">
        <v>1541</v>
      </c>
      <c r="J5377" t="s">
        <v>432</v>
      </c>
      <c r="K5377" t="s">
        <v>205</v>
      </c>
      <c r="L5377" t="s">
        <v>684</v>
      </c>
      <c r="M5377" t="s">
        <v>107</v>
      </c>
      <c r="N5377" t="s">
        <v>268</v>
      </c>
      <c r="O5377">
        <v>1541</v>
      </c>
      <c r="P5377" t="s">
        <v>2108</v>
      </c>
      <c r="Q5377" t="s">
        <v>488</v>
      </c>
      <c r="R5377" t="s">
        <v>107</v>
      </c>
      <c r="S5377" t="s">
        <v>251</v>
      </c>
      <c r="T5377" t="s">
        <v>98</v>
      </c>
      <c r="U5377">
        <v>1541</v>
      </c>
      <c r="V5377" t="s">
        <v>1291</v>
      </c>
      <c r="W5377" t="s">
        <v>122</v>
      </c>
      <c r="X5377" t="s">
        <v>106</v>
      </c>
      <c r="Y5377" t="s">
        <v>186</v>
      </c>
      <c r="Z5377" t="s">
        <v>191</v>
      </c>
      <c r="AA5377">
        <v>1541</v>
      </c>
      <c r="AB5377" t="s">
        <v>1375</v>
      </c>
      <c r="AC5377" t="s">
        <v>116</v>
      </c>
      <c r="AD5377" t="s">
        <v>242</v>
      </c>
      <c r="AE5377" t="s">
        <v>186</v>
      </c>
      <c r="AF5377" t="s">
        <v>805</v>
      </c>
      <c r="AG5377">
        <v>1541</v>
      </c>
      <c r="AH5377" t="s">
        <v>831</v>
      </c>
      <c r="AI5377" t="s">
        <v>97</v>
      </c>
      <c r="AJ5377" t="s">
        <v>484</v>
      </c>
      <c r="AK5377" t="s">
        <v>186</v>
      </c>
      <c r="AL5377" t="s">
        <v>438</v>
      </c>
      <c r="AM5377">
        <v>1541</v>
      </c>
      <c r="AN5377" t="s">
        <v>1558</v>
      </c>
      <c r="AO5377" t="s">
        <v>404</v>
      </c>
      <c r="AP5377" t="s">
        <v>186</v>
      </c>
      <c r="AQ5377" t="s">
        <v>91</v>
      </c>
      <c r="AR5377" t="s">
        <v>103</v>
      </c>
      <c r="AS5377">
        <v>1541</v>
      </c>
      <c r="AT5377" t="s">
        <v>302</v>
      </c>
      <c r="AU5377" t="s">
        <v>97</v>
      </c>
      <c r="AV5377" t="s">
        <v>644</v>
      </c>
      <c r="AW5377" t="s">
        <v>186</v>
      </c>
      <c r="AX5377" t="s">
        <v>345</v>
      </c>
      <c r="AY5377">
        <v>1541</v>
      </c>
      <c r="AZ5377" t="s">
        <v>1436</v>
      </c>
      <c r="BA5377" t="s">
        <v>707</v>
      </c>
      <c r="BB5377" t="s">
        <v>186</v>
      </c>
      <c r="BC5377" t="s">
        <v>341</v>
      </c>
      <c r="BD5377" t="s">
        <v>66</v>
      </c>
      <c r="BE5377">
        <v>1541</v>
      </c>
      <c r="BF5377" t="s">
        <v>928</v>
      </c>
      <c r="BG5377" t="s">
        <v>95</v>
      </c>
      <c r="BH5377" t="s">
        <v>1425</v>
      </c>
      <c r="BI5377" t="s">
        <v>107</v>
      </c>
      <c r="BJ5377" t="s">
        <v>120</v>
      </c>
      <c r="BK5377">
        <v>1541</v>
      </c>
      <c r="BL5377" t="s">
        <v>1324</v>
      </c>
      <c r="BM5377" t="s">
        <v>807</v>
      </c>
      <c r="BN5377" t="s">
        <v>201</v>
      </c>
      <c r="BO5377" t="s">
        <v>216</v>
      </c>
      <c r="BP5377" t="s">
        <v>66</v>
      </c>
    </row>
    <row r="5378" spans="1:68" x14ac:dyDescent="0.3">
      <c r="A5378" t="s">
        <v>41</v>
      </c>
      <c r="B5378" t="s">
        <v>312</v>
      </c>
      <c r="C5378">
        <v>432</v>
      </c>
      <c r="D5378" t="s">
        <v>1252</v>
      </c>
      <c r="E5378" t="s">
        <v>341</v>
      </c>
      <c r="F5378" t="s">
        <v>1088</v>
      </c>
      <c r="G5378" t="s">
        <v>102</v>
      </c>
      <c r="H5378" t="s">
        <v>122</v>
      </c>
      <c r="I5378">
        <v>432</v>
      </c>
      <c r="J5378" t="s">
        <v>804</v>
      </c>
      <c r="K5378" t="s">
        <v>284</v>
      </c>
      <c r="L5378" t="s">
        <v>646</v>
      </c>
      <c r="M5378" t="s">
        <v>125</v>
      </c>
      <c r="N5378" t="s">
        <v>578</v>
      </c>
      <c r="O5378">
        <v>432</v>
      </c>
      <c r="P5378" t="s">
        <v>610</v>
      </c>
      <c r="Q5378" t="s">
        <v>517</v>
      </c>
      <c r="R5378" t="s">
        <v>493</v>
      </c>
      <c r="S5378" t="s">
        <v>94</v>
      </c>
      <c r="T5378" t="s">
        <v>345</v>
      </c>
      <c r="U5378">
        <v>432</v>
      </c>
      <c r="V5378" t="s">
        <v>1392</v>
      </c>
      <c r="W5378" t="s">
        <v>97</v>
      </c>
      <c r="X5378" t="s">
        <v>136</v>
      </c>
      <c r="Y5378" t="s">
        <v>102</v>
      </c>
      <c r="Z5378" t="s">
        <v>750</v>
      </c>
      <c r="AA5378">
        <v>432</v>
      </c>
      <c r="AB5378" t="s">
        <v>1035</v>
      </c>
      <c r="AC5378" t="s">
        <v>97</v>
      </c>
      <c r="AD5378" t="s">
        <v>242</v>
      </c>
      <c r="AE5378" t="s">
        <v>114</v>
      </c>
      <c r="AF5378" t="s">
        <v>528</v>
      </c>
      <c r="AG5378">
        <v>432</v>
      </c>
      <c r="AH5378" t="s">
        <v>428</v>
      </c>
      <c r="AI5378" t="s">
        <v>97</v>
      </c>
      <c r="AJ5378" t="s">
        <v>646</v>
      </c>
      <c r="AK5378" t="s">
        <v>102</v>
      </c>
      <c r="AL5378" t="s">
        <v>93</v>
      </c>
      <c r="AM5378">
        <v>432</v>
      </c>
      <c r="AN5378" t="s">
        <v>1209</v>
      </c>
      <c r="AO5378" t="s">
        <v>537</v>
      </c>
      <c r="AP5378" t="s">
        <v>102</v>
      </c>
      <c r="AQ5378" t="s">
        <v>468</v>
      </c>
      <c r="AR5378" t="s">
        <v>91</v>
      </c>
      <c r="AS5378">
        <v>432</v>
      </c>
      <c r="AT5378" t="s">
        <v>724</v>
      </c>
      <c r="AU5378" t="s">
        <v>97</v>
      </c>
      <c r="AV5378" t="s">
        <v>734</v>
      </c>
      <c r="AW5378" t="s">
        <v>201</v>
      </c>
      <c r="AX5378" t="s">
        <v>239</v>
      </c>
      <c r="AY5378">
        <v>432</v>
      </c>
      <c r="AZ5378" t="s">
        <v>1305</v>
      </c>
      <c r="BA5378" t="s">
        <v>570</v>
      </c>
      <c r="BB5378" t="s">
        <v>102</v>
      </c>
      <c r="BC5378" t="s">
        <v>216</v>
      </c>
      <c r="BD5378" t="s">
        <v>103</v>
      </c>
      <c r="BE5378">
        <v>432</v>
      </c>
      <c r="BF5378" t="s">
        <v>931</v>
      </c>
      <c r="BG5378" t="s">
        <v>282</v>
      </c>
      <c r="BH5378" t="s">
        <v>1028</v>
      </c>
      <c r="BI5378" t="s">
        <v>102</v>
      </c>
      <c r="BJ5378" t="s">
        <v>95</v>
      </c>
      <c r="BK5378">
        <v>432</v>
      </c>
      <c r="BL5378" t="s">
        <v>903</v>
      </c>
      <c r="BM5378" t="s">
        <v>459</v>
      </c>
      <c r="BN5378" t="s">
        <v>102</v>
      </c>
      <c r="BO5378" t="s">
        <v>128</v>
      </c>
      <c r="BP5378" t="s">
        <v>122</v>
      </c>
    </row>
    <row r="5379" spans="1:68" x14ac:dyDescent="0.3">
      <c r="A5379" t="s">
        <v>41</v>
      </c>
      <c r="B5379" t="s">
        <v>308</v>
      </c>
      <c r="C5379">
        <v>65</v>
      </c>
      <c r="D5379" t="s">
        <v>1087</v>
      </c>
      <c r="E5379" t="s">
        <v>245</v>
      </c>
      <c r="F5379" t="s">
        <v>418</v>
      </c>
      <c r="G5379" t="s">
        <v>107</v>
      </c>
      <c r="H5379" t="s">
        <v>466</v>
      </c>
      <c r="I5379">
        <v>65</v>
      </c>
      <c r="J5379" t="s">
        <v>628</v>
      </c>
      <c r="K5379" t="s">
        <v>148</v>
      </c>
      <c r="L5379" t="s">
        <v>918</v>
      </c>
      <c r="M5379" t="s">
        <v>107</v>
      </c>
      <c r="N5379" t="s">
        <v>123</v>
      </c>
      <c r="O5379">
        <v>65</v>
      </c>
      <c r="P5379" t="s">
        <v>617</v>
      </c>
      <c r="Q5379" t="s">
        <v>195</v>
      </c>
      <c r="R5379" t="s">
        <v>532</v>
      </c>
      <c r="S5379" t="s">
        <v>94</v>
      </c>
      <c r="T5379" t="s">
        <v>103</v>
      </c>
      <c r="U5379">
        <v>65</v>
      </c>
      <c r="V5379" t="s">
        <v>1013</v>
      </c>
      <c r="W5379" t="s">
        <v>128</v>
      </c>
      <c r="X5379" t="s">
        <v>126</v>
      </c>
      <c r="Y5379" t="s">
        <v>107</v>
      </c>
      <c r="Z5379" t="s">
        <v>111</v>
      </c>
      <c r="AA5379">
        <v>65</v>
      </c>
      <c r="AB5379" t="s">
        <v>618</v>
      </c>
      <c r="AC5379" t="s">
        <v>103</v>
      </c>
      <c r="AD5379" t="s">
        <v>113</v>
      </c>
      <c r="AE5379" t="s">
        <v>107</v>
      </c>
      <c r="AF5379" t="s">
        <v>275</v>
      </c>
      <c r="AG5379">
        <v>65</v>
      </c>
      <c r="AH5379" t="s">
        <v>704</v>
      </c>
      <c r="AI5379" t="s">
        <v>103</v>
      </c>
      <c r="AJ5379" t="s">
        <v>746</v>
      </c>
      <c r="AK5379" t="s">
        <v>107</v>
      </c>
      <c r="AL5379" t="s">
        <v>272</v>
      </c>
      <c r="AM5379">
        <v>65</v>
      </c>
      <c r="AN5379" t="s">
        <v>1057</v>
      </c>
      <c r="AO5379" t="s">
        <v>1558</v>
      </c>
      <c r="AP5379" t="s">
        <v>107</v>
      </c>
      <c r="AQ5379" t="s">
        <v>438</v>
      </c>
      <c r="AR5379" t="s">
        <v>329</v>
      </c>
      <c r="AS5379">
        <v>65</v>
      </c>
      <c r="AT5379" t="s">
        <v>774</v>
      </c>
      <c r="AU5379" t="s">
        <v>103</v>
      </c>
      <c r="AV5379" t="s">
        <v>123</v>
      </c>
      <c r="AW5379" t="s">
        <v>532</v>
      </c>
      <c r="AX5379" t="s">
        <v>103</v>
      </c>
      <c r="AY5379">
        <v>65</v>
      </c>
      <c r="AZ5379" t="s">
        <v>761</v>
      </c>
      <c r="BA5379" t="s">
        <v>528</v>
      </c>
      <c r="BB5379" t="s">
        <v>107</v>
      </c>
      <c r="BC5379" t="s">
        <v>103</v>
      </c>
      <c r="BD5379" t="s">
        <v>239</v>
      </c>
      <c r="BE5379">
        <v>65</v>
      </c>
      <c r="BF5379" t="s">
        <v>1055</v>
      </c>
      <c r="BG5379" t="s">
        <v>103</v>
      </c>
      <c r="BH5379" t="s">
        <v>673</v>
      </c>
      <c r="BI5379" t="s">
        <v>107</v>
      </c>
      <c r="BJ5379" t="s">
        <v>103</v>
      </c>
      <c r="BK5379">
        <v>65</v>
      </c>
      <c r="BL5379" t="s">
        <v>1308</v>
      </c>
      <c r="BM5379" t="s">
        <v>127</v>
      </c>
      <c r="BN5379" t="s">
        <v>107</v>
      </c>
      <c r="BO5379" t="s">
        <v>114</v>
      </c>
      <c r="BP5379" t="s">
        <v>103</v>
      </c>
    </row>
    <row r="5381" spans="1:68" x14ac:dyDescent="0.3">
      <c r="A5381" t="s">
        <v>2112</v>
      </c>
    </row>
    <row r="5382" spans="1:68" x14ac:dyDescent="0.3">
      <c r="A5382" t="s">
        <v>36</v>
      </c>
      <c r="B5382" t="s">
        <v>24</v>
      </c>
      <c r="C5382" t="s">
        <v>2113</v>
      </c>
      <c r="D5382" t="s">
        <v>2114</v>
      </c>
      <c r="E5382" t="s">
        <v>2115</v>
      </c>
      <c r="F5382" t="s">
        <v>2116</v>
      </c>
      <c r="G5382" t="s">
        <v>183</v>
      </c>
      <c r="H5382" t="s">
        <v>87</v>
      </c>
    </row>
    <row r="5383" spans="1:68" x14ac:dyDescent="0.3">
      <c r="A5383" t="s">
        <v>25</v>
      </c>
      <c r="B5383">
        <v>149</v>
      </c>
      <c r="C5383" t="s">
        <v>502</v>
      </c>
      <c r="D5383" t="s">
        <v>1240</v>
      </c>
      <c r="E5383" t="s">
        <v>789</v>
      </c>
      <c r="F5383" t="s">
        <v>208</v>
      </c>
      <c r="G5383" t="s">
        <v>194</v>
      </c>
      <c r="H5383" t="s">
        <v>245</v>
      </c>
    </row>
    <row r="5384" spans="1:68" x14ac:dyDescent="0.3">
      <c r="A5384" t="s">
        <v>26</v>
      </c>
      <c r="B5384">
        <v>155</v>
      </c>
      <c r="C5384" t="s">
        <v>984</v>
      </c>
      <c r="D5384" t="s">
        <v>815</v>
      </c>
      <c r="E5384" t="s">
        <v>494</v>
      </c>
      <c r="F5384" t="s">
        <v>282</v>
      </c>
      <c r="G5384" t="s">
        <v>591</v>
      </c>
      <c r="H5384" t="s">
        <v>97</v>
      </c>
    </row>
    <row r="5385" spans="1:68" x14ac:dyDescent="0.3">
      <c r="A5385" t="s">
        <v>29</v>
      </c>
      <c r="B5385">
        <v>250</v>
      </c>
      <c r="C5385" t="s">
        <v>1169</v>
      </c>
      <c r="D5385" t="s">
        <v>817</v>
      </c>
      <c r="E5385" t="s">
        <v>131</v>
      </c>
      <c r="F5385" t="s">
        <v>114</v>
      </c>
      <c r="G5385" t="s">
        <v>103</v>
      </c>
      <c r="H5385" t="s">
        <v>216</v>
      </c>
    </row>
    <row r="5386" spans="1:68" x14ac:dyDescent="0.3">
      <c r="A5386" t="s">
        <v>28</v>
      </c>
      <c r="B5386">
        <v>123</v>
      </c>
      <c r="C5386" t="s">
        <v>776</v>
      </c>
      <c r="D5386" t="s">
        <v>427</v>
      </c>
      <c r="E5386" t="s">
        <v>152</v>
      </c>
      <c r="F5386" t="s">
        <v>188</v>
      </c>
      <c r="G5386" t="s">
        <v>103</v>
      </c>
      <c r="H5386" t="s">
        <v>103</v>
      </c>
    </row>
    <row r="5387" spans="1:68" x14ac:dyDescent="0.3">
      <c r="A5387" t="s">
        <v>27</v>
      </c>
      <c r="B5387">
        <v>98</v>
      </c>
      <c r="C5387" t="s">
        <v>193</v>
      </c>
      <c r="D5387" t="s">
        <v>728</v>
      </c>
      <c r="E5387" t="s">
        <v>251</v>
      </c>
      <c r="F5387" t="s">
        <v>607</v>
      </c>
      <c r="G5387" t="s">
        <v>103</v>
      </c>
      <c r="H5387" t="s">
        <v>103</v>
      </c>
    </row>
    <row r="5388" spans="1:68" x14ac:dyDescent="0.3">
      <c r="A5388" t="s">
        <v>41</v>
      </c>
      <c r="B5388">
        <v>775</v>
      </c>
      <c r="C5388" t="s">
        <v>1324</v>
      </c>
      <c r="D5388" t="s">
        <v>675</v>
      </c>
      <c r="E5388" t="s">
        <v>488</v>
      </c>
      <c r="F5388" t="s">
        <v>68</v>
      </c>
      <c r="G5388" t="s">
        <v>282</v>
      </c>
      <c r="H5388" t="s">
        <v>194</v>
      </c>
    </row>
    <row r="5390" spans="1:68" x14ac:dyDescent="0.3">
      <c r="A5390" t="s">
        <v>2117</v>
      </c>
    </row>
    <row r="5391" spans="1:68" x14ac:dyDescent="0.3">
      <c r="A5391" t="s">
        <v>36</v>
      </c>
      <c r="B5391" t="s">
        <v>310</v>
      </c>
      <c r="C5391" t="s">
        <v>24</v>
      </c>
      <c r="D5391" t="s">
        <v>2113</v>
      </c>
      <c r="E5391" t="s">
        <v>2114</v>
      </c>
      <c r="F5391" t="s">
        <v>2115</v>
      </c>
      <c r="G5391" t="s">
        <v>2116</v>
      </c>
      <c r="H5391" t="s">
        <v>183</v>
      </c>
      <c r="I5391" t="s">
        <v>87</v>
      </c>
    </row>
    <row r="5392" spans="1:68" x14ac:dyDescent="0.3">
      <c r="A5392" t="s">
        <v>25</v>
      </c>
      <c r="B5392" t="s">
        <v>311</v>
      </c>
      <c r="C5392">
        <v>122</v>
      </c>
      <c r="D5392" t="s">
        <v>730</v>
      </c>
      <c r="E5392" t="s">
        <v>1071</v>
      </c>
      <c r="F5392" t="s">
        <v>476</v>
      </c>
      <c r="G5392" t="s">
        <v>257</v>
      </c>
      <c r="H5392" t="s">
        <v>91</v>
      </c>
      <c r="I5392" t="s">
        <v>208</v>
      </c>
    </row>
    <row r="5393" spans="1:9" s="3" customFormat="1" x14ac:dyDescent="0.3">
      <c r="A5393" s="3" t="s">
        <v>25</v>
      </c>
      <c r="B5393" s="3" t="s">
        <v>312</v>
      </c>
      <c r="C5393" s="3">
        <v>22</v>
      </c>
      <c r="D5393" s="3" t="s">
        <v>229</v>
      </c>
      <c r="E5393" s="3" t="s">
        <v>1242</v>
      </c>
      <c r="F5393" s="3" t="s">
        <v>900</v>
      </c>
      <c r="G5393" s="3" t="s">
        <v>103</v>
      </c>
      <c r="H5393" s="3" t="s">
        <v>482</v>
      </c>
      <c r="I5393" s="3" t="s">
        <v>103</v>
      </c>
    </row>
    <row r="5394" spans="1:9" x14ac:dyDescent="0.3">
      <c r="A5394" t="s">
        <v>25</v>
      </c>
      <c r="B5394" t="s">
        <v>308</v>
      </c>
      <c r="C5394">
        <v>5</v>
      </c>
      <c r="D5394" t="s">
        <v>192</v>
      </c>
      <c r="E5394" t="s">
        <v>1060</v>
      </c>
      <c r="F5394" t="s">
        <v>303</v>
      </c>
      <c r="G5394" t="s">
        <v>103</v>
      </c>
      <c r="H5394" t="s">
        <v>103</v>
      </c>
      <c r="I5394" t="s">
        <v>103</v>
      </c>
    </row>
    <row r="5395" spans="1:9" x14ac:dyDescent="0.3">
      <c r="A5395" t="s">
        <v>26</v>
      </c>
      <c r="B5395" t="s">
        <v>311</v>
      </c>
      <c r="C5395">
        <v>121</v>
      </c>
      <c r="D5395" t="s">
        <v>53</v>
      </c>
      <c r="E5395" t="s">
        <v>510</v>
      </c>
      <c r="F5395" t="s">
        <v>101</v>
      </c>
      <c r="G5395" t="s">
        <v>468</v>
      </c>
      <c r="H5395" t="s">
        <v>284</v>
      </c>
      <c r="I5395" t="s">
        <v>103</v>
      </c>
    </row>
    <row r="5396" spans="1:9" s="3" customFormat="1" x14ac:dyDescent="0.3">
      <c r="A5396" s="3" t="s">
        <v>26</v>
      </c>
      <c r="B5396" s="3" t="s">
        <v>312</v>
      </c>
      <c r="C5396" s="3">
        <v>27</v>
      </c>
      <c r="D5396" s="3" t="s">
        <v>151</v>
      </c>
      <c r="E5396" s="3" t="s">
        <v>100</v>
      </c>
      <c r="F5396" s="3" t="s">
        <v>115</v>
      </c>
      <c r="G5396" s="3" t="s">
        <v>103</v>
      </c>
      <c r="H5396" s="3" t="s">
        <v>103</v>
      </c>
      <c r="I5396" s="3" t="s">
        <v>125</v>
      </c>
    </row>
    <row r="5397" spans="1:9" x14ac:dyDescent="0.3">
      <c r="A5397" t="s">
        <v>26</v>
      </c>
      <c r="B5397" t="s">
        <v>308</v>
      </c>
      <c r="C5397">
        <v>7</v>
      </c>
      <c r="D5397" t="s">
        <v>192</v>
      </c>
      <c r="E5397" t="s">
        <v>103</v>
      </c>
      <c r="F5397" t="s">
        <v>103</v>
      </c>
      <c r="G5397" t="s">
        <v>103</v>
      </c>
      <c r="H5397" t="s">
        <v>103</v>
      </c>
      <c r="I5397" t="s">
        <v>103</v>
      </c>
    </row>
    <row r="5398" spans="1:9" x14ac:dyDescent="0.3">
      <c r="A5398" t="s">
        <v>29</v>
      </c>
      <c r="B5398" t="s">
        <v>311</v>
      </c>
      <c r="C5398">
        <v>186</v>
      </c>
      <c r="D5398" t="s">
        <v>1348</v>
      </c>
      <c r="E5398" t="s">
        <v>364</v>
      </c>
      <c r="F5398" t="s">
        <v>164</v>
      </c>
      <c r="G5398" t="s">
        <v>270</v>
      </c>
      <c r="H5398" t="s">
        <v>103</v>
      </c>
      <c r="I5398" t="s">
        <v>110</v>
      </c>
    </row>
    <row r="5399" spans="1:9" x14ac:dyDescent="0.3">
      <c r="A5399" t="s">
        <v>29</v>
      </c>
      <c r="B5399" t="s">
        <v>312</v>
      </c>
      <c r="C5399">
        <v>57</v>
      </c>
      <c r="D5399" t="s">
        <v>1146</v>
      </c>
      <c r="E5399" t="s">
        <v>1462</v>
      </c>
      <c r="F5399" t="s">
        <v>469</v>
      </c>
      <c r="G5399" t="s">
        <v>662</v>
      </c>
      <c r="H5399" t="s">
        <v>103</v>
      </c>
      <c r="I5399" t="s">
        <v>217</v>
      </c>
    </row>
    <row r="5400" spans="1:9" x14ac:dyDescent="0.3">
      <c r="A5400" t="s">
        <v>29</v>
      </c>
      <c r="B5400" t="s">
        <v>308</v>
      </c>
      <c r="C5400">
        <v>7</v>
      </c>
      <c r="D5400" t="s">
        <v>192</v>
      </c>
      <c r="E5400" t="s">
        <v>808</v>
      </c>
      <c r="F5400" t="s">
        <v>501</v>
      </c>
      <c r="G5400" t="s">
        <v>548</v>
      </c>
      <c r="H5400" t="s">
        <v>103</v>
      </c>
      <c r="I5400" t="s">
        <v>103</v>
      </c>
    </row>
    <row r="5401" spans="1:9" x14ac:dyDescent="0.3">
      <c r="A5401" t="s">
        <v>28</v>
      </c>
      <c r="B5401" t="s">
        <v>311</v>
      </c>
      <c r="C5401">
        <v>88</v>
      </c>
      <c r="D5401" t="s">
        <v>187</v>
      </c>
      <c r="E5401" t="s">
        <v>664</v>
      </c>
      <c r="F5401" t="s">
        <v>157</v>
      </c>
      <c r="G5401" t="s">
        <v>284</v>
      </c>
      <c r="H5401" t="s">
        <v>103</v>
      </c>
      <c r="I5401" t="s">
        <v>103</v>
      </c>
    </row>
    <row r="5402" spans="1:9" x14ac:dyDescent="0.3">
      <c r="A5402" t="s">
        <v>28</v>
      </c>
      <c r="B5402" t="s">
        <v>312</v>
      </c>
      <c r="C5402">
        <v>35</v>
      </c>
      <c r="D5402" t="s">
        <v>636</v>
      </c>
      <c r="E5402" t="s">
        <v>50</v>
      </c>
      <c r="F5402" t="s">
        <v>273</v>
      </c>
      <c r="G5402" t="s">
        <v>103</v>
      </c>
      <c r="H5402" t="s">
        <v>103</v>
      </c>
      <c r="I5402" t="s">
        <v>103</v>
      </c>
    </row>
    <row r="5403" spans="1:9" x14ac:dyDescent="0.3">
      <c r="A5403" t="s">
        <v>27</v>
      </c>
      <c r="B5403" t="s">
        <v>311</v>
      </c>
      <c r="C5403">
        <v>82</v>
      </c>
      <c r="D5403" t="s">
        <v>1134</v>
      </c>
      <c r="E5403" t="s">
        <v>1001</v>
      </c>
      <c r="F5403" t="s">
        <v>94</v>
      </c>
      <c r="G5403" t="s">
        <v>511</v>
      </c>
      <c r="H5403" t="s">
        <v>103</v>
      </c>
      <c r="I5403" t="s">
        <v>103</v>
      </c>
    </row>
    <row r="5404" spans="1:9" s="3" customFormat="1" x14ac:dyDescent="0.3">
      <c r="A5404" s="3" t="s">
        <v>27</v>
      </c>
      <c r="B5404" s="3" t="s">
        <v>312</v>
      </c>
      <c r="C5404" s="3">
        <v>16</v>
      </c>
      <c r="D5404" s="3" t="s">
        <v>617</v>
      </c>
      <c r="E5404" s="3" t="s">
        <v>759</v>
      </c>
      <c r="F5404" s="3" t="s">
        <v>494</v>
      </c>
      <c r="G5404" s="3" t="s">
        <v>594</v>
      </c>
      <c r="H5404" s="3" t="s">
        <v>103</v>
      </c>
      <c r="I5404" s="3" t="s">
        <v>103</v>
      </c>
    </row>
    <row r="5405" spans="1:9" x14ac:dyDescent="0.3">
      <c r="A5405" t="s">
        <v>41</v>
      </c>
      <c r="B5405" t="s">
        <v>311</v>
      </c>
      <c r="C5405">
        <v>599</v>
      </c>
      <c r="D5405" t="s">
        <v>1171</v>
      </c>
      <c r="E5405" t="s">
        <v>1401</v>
      </c>
      <c r="F5405" t="s">
        <v>148</v>
      </c>
      <c r="G5405" t="s">
        <v>64</v>
      </c>
      <c r="H5405" t="s">
        <v>282</v>
      </c>
      <c r="I5405" t="s">
        <v>345</v>
      </c>
    </row>
    <row r="5406" spans="1:9" x14ac:dyDescent="0.3">
      <c r="A5406" t="s">
        <v>41</v>
      </c>
      <c r="B5406" t="s">
        <v>312</v>
      </c>
      <c r="C5406">
        <v>157</v>
      </c>
      <c r="D5406" t="s">
        <v>1063</v>
      </c>
      <c r="E5406" t="s">
        <v>423</v>
      </c>
      <c r="F5406" t="s">
        <v>160</v>
      </c>
      <c r="G5406" t="s">
        <v>188</v>
      </c>
      <c r="H5406" t="s">
        <v>345</v>
      </c>
      <c r="I5406" t="s">
        <v>329</v>
      </c>
    </row>
    <row r="5407" spans="1:9" x14ac:dyDescent="0.3">
      <c r="A5407" t="s">
        <v>41</v>
      </c>
      <c r="B5407" t="s">
        <v>308</v>
      </c>
      <c r="C5407">
        <v>19</v>
      </c>
      <c r="D5407" t="s">
        <v>192</v>
      </c>
      <c r="E5407" t="s">
        <v>669</v>
      </c>
      <c r="F5407" t="s">
        <v>825</v>
      </c>
      <c r="G5407" t="s">
        <v>549</v>
      </c>
      <c r="H5407" t="s">
        <v>103</v>
      </c>
      <c r="I5407" t="s">
        <v>103</v>
      </c>
    </row>
    <row r="5409" spans="1:9" x14ac:dyDescent="0.3">
      <c r="A5409" t="s">
        <v>2118</v>
      </c>
    </row>
    <row r="5410" spans="1:9" x14ac:dyDescent="0.3">
      <c r="A5410" t="s">
        <v>36</v>
      </c>
      <c r="B5410" t="s">
        <v>210</v>
      </c>
      <c r="C5410" t="s">
        <v>24</v>
      </c>
      <c r="D5410" t="s">
        <v>2113</v>
      </c>
      <c r="E5410" t="s">
        <v>2114</v>
      </c>
      <c r="F5410" t="s">
        <v>2115</v>
      </c>
      <c r="G5410" t="s">
        <v>2116</v>
      </c>
      <c r="H5410" t="s">
        <v>183</v>
      </c>
      <c r="I5410" t="s">
        <v>87</v>
      </c>
    </row>
    <row r="5411" spans="1:9" x14ac:dyDescent="0.3">
      <c r="A5411" t="s">
        <v>25</v>
      </c>
      <c r="B5411" t="s">
        <v>211</v>
      </c>
      <c r="C5411">
        <v>149</v>
      </c>
      <c r="D5411" t="s">
        <v>502</v>
      </c>
      <c r="E5411" t="s">
        <v>1240</v>
      </c>
      <c r="F5411" t="s">
        <v>789</v>
      </c>
      <c r="G5411" t="s">
        <v>208</v>
      </c>
      <c r="H5411" t="s">
        <v>194</v>
      </c>
      <c r="I5411" t="s">
        <v>245</v>
      </c>
    </row>
    <row r="5412" spans="1:9" x14ac:dyDescent="0.3">
      <c r="A5412" t="s">
        <v>26</v>
      </c>
      <c r="B5412" t="s">
        <v>211</v>
      </c>
      <c r="C5412">
        <v>56</v>
      </c>
      <c r="D5412" t="s">
        <v>991</v>
      </c>
      <c r="E5412" t="s">
        <v>473</v>
      </c>
      <c r="F5412" t="s">
        <v>467</v>
      </c>
      <c r="G5412" t="s">
        <v>103</v>
      </c>
      <c r="H5412" t="s">
        <v>257</v>
      </c>
      <c r="I5412" t="s">
        <v>239</v>
      </c>
    </row>
    <row r="5413" spans="1:9" x14ac:dyDescent="0.3">
      <c r="A5413" t="s">
        <v>26</v>
      </c>
      <c r="B5413" t="s">
        <v>212</v>
      </c>
      <c r="C5413">
        <v>99</v>
      </c>
      <c r="D5413" t="s">
        <v>1144</v>
      </c>
      <c r="E5413" t="s">
        <v>464</v>
      </c>
      <c r="F5413" t="s">
        <v>99</v>
      </c>
      <c r="G5413" t="s">
        <v>239</v>
      </c>
      <c r="H5413" t="s">
        <v>32</v>
      </c>
      <c r="I5413" t="s">
        <v>103</v>
      </c>
    </row>
    <row r="5414" spans="1:9" x14ac:dyDescent="0.3">
      <c r="A5414" t="s">
        <v>29</v>
      </c>
      <c r="B5414" t="s">
        <v>211</v>
      </c>
      <c r="C5414">
        <v>250</v>
      </c>
      <c r="D5414" t="s">
        <v>1169</v>
      </c>
      <c r="E5414" t="s">
        <v>817</v>
      </c>
      <c r="F5414" t="s">
        <v>131</v>
      </c>
      <c r="G5414" t="s">
        <v>114</v>
      </c>
      <c r="H5414" t="s">
        <v>103</v>
      </c>
      <c r="I5414" t="s">
        <v>216</v>
      </c>
    </row>
    <row r="5415" spans="1:9" x14ac:dyDescent="0.3">
      <c r="A5415" t="s">
        <v>28</v>
      </c>
      <c r="B5415" t="s">
        <v>211</v>
      </c>
      <c r="C5415">
        <v>84</v>
      </c>
      <c r="D5415" t="s">
        <v>630</v>
      </c>
      <c r="E5415" t="s">
        <v>1053</v>
      </c>
      <c r="F5415" t="s">
        <v>331</v>
      </c>
      <c r="G5415" t="s">
        <v>281</v>
      </c>
      <c r="H5415" t="s">
        <v>103</v>
      </c>
      <c r="I5415" t="s">
        <v>103</v>
      </c>
    </row>
    <row r="5416" spans="1:9" x14ac:dyDescent="0.3">
      <c r="A5416" t="s">
        <v>28</v>
      </c>
      <c r="B5416" t="s">
        <v>212</v>
      </c>
      <c r="C5416">
        <v>39</v>
      </c>
      <c r="D5416" t="s">
        <v>192</v>
      </c>
      <c r="E5416" t="s">
        <v>103</v>
      </c>
      <c r="F5416" t="s">
        <v>103</v>
      </c>
      <c r="G5416" t="s">
        <v>103</v>
      </c>
      <c r="H5416" t="s">
        <v>103</v>
      </c>
      <c r="I5416" t="s">
        <v>103</v>
      </c>
    </row>
    <row r="5417" spans="1:9" x14ac:dyDescent="0.3">
      <c r="A5417" t="s">
        <v>27</v>
      </c>
      <c r="B5417" t="s">
        <v>211</v>
      </c>
      <c r="C5417">
        <v>97</v>
      </c>
      <c r="D5417" t="s">
        <v>193</v>
      </c>
      <c r="E5417" t="s">
        <v>806</v>
      </c>
      <c r="F5417" t="s">
        <v>251</v>
      </c>
      <c r="G5417" t="s">
        <v>607</v>
      </c>
      <c r="H5417" t="s">
        <v>103</v>
      </c>
      <c r="I5417" t="s">
        <v>103</v>
      </c>
    </row>
    <row r="5418" spans="1:9" s="3" customFormat="1" x14ac:dyDescent="0.3">
      <c r="A5418" s="3" t="s">
        <v>27</v>
      </c>
      <c r="B5418" s="3" t="s">
        <v>212</v>
      </c>
      <c r="C5418" s="3">
        <v>1</v>
      </c>
      <c r="D5418" s="3" t="s">
        <v>192</v>
      </c>
      <c r="E5418" s="3" t="s">
        <v>103</v>
      </c>
      <c r="F5418" s="3" t="s">
        <v>103</v>
      </c>
      <c r="G5418" s="3" t="s">
        <v>103</v>
      </c>
      <c r="H5418" s="3" t="s">
        <v>103</v>
      </c>
      <c r="I5418" s="3" t="s">
        <v>103</v>
      </c>
    </row>
    <row r="5419" spans="1:9" x14ac:dyDescent="0.3">
      <c r="A5419" t="s">
        <v>41</v>
      </c>
      <c r="B5419" t="s">
        <v>211</v>
      </c>
      <c r="C5419">
        <v>636</v>
      </c>
      <c r="D5419" t="s">
        <v>755</v>
      </c>
      <c r="E5419" t="s">
        <v>1578</v>
      </c>
      <c r="F5419" t="s">
        <v>495</v>
      </c>
      <c r="G5419" t="s">
        <v>438</v>
      </c>
      <c r="H5419" t="s">
        <v>97</v>
      </c>
      <c r="I5419" t="s">
        <v>239</v>
      </c>
    </row>
    <row r="5420" spans="1:9" x14ac:dyDescent="0.3">
      <c r="A5420" t="s">
        <v>41</v>
      </c>
      <c r="B5420" t="s">
        <v>212</v>
      </c>
      <c r="C5420">
        <v>139</v>
      </c>
      <c r="D5420" t="s">
        <v>189</v>
      </c>
      <c r="E5420" t="s">
        <v>1196</v>
      </c>
      <c r="F5420" t="s">
        <v>549</v>
      </c>
      <c r="G5420" t="s">
        <v>110</v>
      </c>
      <c r="H5420" t="s">
        <v>201</v>
      </c>
      <c r="I5420" t="s">
        <v>103</v>
      </c>
    </row>
    <row r="5422" spans="1:9" x14ac:dyDescent="0.3">
      <c r="A5422" t="s">
        <v>2119</v>
      </c>
    </row>
    <row r="5423" spans="1:9" x14ac:dyDescent="0.3">
      <c r="A5423" t="s">
        <v>36</v>
      </c>
      <c r="B5423" t="s">
        <v>307</v>
      </c>
      <c r="C5423" t="s">
        <v>24</v>
      </c>
      <c r="D5423" t="s">
        <v>2113</v>
      </c>
      <c r="E5423" t="s">
        <v>2114</v>
      </c>
      <c r="F5423" t="s">
        <v>2115</v>
      </c>
      <c r="G5423" t="s">
        <v>2116</v>
      </c>
      <c r="H5423" t="s">
        <v>183</v>
      </c>
      <c r="I5423" t="s">
        <v>87</v>
      </c>
    </row>
    <row r="5424" spans="1:9" x14ac:dyDescent="0.3">
      <c r="A5424" t="s">
        <v>25</v>
      </c>
      <c r="B5424" t="s">
        <v>291</v>
      </c>
      <c r="C5424">
        <v>67</v>
      </c>
      <c r="D5424" t="s">
        <v>1462</v>
      </c>
      <c r="E5424" t="s">
        <v>793</v>
      </c>
      <c r="F5424" t="s">
        <v>132</v>
      </c>
      <c r="G5424" t="s">
        <v>266</v>
      </c>
      <c r="H5424" t="s">
        <v>64</v>
      </c>
      <c r="I5424" t="s">
        <v>105</v>
      </c>
    </row>
    <row r="5425" spans="1:9" x14ac:dyDescent="0.3">
      <c r="A5425" t="s">
        <v>25</v>
      </c>
      <c r="B5425" t="s">
        <v>292</v>
      </c>
      <c r="C5425">
        <v>80</v>
      </c>
      <c r="D5425" t="s">
        <v>979</v>
      </c>
      <c r="E5425" t="s">
        <v>795</v>
      </c>
      <c r="F5425" t="s">
        <v>520</v>
      </c>
      <c r="G5425" t="s">
        <v>239</v>
      </c>
      <c r="H5425" t="s">
        <v>103</v>
      </c>
      <c r="I5425" t="s">
        <v>216</v>
      </c>
    </row>
    <row r="5426" spans="1:9" x14ac:dyDescent="0.3">
      <c r="A5426" t="s">
        <v>25</v>
      </c>
      <c r="B5426" t="s">
        <v>308</v>
      </c>
      <c r="C5426">
        <v>2</v>
      </c>
      <c r="D5426" t="s">
        <v>192</v>
      </c>
      <c r="E5426" t="s">
        <v>192</v>
      </c>
      <c r="F5426" t="s">
        <v>103</v>
      </c>
      <c r="G5426" t="s">
        <v>103</v>
      </c>
      <c r="H5426" t="s">
        <v>103</v>
      </c>
      <c r="I5426" t="s">
        <v>103</v>
      </c>
    </row>
    <row r="5427" spans="1:9" x14ac:dyDescent="0.3">
      <c r="A5427" t="s">
        <v>26</v>
      </c>
      <c r="B5427" t="s">
        <v>291</v>
      </c>
      <c r="C5427">
        <v>49</v>
      </c>
      <c r="D5427" t="s">
        <v>711</v>
      </c>
      <c r="E5427" t="s">
        <v>1065</v>
      </c>
      <c r="F5427" t="s">
        <v>101</v>
      </c>
      <c r="G5427" t="s">
        <v>467</v>
      </c>
      <c r="H5427" t="s">
        <v>118</v>
      </c>
      <c r="I5427" t="s">
        <v>103</v>
      </c>
    </row>
    <row r="5428" spans="1:9" x14ac:dyDescent="0.3">
      <c r="A5428" t="s">
        <v>26</v>
      </c>
      <c r="B5428" t="s">
        <v>292</v>
      </c>
      <c r="C5428">
        <v>105</v>
      </c>
      <c r="D5428" t="s">
        <v>176</v>
      </c>
      <c r="E5428" t="s">
        <v>557</v>
      </c>
      <c r="F5428" t="s">
        <v>575</v>
      </c>
      <c r="G5428" t="s">
        <v>103</v>
      </c>
      <c r="H5428" t="s">
        <v>32</v>
      </c>
      <c r="I5428" t="s">
        <v>95</v>
      </c>
    </row>
    <row r="5429" spans="1:9" x14ac:dyDescent="0.3">
      <c r="A5429" t="s">
        <v>26</v>
      </c>
      <c r="B5429" t="s">
        <v>308</v>
      </c>
      <c r="C5429">
        <v>1</v>
      </c>
      <c r="D5429" t="s">
        <v>192</v>
      </c>
      <c r="E5429" t="s">
        <v>103</v>
      </c>
      <c r="F5429" t="s">
        <v>103</v>
      </c>
      <c r="G5429" t="s">
        <v>103</v>
      </c>
      <c r="H5429" t="s">
        <v>103</v>
      </c>
      <c r="I5429" t="s">
        <v>103</v>
      </c>
    </row>
    <row r="5430" spans="1:9" x14ac:dyDescent="0.3">
      <c r="A5430" t="s">
        <v>29</v>
      </c>
      <c r="B5430" t="s">
        <v>291</v>
      </c>
      <c r="C5430">
        <v>94</v>
      </c>
      <c r="D5430" t="s">
        <v>397</v>
      </c>
      <c r="E5430" t="s">
        <v>608</v>
      </c>
      <c r="F5430" t="s">
        <v>813</v>
      </c>
      <c r="G5430" t="s">
        <v>98</v>
      </c>
      <c r="H5430" t="s">
        <v>103</v>
      </c>
      <c r="I5430" t="s">
        <v>110</v>
      </c>
    </row>
    <row r="5431" spans="1:9" x14ac:dyDescent="0.3">
      <c r="A5431" t="s">
        <v>29</v>
      </c>
      <c r="B5431" t="s">
        <v>292</v>
      </c>
      <c r="C5431">
        <v>156</v>
      </c>
      <c r="D5431" t="s">
        <v>899</v>
      </c>
      <c r="E5431" t="s">
        <v>1025</v>
      </c>
      <c r="F5431" t="s">
        <v>518</v>
      </c>
      <c r="G5431" t="s">
        <v>232</v>
      </c>
      <c r="H5431" t="s">
        <v>103</v>
      </c>
      <c r="I5431" t="s">
        <v>245</v>
      </c>
    </row>
    <row r="5432" spans="1:9" x14ac:dyDescent="0.3">
      <c r="A5432" t="s">
        <v>28</v>
      </c>
      <c r="B5432" t="s">
        <v>291</v>
      </c>
      <c r="C5432">
        <v>43</v>
      </c>
      <c r="D5432" t="s">
        <v>1456</v>
      </c>
      <c r="E5432" t="s">
        <v>748</v>
      </c>
      <c r="F5432" t="s">
        <v>132</v>
      </c>
      <c r="G5432" t="s">
        <v>607</v>
      </c>
      <c r="H5432" t="s">
        <v>103</v>
      </c>
      <c r="I5432" t="s">
        <v>103</v>
      </c>
    </row>
    <row r="5433" spans="1:9" x14ac:dyDescent="0.3">
      <c r="A5433" t="s">
        <v>28</v>
      </c>
      <c r="B5433" t="s">
        <v>292</v>
      </c>
      <c r="C5433">
        <v>79</v>
      </c>
      <c r="D5433" t="s">
        <v>611</v>
      </c>
      <c r="E5433" t="s">
        <v>1038</v>
      </c>
      <c r="F5433" t="s">
        <v>224</v>
      </c>
      <c r="G5433" t="s">
        <v>245</v>
      </c>
      <c r="H5433" t="s">
        <v>103</v>
      </c>
      <c r="I5433" t="s">
        <v>103</v>
      </c>
    </row>
    <row r="5434" spans="1:9" x14ac:dyDescent="0.3">
      <c r="A5434" t="s">
        <v>28</v>
      </c>
      <c r="B5434" t="s">
        <v>308</v>
      </c>
      <c r="C5434">
        <v>1</v>
      </c>
      <c r="D5434" t="s">
        <v>192</v>
      </c>
      <c r="E5434" t="s">
        <v>103</v>
      </c>
      <c r="F5434" t="s">
        <v>103</v>
      </c>
      <c r="G5434" t="s">
        <v>103</v>
      </c>
      <c r="H5434" t="s">
        <v>103</v>
      </c>
      <c r="I5434" t="s">
        <v>103</v>
      </c>
    </row>
    <row r="5435" spans="1:9" x14ac:dyDescent="0.3">
      <c r="A5435" t="s">
        <v>27</v>
      </c>
      <c r="B5435" t="s">
        <v>291</v>
      </c>
      <c r="C5435">
        <v>41</v>
      </c>
      <c r="D5435" t="s">
        <v>165</v>
      </c>
      <c r="E5435" t="s">
        <v>878</v>
      </c>
      <c r="F5435" t="s">
        <v>60</v>
      </c>
      <c r="G5435" t="s">
        <v>281</v>
      </c>
      <c r="H5435" t="s">
        <v>103</v>
      </c>
      <c r="I5435" t="s">
        <v>103</v>
      </c>
    </row>
    <row r="5436" spans="1:9" x14ac:dyDescent="0.3">
      <c r="A5436" t="s">
        <v>27</v>
      </c>
      <c r="B5436" t="s">
        <v>292</v>
      </c>
      <c r="C5436">
        <v>54</v>
      </c>
      <c r="D5436" t="s">
        <v>1177</v>
      </c>
      <c r="E5436" t="s">
        <v>1001</v>
      </c>
      <c r="F5436" t="s">
        <v>33</v>
      </c>
      <c r="G5436" t="s">
        <v>140</v>
      </c>
      <c r="H5436" t="s">
        <v>103</v>
      </c>
      <c r="I5436" t="s">
        <v>103</v>
      </c>
    </row>
    <row r="5437" spans="1:9" x14ac:dyDescent="0.3">
      <c r="A5437" t="s">
        <v>27</v>
      </c>
      <c r="B5437" t="s">
        <v>308</v>
      </c>
      <c r="C5437">
        <v>3</v>
      </c>
      <c r="D5437" t="s">
        <v>192</v>
      </c>
      <c r="E5437" t="s">
        <v>192</v>
      </c>
      <c r="F5437" t="s">
        <v>382</v>
      </c>
      <c r="G5437" t="s">
        <v>382</v>
      </c>
      <c r="H5437" t="s">
        <v>103</v>
      </c>
      <c r="I5437" t="s">
        <v>103</v>
      </c>
    </row>
    <row r="5438" spans="1:9" x14ac:dyDescent="0.3">
      <c r="A5438" t="s">
        <v>41</v>
      </c>
      <c r="B5438" t="s">
        <v>291</v>
      </c>
      <c r="C5438">
        <v>294</v>
      </c>
      <c r="D5438" t="s">
        <v>1423</v>
      </c>
      <c r="E5438" t="s">
        <v>785</v>
      </c>
      <c r="F5438" t="s">
        <v>175</v>
      </c>
      <c r="G5438" t="s">
        <v>329</v>
      </c>
      <c r="H5438" t="s">
        <v>282</v>
      </c>
      <c r="I5438" t="s">
        <v>468</v>
      </c>
    </row>
    <row r="5439" spans="1:9" x14ac:dyDescent="0.3">
      <c r="A5439" t="s">
        <v>41</v>
      </c>
      <c r="B5439" t="s">
        <v>292</v>
      </c>
      <c r="C5439">
        <v>474</v>
      </c>
      <c r="D5439" t="s">
        <v>761</v>
      </c>
      <c r="E5439" t="s">
        <v>1402</v>
      </c>
      <c r="F5439" t="s">
        <v>162</v>
      </c>
      <c r="G5439" t="s">
        <v>493</v>
      </c>
      <c r="H5439" t="s">
        <v>345</v>
      </c>
      <c r="I5439" t="s">
        <v>194</v>
      </c>
    </row>
    <row r="5440" spans="1:9" x14ac:dyDescent="0.3">
      <c r="A5440" t="s">
        <v>41</v>
      </c>
      <c r="B5440" t="s">
        <v>308</v>
      </c>
      <c r="C5440">
        <v>7</v>
      </c>
      <c r="D5440" t="s">
        <v>192</v>
      </c>
      <c r="E5440" t="s">
        <v>835</v>
      </c>
      <c r="F5440" t="s">
        <v>254</v>
      </c>
      <c r="G5440" t="s">
        <v>254</v>
      </c>
      <c r="H5440" t="s">
        <v>103</v>
      </c>
      <c r="I5440" t="s">
        <v>103</v>
      </c>
    </row>
    <row r="5442" spans="1:7" x14ac:dyDescent="0.3">
      <c r="A5442" t="s">
        <v>2120</v>
      </c>
    </row>
    <row r="5443" spans="1:7" x14ac:dyDescent="0.3">
      <c r="A5443" t="s">
        <v>36</v>
      </c>
      <c r="B5443" t="s">
        <v>24</v>
      </c>
      <c r="C5443" t="s">
        <v>348</v>
      </c>
      <c r="D5443" t="s">
        <v>58</v>
      </c>
      <c r="E5443" t="s">
        <v>59</v>
      </c>
      <c r="F5443" t="s">
        <v>181</v>
      </c>
    </row>
    <row r="5444" spans="1:7" x14ac:dyDescent="0.3">
      <c r="A5444" t="s">
        <v>25</v>
      </c>
      <c r="B5444">
        <v>414</v>
      </c>
      <c r="C5444" t="s">
        <v>97</v>
      </c>
      <c r="D5444" t="s">
        <v>771</v>
      </c>
      <c r="E5444" t="s">
        <v>890</v>
      </c>
      <c r="F5444" t="s">
        <v>103</v>
      </c>
    </row>
    <row r="5445" spans="1:7" x14ac:dyDescent="0.3">
      <c r="A5445" t="s">
        <v>26</v>
      </c>
      <c r="B5445">
        <v>477</v>
      </c>
      <c r="C5445" t="s">
        <v>103</v>
      </c>
      <c r="D5445" t="s">
        <v>610</v>
      </c>
      <c r="E5445" t="s">
        <v>805</v>
      </c>
      <c r="F5445" t="s">
        <v>103</v>
      </c>
    </row>
    <row r="5446" spans="1:7" x14ac:dyDescent="0.3">
      <c r="A5446" t="s">
        <v>29</v>
      </c>
      <c r="B5446">
        <v>530</v>
      </c>
      <c r="C5446" t="s">
        <v>103</v>
      </c>
      <c r="D5446" t="s">
        <v>1173</v>
      </c>
      <c r="E5446" t="s">
        <v>493</v>
      </c>
      <c r="F5446" t="s">
        <v>97</v>
      </c>
    </row>
    <row r="5447" spans="1:7" x14ac:dyDescent="0.3">
      <c r="A5447" t="s">
        <v>28</v>
      </c>
      <c r="B5447">
        <v>317</v>
      </c>
      <c r="C5447" t="s">
        <v>103</v>
      </c>
      <c r="D5447" t="s">
        <v>168</v>
      </c>
      <c r="E5447" t="s">
        <v>167</v>
      </c>
      <c r="F5447" t="s">
        <v>103</v>
      </c>
    </row>
    <row r="5448" spans="1:7" x14ac:dyDescent="0.3">
      <c r="A5448" t="s">
        <v>27</v>
      </c>
      <c r="B5448">
        <v>300</v>
      </c>
      <c r="C5448" t="s">
        <v>116</v>
      </c>
      <c r="D5448" t="s">
        <v>989</v>
      </c>
      <c r="E5448" t="s">
        <v>671</v>
      </c>
      <c r="F5448" t="s">
        <v>103</v>
      </c>
    </row>
    <row r="5449" spans="1:7" x14ac:dyDescent="0.3">
      <c r="A5449" t="s">
        <v>41</v>
      </c>
      <c r="B5449">
        <v>2038</v>
      </c>
      <c r="C5449" t="s">
        <v>91</v>
      </c>
      <c r="D5449" t="s">
        <v>241</v>
      </c>
      <c r="E5449" t="s">
        <v>136</v>
      </c>
      <c r="F5449" t="s">
        <v>116</v>
      </c>
    </row>
    <row r="5451" spans="1:7" x14ac:dyDescent="0.3">
      <c r="A5451" t="s">
        <v>2121</v>
      </c>
    </row>
    <row r="5452" spans="1:7" x14ac:dyDescent="0.3">
      <c r="A5452" t="s">
        <v>36</v>
      </c>
      <c r="B5452" t="s">
        <v>310</v>
      </c>
      <c r="C5452" t="s">
        <v>24</v>
      </c>
      <c r="D5452" t="s">
        <v>58</v>
      </c>
      <c r="E5452" t="s">
        <v>59</v>
      </c>
      <c r="F5452" t="s">
        <v>348</v>
      </c>
      <c r="G5452" t="s">
        <v>181</v>
      </c>
    </row>
    <row r="5453" spans="1:7" x14ac:dyDescent="0.3">
      <c r="A5453" t="s">
        <v>25</v>
      </c>
      <c r="B5453" t="s">
        <v>311</v>
      </c>
      <c r="C5453">
        <v>324</v>
      </c>
      <c r="D5453" t="s">
        <v>828</v>
      </c>
      <c r="E5453" t="s">
        <v>649</v>
      </c>
      <c r="F5453" t="s">
        <v>103</v>
      </c>
      <c r="G5453" t="s">
        <v>103</v>
      </c>
    </row>
    <row r="5454" spans="1:7" x14ac:dyDescent="0.3">
      <c r="A5454" t="s">
        <v>25</v>
      </c>
      <c r="B5454" t="s">
        <v>312</v>
      </c>
      <c r="C5454">
        <v>80</v>
      </c>
      <c r="D5454" t="s">
        <v>1131</v>
      </c>
      <c r="E5454" t="s">
        <v>130</v>
      </c>
      <c r="F5454" t="s">
        <v>64</v>
      </c>
      <c r="G5454" t="s">
        <v>103</v>
      </c>
    </row>
    <row r="5455" spans="1:7" x14ac:dyDescent="0.3">
      <c r="A5455" t="s">
        <v>25</v>
      </c>
      <c r="B5455" t="s">
        <v>308</v>
      </c>
      <c r="C5455">
        <v>10</v>
      </c>
      <c r="D5455" t="s">
        <v>238</v>
      </c>
      <c r="E5455" t="s">
        <v>550</v>
      </c>
      <c r="F5455" t="s">
        <v>103</v>
      </c>
      <c r="G5455" t="s">
        <v>103</v>
      </c>
    </row>
    <row r="5456" spans="1:7" x14ac:dyDescent="0.3">
      <c r="A5456" t="s">
        <v>26</v>
      </c>
      <c r="B5456" t="s">
        <v>311</v>
      </c>
      <c r="C5456">
        <v>343</v>
      </c>
      <c r="D5456" t="s">
        <v>985</v>
      </c>
      <c r="E5456" t="s">
        <v>702</v>
      </c>
      <c r="F5456" t="s">
        <v>103</v>
      </c>
      <c r="G5456" t="s">
        <v>103</v>
      </c>
    </row>
    <row r="5457" spans="1:7" x14ac:dyDescent="0.3">
      <c r="A5457" t="s">
        <v>26</v>
      </c>
      <c r="B5457" t="s">
        <v>312</v>
      </c>
      <c r="C5457">
        <v>96</v>
      </c>
      <c r="D5457" t="s">
        <v>602</v>
      </c>
      <c r="E5457" t="s">
        <v>927</v>
      </c>
      <c r="F5457" t="s">
        <v>103</v>
      </c>
      <c r="G5457" t="s">
        <v>103</v>
      </c>
    </row>
    <row r="5458" spans="1:7" x14ac:dyDescent="0.3">
      <c r="A5458" t="s">
        <v>26</v>
      </c>
      <c r="B5458" t="s">
        <v>308</v>
      </c>
      <c r="C5458">
        <v>38</v>
      </c>
      <c r="D5458" t="s">
        <v>276</v>
      </c>
      <c r="E5458" t="s">
        <v>682</v>
      </c>
      <c r="F5458" t="s">
        <v>103</v>
      </c>
      <c r="G5458" t="s">
        <v>103</v>
      </c>
    </row>
    <row r="5459" spans="1:7" x14ac:dyDescent="0.3">
      <c r="A5459" t="s">
        <v>29</v>
      </c>
      <c r="B5459" t="s">
        <v>311</v>
      </c>
      <c r="C5459">
        <v>414</v>
      </c>
      <c r="D5459" t="s">
        <v>841</v>
      </c>
      <c r="E5459" t="s">
        <v>591</v>
      </c>
      <c r="F5459" t="s">
        <v>103</v>
      </c>
      <c r="G5459" t="s">
        <v>120</v>
      </c>
    </row>
    <row r="5460" spans="1:7" x14ac:dyDescent="0.3">
      <c r="A5460" t="s">
        <v>29</v>
      </c>
      <c r="B5460" t="s">
        <v>312</v>
      </c>
      <c r="C5460">
        <v>103</v>
      </c>
      <c r="D5460" t="s">
        <v>65</v>
      </c>
      <c r="E5460" t="s">
        <v>266</v>
      </c>
      <c r="F5460" t="s">
        <v>103</v>
      </c>
      <c r="G5460" t="s">
        <v>91</v>
      </c>
    </row>
    <row r="5461" spans="1:7" x14ac:dyDescent="0.3">
      <c r="A5461" t="s">
        <v>29</v>
      </c>
      <c r="B5461" t="s">
        <v>308</v>
      </c>
      <c r="C5461">
        <v>13</v>
      </c>
      <c r="D5461" t="s">
        <v>954</v>
      </c>
      <c r="E5461" t="s">
        <v>103</v>
      </c>
      <c r="F5461" t="s">
        <v>103</v>
      </c>
      <c r="G5461" t="s">
        <v>468</v>
      </c>
    </row>
    <row r="5462" spans="1:7" x14ac:dyDescent="0.3">
      <c r="A5462" t="s">
        <v>28</v>
      </c>
      <c r="B5462" t="s">
        <v>311</v>
      </c>
      <c r="C5462">
        <v>223</v>
      </c>
      <c r="D5462" t="s">
        <v>172</v>
      </c>
      <c r="E5462" t="s">
        <v>171</v>
      </c>
      <c r="F5462" t="s">
        <v>103</v>
      </c>
      <c r="G5462" t="s">
        <v>103</v>
      </c>
    </row>
    <row r="5463" spans="1:7" x14ac:dyDescent="0.3">
      <c r="A5463" t="s">
        <v>28</v>
      </c>
      <c r="B5463" t="s">
        <v>312</v>
      </c>
      <c r="C5463">
        <v>93</v>
      </c>
      <c r="D5463" t="s">
        <v>772</v>
      </c>
      <c r="E5463" t="s">
        <v>700</v>
      </c>
      <c r="F5463" t="s">
        <v>103</v>
      </c>
      <c r="G5463" t="s">
        <v>103</v>
      </c>
    </row>
    <row r="5464" spans="1:7" x14ac:dyDescent="0.3">
      <c r="A5464" t="s">
        <v>28</v>
      </c>
      <c r="B5464" t="s">
        <v>308</v>
      </c>
      <c r="C5464">
        <v>1</v>
      </c>
      <c r="D5464" t="s">
        <v>192</v>
      </c>
      <c r="E5464" t="s">
        <v>103</v>
      </c>
      <c r="F5464" t="s">
        <v>103</v>
      </c>
      <c r="G5464" t="s">
        <v>103</v>
      </c>
    </row>
    <row r="5465" spans="1:7" x14ac:dyDescent="0.3">
      <c r="A5465" t="s">
        <v>27</v>
      </c>
      <c r="B5465" t="s">
        <v>311</v>
      </c>
      <c r="C5465">
        <v>237</v>
      </c>
      <c r="D5465" t="s">
        <v>755</v>
      </c>
      <c r="E5465" t="s">
        <v>754</v>
      </c>
      <c r="F5465" t="s">
        <v>103</v>
      </c>
      <c r="G5465" t="s">
        <v>103</v>
      </c>
    </row>
    <row r="5466" spans="1:7" x14ac:dyDescent="0.3">
      <c r="A5466" t="s">
        <v>27</v>
      </c>
      <c r="B5466" t="s">
        <v>312</v>
      </c>
      <c r="C5466">
        <v>60</v>
      </c>
      <c r="D5466" t="s">
        <v>2033</v>
      </c>
      <c r="E5466" t="s">
        <v>234</v>
      </c>
      <c r="F5466" t="s">
        <v>208</v>
      </c>
      <c r="G5466" t="s">
        <v>103</v>
      </c>
    </row>
    <row r="5467" spans="1:7" x14ac:dyDescent="0.3">
      <c r="A5467" t="s">
        <v>27</v>
      </c>
      <c r="B5467" t="s">
        <v>308</v>
      </c>
      <c r="C5467">
        <v>3</v>
      </c>
      <c r="D5467" t="s">
        <v>943</v>
      </c>
      <c r="E5467" t="s">
        <v>527</v>
      </c>
      <c r="F5467" t="s">
        <v>103</v>
      </c>
      <c r="G5467" t="s">
        <v>103</v>
      </c>
    </row>
    <row r="5468" spans="1:7" x14ac:dyDescent="0.3">
      <c r="A5468" t="s">
        <v>41</v>
      </c>
      <c r="B5468" t="s">
        <v>311</v>
      </c>
      <c r="C5468">
        <v>1541</v>
      </c>
      <c r="D5468" t="s">
        <v>215</v>
      </c>
      <c r="E5468" t="s">
        <v>136</v>
      </c>
      <c r="F5468" t="s">
        <v>103</v>
      </c>
      <c r="G5468" t="s">
        <v>116</v>
      </c>
    </row>
    <row r="5469" spans="1:7" x14ac:dyDescent="0.3">
      <c r="A5469" t="s">
        <v>41</v>
      </c>
      <c r="B5469" t="s">
        <v>312</v>
      </c>
      <c r="C5469">
        <v>432</v>
      </c>
      <c r="D5469" t="s">
        <v>742</v>
      </c>
      <c r="E5469" t="s">
        <v>117</v>
      </c>
      <c r="F5469" t="s">
        <v>120</v>
      </c>
      <c r="G5469" t="s">
        <v>91</v>
      </c>
    </row>
    <row r="5470" spans="1:7" x14ac:dyDescent="0.3">
      <c r="A5470" t="s">
        <v>41</v>
      </c>
      <c r="B5470" t="s">
        <v>308</v>
      </c>
      <c r="C5470">
        <v>65</v>
      </c>
      <c r="D5470" t="s">
        <v>772</v>
      </c>
      <c r="E5470" t="s">
        <v>544</v>
      </c>
      <c r="F5470" t="s">
        <v>103</v>
      </c>
      <c r="G5470" t="s">
        <v>116</v>
      </c>
    </row>
    <row r="5472" spans="1:7" x14ac:dyDescent="0.3">
      <c r="A5472" t="s">
        <v>2122</v>
      </c>
    </row>
    <row r="5473" spans="1:7" x14ac:dyDescent="0.3">
      <c r="A5473" t="s">
        <v>36</v>
      </c>
      <c r="B5473" t="s">
        <v>197</v>
      </c>
      <c r="C5473" t="s">
        <v>24</v>
      </c>
      <c r="D5473" t="s">
        <v>58</v>
      </c>
      <c r="E5473" t="s">
        <v>59</v>
      </c>
      <c r="F5473" t="s">
        <v>348</v>
      </c>
      <c r="G5473" t="s">
        <v>181</v>
      </c>
    </row>
    <row r="5474" spans="1:7" x14ac:dyDescent="0.3">
      <c r="A5474" t="s">
        <v>25</v>
      </c>
      <c r="B5474" t="s">
        <v>198</v>
      </c>
      <c r="C5474">
        <v>104</v>
      </c>
      <c r="D5474" t="s">
        <v>276</v>
      </c>
      <c r="E5474" t="s">
        <v>682</v>
      </c>
      <c r="F5474" t="s">
        <v>103</v>
      </c>
      <c r="G5474" t="s">
        <v>103</v>
      </c>
    </row>
    <row r="5475" spans="1:7" x14ac:dyDescent="0.3">
      <c r="A5475" t="s">
        <v>25</v>
      </c>
      <c r="B5475" t="s">
        <v>199</v>
      </c>
      <c r="C5475">
        <v>310</v>
      </c>
      <c r="D5475" t="s">
        <v>863</v>
      </c>
      <c r="E5475" t="s">
        <v>601</v>
      </c>
      <c r="F5475" t="s">
        <v>120</v>
      </c>
      <c r="G5475" t="s">
        <v>103</v>
      </c>
    </row>
    <row r="5476" spans="1:7" x14ac:dyDescent="0.3">
      <c r="A5476" t="s">
        <v>26</v>
      </c>
      <c r="B5476" t="s">
        <v>198</v>
      </c>
      <c r="C5476">
        <v>41</v>
      </c>
      <c r="D5476" t="s">
        <v>151</v>
      </c>
      <c r="E5476" t="s">
        <v>150</v>
      </c>
      <c r="F5476" t="s">
        <v>103</v>
      </c>
      <c r="G5476" t="s">
        <v>103</v>
      </c>
    </row>
    <row r="5477" spans="1:7" x14ac:dyDescent="0.3">
      <c r="A5477" t="s">
        <v>26</v>
      </c>
      <c r="B5477" t="s">
        <v>199</v>
      </c>
      <c r="C5477">
        <v>436</v>
      </c>
      <c r="D5477" t="s">
        <v>1348</v>
      </c>
      <c r="E5477" t="s">
        <v>646</v>
      </c>
      <c r="F5477" t="s">
        <v>103</v>
      </c>
      <c r="G5477" t="s">
        <v>103</v>
      </c>
    </row>
    <row r="5478" spans="1:7" x14ac:dyDescent="0.3">
      <c r="A5478" t="s">
        <v>29</v>
      </c>
      <c r="B5478" t="s">
        <v>198</v>
      </c>
      <c r="C5478">
        <v>170</v>
      </c>
      <c r="D5478" t="s">
        <v>864</v>
      </c>
      <c r="E5478" t="s">
        <v>278</v>
      </c>
      <c r="F5478" t="s">
        <v>103</v>
      </c>
      <c r="G5478" t="s">
        <v>95</v>
      </c>
    </row>
    <row r="5479" spans="1:7" x14ac:dyDescent="0.3">
      <c r="A5479" t="s">
        <v>29</v>
      </c>
      <c r="B5479" t="s">
        <v>199</v>
      </c>
      <c r="C5479">
        <v>360</v>
      </c>
      <c r="D5479" t="s">
        <v>867</v>
      </c>
      <c r="E5479" t="s">
        <v>195</v>
      </c>
      <c r="F5479" t="s">
        <v>103</v>
      </c>
      <c r="G5479" t="s">
        <v>97</v>
      </c>
    </row>
    <row r="5480" spans="1:7" x14ac:dyDescent="0.3">
      <c r="A5480" t="s">
        <v>28</v>
      </c>
      <c r="B5480" t="s">
        <v>198</v>
      </c>
      <c r="C5480">
        <v>70</v>
      </c>
      <c r="D5480" t="s">
        <v>752</v>
      </c>
      <c r="E5480" t="s">
        <v>558</v>
      </c>
      <c r="F5480" t="s">
        <v>103</v>
      </c>
      <c r="G5480" t="s">
        <v>103</v>
      </c>
    </row>
    <row r="5481" spans="1:7" x14ac:dyDescent="0.3">
      <c r="A5481" t="s">
        <v>28</v>
      </c>
      <c r="B5481" t="s">
        <v>199</v>
      </c>
      <c r="C5481">
        <v>247</v>
      </c>
      <c r="D5481" t="s">
        <v>161</v>
      </c>
      <c r="E5481" t="s">
        <v>160</v>
      </c>
      <c r="F5481" t="s">
        <v>103</v>
      </c>
      <c r="G5481" t="s">
        <v>103</v>
      </c>
    </row>
    <row r="5482" spans="1:7" x14ac:dyDescent="0.3">
      <c r="A5482" t="s">
        <v>27</v>
      </c>
      <c r="B5482" t="s">
        <v>198</v>
      </c>
      <c r="C5482">
        <v>136</v>
      </c>
      <c r="D5482" t="s">
        <v>294</v>
      </c>
      <c r="E5482" t="s">
        <v>393</v>
      </c>
      <c r="F5482" t="s">
        <v>95</v>
      </c>
      <c r="G5482" t="s">
        <v>103</v>
      </c>
    </row>
    <row r="5483" spans="1:7" x14ac:dyDescent="0.3">
      <c r="A5483" t="s">
        <v>27</v>
      </c>
      <c r="B5483" t="s">
        <v>199</v>
      </c>
      <c r="C5483">
        <v>164</v>
      </c>
      <c r="D5483" t="s">
        <v>246</v>
      </c>
      <c r="E5483" t="s">
        <v>544</v>
      </c>
      <c r="F5483" t="s">
        <v>103</v>
      </c>
      <c r="G5483" t="s">
        <v>103</v>
      </c>
    </row>
    <row r="5484" spans="1:7" x14ac:dyDescent="0.3">
      <c r="A5484" t="s">
        <v>41</v>
      </c>
      <c r="B5484" t="s">
        <v>198</v>
      </c>
      <c r="C5484">
        <v>521</v>
      </c>
      <c r="D5484" t="s">
        <v>215</v>
      </c>
      <c r="E5484" t="s">
        <v>117</v>
      </c>
      <c r="F5484" t="s">
        <v>91</v>
      </c>
      <c r="G5484" t="s">
        <v>122</v>
      </c>
    </row>
    <row r="5485" spans="1:7" x14ac:dyDescent="0.3">
      <c r="A5485" t="s">
        <v>41</v>
      </c>
      <c r="B5485" t="s">
        <v>199</v>
      </c>
      <c r="C5485">
        <v>1517</v>
      </c>
      <c r="D5485" t="s">
        <v>241</v>
      </c>
      <c r="E5485" t="s">
        <v>517</v>
      </c>
      <c r="F5485" t="s">
        <v>91</v>
      </c>
      <c r="G5485" t="s">
        <v>66</v>
      </c>
    </row>
    <row r="5487" spans="1:7" x14ac:dyDescent="0.3">
      <c r="A5487" t="s">
        <v>2123</v>
      </c>
    </row>
    <row r="5488" spans="1:7" x14ac:dyDescent="0.3">
      <c r="A5488" t="s">
        <v>36</v>
      </c>
      <c r="B5488" t="s">
        <v>1233</v>
      </c>
      <c r="C5488" t="s">
        <v>24</v>
      </c>
      <c r="D5488" t="s">
        <v>348</v>
      </c>
      <c r="E5488" t="s">
        <v>58</v>
      </c>
      <c r="F5488" t="s">
        <v>59</v>
      </c>
      <c r="G5488" t="s">
        <v>181</v>
      </c>
    </row>
    <row r="5489" spans="1:7" x14ac:dyDescent="0.3">
      <c r="A5489" t="s">
        <v>25</v>
      </c>
      <c r="B5489" t="s">
        <v>1234</v>
      </c>
      <c r="C5489">
        <v>257</v>
      </c>
      <c r="D5489" t="s">
        <v>97</v>
      </c>
      <c r="E5489" t="s">
        <v>149</v>
      </c>
      <c r="F5489" t="s">
        <v>271</v>
      </c>
      <c r="G5489" t="s">
        <v>103</v>
      </c>
    </row>
    <row r="5490" spans="1:7" s="3" customFormat="1" x14ac:dyDescent="0.3">
      <c r="A5490" s="3" t="s">
        <v>25</v>
      </c>
      <c r="B5490" s="3" t="s">
        <v>1235</v>
      </c>
      <c r="C5490" s="3">
        <v>25</v>
      </c>
      <c r="D5490" s="3" t="s">
        <v>103</v>
      </c>
      <c r="E5490" s="3" t="s">
        <v>769</v>
      </c>
      <c r="F5490" s="3" t="s">
        <v>478</v>
      </c>
      <c r="G5490" s="3" t="s">
        <v>103</v>
      </c>
    </row>
    <row r="5491" spans="1:7" x14ac:dyDescent="0.3">
      <c r="A5491" t="s">
        <v>25</v>
      </c>
      <c r="B5491" t="s">
        <v>1237</v>
      </c>
      <c r="C5491">
        <v>132</v>
      </c>
      <c r="D5491" t="s">
        <v>95</v>
      </c>
      <c r="E5491" t="s">
        <v>841</v>
      </c>
      <c r="F5491" t="s">
        <v>114</v>
      </c>
      <c r="G5491" t="s">
        <v>103</v>
      </c>
    </row>
    <row r="5492" spans="1:7" x14ac:dyDescent="0.3">
      <c r="A5492" t="s">
        <v>26</v>
      </c>
      <c r="B5492" t="s">
        <v>1234</v>
      </c>
      <c r="C5492">
        <v>296</v>
      </c>
      <c r="D5492" t="s">
        <v>103</v>
      </c>
      <c r="E5492" t="s">
        <v>1136</v>
      </c>
      <c r="F5492" t="s">
        <v>684</v>
      </c>
      <c r="G5492" t="s">
        <v>103</v>
      </c>
    </row>
    <row r="5493" spans="1:7" x14ac:dyDescent="0.3">
      <c r="A5493" t="s">
        <v>26</v>
      </c>
      <c r="B5493" t="s">
        <v>1235</v>
      </c>
      <c r="C5493">
        <v>37</v>
      </c>
      <c r="D5493" t="s">
        <v>103</v>
      </c>
      <c r="E5493" t="s">
        <v>886</v>
      </c>
      <c r="F5493" t="s">
        <v>506</v>
      </c>
      <c r="G5493" t="s">
        <v>103</v>
      </c>
    </row>
    <row r="5494" spans="1:7" x14ac:dyDescent="0.3">
      <c r="A5494" t="s">
        <v>26</v>
      </c>
      <c r="B5494" t="s">
        <v>1237</v>
      </c>
      <c r="C5494">
        <v>144</v>
      </c>
      <c r="D5494" t="s">
        <v>103</v>
      </c>
      <c r="E5494" t="s">
        <v>600</v>
      </c>
      <c r="F5494" t="s">
        <v>524</v>
      </c>
      <c r="G5494" t="s">
        <v>103</v>
      </c>
    </row>
    <row r="5495" spans="1:7" x14ac:dyDescent="0.3">
      <c r="A5495" t="s">
        <v>29</v>
      </c>
      <c r="B5495" t="s">
        <v>1234</v>
      </c>
      <c r="C5495">
        <v>372</v>
      </c>
      <c r="D5495" t="s">
        <v>103</v>
      </c>
      <c r="E5495" t="s">
        <v>200</v>
      </c>
      <c r="F5495" t="s">
        <v>114</v>
      </c>
      <c r="G5495" t="s">
        <v>97</v>
      </c>
    </row>
    <row r="5496" spans="1:7" x14ac:dyDescent="0.3">
      <c r="A5496" t="s">
        <v>29</v>
      </c>
      <c r="B5496" t="s">
        <v>1235</v>
      </c>
      <c r="C5496">
        <v>38</v>
      </c>
      <c r="D5496" t="s">
        <v>103</v>
      </c>
      <c r="E5496" t="s">
        <v>203</v>
      </c>
      <c r="F5496" t="s">
        <v>214</v>
      </c>
      <c r="G5496" t="s">
        <v>270</v>
      </c>
    </row>
    <row r="5497" spans="1:7" x14ac:dyDescent="0.3">
      <c r="A5497" t="s">
        <v>29</v>
      </c>
      <c r="B5497" t="s">
        <v>1237</v>
      </c>
      <c r="C5497">
        <v>120</v>
      </c>
      <c r="D5497" t="s">
        <v>103</v>
      </c>
      <c r="E5497" t="s">
        <v>768</v>
      </c>
      <c r="F5497" t="s">
        <v>217</v>
      </c>
      <c r="G5497" t="s">
        <v>103</v>
      </c>
    </row>
    <row r="5498" spans="1:7" x14ac:dyDescent="0.3">
      <c r="A5498" t="s">
        <v>28</v>
      </c>
      <c r="B5498" t="s">
        <v>1234</v>
      </c>
      <c r="C5498">
        <v>126</v>
      </c>
      <c r="D5498" t="s">
        <v>103</v>
      </c>
      <c r="E5498" t="s">
        <v>145</v>
      </c>
      <c r="F5498" t="s">
        <v>144</v>
      </c>
      <c r="G5498" t="s">
        <v>103</v>
      </c>
    </row>
    <row r="5499" spans="1:7" s="3" customFormat="1" x14ac:dyDescent="0.3">
      <c r="A5499" s="3" t="s">
        <v>28</v>
      </c>
      <c r="B5499" s="3" t="s">
        <v>1235</v>
      </c>
      <c r="C5499" s="3">
        <v>17</v>
      </c>
      <c r="D5499" s="3" t="s">
        <v>103</v>
      </c>
      <c r="E5499" s="3" t="s">
        <v>614</v>
      </c>
      <c r="F5499" s="3" t="s">
        <v>269</v>
      </c>
      <c r="G5499" s="3" t="s">
        <v>103</v>
      </c>
    </row>
    <row r="5500" spans="1:7" x14ac:dyDescent="0.3">
      <c r="A5500" t="s">
        <v>28</v>
      </c>
      <c r="B5500" t="s">
        <v>1237</v>
      </c>
      <c r="C5500">
        <v>174</v>
      </c>
      <c r="D5500" t="s">
        <v>103</v>
      </c>
      <c r="E5500" t="s">
        <v>984</v>
      </c>
      <c r="F5500" t="s">
        <v>131</v>
      </c>
      <c r="G5500" t="s">
        <v>103</v>
      </c>
    </row>
    <row r="5501" spans="1:7" x14ac:dyDescent="0.3">
      <c r="A5501" t="s">
        <v>27</v>
      </c>
      <c r="B5501" t="s">
        <v>1234</v>
      </c>
      <c r="C5501">
        <v>149</v>
      </c>
      <c r="D5501" t="s">
        <v>103</v>
      </c>
      <c r="E5501" t="s">
        <v>2108</v>
      </c>
      <c r="F5501" t="s">
        <v>484</v>
      </c>
      <c r="G5501" t="s">
        <v>103</v>
      </c>
    </row>
    <row r="5502" spans="1:7" s="3" customFormat="1" x14ac:dyDescent="0.3">
      <c r="A5502" s="3" t="s">
        <v>27</v>
      </c>
      <c r="B5502" s="3" t="s">
        <v>1235</v>
      </c>
      <c r="C5502" s="3">
        <v>10</v>
      </c>
      <c r="D5502" s="3" t="s">
        <v>103</v>
      </c>
      <c r="E5502" s="3" t="s">
        <v>249</v>
      </c>
      <c r="F5502" s="3" t="s">
        <v>361</v>
      </c>
      <c r="G5502" s="3" t="s">
        <v>103</v>
      </c>
    </row>
    <row r="5503" spans="1:7" x14ac:dyDescent="0.3">
      <c r="A5503" t="s">
        <v>27</v>
      </c>
      <c r="B5503" t="s">
        <v>1237</v>
      </c>
      <c r="C5503">
        <v>141</v>
      </c>
      <c r="D5503" t="s">
        <v>139</v>
      </c>
      <c r="E5503" t="s">
        <v>724</v>
      </c>
      <c r="F5503" t="s">
        <v>706</v>
      </c>
      <c r="G5503" t="s">
        <v>103</v>
      </c>
    </row>
    <row r="5504" spans="1:7" x14ac:dyDescent="0.3">
      <c r="A5504" t="s">
        <v>41</v>
      </c>
      <c r="B5504" t="s">
        <v>1234</v>
      </c>
      <c r="C5504">
        <v>1200</v>
      </c>
      <c r="D5504" t="s">
        <v>91</v>
      </c>
      <c r="E5504" t="s">
        <v>613</v>
      </c>
      <c r="F5504" t="s">
        <v>536</v>
      </c>
      <c r="G5504" t="s">
        <v>66</v>
      </c>
    </row>
    <row r="5505" spans="1:7" x14ac:dyDescent="0.3">
      <c r="A5505" t="s">
        <v>41</v>
      </c>
      <c r="B5505" t="s">
        <v>1235</v>
      </c>
      <c r="C5505">
        <v>127</v>
      </c>
      <c r="D5505" t="s">
        <v>103</v>
      </c>
      <c r="E5505" t="s">
        <v>721</v>
      </c>
      <c r="F5505" t="s">
        <v>171</v>
      </c>
      <c r="G5505" t="s">
        <v>110</v>
      </c>
    </row>
    <row r="5506" spans="1:7" x14ac:dyDescent="0.3">
      <c r="A5506" t="s">
        <v>41</v>
      </c>
      <c r="B5506" t="s">
        <v>1237</v>
      </c>
      <c r="C5506">
        <v>711</v>
      </c>
      <c r="D5506" t="s">
        <v>66</v>
      </c>
      <c r="E5506" t="s">
        <v>1307</v>
      </c>
      <c r="F5506" t="s">
        <v>571</v>
      </c>
      <c r="G5506" t="s">
        <v>103</v>
      </c>
    </row>
    <row r="5508" spans="1:7" x14ac:dyDescent="0.3">
      <c r="A5508" t="s">
        <v>2124</v>
      </c>
    </row>
    <row r="5509" spans="1:7" x14ac:dyDescent="0.3">
      <c r="A5509" t="s">
        <v>36</v>
      </c>
      <c r="B5509" t="s">
        <v>210</v>
      </c>
      <c r="C5509" t="s">
        <v>24</v>
      </c>
      <c r="D5509" t="s">
        <v>348</v>
      </c>
      <c r="E5509" t="s">
        <v>58</v>
      </c>
      <c r="F5509" t="s">
        <v>59</v>
      </c>
      <c r="G5509" t="s">
        <v>181</v>
      </c>
    </row>
    <row r="5510" spans="1:7" x14ac:dyDescent="0.3">
      <c r="A5510" t="s">
        <v>25</v>
      </c>
      <c r="B5510" t="s">
        <v>211</v>
      </c>
      <c r="C5510">
        <v>414</v>
      </c>
      <c r="D5510" t="s">
        <v>97</v>
      </c>
      <c r="E5510" t="s">
        <v>771</v>
      </c>
      <c r="F5510" t="s">
        <v>890</v>
      </c>
      <c r="G5510" t="s">
        <v>103</v>
      </c>
    </row>
    <row r="5511" spans="1:7" x14ac:dyDescent="0.3">
      <c r="A5511" t="s">
        <v>26</v>
      </c>
      <c r="B5511" t="s">
        <v>211</v>
      </c>
      <c r="C5511">
        <v>223</v>
      </c>
      <c r="D5511" t="s">
        <v>103</v>
      </c>
      <c r="E5511" t="s">
        <v>147</v>
      </c>
      <c r="F5511" t="s">
        <v>146</v>
      </c>
      <c r="G5511" t="s">
        <v>103</v>
      </c>
    </row>
    <row r="5512" spans="1:7" x14ac:dyDescent="0.3">
      <c r="A5512" t="s">
        <v>26</v>
      </c>
      <c r="B5512" t="s">
        <v>212</v>
      </c>
      <c r="C5512">
        <v>254</v>
      </c>
      <c r="D5512" t="s">
        <v>103</v>
      </c>
      <c r="E5512" t="s">
        <v>1180</v>
      </c>
      <c r="F5512" t="s">
        <v>529</v>
      </c>
      <c r="G5512" t="s">
        <v>103</v>
      </c>
    </row>
    <row r="5513" spans="1:7" x14ac:dyDescent="0.3">
      <c r="A5513" t="s">
        <v>29</v>
      </c>
      <c r="B5513" t="s">
        <v>211</v>
      </c>
      <c r="C5513">
        <v>530</v>
      </c>
      <c r="D5513" t="s">
        <v>103</v>
      </c>
      <c r="E5513" t="s">
        <v>1173</v>
      </c>
      <c r="F5513" t="s">
        <v>493</v>
      </c>
      <c r="G5513" t="s">
        <v>97</v>
      </c>
    </row>
    <row r="5514" spans="1:7" x14ac:dyDescent="0.3">
      <c r="A5514" t="s">
        <v>28</v>
      </c>
      <c r="B5514" t="s">
        <v>211</v>
      </c>
      <c r="C5514">
        <v>277</v>
      </c>
      <c r="D5514" t="s">
        <v>103</v>
      </c>
      <c r="E5514" t="s">
        <v>1019</v>
      </c>
      <c r="F5514" t="s">
        <v>813</v>
      </c>
      <c r="G5514" t="s">
        <v>103</v>
      </c>
    </row>
    <row r="5515" spans="1:7" x14ac:dyDescent="0.3">
      <c r="A5515" t="s">
        <v>28</v>
      </c>
      <c r="B5515" t="s">
        <v>212</v>
      </c>
      <c r="C5515">
        <v>40</v>
      </c>
      <c r="D5515" t="s">
        <v>103</v>
      </c>
      <c r="E5515" t="s">
        <v>725</v>
      </c>
      <c r="F5515" t="s">
        <v>469</v>
      </c>
      <c r="G5515" t="s">
        <v>103</v>
      </c>
    </row>
    <row r="5516" spans="1:7" x14ac:dyDescent="0.3">
      <c r="A5516" t="s">
        <v>27</v>
      </c>
      <c r="B5516" t="s">
        <v>211</v>
      </c>
      <c r="C5516">
        <v>270</v>
      </c>
      <c r="D5516" t="s">
        <v>122</v>
      </c>
      <c r="E5516" t="s">
        <v>747</v>
      </c>
      <c r="F5516" t="s">
        <v>520</v>
      </c>
      <c r="G5516" t="s">
        <v>103</v>
      </c>
    </row>
    <row r="5517" spans="1:7" s="3" customFormat="1" x14ac:dyDescent="0.3">
      <c r="A5517" s="3" t="s">
        <v>27</v>
      </c>
      <c r="B5517" s="3" t="s">
        <v>212</v>
      </c>
      <c r="C5517" s="3">
        <v>30</v>
      </c>
      <c r="D5517" s="3" t="s">
        <v>103</v>
      </c>
      <c r="E5517" s="3" t="s">
        <v>51</v>
      </c>
      <c r="F5517" s="3" t="s">
        <v>52</v>
      </c>
      <c r="G5517" s="3" t="s">
        <v>103</v>
      </c>
    </row>
    <row r="5518" spans="1:7" x14ac:dyDescent="0.3">
      <c r="A5518" t="s">
        <v>41</v>
      </c>
      <c r="B5518" t="s">
        <v>211</v>
      </c>
      <c r="C5518">
        <v>1714</v>
      </c>
      <c r="D5518" t="s">
        <v>91</v>
      </c>
      <c r="E5518" t="s">
        <v>710</v>
      </c>
      <c r="F5518" t="s">
        <v>127</v>
      </c>
      <c r="G5518" t="s">
        <v>116</v>
      </c>
    </row>
    <row r="5519" spans="1:7" x14ac:dyDescent="0.3">
      <c r="A5519" t="s">
        <v>41</v>
      </c>
      <c r="B5519" t="s">
        <v>212</v>
      </c>
      <c r="C5519">
        <v>324</v>
      </c>
      <c r="D5519" t="s">
        <v>103</v>
      </c>
      <c r="E5519" t="s">
        <v>857</v>
      </c>
      <c r="F5519" t="s">
        <v>858</v>
      </c>
      <c r="G5519" t="s">
        <v>103</v>
      </c>
    </row>
    <row r="5521" spans="1:7" x14ac:dyDescent="0.3">
      <c r="A5521" t="s">
        <v>2125</v>
      </c>
    </row>
    <row r="5522" spans="1:7" x14ac:dyDescent="0.3">
      <c r="A5522" t="s">
        <v>36</v>
      </c>
      <c r="B5522" t="s">
        <v>307</v>
      </c>
      <c r="C5522" t="s">
        <v>24</v>
      </c>
      <c r="D5522" t="s">
        <v>348</v>
      </c>
      <c r="E5522" t="s">
        <v>58</v>
      </c>
      <c r="F5522" t="s">
        <v>59</v>
      </c>
      <c r="G5522" t="s">
        <v>181</v>
      </c>
    </row>
    <row r="5523" spans="1:7" x14ac:dyDescent="0.3">
      <c r="A5523" t="s">
        <v>25</v>
      </c>
      <c r="B5523" t="s">
        <v>291</v>
      </c>
      <c r="C5523">
        <v>156</v>
      </c>
      <c r="D5523" t="s">
        <v>194</v>
      </c>
      <c r="E5523" t="s">
        <v>153</v>
      </c>
      <c r="F5523" t="s">
        <v>104</v>
      </c>
      <c r="G5523" t="s">
        <v>103</v>
      </c>
    </row>
    <row r="5524" spans="1:7" x14ac:dyDescent="0.3">
      <c r="A5524" t="s">
        <v>25</v>
      </c>
      <c r="B5524" t="s">
        <v>292</v>
      </c>
      <c r="C5524">
        <v>254</v>
      </c>
      <c r="D5524" t="s">
        <v>103</v>
      </c>
      <c r="E5524" t="s">
        <v>147</v>
      </c>
      <c r="F5524" t="s">
        <v>146</v>
      </c>
      <c r="G5524" t="s">
        <v>103</v>
      </c>
    </row>
    <row r="5525" spans="1:7" x14ac:dyDescent="0.3">
      <c r="A5525" t="s">
        <v>25</v>
      </c>
      <c r="B5525" t="s">
        <v>308</v>
      </c>
      <c r="C5525">
        <v>4</v>
      </c>
      <c r="D5525" t="s">
        <v>103</v>
      </c>
      <c r="E5525" t="s">
        <v>192</v>
      </c>
      <c r="F5525" t="s">
        <v>103</v>
      </c>
      <c r="G5525" t="s">
        <v>103</v>
      </c>
    </row>
    <row r="5526" spans="1:7" x14ac:dyDescent="0.3">
      <c r="A5526" t="s">
        <v>26</v>
      </c>
      <c r="B5526" t="s">
        <v>291</v>
      </c>
      <c r="C5526">
        <v>122</v>
      </c>
      <c r="D5526" t="s">
        <v>103</v>
      </c>
      <c r="E5526" t="s">
        <v>235</v>
      </c>
      <c r="F5526" t="s">
        <v>1200</v>
      </c>
      <c r="G5526" t="s">
        <v>103</v>
      </c>
    </row>
    <row r="5527" spans="1:7" x14ac:dyDescent="0.3">
      <c r="A5527" t="s">
        <v>26</v>
      </c>
      <c r="B5527" t="s">
        <v>292</v>
      </c>
      <c r="C5527">
        <v>352</v>
      </c>
      <c r="D5527" t="s">
        <v>103</v>
      </c>
      <c r="E5527" t="s">
        <v>758</v>
      </c>
      <c r="F5527" t="s">
        <v>228</v>
      </c>
      <c r="G5527" t="s">
        <v>103</v>
      </c>
    </row>
    <row r="5528" spans="1:7" x14ac:dyDescent="0.3">
      <c r="A5528" t="s">
        <v>26</v>
      </c>
      <c r="B5528" t="s">
        <v>308</v>
      </c>
      <c r="C5528">
        <v>3</v>
      </c>
      <c r="D5528" t="s">
        <v>103</v>
      </c>
      <c r="E5528" t="s">
        <v>1009</v>
      </c>
      <c r="F5528" t="s">
        <v>1202</v>
      </c>
      <c r="G5528" t="s">
        <v>103</v>
      </c>
    </row>
    <row r="5529" spans="1:7" x14ac:dyDescent="0.3">
      <c r="A5529" t="s">
        <v>29</v>
      </c>
      <c r="B5529" t="s">
        <v>291</v>
      </c>
      <c r="C5529">
        <v>205</v>
      </c>
      <c r="D5529" t="s">
        <v>103</v>
      </c>
      <c r="E5529" t="s">
        <v>880</v>
      </c>
      <c r="F5529" t="s">
        <v>128</v>
      </c>
      <c r="G5529" t="s">
        <v>91</v>
      </c>
    </row>
    <row r="5530" spans="1:7" x14ac:dyDescent="0.3">
      <c r="A5530" t="s">
        <v>29</v>
      </c>
      <c r="B5530" t="s">
        <v>292</v>
      </c>
      <c r="C5530">
        <v>325</v>
      </c>
      <c r="D5530" t="s">
        <v>103</v>
      </c>
      <c r="E5530" t="s">
        <v>71</v>
      </c>
      <c r="F5530" t="s">
        <v>532</v>
      </c>
      <c r="G5530" t="s">
        <v>139</v>
      </c>
    </row>
    <row r="5531" spans="1:7" x14ac:dyDescent="0.3">
      <c r="A5531" t="s">
        <v>28</v>
      </c>
      <c r="B5531" t="s">
        <v>291</v>
      </c>
      <c r="C5531">
        <v>114</v>
      </c>
      <c r="D5531" t="s">
        <v>103</v>
      </c>
      <c r="E5531" t="s">
        <v>276</v>
      </c>
      <c r="F5531" t="s">
        <v>682</v>
      </c>
      <c r="G5531" t="s">
        <v>103</v>
      </c>
    </row>
    <row r="5532" spans="1:7" x14ac:dyDescent="0.3">
      <c r="A5532" t="s">
        <v>28</v>
      </c>
      <c r="B5532" t="s">
        <v>292</v>
      </c>
      <c r="C5532">
        <v>191</v>
      </c>
      <c r="D5532" t="s">
        <v>103</v>
      </c>
      <c r="E5532" t="s">
        <v>783</v>
      </c>
      <c r="F5532" t="s">
        <v>481</v>
      </c>
      <c r="G5532" t="s">
        <v>103</v>
      </c>
    </row>
    <row r="5533" spans="1:7" x14ac:dyDescent="0.3">
      <c r="A5533" t="s">
        <v>28</v>
      </c>
      <c r="B5533" t="s">
        <v>308</v>
      </c>
      <c r="C5533">
        <v>12</v>
      </c>
      <c r="D5533" t="s">
        <v>103</v>
      </c>
      <c r="E5533" t="s">
        <v>625</v>
      </c>
      <c r="F5533" t="s">
        <v>575</v>
      </c>
      <c r="G5533" t="s">
        <v>103</v>
      </c>
    </row>
    <row r="5534" spans="1:7" x14ac:dyDescent="0.3">
      <c r="A5534" t="s">
        <v>27</v>
      </c>
      <c r="B5534" t="s">
        <v>291</v>
      </c>
      <c r="C5534">
        <v>95</v>
      </c>
      <c r="D5534" t="s">
        <v>103</v>
      </c>
      <c r="E5534" t="s">
        <v>1325</v>
      </c>
      <c r="F5534" t="s">
        <v>1226</v>
      </c>
      <c r="G5534" t="s">
        <v>103</v>
      </c>
    </row>
    <row r="5535" spans="1:7" x14ac:dyDescent="0.3">
      <c r="A5535" t="s">
        <v>27</v>
      </c>
      <c r="B5535" t="s">
        <v>292</v>
      </c>
      <c r="C5535">
        <v>198</v>
      </c>
      <c r="D5535" t="s">
        <v>97</v>
      </c>
      <c r="E5535" t="s">
        <v>1016</v>
      </c>
      <c r="F5535" t="s">
        <v>975</v>
      </c>
      <c r="G5535" t="s">
        <v>103</v>
      </c>
    </row>
    <row r="5536" spans="1:7" x14ac:dyDescent="0.3">
      <c r="A5536" t="s">
        <v>27</v>
      </c>
      <c r="B5536" t="s">
        <v>308</v>
      </c>
      <c r="C5536">
        <v>7</v>
      </c>
      <c r="D5536" t="s">
        <v>103</v>
      </c>
      <c r="E5536" t="s">
        <v>811</v>
      </c>
      <c r="F5536" t="s">
        <v>504</v>
      </c>
      <c r="G5536" t="s">
        <v>103</v>
      </c>
    </row>
    <row r="5537" spans="1:9" x14ac:dyDescent="0.3">
      <c r="A5537" t="s">
        <v>41</v>
      </c>
      <c r="B5537" t="s">
        <v>291</v>
      </c>
      <c r="C5537">
        <v>692</v>
      </c>
      <c r="D5537" t="s">
        <v>116</v>
      </c>
      <c r="E5537" t="s">
        <v>246</v>
      </c>
      <c r="F5537" t="s">
        <v>536</v>
      </c>
      <c r="G5537" t="s">
        <v>91</v>
      </c>
    </row>
    <row r="5538" spans="1:9" x14ac:dyDescent="0.3">
      <c r="A5538" t="s">
        <v>41</v>
      </c>
      <c r="B5538" t="s">
        <v>292</v>
      </c>
      <c r="C5538">
        <v>1320</v>
      </c>
      <c r="D5538" t="s">
        <v>103</v>
      </c>
      <c r="E5538" t="s">
        <v>616</v>
      </c>
      <c r="F5538" t="s">
        <v>269</v>
      </c>
      <c r="G5538" t="s">
        <v>122</v>
      </c>
    </row>
    <row r="5539" spans="1:9" x14ac:dyDescent="0.3">
      <c r="A5539" t="s">
        <v>41</v>
      </c>
      <c r="B5539" t="s">
        <v>308</v>
      </c>
      <c r="C5539">
        <v>26</v>
      </c>
      <c r="D5539" t="s">
        <v>103</v>
      </c>
      <c r="E5539" t="s">
        <v>758</v>
      </c>
      <c r="F5539" t="s">
        <v>228</v>
      </c>
      <c r="G5539" t="s">
        <v>103</v>
      </c>
    </row>
    <row r="5541" spans="1:9" x14ac:dyDescent="0.3">
      <c r="A5541" t="s">
        <v>2126</v>
      </c>
    </row>
    <row r="5542" spans="1:9" x14ac:dyDescent="0.3">
      <c r="A5542" t="s">
        <v>36</v>
      </c>
      <c r="B5542" t="s">
        <v>24</v>
      </c>
      <c r="C5542" t="s">
        <v>2127</v>
      </c>
      <c r="D5542" t="s">
        <v>2128</v>
      </c>
      <c r="E5542" t="s">
        <v>2129</v>
      </c>
      <c r="F5542" t="s">
        <v>183</v>
      </c>
      <c r="G5542" t="s">
        <v>2130</v>
      </c>
      <c r="H5542" t="s">
        <v>181</v>
      </c>
    </row>
    <row r="5543" spans="1:9" x14ac:dyDescent="0.3">
      <c r="A5543" t="s">
        <v>25</v>
      </c>
      <c r="B5543">
        <v>48</v>
      </c>
      <c r="C5543" t="s">
        <v>515</v>
      </c>
      <c r="D5543" t="s">
        <v>103</v>
      </c>
      <c r="E5543" t="s">
        <v>133</v>
      </c>
      <c r="F5543" t="s">
        <v>103</v>
      </c>
      <c r="G5543" t="s">
        <v>227</v>
      </c>
      <c r="H5543" t="s">
        <v>103</v>
      </c>
    </row>
    <row r="5544" spans="1:9" x14ac:dyDescent="0.3">
      <c r="A5544" t="s">
        <v>26</v>
      </c>
      <c r="B5544">
        <v>111</v>
      </c>
      <c r="C5544" t="s">
        <v>1219</v>
      </c>
      <c r="D5544" t="s">
        <v>110</v>
      </c>
      <c r="E5544" t="s">
        <v>601</v>
      </c>
      <c r="F5544" t="s">
        <v>103</v>
      </c>
      <c r="G5544" t="s">
        <v>823</v>
      </c>
      <c r="H5544" t="s">
        <v>103</v>
      </c>
    </row>
    <row r="5545" spans="1:9" s="3" customFormat="1" x14ac:dyDescent="0.3">
      <c r="A5545" s="3" t="s">
        <v>29</v>
      </c>
      <c r="B5545" s="3">
        <v>21</v>
      </c>
      <c r="C5545" s="3" t="s">
        <v>645</v>
      </c>
      <c r="D5545" s="3" t="s">
        <v>103</v>
      </c>
      <c r="E5545" s="3" t="s">
        <v>133</v>
      </c>
      <c r="F5545" s="3" t="s">
        <v>103</v>
      </c>
      <c r="G5545" s="3" t="s">
        <v>826</v>
      </c>
      <c r="H5545" s="3" t="s">
        <v>103</v>
      </c>
    </row>
    <row r="5546" spans="1:9" x14ac:dyDescent="0.3">
      <c r="A5546" t="s">
        <v>28</v>
      </c>
      <c r="B5546">
        <v>43</v>
      </c>
      <c r="C5546" t="s">
        <v>752</v>
      </c>
      <c r="D5546" t="s">
        <v>813</v>
      </c>
      <c r="E5546" t="s">
        <v>113</v>
      </c>
      <c r="F5546" t="s">
        <v>103</v>
      </c>
      <c r="G5546" t="s">
        <v>120</v>
      </c>
      <c r="H5546" t="s">
        <v>103</v>
      </c>
    </row>
    <row r="5547" spans="1:9" x14ac:dyDescent="0.3">
      <c r="A5547" t="s">
        <v>27</v>
      </c>
      <c r="B5547">
        <v>69</v>
      </c>
      <c r="C5547" t="s">
        <v>795</v>
      </c>
      <c r="D5547" t="s">
        <v>103</v>
      </c>
      <c r="E5547" t="s">
        <v>113</v>
      </c>
      <c r="F5547" t="s">
        <v>103</v>
      </c>
      <c r="G5547" t="s">
        <v>1070</v>
      </c>
      <c r="H5547" t="s">
        <v>110</v>
      </c>
    </row>
    <row r="5548" spans="1:9" x14ac:dyDescent="0.3">
      <c r="A5548" t="s">
        <v>41</v>
      </c>
      <c r="B5548">
        <v>292</v>
      </c>
      <c r="C5548" t="s">
        <v>788</v>
      </c>
      <c r="D5548" t="s">
        <v>239</v>
      </c>
      <c r="E5548" t="s">
        <v>511</v>
      </c>
      <c r="F5548" t="s">
        <v>103</v>
      </c>
      <c r="G5548" t="s">
        <v>2106</v>
      </c>
      <c r="H5548" t="s">
        <v>91</v>
      </c>
    </row>
    <row r="5550" spans="1:9" x14ac:dyDescent="0.3">
      <c r="A5550" t="s">
        <v>2131</v>
      </c>
    </row>
    <row r="5551" spans="1:9" x14ac:dyDescent="0.3">
      <c r="A5551" t="s">
        <v>36</v>
      </c>
      <c r="B5551" t="s">
        <v>310</v>
      </c>
      <c r="C5551" t="s">
        <v>24</v>
      </c>
      <c r="D5551" t="s">
        <v>2127</v>
      </c>
      <c r="E5551" t="s">
        <v>2128</v>
      </c>
      <c r="F5551" t="s">
        <v>2129</v>
      </c>
      <c r="G5551" t="s">
        <v>183</v>
      </c>
      <c r="H5551" t="s">
        <v>2130</v>
      </c>
      <c r="I5551" t="s">
        <v>181</v>
      </c>
    </row>
    <row r="5552" spans="1:9" x14ac:dyDescent="0.3">
      <c r="A5552" t="s">
        <v>25</v>
      </c>
      <c r="B5552" t="s">
        <v>311</v>
      </c>
      <c r="C5552">
        <v>38</v>
      </c>
      <c r="D5552" t="s">
        <v>927</v>
      </c>
      <c r="E5552" t="s">
        <v>103</v>
      </c>
      <c r="F5552" t="s">
        <v>494</v>
      </c>
      <c r="G5552" t="s">
        <v>103</v>
      </c>
      <c r="H5552" t="s">
        <v>302</v>
      </c>
      <c r="I5552" t="s">
        <v>103</v>
      </c>
    </row>
    <row r="5553" spans="1:9" s="3" customFormat="1" x14ac:dyDescent="0.3">
      <c r="A5553" s="3" t="s">
        <v>25</v>
      </c>
      <c r="B5553" s="3" t="s">
        <v>312</v>
      </c>
      <c r="C5553" s="3">
        <v>8</v>
      </c>
      <c r="D5553" s="3" t="s">
        <v>103</v>
      </c>
      <c r="E5553" s="3" t="s">
        <v>103</v>
      </c>
      <c r="F5553" s="3" t="s">
        <v>103</v>
      </c>
      <c r="G5553" s="3" t="s">
        <v>103</v>
      </c>
      <c r="H5553" s="3" t="s">
        <v>192</v>
      </c>
      <c r="I5553" s="3" t="s">
        <v>103</v>
      </c>
    </row>
    <row r="5554" spans="1:9" x14ac:dyDescent="0.3">
      <c r="A5554" t="s">
        <v>25</v>
      </c>
      <c r="B5554" t="s">
        <v>308</v>
      </c>
      <c r="C5554">
        <v>2</v>
      </c>
      <c r="D5554" t="s">
        <v>103</v>
      </c>
      <c r="E5554" t="s">
        <v>103</v>
      </c>
      <c r="F5554" t="s">
        <v>103</v>
      </c>
      <c r="G5554" t="s">
        <v>103</v>
      </c>
      <c r="H5554" t="s">
        <v>192</v>
      </c>
      <c r="I5554" t="s">
        <v>103</v>
      </c>
    </row>
    <row r="5555" spans="1:9" x14ac:dyDescent="0.3">
      <c r="A5555" t="s">
        <v>26</v>
      </c>
      <c r="B5555" t="s">
        <v>311</v>
      </c>
      <c r="C5555">
        <v>82</v>
      </c>
      <c r="D5555" t="s">
        <v>646</v>
      </c>
      <c r="E5555" t="s">
        <v>341</v>
      </c>
      <c r="F5555" t="s">
        <v>191</v>
      </c>
      <c r="G5555" t="s">
        <v>103</v>
      </c>
      <c r="H5555" t="s">
        <v>717</v>
      </c>
      <c r="I5555" t="s">
        <v>103</v>
      </c>
    </row>
    <row r="5556" spans="1:9" s="3" customFormat="1" x14ac:dyDescent="0.3">
      <c r="A5556" s="3" t="s">
        <v>26</v>
      </c>
      <c r="B5556" s="3" t="s">
        <v>312</v>
      </c>
      <c r="C5556" s="3">
        <v>23</v>
      </c>
      <c r="D5556" s="3" t="s">
        <v>1219</v>
      </c>
      <c r="E5556" s="3" t="s">
        <v>103</v>
      </c>
      <c r="F5556" s="3" t="s">
        <v>262</v>
      </c>
      <c r="G5556" s="3" t="s">
        <v>103</v>
      </c>
      <c r="H5556" s="3" t="s">
        <v>787</v>
      </c>
      <c r="I5556" s="3" t="s">
        <v>103</v>
      </c>
    </row>
    <row r="5557" spans="1:9" x14ac:dyDescent="0.3">
      <c r="A5557" t="s">
        <v>26</v>
      </c>
      <c r="B5557" t="s">
        <v>308</v>
      </c>
      <c r="C5557">
        <v>6</v>
      </c>
      <c r="D5557" t="s">
        <v>103</v>
      </c>
      <c r="E5557" t="s">
        <v>103</v>
      </c>
      <c r="F5557" t="s">
        <v>103</v>
      </c>
      <c r="G5557" t="s">
        <v>103</v>
      </c>
      <c r="H5557" t="s">
        <v>192</v>
      </c>
      <c r="I5557" t="s">
        <v>103</v>
      </c>
    </row>
    <row r="5558" spans="1:9" s="3" customFormat="1" x14ac:dyDescent="0.3">
      <c r="A5558" s="3" t="s">
        <v>29</v>
      </c>
      <c r="B5558" s="3" t="s">
        <v>311</v>
      </c>
      <c r="C5558" s="3">
        <v>18</v>
      </c>
      <c r="D5558" s="3" t="s">
        <v>435</v>
      </c>
      <c r="E5558" s="3" t="s">
        <v>103</v>
      </c>
      <c r="F5558" s="3" t="s">
        <v>466</v>
      </c>
      <c r="G5558" s="3" t="s">
        <v>103</v>
      </c>
      <c r="H5558" s="3" t="s">
        <v>364</v>
      </c>
      <c r="I5558" s="3" t="s">
        <v>103</v>
      </c>
    </row>
    <row r="5559" spans="1:9" s="3" customFormat="1" x14ac:dyDescent="0.3">
      <c r="A5559" s="3" t="s">
        <v>29</v>
      </c>
      <c r="B5559" s="3" t="s">
        <v>312</v>
      </c>
      <c r="C5559" s="3">
        <v>3</v>
      </c>
      <c r="D5559" s="3" t="s">
        <v>656</v>
      </c>
      <c r="E5559" s="3" t="s">
        <v>103</v>
      </c>
      <c r="F5559" s="3" t="s">
        <v>103</v>
      </c>
      <c r="G5559" s="3" t="s">
        <v>103</v>
      </c>
      <c r="H5559" s="3" t="s">
        <v>790</v>
      </c>
      <c r="I5559" s="3" t="s">
        <v>103</v>
      </c>
    </row>
    <row r="5560" spans="1:9" x14ac:dyDescent="0.3">
      <c r="A5560" t="s">
        <v>28</v>
      </c>
      <c r="B5560" t="s">
        <v>311</v>
      </c>
      <c r="C5560">
        <v>31</v>
      </c>
      <c r="D5560" t="s">
        <v>896</v>
      </c>
      <c r="E5560" t="s">
        <v>100</v>
      </c>
      <c r="F5560" t="s">
        <v>558</v>
      </c>
      <c r="G5560" t="s">
        <v>103</v>
      </c>
      <c r="H5560" t="s">
        <v>139</v>
      </c>
      <c r="I5560" t="s">
        <v>103</v>
      </c>
    </row>
    <row r="5561" spans="1:9" s="3" customFormat="1" x14ac:dyDescent="0.3">
      <c r="A5561" s="3" t="s">
        <v>28</v>
      </c>
      <c r="B5561" s="3" t="s">
        <v>312</v>
      </c>
      <c r="C5561" s="3">
        <v>12</v>
      </c>
      <c r="D5561" s="3" t="s">
        <v>1167</v>
      </c>
      <c r="E5561" s="3" t="s">
        <v>1093</v>
      </c>
      <c r="F5561" s="3" t="s">
        <v>103</v>
      </c>
      <c r="G5561" s="3" t="s">
        <v>103</v>
      </c>
      <c r="H5561" s="3" t="s">
        <v>103</v>
      </c>
      <c r="I5561" s="3" t="s">
        <v>103</v>
      </c>
    </row>
    <row r="5562" spans="1:9" x14ac:dyDescent="0.3">
      <c r="A5562" t="s">
        <v>27</v>
      </c>
      <c r="B5562" t="s">
        <v>311</v>
      </c>
      <c r="C5562">
        <v>55</v>
      </c>
      <c r="D5562" t="s">
        <v>866</v>
      </c>
      <c r="E5562" t="s">
        <v>103</v>
      </c>
      <c r="F5562" t="s">
        <v>103</v>
      </c>
      <c r="G5562" t="s">
        <v>103</v>
      </c>
      <c r="H5562" t="s">
        <v>938</v>
      </c>
      <c r="I5562" t="s">
        <v>245</v>
      </c>
    </row>
    <row r="5563" spans="1:9" s="3" customFormat="1" x14ac:dyDescent="0.3">
      <c r="A5563" s="3" t="s">
        <v>27</v>
      </c>
      <c r="B5563" s="3" t="s">
        <v>312</v>
      </c>
      <c r="C5563" s="3">
        <v>13</v>
      </c>
      <c r="D5563" s="3" t="s">
        <v>1229</v>
      </c>
      <c r="E5563" s="3" t="s">
        <v>103</v>
      </c>
      <c r="F5563" s="3" t="s">
        <v>667</v>
      </c>
      <c r="G5563" s="3" t="s">
        <v>103</v>
      </c>
      <c r="H5563" s="3" t="s">
        <v>454</v>
      </c>
      <c r="I5563" s="3" t="s">
        <v>103</v>
      </c>
    </row>
    <row r="5564" spans="1:9" x14ac:dyDescent="0.3">
      <c r="A5564" t="s">
        <v>27</v>
      </c>
      <c r="B5564" t="s">
        <v>308</v>
      </c>
      <c r="C5564">
        <v>1</v>
      </c>
      <c r="D5564" t="s">
        <v>103</v>
      </c>
      <c r="E5564" t="s">
        <v>103</v>
      </c>
      <c r="F5564" t="s">
        <v>103</v>
      </c>
      <c r="G5564" t="s">
        <v>103</v>
      </c>
      <c r="H5564" t="s">
        <v>192</v>
      </c>
      <c r="I5564" t="s">
        <v>103</v>
      </c>
    </row>
    <row r="5565" spans="1:9" x14ac:dyDescent="0.3">
      <c r="A5565" t="s">
        <v>41</v>
      </c>
      <c r="B5565" t="s">
        <v>311</v>
      </c>
      <c r="C5565">
        <v>224</v>
      </c>
      <c r="D5565" t="s">
        <v>858</v>
      </c>
      <c r="E5565" t="s">
        <v>194</v>
      </c>
      <c r="F5565" t="s">
        <v>494</v>
      </c>
      <c r="G5565" t="s">
        <v>103</v>
      </c>
      <c r="H5565" t="s">
        <v>372</v>
      </c>
      <c r="I5565" t="s">
        <v>66</v>
      </c>
    </row>
    <row r="5566" spans="1:9" x14ac:dyDescent="0.3">
      <c r="A5566" t="s">
        <v>41</v>
      </c>
      <c r="B5566" t="s">
        <v>312</v>
      </c>
      <c r="C5566">
        <v>59</v>
      </c>
      <c r="D5566" t="s">
        <v>651</v>
      </c>
      <c r="E5566" t="s">
        <v>128</v>
      </c>
      <c r="F5566" t="s">
        <v>140</v>
      </c>
      <c r="G5566" t="s">
        <v>103</v>
      </c>
      <c r="H5566" t="s">
        <v>937</v>
      </c>
      <c r="I5566" t="s">
        <v>103</v>
      </c>
    </row>
    <row r="5567" spans="1:9" x14ac:dyDescent="0.3">
      <c r="A5567" t="s">
        <v>41</v>
      </c>
      <c r="B5567" t="s">
        <v>308</v>
      </c>
      <c r="C5567">
        <v>9</v>
      </c>
      <c r="D5567" t="s">
        <v>103</v>
      </c>
      <c r="E5567" t="s">
        <v>103</v>
      </c>
      <c r="F5567" t="s">
        <v>103</v>
      </c>
      <c r="G5567" t="s">
        <v>103</v>
      </c>
      <c r="H5567" t="s">
        <v>192</v>
      </c>
      <c r="I5567" t="s">
        <v>103</v>
      </c>
    </row>
    <row r="5569" spans="1:9" x14ac:dyDescent="0.3">
      <c r="A5569" t="s">
        <v>2132</v>
      </c>
    </row>
    <row r="5570" spans="1:9" x14ac:dyDescent="0.3">
      <c r="A5570" t="s">
        <v>36</v>
      </c>
      <c r="B5570" t="s">
        <v>197</v>
      </c>
      <c r="C5570" t="s">
        <v>24</v>
      </c>
      <c r="D5570" t="s">
        <v>2127</v>
      </c>
      <c r="E5570" t="s">
        <v>2128</v>
      </c>
      <c r="F5570" t="s">
        <v>2129</v>
      </c>
      <c r="G5570" t="s">
        <v>183</v>
      </c>
      <c r="H5570" t="s">
        <v>2130</v>
      </c>
      <c r="I5570" t="s">
        <v>181</v>
      </c>
    </row>
    <row r="5571" spans="1:9" s="3" customFormat="1" x14ac:dyDescent="0.3">
      <c r="A5571" s="3" t="s">
        <v>25</v>
      </c>
      <c r="B5571" s="3" t="s">
        <v>198</v>
      </c>
      <c r="C5571" s="3">
        <v>18</v>
      </c>
      <c r="D5571" s="3" t="s">
        <v>134</v>
      </c>
      <c r="E5571" s="3" t="s">
        <v>103</v>
      </c>
      <c r="F5571" s="3" t="s">
        <v>543</v>
      </c>
      <c r="G5571" s="3" t="s">
        <v>103</v>
      </c>
      <c r="H5571" s="3" t="s">
        <v>1021</v>
      </c>
      <c r="I5571" s="3" t="s">
        <v>103</v>
      </c>
    </row>
    <row r="5572" spans="1:9" s="3" customFormat="1" x14ac:dyDescent="0.3">
      <c r="A5572" s="3" t="s">
        <v>25</v>
      </c>
      <c r="B5572" s="3" t="s">
        <v>199</v>
      </c>
      <c r="C5572" s="3">
        <v>30</v>
      </c>
      <c r="D5572" s="3" t="s">
        <v>493</v>
      </c>
      <c r="E5572" s="3" t="s">
        <v>103</v>
      </c>
      <c r="F5572" s="3" t="s">
        <v>195</v>
      </c>
      <c r="G5572" s="3" t="s">
        <v>103</v>
      </c>
      <c r="H5572" s="3" t="s">
        <v>1167</v>
      </c>
      <c r="I5572" s="3" t="s">
        <v>103</v>
      </c>
    </row>
    <row r="5573" spans="1:9" s="3" customFormat="1" x14ac:dyDescent="0.3">
      <c r="A5573" s="3" t="s">
        <v>26</v>
      </c>
      <c r="B5573" s="3" t="s">
        <v>198</v>
      </c>
      <c r="C5573" s="3">
        <v>9</v>
      </c>
      <c r="D5573" s="3" t="s">
        <v>103</v>
      </c>
      <c r="E5573" s="3" t="s">
        <v>103</v>
      </c>
      <c r="F5573" s="3" t="s">
        <v>103</v>
      </c>
      <c r="G5573" s="3" t="s">
        <v>103</v>
      </c>
      <c r="H5573" s="3" t="s">
        <v>192</v>
      </c>
      <c r="I5573" s="3" t="s">
        <v>103</v>
      </c>
    </row>
    <row r="5574" spans="1:9" x14ac:dyDescent="0.3">
      <c r="A5574" t="s">
        <v>26</v>
      </c>
      <c r="B5574" t="s">
        <v>199</v>
      </c>
      <c r="C5574">
        <v>102</v>
      </c>
      <c r="D5574" t="s">
        <v>658</v>
      </c>
      <c r="E5574" t="s">
        <v>239</v>
      </c>
      <c r="F5574" t="s">
        <v>247</v>
      </c>
      <c r="G5574" t="s">
        <v>103</v>
      </c>
      <c r="H5574" t="s">
        <v>830</v>
      </c>
      <c r="I5574" t="s">
        <v>103</v>
      </c>
    </row>
    <row r="5575" spans="1:9" s="3" customFormat="1" x14ac:dyDescent="0.3">
      <c r="A5575" s="3" t="s">
        <v>29</v>
      </c>
      <c r="B5575" s="3" t="s">
        <v>198</v>
      </c>
      <c r="C5575" s="3">
        <v>10</v>
      </c>
      <c r="D5575" s="3" t="s">
        <v>231</v>
      </c>
      <c r="E5575" s="3" t="s">
        <v>103</v>
      </c>
      <c r="F5575" s="3" t="s">
        <v>103</v>
      </c>
      <c r="G5575" s="3" t="s">
        <v>103</v>
      </c>
      <c r="H5575" s="3" t="s">
        <v>1055</v>
      </c>
      <c r="I5575" s="3" t="s">
        <v>103</v>
      </c>
    </row>
    <row r="5576" spans="1:9" s="3" customFormat="1" x14ac:dyDescent="0.3">
      <c r="A5576" s="3" t="s">
        <v>29</v>
      </c>
      <c r="B5576" s="3" t="s">
        <v>199</v>
      </c>
      <c r="C5576" s="3">
        <v>11</v>
      </c>
      <c r="D5576" s="3" t="s">
        <v>135</v>
      </c>
      <c r="E5576" s="3" t="s">
        <v>103</v>
      </c>
      <c r="F5576" s="3" t="s">
        <v>99</v>
      </c>
      <c r="G5576" s="3" t="s">
        <v>103</v>
      </c>
      <c r="H5576" s="3" t="s">
        <v>806</v>
      </c>
      <c r="I5576" s="3" t="s">
        <v>103</v>
      </c>
    </row>
    <row r="5577" spans="1:9" s="3" customFormat="1" x14ac:dyDescent="0.3">
      <c r="A5577" s="3" t="s">
        <v>28</v>
      </c>
      <c r="B5577" s="3" t="s">
        <v>198</v>
      </c>
      <c r="C5577" s="3">
        <v>4</v>
      </c>
      <c r="D5577" s="3" t="s">
        <v>1305</v>
      </c>
      <c r="E5577" s="3" t="s">
        <v>103</v>
      </c>
      <c r="F5577" s="3" t="s">
        <v>789</v>
      </c>
      <c r="G5577" s="3" t="s">
        <v>103</v>
      </c>
      <c r="H5577" s="3" t="s">
        <v>103</v>
      </c>
      <c r="I5577" s="3" t="s">
        <v>103</v>
      </c>
    </row>
    <row r="5578" spans="1:9" x14ac:dyDescent="0.3">
      <c r="A5578" t="s">
        <v>28</v>
      </c>
      <c r="B5578" t="s">
        <v>199</v>
      </c>
      <c r="C5578">
        <v>39</v>
      </c>
      <c r="D5578" t="s">
        <v>833</v>
      </c>
      <c r="E5578" t="s">
        <v>495</v>
      </c>
      <c r="F5578" t="s">
        <v>128</v>
      </c>
      <c r="G5578" t="s">
        <v>103</v>
      </c>
      <c r="H5578" t="s">
        <v>95</v>
      </c>
      <c r="I5578" t="s">
        <v>103</v>
      </c>
    </row>
    <row r="5579" spans="1:9" x14ac:dyDescent="0.3">
      <c r="A5579" t="s">
        <v>27</v>
      </c>
      <c r="B5579" t="s">
        <v>198</v>
      </c>
      <c r="C5579">
        <v>53</v>
      </c>
      <c r="D5579" t="s">
        <v>508</v>
      </c>
      <c r="E5579" t="s">
        <v>103</v>
      </c>
      <c r="F5579" t="s">
        <v>103</v>
      </c>
      <c r="G5579" t="s">
        <v>103</v>
      </c>
      <c r="H5579" t="s">
        <v>564</v>
      </c>
      <c r="I5579" t="s">
        <v>105</v>
      </c>
    </row>
    <row r="5580" spans="1:9" s="3" customFormat="1" x14ac:dyDescent="0.3">
      <c r="A5580" s="3" t="s">
        <v>27</v>
      </c>
      <c r="B5580" s="3" t="s">
        <v>199</v>
      </c>
      <c r="C5580" s="3">
        <v>16</v>
      </c>
      <c r="D5580" s="3" t="s">
        <v>1236</v>
      </c>
      <c r="E5580" s="3" t="s">
        <v>103</v>
      </c>
      <c r="F5580" s="3" t="s">
        <v>253</v>
      </c>
      <c r="G5580" s="3" t="s">
        <v>103</v>
      </c>
      <c r="H5580" s="3" t="s">
        <v>1050</v>
      </c>
      <c r="I5580" s="3" t="s">
        <v>103</v>
      </c>
    </row>
    <row r="5581" spans="1:9" x14ac:dyDescent="0.3">
      <c r="A5581" t="s">
        <v>41</v>
      </c>
      <c r="B5581" t="s">
        <v>198</v>
      </c>
      <c r="C5581">
        <v>94</v>
      </c>
      <c r="D5581" t="s">
        <v>387</v>
      </c>
      <c r="E5581" t="s">
        <v>103</v>
      </c>
      <c r="F5581" t="s">
        <v>467</v>
      </c>
      <c r="G5581" t="s">
        <v>103</v>
      </c>
      <c r="H5581" t="s">
        <v>770</v>
      </c>
      <c r="I5581" t="s">
        <v>120</v>
      </c>
    </row>
    <row r="5582" spans="1:9" x14ac:dyDescent="0.3">
      <c r="A5582" t="s">
        <v>41</v>
      </c>
      <c r="B5582" t="s">
        <v>199</v>
      </c>
      <c r="C5582">
        <v>198</v>
      </c>
      <c r="D5582" t="s">
        <v>1084</v>
      </c>
      <c r="E5582" t="s">
        <v>341</v>
      </c>
      <c r="F5582" t="s">
        <v>242</v>
      </c>
      <c r="G5582" t="s">
        <v>103</v>
      </c>
      <c r="H5582" t="s">
        <v>1094</v>
      </c>
      <c r="I5582" t="s">
        <v>103</v>
      </c>
    </row>
    <row r="5584" spans="1:9" x14ac:dyDescent="0.3">
      <c r="A5584" t="s">
        <v>2133</v>
      </c>
    </row>
    <row r="5585" spans="1:9" x14ac:dyDescent="0.3">
      <c r="A5585" t="s">
        <v>36</v>
      </c>
      <c r="B5585" t="s">
        <v>1233</v>
      </c>
      <c r="C5585" t="s">
        <v>24</v>
      </c>
      <c r="D5585" t="s">
        <v>2127</v>
      </c>
      <c r="E5585" t="s">
        <v>2128</v>
      </c>
      <c r="F5585" t="s">
        <v>2129</v>
      </c>
      <c r="G5585" t="s">
        <v>183</v>
      </c>
      <c r="H5585" t="s">
        <v>2130</v>
      </c>
      <c r="I5585" t="s">
        <v>181</v>
      </c>
    </row>
    <row r="5586" spans="1:9" x14ac:dyDescent="0.3">
      <c r="A5586" t="s">
        <v>25</v>
      </c>
      <c r="B5586" t="s">
        <v>1234</v>
      </c>
      <c r="C5586">
        <v>35</v>
      </c>
      <c r="D5586" t="s">
        <v>136</v>
      </c>
      <c r="E5586" t="s">
        <v>103</v>
      </c>
      <c r="F5586" t="s">
        <v>511</v>
      </c>
      <c r="G5586" t="s">
        <v>103</v>
      </c>
      <c r="H5586" t="s">
        <v>739</v>
      </c>
      <c r="I5586" t="s">
        <v>103</v>
      </c>
    </row>
    <row r="5587" spans="1:9" s="3" customFormat="1" x14ac:dyDescent="0.3">
      <c r="A5587" s="3" t="s">
        <v>25</v>
      </c>
      <c r="B5587" s="3" t="s">
        <v>1235</v>
      </c>
      <c r="C5587" s="3">
        <v>5</v>
      </c>
      <c r="D5587" s="3" t="s">
        <v>231</v>
      </c>
      <c r="E5587" s="3" t="s">
        <v>103</v>
      </c>
      <c r="F5587" s="3" t="s">
        <v>103</v>
      </c>
      <c r="G5587" s="3" t="s">
        <v>103</v>
      </c>
      <c r="H5587" s="3" t="s">
        <v>1055</v>
      </c>
      <c r="I5587" s="3" t="s">
        <v>103</v>
      </c>
    </row>
    <row r="5588" spans="1:9" s="3" customFormat="1" x14ac:dyDescent="0.3">
      <c r="A5588" s="3" t="s">
        <v>25</v>
      </c>
      <c r="B5588" s="3" t="s">
        <v>1237</v>
      </c>
      <c r="C5588" s="3">
        <v>8</v>
      </c>
      <c r="D5588" s="3" t="s">
        <v>103</v>
      </c>
      <c r="E5588" s="3" t="s">
        <v>103</v>
      </c>
      <c r="F5588" s="3" t="s">
        <v>118</v>
      </c>
      <c r="G5588" s="3" t="s">
        <v>103</v>
      </c>
      <c r="H5588" s="3" t="s">
        <v>339</v>
      </c>
      <c r="I5588" s="3" t="s">
        <v>103</v>
      </c>
    </row>
    <row r="5589" spans="1:9" x14ac:dyDescent="0.3">
      <c r="A5589" t="s">
        <v>26</v>
      </c>
      <c r="B5589" t="s">
        <v>1234</v>
      </c>
      <c r="C5589">
        <v>75</v>
      </c>
      <c r="D5589" t="s">
        <v>250</v>
      </c>
      <c r="E5589" t="s">
        <v>208</v>
      </c>
      <c r="F5589" t="s">
        <v>531</v>
      </c>
      <c r="G5589" t="s">
        <v>103</v>
      </c>
      <c r="H5589" t="s">
        <v>979</v>
      </c>
      <c r="I5589" t="s">
        <v>103</v>
      </c>
    </row>
    <row r="5590" spans="1:9" s="3" customFormat="1" x14ac:dyDescent="0.3">
      <c r="A5590" s="3" t="s">
        <v>26</v>
      </c>
      <c r="B5590" s="3" t="s">
        <v>1235</v>
      </c>
      <c r="C5590" s="3">
        <v>10</v>
      </c>
      <c r="D5590" s="3" t="s">
        <v>493</v>
      </c>
      <c r="E5590" s="3" t="s">
        <v>103</v>
      </c>
      <c r="F5590" s="3" t="s">
        <v>519</v>
      </c>
      <c r="G5590" s="3" t="s">
        <v>103</v>
      </c>
      <c r="H5590" s="3" t="s">
        <v>897</v>
      </c>
      <c r="I5590" s="3" t="s">
        <v>103</v>
      </c>
    </row>
    <row r="5591" spans="1:9" s="3" customFormat="1" x14ac:dyDescent="0.3">
      <c r="A5591" s="3" t="s">
        <v>26</v>
      </c>
      <c r="B5591" s="3" t="s">
        <v>1237</v>
      </c>
      <c r="C5591" s="3">
        <v>26</v>
      </c>
      <c r="D5591" s="3" t="s">
        <v>112</v>
      </c>
      <c r="E5591" s="3" t="s">
        <v>103</v>
      </c>
      <c r="F5591" s="3" t="s">
        <v>46</v>
      </c>
      <c r="G5591" s="3" t="s">
        <v>103</v>
      </c>
      <c r="H5591" s="3" t="s">
        <v>724</v>
      </c>
      <c r="I5591" s="3" t="s">
        <v>103</v>
      </c>
    </row>
    <row r="5592" spans="1:9" s="3" customFormat="1" x14ac:dyDescent="0.3">
      <c r="A5592" s="3" t="s">
        <v>29</v>
      </c>
      <c r="B5592" s="3" t="s">
        <v>1234</v>
      </c>
      <c r="C5592" s="3">
        <v>16</v>
      </c>
      <c r="D5592" s="3" t="s">
        <v>697</v>
      </c>
      <c r="E5592" s="3" t="s">
        <v>103</v>
      </c>
      <c r="F5592" s="3" t="s">
        <v>103</v>
      </c>
      <c r="G5592" s="3" t="s">
        <v>103</v>
      </c>
      <c r="H5592" s="3" t="s">
        <v>227</v>
      </c>
      <c r="I5592" s="3" t="s">
        <v>103</v>
      </c>
    </row>
    <row r="5593" spans="1:9" s="3" customFormat="1" x14ac:dyDescent="0.3">
      <c r="A5593" s="3" t="s">
        <v>29</v>
      </c>
      <c r="B5593" s="3" t="s">
        <v>1235</v>
      </c>
      <c r="C5593" s="3">
        <v>2</v>
      </c>
      <c r="D5593" s="3" t="s">
        <v>192</v>
      </c>
      <c r="E5593" s="3" t="s">
        <v>103</v>
      </c>
      <c r="F5593" s="3" t="s">
        <v>103</v>
      </c>
      <c r="G5593" s="3" t="s">
        <v>103</v>
      </c>
      <c r="H5593" s="3" t="s">
        <v>103</v>
      </c>
      <c r="I5593" s="3" t="s">
        <v>103</v>
      </c>
    </row>
    <row r="5594" spans="1:9" s="3" customFormat="1" x14ac:dyDescent="0.3">
      <c r="A5594" s="3" t="s">
        <v>29</v>
      </c>
      <c r="B5594" s="3" t="s">
        <v>1237</v>
      </c>
      <c r="C5594" s="3">
        <v>3</v>
      </c>
      <c r="D5594" s="3" t="s">
        <v>656</v>
      </c>
      <c r="E5594" s="3" t="s">
        <v>103</v>
      </c>
      <c r="F5594" s="3" t="s">
        <v>567</v>
      </c>
      <c r="G5594" s="3" t="s">
        <v>103</v>
      </c>
      <c r="H5594" s="3" t="s">
        <v>529</v>
      </c>
      <c r="I5594" s="3" t="s">
        <v>103</v>
      </c>
    </row>
    <row r="5595" spans="1:9" s="3" customFormat="1" x14ac:dyDescent="0.3">
      <c r="A5595" s="3" t="s">
        <v>28</v>
      </c>
      <c r="B5595" s="3" t="s">
        <v>1234</v>
      </c>
      <c r="C5595" s="3">
        <v>18</v>
      </c>
      <c r="D5595" s="3" t="s">
        <v>781</v>
      </c>
      <c r="E5595" s="3" t="s">
        <v>1083</v>
      </c>
      <c r="F5595" s="3" t="s">
        <v>232</v>
      </c>
      <c r="G5595" s="3" t="s">
        <v>103</v>
      </c>
      <c r="H5595" s="3" t="s">
        <v>105</v>
      </c>
      <c r="I5595" s="3" t="s">
        <v>103</v>
      </c>
    </row>
    <row r="5596" spans="1:9" s="3" customFormat="1" x14ac:dyDescent="0.3">
      <c r="A5596" s="3" t="s">
        <v>28</v>
      </c>
      <c r="B5596" s="3" t="s">
        <v>1235</v>
      </c>
      <c r="C5596" s="3">
        <v>2</v>
      </c>
      <c r="D5596" s="3" t="s">
        <v>692</v>
      </c>
      <c r="E5596" s="3" t="s">
        <v>103</v>
      </c>
      <c r="F5596" s="3" t="s">
        <v>1087</v>
      </c>
      <c r="G5596" s="3" t="s">
        <v>103</v>
      </c>
      <c r="H5596" s="3" t="s">
        <v>103</v>
      </c>
      <c r="I5596" s="3" t="s">
        <v>103</v>
      </c>
    </row>
    <row r="5597" spans="1:9" s="3" customFormat="1" x14ac:dyDescent="0.3">
      <c r="A5597" s="3" t="s">
        <v>28</v>
      </c>
      <c r="B5597" s="3" t="s">
        <v>1237</v>
      </c>
      <c r="C5597" s="3">
        <v>23</v>
      </c>
      <c r="D5597" s="3" t="s">
        <v>879</v>
      </c>
      <c r="E5597" s="3" t="s">
        <v>137</v>
      </c>
      <c r="F5597" s="3" t="s">
        <v>103</v>
      </c>
      <c r="G5597" s="3" t="s">
        <v>103</v>
      </c>
      <c r="H5597" s="3" t="s">
        <v>103</v>
      </c>
      <c r="I5597" s="3" t="s">
        <v>103</v>
      </c>
    </row>
    <row r="5598" spans="1:9" x14ac:dyDescent="0.3">
      <c r="A5598" t="s">
        <v>27</v>
      </c>
      <c r="B5598" t="s">
        <v>1234</v>
      </c>
      <c r="C5598">
        <v>37</v>
      </c>
      <c r="D5598" t="s">
        <v>1175</v>
      </c>
      <c r="E5598" t="s">
        <v>103</v>
      </c>
      <c r="F5598" t="s">
        <v>103</v>
      </c>
      <c r="G5598" t="s">
        <v>103</v>
      </c>
      <c r="H5598" t="s">
        <v>1218</v>
      </c>
      <c r="I5598" t="s">
        <v>103</v>
      </c>
    </row>
    <row r="5599" spans="1:9" s="3" customFormat="1" x14ac:dyDescent="0.3">
      <c r="A5599" s="3" t="s">
        <v>27</v>
      </c>
      <c r="B5599" s="3" t="s">
        <v>1235</v>
      </c>
      <c r="C5599" s="3">
        <v>4</v>
      </c>
      <c r="D5599" s="3" t="s">
        <v>1208</v>
      </c>
      <c r="E5599" s="3" t="s">
        <v>103</v>
      </c>
      <c r="F5599" s="3" t="s">
        <v>560</v>
      </c>
      <c r="G5599" s="3" t="s">
        <v>103</v>
      </c>
      <c r="H5599" s="3" t="s">
        <v>789</v>
      </c>
      <c r="I5599" s="3" t="s">
        <v>103</v>
      </c>
    </row>
    <row r="5600" spans="1:9" s="3" customFormat="1" x14ac:dyDescent="0.3">
      <c r="A5600" s="3" t="s">
        <v>27</v>
      </c>
      <c r="B5600" s="3" t="s">
        <v>1237</v>
      </c>
      <c r="C5600" s="3">
        <v>28</v>
      </c>
      <c r="D5600" s="3" t="s">
        <v>384</v>
      </c>
      <c r="E5600" s="3" t="s">
        <v>103</v>
      </c>
      <c r="F5600" s="3" t="s">
        <v>662</v>
      </c>
      <c r="G5600" s="3" t="s">
        <v>103</v>
      </c>
      <c r="H5600" s="3" t="s">
        <v>677</v>
      </c>
      <c r="I5600" s="3" t="s">
        <v>125</v>
      </c>
    </row>
    <row r="5601" spans="1:9" x14ac:dyDescent="0.3">
      <c r="A5601" t="s">
        <v>41</v>
      </c>
      <c r="B5601" t="s">
        <v>1234</v>
      </c>
      <c r="C5601">
        <v>181</v>
      </c>
      <c r="D5601" t="s">
        <v>920</v>
      </c>
      <c r="E5601" t="s">
        <v>216</v>
      </c>
      <c r="F5601" t="s">
        <v>214</v>
      </c>
      <c r="G5601" t="s">
        <v>103</v>
      </c>
      <c r="H5601" t="s">
        <v>1420</v>
      </c>
      <c r="I5601" t="s">
        <v>103</v>
      </c>
    </row>
    <row r="5602" spans="1:9" s="3" customFormat="1" x14ac:dyDescent="0.3">
      <c r="A5602" s="3" t="s">
        <v>41</v>
      </c>
      <c r="B5602" s="3" t="s">
        <v>1235</v>
      </c>
      <c r="C5602" s="3">
        <v>23</v>
      </c>
      <c r="D5602" s="3" t="s">
        <v>1422</v>
      </c>
      <c r="E5602" s="3" t="s">
        <v>103</v>
      </c>
      <c r="F5602" s="3" t="s">
        <v>169</v>
      </c>
      <c r="G5602" s="3" t="s">
        <v>103</v>
      </c>
      <c r="H5602" s="3" t="s">
        <v>441</v>
      </c>
      <c r="I5602" s="3" t="s">
        <v>103</v>
      </c>
    </row>
    <row r="5603" spans="1:9" x14ac:dyDescent="0.3">
      <c r="A5603" t="s">
        <v>41</v>
      </c>
      <c r="B5603" t="s">
        <v>1237</v>
      </c>
      <c r="C5603">
        <v>88</v>
      </c>
      <c r="D5603" t="s">
        <v>559</v>
      </c>
      <c r="E5603" t="s">
        <v>239</v>
      </c>
      <c r="F5603" t="s">
        <v>115</v>
      </c>
      <c r="G5603" t="s">
        <v>103</v>
      </c>
      <c r="H5603" t="s">
        <v>1025</v>
      </c>
      <c r="I5603" t="s">
        <v>95</v>
      </c>
    </row>
    <row r="5605" spans="1:9" x14ac:dyDescent="0.3">
      <c r="A5605" t="s">
        <v>2134</v>
      </c>
    </row>
    <row r="5606" spans="1:9" x14ac:dyDescent="0.3">
      <c r="A5606" t="s">
        <v>36</v>
      </c>
      <c r="B5606" t="s">
        <v>210</v>
      </c>
      <c r="C5606" t="s">
        <v>24</v>
      </c>
      <c r="D5606" t="s">
        <v>2127</v>
      </c>
      <c r="E5606" t="s">
        <v>2128</v>
      </c>
      <c r="F5606" t="s">
        <v>2129</v>
      </c>
      <c r="G5606" t="s">
        <v>183</v>
      </c>
      <c r="H5606" t="s">
        <v>2130</v>
      </c>
      <c r="I5606" t="s">
        <v>181</v>
      </c>
    </row>
    <row r="5607" spans="1:9" x14ac:dyDescent="0.3">
      <c r="A5607" t="s">
        <v>25</v>
      </c>
      <c r="B5607" t="s">
        <v>211</v>
      </c>
      <c r="C5607">
        <v>48</v>
      </c>
      <c r="D5607" t="s">
        <v>515</v>
      </c>
      <c r="E5607" t="s">
        <v>103</v>
      </c>
      <c r="F5607" t="s">
        <v>133</v>
      </c>
      <c r="G5607" t="s">
        <v>103</v>
      </c>
      <c r="H5607" t="s">
        <v>227</v>
      </c>
      <c r="I5607" t="s">
        <v>103</v>
      </c>
    </row>
    <row r="5608" spans="1:9" s="3" customFormat="1" x14ac:dyDescent="0.3">
      <c r="A5608" s="3" t="s">
        <v>26</v>
      </c>
      <c r="B5608" s="3" t="s">
        <v>211</v>
      </c>
      <c r="C5608" s="3">
        <v>23</v>
      </c>
      <c r="D5608" s="3" t="s">
        <v>700</v>
      </c>
      <c r="E5608" s="3" t="s">
        <v>103</v>
      </c>
      <c r="F5608" s="3" t="s">
        <v>103</v>
      </c>
      <c r="G5608" s="3" t="s">
        <v>103</v>
      </c>
      <c r="H5608" s="3" t="s">
        <v>772</v>
      </c>
      <c r="I5608" s="3" t="s">
        <v>103</v>
      </c>
    </row>
    <row r="5609" spans="1:9" x14ac:dyDescent="0.3">
      <c r="A5609" t="s">
        <v>26</v>
      </c>
      <c r="B5609" t="s">
        <v>212</v>
      </c>
      <c r="C5609">
        <v>88</v>
      </c>
      <c r="D5609" t="s">
        <v>1084</v>
      </c>
      <c r="E5609" t="s">
        <v>105</v>
      </c>
      <c r="F5609" t="s">
        <v>463</v>
      </c>
      <c r="G5609" t="s">
        <v>103</v>
      </c>
      <c r="H5609" t="s">
        <v>1374</v>
      </c>
      <c r="I5609" t="s">
        <v>103</v>
      </c>
    </row>
    <row r="5610" spans="1:9" s="3" customFormat="1" x14ac:dyDescent="0.3">
      <c r="A5610" s="3" t="s">
        <v>29</v>
      </c>
      <c r="B5610" s="3" t="s">
        <v>211</v>
      </c>
      <c r="C5610" s="3">
        <v>21</v>
      </c>
      <c r="D5610" s="3" t="s">
        <v>645</v>
      </c>
      <c r="E5610" s="3" t="s">
        <v>103</v>
      </c>
      <c r="F5610" s="3" t="s">
        <v>133</v>
      </c>
      <c r="G5610" s="3" t="s">
        <v>103</v>
      </c>
      <c r="H5610" s="3" t="s">
        <v>826</v>
      </c>
      <c r="I5610" s="3" t="s">
        <v>103</v>
      </c>
    </row>
    <row r="5611" spans="1:9" x14ac:dyDescent="0.3">
      <c r="A5611" t="s">
        <v>28</v>
      </c>
      <c r="B5611" t="s">
        <v>211</v>
      </c>
      <c r="C5611">
        <v>37</v>
      </c>
      <c r="D5611" t="s">
        <v>991</v>
      </c>
      <c r="E5611" t="s">
        <v>519</v>
      </c>
      <c r="F5611" t="s">
        <v>33</v>
      </c>
      <c r="G5611" t="s">
        <v>103</v>
      </c>
      <c r="H5611" t="s">
        <v>95</v>
      </c>
      <c r="I5611" t="s">
        <v>103</v>
      </c>
    </row>
    <row r="5612" spans="1:9" s="3" customFormat="1" x14ac:dyDescent="0.3">
      <c r="A5612" s="3" t="s">
        <v>28</v>
      </c>
      <c r="B5612" s="3" t="s">
        <v>212</v>
      </c>
      <c r="C5612" s="3">
        <v>6</v>
      </c>
      <c r="D5612" s="3" t="s">
        <v>192</v>
      </c>
      <c r="E5612" s="3" t="s">
        <v>103</v>
      </c>
      <c r="F5612" s="3" t="s">
        <v>103</v>
      </c>
      <c r="G5612" s="3" t="s">
        <v>103</v>
      </c>
      <c r="H5612" s="3" t="s">
        <v>103</v>
      </c>
      <c r="I5612" s="3" t="s">
        <v>103</v>
      </c>
    </row>
    <row r="5613" spans="1:9" x14ac:dyDescent="0.3">
      <c r="A5613" t="s">
        <v>27</v>
      </c>
      <c r="B5613" t="s">
        <v>211</v>
      </c>
      <c r="C5613">
        <v>66</v>
      </c>
      <c r="D5613" t="s">
        <v>372</v>
      </c>
      <c r="E5613" t="s">
        <v>103</v>
      </c>
      <c r="F5613" t="s">
        <v>103</v>
      </c>
      <c r="G5613" t="s">
        <v>103</v>
      </c>
      <c r="H5613" t="s">
        <v>367</v>
      </c>
      <c r="I5613" t="s">
        <v>110</v>
      </c>
    </row>
    <row r="5614" spans="1:9" s="3" customFormat="1" x14ac:dyDescent="0.3">
      <c r="A5614" s="3" t="s">
        <v>27</v>
      </c>
      <c r="B5614" s="3" t="s">
        <v>212</v>
      </c>
      <c r="C5614" s="3">
        <v>3</v>
      </c>
      <c r="D5614" s="3" t="s">
        <v>746</v>
      </c>
      <c r="E5614" s="3" t="s">
        <v>103</v>
      </c>
      <c r="F5614" s="3" t="s">
        <v>747</v>
      </c>
      <c r="G5614" s="3" t="s">
        <v>103</v>
      </c>
      <c r="H5614" s="3" t="s">
        <v>103</v>
      </c>
      <c r="I5614" s="3" t="s">
        <v>103</v>
      </c>
    </row>
    <row r="5615" spans="1:9" x14ac:dyDescent="0.3">
      <c r="A5615" t="s">
        <v>41</v>
      </c>
      <c r="B5615" t="s">
        <v>211</v>
      </c>
      <c r="C5615">
        <v>195</v>
      </c>
      <c r="D5615" t="s">
        <v>1196</v>
      </c>
      <c r="E5615" t="s">
        <v>194</v>
      </c>
      <c r="F5615" t="s">
        <v>102</v>
      </c>
      <c r="G5615" t="s">
        <v>103</v>
      </c>
      <c r="H5615" t="s">
        <v>982</v>
      </c>
      <c r="I5615" t="s">
        <v>66</v>
      </c>
    </row>
    <row r="5616" spans="1:9" x14ac:dyDescent="0.3">
      <c r="A5616" t="s">
        <v>41</v>
      </c>
      <c r="B5616" t="s">
        <v>212</v>
      </c>
      <c r="C5616">
        <v>97</v>
      </c>
      <c r="D5616" t="s">
        <v>539</v>
      </c>
      <c r="E5616" t="s">
        <v>105</v>
      </c>
      <c r="F5616" t="s">
        <v>918</v>
      </c>
      <c r="G5616" t="s">
        <v>103</v>
      </c>
      <c r="H5616" t="s">
        <v>730</v>
      </c>
      <c r="I5616" t="s">
        <v>103</v>
      </c>
    </row>
    <row r="5618" spans="1:9" x14ac:dyDescent="0.3">
      <c r="A5618" t="s">
        <v>2135</v>
      </c>
    </row>
    <row r="5619" spans="1:9" x14ac:dyDescent="0.3">
      <c r="A5619" t="s">
        <v>36</v>
      </c>
      <c r="B5619" t="s">
        <v>2136</v>
      </c>
      <c r="C5619" t="s">
        <v>24</v>
      </c>
      <c r="D5619" t="s">
        <v>2127</v>
      </c>
      <c r="E5619" t="s">
        <v>2128</v>
      </c>
      <c r="F5619" t="s">
        <v>2129</v>
      </c>
      <c r="G5619" t="s">
        <v>183</v>
      </c>
      <c r="H5619" t="s">
        <v>2130</v>
      </c>
      <c r="I5619" t="s">
        <v>181</v>
      </c>
    </row>
    <row r="5620" spans="1:9" s="3" customFormat="1" x14ac:dyDescent="0.3">
      <c r="A5620" s="3" t="s">
        <v>25</v>
      </c>
      <c r="B5620" s="3" t="s">
        <v>2137</v>
      </c>
      <c r="C5620" s="3">
        <v>1</v>
      </c>
      <c r="D5620" s="3" t="s">
        <v>103</v>
      </c>
      <c r="E5620" s="3" t="s">
        <v>103</v>
      </c>
      <c r="F5620" s="3" t="s">
        <v>103</v>
      </c>
      <c r="G5620" s="3" t="s">
        <v>103</v>
      </c>
      <c r="H5620" s="3" t="s">
        <v>192</v>
      </c>
      <c r="I5620" s="3" t="s">
        <v>103</v>
      </c>
    </row>
    <row r="5621" spans="1:9" s="3" customFormat="1" x14ac:dyDescent="0.3">
      <c r="A5621" s="3" t="s">
        <v>25</v>
      </c>
      <c r="B5621" s="3" t="s">
        <v>2138</v>
      </c>
      <c r="C5621" s="3">
        <v>10</v>
      </c>
      <c r="D5621" s="3" t="s">
        <v>402</v>
      </c>
      <c r="E5621" s="3" t="s">
        <v>103</v>
      </c>
      <c r="F5621" s="3" t="s">
        <v>103</v>
      </c>
      <c r="G5621" s="3" t="s">
        <v>103</v>
      </c>
      <c r="H5621" s="3" t="s">
        <v>403</v>
      </c>
      <c r="I5621" s="3" t="s">
        <v>103</v>
      </c>
    </row>
    <row r="5622" spans="1:9" s="3" customFormat="1" x14ac:dyDescent="0.3">
      <c r="A5622" s="3" t="s">
        <v>25</v>
      </c>
      <c r="B5622" s="3" t="s">
        <v>2139</v>
      </c>
      <c r="C5622" s="3">
        <v>2</v>
      </c>
      <c r="D5622" s="3" t="s">
        <v>103</v>
      </c>
      <c r="E5622" s="3" t="s">
        <v>103</v>
      </c>
      <c r="F5622" s="3" t="s">
        <v>103</v>
      </c>
      <c r="G5622" s="3" t="s">
        <v>103</v>
      </c>
      <c r="H5622" s="3" t="s">
        <v>192</v>
      </c>
      <c r="I5622" s="3" t="s">
        <v>103</v>
      </c>
    </row>
    <row r="5623" spans="1:9" s="3" customFormat="1" x14ac:dyDescent="0.3">
      <c r="A5623" s="3" t="s">
        <v>25</v>
      </c>
      <c r="B5623" s="3" t="s">
        <v>2140</v>
      </c>
      <c r="C5623" s="3">
        <v>16</v>
      </c>
      <c r="D5623" s="3" t="s">
        <v>247</v>
      </c>
      <c r="E5623" s="3" t="s">
        <v>103</v>
      </c>
      <c r="F5623" s="3" t="s">
        <v>169</v>
      </c>
      <c r="G5623" s="3" t="s">
        <v>103</v>
      </c>
      <c r="H5623" s="3" t="s">
        <v>992</v>
      </c>
      <c r="I5623" s="3" t="s">
        <v>103</v>
      </c>
    </row>
    <row r="5624" spans="1:9" s="3" customFormat="1" x14ac:dyDescent="0.3">
      <c r="A5624" s="3" t="s">
        <v>25</v>
      </c>
      <c r="B5624" s="3" t="s">
        <v>2141</v>
      </c>
      <c r="C5624" s="3">
        <v>3</v>
      </c>
      <c r="D5624" s="3" t="s">
        <v>103</v>
      </c>
      <c r="E5624" s="3" t="s">
        <v>103</v>
      </c>
      <c r="F5624" s="3" t="s">
        <v>103</v>
      </c>
      <c r="G5624" s="3" t="s">
        <v>103</v>
      </c>
      <c r="H5624" s="3" t="s">
        <v>192</v>
      </c>
      <c r="I5624" s="3" t="s">
        <v>103</v>
      </c>
    </row>
    <row r="5625" spans="1:9" s="3" customFormat="1" x14ac:dyDescent="0.3">
      <c r="A5625" s="3" t="s">
        <v>25</v>
      </c>
      <c r="B5625" s="3" t="s">
        <v>2142</v>
      </c>
      <c r="C5625" s="3">
        <v>11</v>
      </c>
      <c r="D5625" s="3" t="s">
        <v>1203</v>
      </c>
      <c r="E5625" s="3" t="s">
        <v>103</v>
      </c>
      <c r="F5625" s="3" t="s">
        <v>130</v>
      </c>
      <c r="G5625" s="3" t="s">
        <v>103</v>
      </c>
      <c r="H5625" s="3" t="s">
        <v>621</v>
      </c>
      <c r="I5625" s="3" t="s">
        <v>103</v>
      </c>
    </row>
    <row r="5626" spans="1:9" s="3" customFormat="1" x14ac:dyDescent="0.3">
      <c r="A5626" s="3" t="s">
        <v>25</v>
      </c>
      <c r="B5626" s="3" t="s">
        <v>2143</v>
      </c>
      <c r="C5626" s="3">
        <v>3</v>
      </c>
      <c r="D5626" s="3" t="s">
        <v>103</v>
      </c>
      <c r="E5626" s="3" t="s">
        <v>103</v>
      </c>
      <c r="F5626" s="3" t="s">
        <v>103</v>
      </c>
      <c r="G5626" s="3" t="s">
        <v>103</v>
      </c>
      <c r="H5626" s="3" t="s">
        <v>192</v>
      </c>
      <c r="I5626" s="3" t="s">
        <v>103</v>
      </c>
    </row>
    <row r="5627" spans="1:9" x14ac:dyDescent="0.3">
      <c r="A5627" t="s">
        <v>25</v>
      </c>
      <c r="B5627" t="s">
        <v>308</v>
      </c>
      <c r="C5627">
        <v>2</v>
      </c>
      <c r="D5627" t="s">
        <v>103</v>
      </c>
      <c r="E5627" t="s">
        <v>103</v>
      </c>
      <c r="F5627" t="s">
        <v>103</v>
      </c>
      <c r="G5627" t="s">
        <v>103</v>
      </c>
      <c r="H5627" t="s">
        <v>192</v>
      </c>
      <c r="I5627" t="s">
        <v>103</v>
      </c>
    </row>
    <row r="5628" spans="1:9" s="3" customFormat="1" x14ac:dyDescent="0.3">
      <c r="A5628" s="3" t="s">
        <v>26</v>
      </c>
      <c r="B5628" s="3" t="s">
        <v>2138</v>
      </c>
      <c r="C5628" s="3">
        <v>27</v>
      </c>
      <c r="D5628" s="3" t="s">
        <v>816</v>
      </c>
      <c r="E5628" s="3" t="s">
        <v>133</v>
      </c>
      <c r="F5628" s="3" t="s">
        <v>113</v>
      </c>
      <c r="G5628" s="3" t="s">
        <v>103</v>
      </c>
      <c r="H5628" s="3" t="s">
        <v>2103</v>
      </c>
      <c r="I5628" s="3" t="s">
        <v>103</v>
      </c>
    </row>
    <row r="5629" spans="1:9" s="3" customFormat="1" x14ac:dyDescent="0.3">
      <c r="A5629" s="3" t="s">
        <v>26</v>
      </c>
      <c r="B5629" s="3" t="s">
        <v>2139</v>
      </c>
      <c r="C5629" s="3">
        <v>8</v>
      </c>
      <c r="D5629" s="3" t="s">
        <v>103</v>
      </c>
      <c r="E5629" s="3" t="s">
        <v>103</v>
      </c>
      <c r="F5629" s="3" t="s">
        <v>150</v>
      </c>
      <c r="G5629" s="3" t="s">
        <v>103</v>
      </c>
      <c r="H5629" s="3" t="s">
        <v>151</v>
      </c>
      <c r="I5629" s="3" t="s">
        <v>103</v>
      </c>
    </row>
    <row r="5630" spans="1:9" x14ac:dyDescent="0.3">
      <c r="A5630" t="s">
        <v>26</v>
      </c>
      <c r="B5630" t="s">
        <v>2140</v>
      </c>
      <c r="C5630">
        <v>34</v>
      </c>
      <c r="D5630" t="s">
        <v>825</v>
      </c>
      <c r="E5630" t="s">
        <v>103</v>
      </c>
      <c r="F5630" t="s">
        <v>150</v>
      </c>
      <c r="G5630" t="s">
        <v>103</v>
      </c>
      <c r="H5630" t="s">
        <v>417</v>
      </c>
      <c r="I5630" t="s">
        <v>103</v>
      </c>
    </row>
    <row r="5631" spans="1:9" s="3" customFormat="1" x14ac:dyDescent="0.3">
      <c r="A5631" s="3" t="s">
        <v>26</v>
      </c>
      <c r="B5631" s="3" t="s">
        <v>2141</v>
      </c>
      <c r="C5631" s="3">
        <v>7</v>
      </c>
      <c r="D5631" s="3" t="s">
        <v>401</v>
      </c>
      <c r="E5631" s="3" t="s">
        <v>103</v>
      </c>
      <c r="F5631" s="3" t="s">
        <v>103</v>
      </c>
      <c r="G5631" s="3" t="s">
        <v>103</v>
      </c>
      <c r="H5631" s="3" t="s">
        <v>225</v>
      </c>
      <c r="I5631" s="3" t="s">
        <v>103</v>
      </c>
    </row>
    <row r="5632" spans="1:9" s="3" customFormat="1" x14ac:dyDescent="0.3">
      <c r="A5632" s="3" t="s">
        <v>26</v>
      </c>
      <c r="B5632" s="3" t="s">
        <v>2142</v>
      </c>
      <c r="C5632" s="3">
        <v>20</v>
      </c>
      <c r="D5632" s="3" t="s">
        <v>113</v>
      </c>
      <c r="E5632" s="3" t="s">
        <v>103</v>
      </c>
      <c r="F5632" s="3" t="s">
        <v>244</v>
      </c>
      <c r="G5632" s="3" t="s">
        <v>103</v>
      </c>
      <c r="H5632" s="3" t="s">
        <v>903</v>
      </c>
      <c r="I5632" s="3" t="s">
        <v>103</v>
      </c>
    </row>
    <row r="5633" spans="1:9" s="3" customFormat="1" x14ac:dyDescent="0.3">
      <c r="A5633" s="3" t="s">
        <v>26</v>
      </c>
      <c r="B5633" s="3" t="s">
        <v>2143</v>
      </c>
      <c r="C5633" s="3">
        <v>8</v>
      </c>
      <c r="D5633" s="3" t="s">
        <v>1050</v>
      </c>
      <c r="E5633" s="3" t="s">
        <v>103</v>
      </c>
      <c r="F5633" s="3" t="s">
        <v>124</v>
      </c>
      <c r="G5633" s="3" t="s">
        <v>103</v>
      </c>
      <c r="H5633" s="3" t="s">
        <v>395</v>
      </c>
      <c r="I5633" s="3" t="s">
        <v>103</v>
      </c>
    </row>
    <row r="5634" spans="1:9" x14ac:dyDescent="0.3">
      <c r="A5634" t="s">
        <v>26</v>
      </c>
      <c r="B5634" t="s">
        <v>308</v>
      </c>
      <c r="C5634">
        <v>7</v>
      </c>
      <c r="D5634" t="s">
        <v>103</v>
      </c>
      <c r="E5634" t="s">
        <v>103</v>
      </c>
      <c r="F5634" t="s">
        <v>103</v>
      </c>
      <c r="G5634" t="s">
        <v>103</v>
      </c>
      <c r="H5634" t="s">
        <v>192</v>
      </c>
      <c r="I5634" t="s">
        <v>103</v>
      </c>
    </row>
    <row r="5635" spans="1:9" s="3" customFormat="1" x14ac:dyDescent="0.3">
      <c r="A5635" s="3" t="s">
        <v>29</v>
      </c>
      <c r="B5635" s="3" t="s">
        <v>2138</v>
      </c>
      <c r="C5635" s="3">
        <v>6</v>
      </c>
      <c r="D5635" s="3" t="s">
        <v>663</v>
      </c>
      <c r="E5635" s="3" t="s">
        <v>103</v>
      </c>
      <c r="F5635" s="3" t="s">
        <v>103</v>
      </c>
      <c r="G5635" s="3" t="s">
        <v>103</v>
      </c>
      <c r="H5635" s="3" t="s">
        <v>1230</v>
      </c>
      <c r="I5635" s="3" t="s">
        <v>103</v>
      </c>
    </row>
    <row r="5636" spans="1:9" s="3" customFormat="1" x14ac:dyDescent="0.3">
      <c r="A5636" s="3" t="s">
        <v>29</v>
      </c>
      <c r="B5636" s="3" t="s">
        <v>2139</v>
      </c>
      <c r="C5636" s="3">
        <v>1</v>
      </c>
      <c r="D5636" s="3" t="s">
        <v>103</v>
      </c>
      <c r="E5636" s="3" t="s">
        <v>103</v>
      </c>
      <c r="F5636" s="3" t="s">
        <v>103</v>
      </c>
      <c r="G5636" s="3" t="s">
        <v>103</v>
      </c>
      <c r="H5636" s="3" t="s">
        <v>192</v>
      </c>
      <c r="I5636" s="3" t="s">
        <v>103</v>
      </c>
    </row>
    <row r="5637" spans="1:9" s="3" customFormat="1" x14ac:dyDescent="0.3">
      <c r="A5637" s="3" t="s">
        <v>29</v>
      </c>
      <c r="B5637" s="3" t="s">
        <v>2140</v>
      </c>
      <c r="C5637" s="3">
        <v>7</v>
      </c>
      <c r="D5637" s="3" t="s">
        <v>515</v>
      </c>
      <c r="E5637" s="3" t="s">
        <v>103</v>
      </c>
      <c r="F5637" s="3" t="s">
        <v>103</v>
      </c>
      <c r="G5637" s="3" t="s">
        <v>103</v>
      </c>
      <c r="H5637" s="3" t="s">
        <v>1371</v>
      </c>
      <c r="I5637" s="3" t="s">
        <v>103</v>
      </c>
    </row>
    <row r="5638" spans="1:9" s="3" customFormat="1" x14ac:dyDescent="0.3">
      <c r="A5638" s="3" t="s">
        <v>29</v>
      </c>
      <c r="B5638" s="3" t="s">
        <v>2141</v>
      </c>
      <c r="C5638" s="3">
        <v>2</v>
      </c>
      <c r="D5638" s="3" t="s">
        <v>572</v>
      </c>
      <c r="E5638" s="3" t="s">
        <v>103</v>
      </c>
      <c r="F5638" s="3" t="s">
        <v>103</v>
      </c>
      <c r="G5638" s="3" t="s">
        <v>103</v>
      </c>
      <c r="H5638" s="3" t="s">
        <v>1250</v>
      </c>
      <c r="I5638" s="3" t="s">
        <v>103</v>
      </c>
    </row>
    <row r="5639" spans="1:9" s="3" customFormat="1" x14ac:dyDescent="0.3">
      <c r="A5639" s="3" t="s">
        <v>29</v>
      </c>
      <c r="B5639" s="3" t="s">
        <v>2142</v>
      </c>
      <c r="C5639" s="3">
        <v>5</v>
      </c>
      <c r="D5639" s="3" t="s">
        <v>545</v>
      </c>
      <c r="E5639" s="3" t="s">
        <v>103</v>
      </c>
      <c r="F5639" s="3" t="s">
        <v>695</v>
      </c>
      <c r="G5639" s="3" t="s">
        <v>103</v>
      </c>
      <c r="H5639" s="3" t="s">
        <v>661</v>
      </c>
      <c r="I5639" s="3" t="s">
        <v>103</v>
      </c>
    </row>
    <row r="5640" spans="1:9" s="3" customFormat="1" x14ac:dyDescent="0.3">
      <c r="A5640" s="3" t="s">
        <v>28</v>
      </c>
      <c r="B5640" s="3" t="s">
        <v>2144</v>
      </c>
      <c r="C5640" s="3">
        <v>5</v>
      </c>
      <c r="D5640" s="3" t="s">
        <v>192</v>
      </c>
      <c r="E5640" s="3" t="s">
        <v>628</v>
      </c>
      <c r="F5640" s="3" t="s">
        <v>103</v>
      </c>
      <c r="G5640" s="3" t="s">
        <v>103</v>
      </c>
      <c r="H5640" s="3" t="s">
        <v>103</v>
      </c>
      <c r="I5640" s="3" t="s">
        <v>103</v>
      </c>
    </row>
    <row r="5641" spans="1:9" s="3" customFormat="1" x14ac:dyDescent="0.3">
      <c r="A5641" s="3" t="s">
        <v>28</v>
      </c>
      <c r="B5641" s="3" t="s">
        <v>2138</v>
      </c>
      <c r="C5641" s="3">
        <v>9</v>
      </c>
      <c r="D5641" s="3" t="s">
        <v>1138</v>
      </c>
      <c r="E5641" s="3" t="s">
        <v>466</v>
      </c>
      <c r="F5641" s="3" t="s">
        <v>144</v>
      </c>
      <c r="G5641" s="3" t="s">
        <v>103</v>
      </c>
      <c r="H5641" s="3" t="s">
        <v>103</v>
      </c>
      <c r="I5641" s="3" t="s">
        <v>103</v>
      </c>
    </row>
    <row r="5642" spans="1:9" s="3" customFormat="1" x14ac:dyDescent="0.3">
      <c r="A5642" s="3" t="s">
        <v>28</v>
      </c>
      <c r="B5642" s="3" t="s">
        <v>2139</v>
      </c>
      <c r="C5642" s="3">
        <v>3</v>
      </c>
      <c r="D5642" s="3" t="s">
        <v>2108</v>
      </c>
      <c r="E5642" s="3" t="s">
        <v>484</v>
      </c>
      <c r="F5642" s="3" t="s">
        <v>103</v>
      </c>
      <c r="G5642" s="3" t="s">
        <v>103</v>
      </c>
      <c r="H5642" s="3" t="s">
        <v>103</v>
      </c>
      <c r="I5642" s="3" t="s">
        <v>103</v>
      </c>
    </row>
    <row r="5643" spans="1:9" s="3" customFormat="1" x14ac:dyDescent="0.3">
      <c r="A5643" s="3" t="s">
        <v>28</v>
      </c>
      <c r="B5643" s="3" t="s">
        <v>2140</v>
      </c>
      <c r="C5643" s="3">
        <v>9</v>
      </c>
      <c r="D5643" s="3" t="s">
        <v>840</v>
      </c>
      <c r="E5643" s="3" t="s">
        <v>746</v>
      </c>
      <c r="F5643" s="3" t="s">
        <v>104</v>
      </c>
      <c r="G5643" s="3" t="s">
        <v>103</v>
      </c>
      <c r="H5643" s="3" t="s">
        <v>438</v>
      </c>
      <c r="I5643" s="3" t="s">
        <v>103</v>
      </c>
    </row>
    <row r="5644" spans="1:9" s="3" customFormat="1" x14ac:dyDescent="0.3">
      <c r="A5644" s="3" t="s">
        <v>28</v>
      </c>
      <c r="B5644" s="3" t="s">
        <v>2141</v>
      </c>
      <c r="C5644" s="3">
        <v>2</v>
      </c>
      <c r="D5644" s="3" t="s">
        <v>192</v>
      </c>
      <c r="E5644" s="3" t="s">
        <v>103</v>
      </c>
      <c r="F5644" s="3" t="s">
        <v>103</v>
      </c>
      <c r="G5644" s="3" t="s">
        <v>103</v>
      </c>
      <c r="H5644" s="3" t="s">
        <v>103</v>
      </c>
      <c r="I5644" s="3" t="s">
        <v>103</v>
      </c>
    </row>
    <row r="5645" spans="1:9" s="3" customFormat="1" x14ac:dyDescent="0.3">
      <c r="A5645" s="3" t="s">
        <v>28</v>
      </c>
      <c r="B5645" s="3" t="s">
        <v>2142</v>
      </c>
      <c r="C5645" s="3">
        <v>13</v>
      </c>
      <c r="D5645" s="3" t="s">
        <v>192</v>
      </c>
      <c r="E5645" s="3" t="s">
        <v>103</v>
      </c>
      <c r="F5645" s="3" t="s">
        <v>103</v>
      </c>
      <c r="G5645" s="3" t="s">
        <v>103</v>
      </c>
      <c r="H5645" s="3" t="s">
        <v>103</v>
      </c>
      <c r="I5645" s="3" t="s">
        <v>103</v>
      </c>
    </row>
    <row r="5646" spans="1:9" s="3" customFormat="1" x14ac:dyDescent="0.3">
      <c r="A5646" s="3" t="s">
        <v>28</v>
      </c>
      <c r="B5646" s="3" t="s">
        <v>2143</v>
      </c>
      <c r="C5646" s="3">
        <v>2</v>
      </c>
      <c r="D5646" s="3" t="s">
        <v>192</v>
      </c>
      <c r="E5646" s="3" t="s">
        <v>103</v>
      </c>
      <c r="F5646" s="3" t="s">
        <v>103</v>
      </c>
      <c r="G5646" s="3" t="s">
        <v>103</v>
      </c>
      <c r="H5646" s="3" t="s">
        <v>103</v>
      </c>
      <c r="I5646" s="3" t="s">
        <v>103</v>
      </c>
    </row>
    <row r="5647" spans="1:9" s="3" customFormat="1" x14ac:dyDescent="0.3">
      <c r="A5647" s="3" t="s">
        <v>27</v>
      </c>
      <c r="B5647" s="3" t="s">
        <v>2138</v>
      </c>
      <c r="C5647" s="3">
        <v>9</v>
      </c>
      <c r="D5647" s="3" t="s">
        <v>724</v>
      </c>
      <c r="E5647" s="3" t="s">
        <v>103</v>
      </c>
      <c r="F5647" s="3" t="s">
        <v>103</v>
      </c>
      <c r="G5647" s="3" t="s">
        <v>103</v>
      </c>
      <c r="H5647" s="3" t="s">
        <v>547</v>
      </c>
      <c r="I5647" s="3" t="s">
        <v>103</v>
      </c>
    </row>
    <row r="5648" spans="1:9" s="3" customFormat="1" x14ac:dyDescent="0.3">
      <c r="A5648" s="3" t="s">
        <v>27</v>
      </c>
      <c r="B5648" s="3" t="s">
        <v>2139</v>
      </c>
      <c r="C5648" s="3">
        <v>5</v>
      </c>
      <c r="D5648" s="3" t="s">
        <v>367</v>
      </c>
      <c r="E5648" s="3" t="s">
        <v>103</v>
      </c>
      <c r="F5648" s="3" t="s">
        <v>234</v>
      </c>
      <c r="G5648" s="3" t="s">
        <v>103</v>
      </c>
      <c r="H5648" s="3" t="s">
        <v>440</v>
      </c>
      <c r="I5648" s="3" t="s">
        <v>103</v>
      </c>
    </row>
    <row r="5649" spans="1:9" s="3" customFormat="1" x14ac:dyDescent="0.3">
      <c r="A5649" s="3" t="s">
        <v>27</v>
      </c>
      <c r="B5649" s="3" t="s">
        <v>2140</v>
      </c>
      <c r="C5649" s="3">
        <v>16</v>
      </c>
      <c r="D5649" s="3" t="s">
        <v>823</v>
      </c>
      <c r="E5649" s="3" t="s">
        <v>103</v>
      </c>
      <c r="F5649" s="3" t="s">
        <v>103</v>
      </c>
      <c r="G5649" s="3" t="s">
        <v>103</v>
      </c>
      <c r="H5649" s="3" t="s">
        <v>409</v>
      </c>
      <c r="I5649" s="3" t="s">
        <v>232</v>
      </c>
    </row>
    <row r="5650" spans="1:9" s="3" customFormat="1" x14ac:dyDescent="0.3">
      <c r="A5650" s="3" t="s">
        <v>27</v>
      </c>
      <c r="B5650" s="3" t="s">
        <v>2141</v>
      </c>
      <c r="C5650" s="3">
        <v>5</v>
      </c>
      <c r="D5650" s="3" t="s">
        <v>663</v>
      </c>
      <c r="E5650" s="3" t="s">
        <v>103</v>
      </c>
      <c r="F5650" s="3" t="s">
        <v>1093</v>
      </c>
      <c r="G5650" s="3" t="s">
        <v>103</v>
      </c>
      <c r="H5650" s="3" t="s">
        <v>542</v>
      </c>
      <c r="I5650" s="3" t="s">
        <v>103</v>
      </c>
    </row>
    <row r="5651" spans="1:9" s="3" customFormat="1" x14ac:dyDescent="0.3">
      <c r="A5651" s="3" t="s">
        <v>27</v>
      </c>
      <c r="B5651" s="3" t="s">
        <v>2142</v>
      </c>
      <c r="C5651" s="3">
        <v>29</v>
      </c>
      <c r="D5651" s="3" t="s">
        <v>1279</v>
      </c>
      <c r="E5651" s="3" t="s">
        <v>103</v>
      </c>
      <c r="F5651" s="3" t="s">
        <v>103</v>
      </c>
      <c r="G5651" s="3" t="s">
        <v>103</v>
      </c>
      <c r="H5651" s="3" t="s">
        <v>443</v>
      </c>
      <c r="I5651" s="3" t="s">
        <v>103</v>
      </c>
    </row>
    <row r="5652" spans="1:9" s="3" customFormat="1" x14ac:dyDescent="0.3">
      <c r="A5652" s="3" t="s">
        <v>27</v>
      </c>
      <c r="B5652" s="3" t="s">
        <v>2143</v>
      </c>
      <c r="C5652" s="3">
        <v>3</v>
      </c>
      <c r="D5652" s="3" t="s">
        <v>1050</v>
      </c>
      <c r="E5652" s="3" t="s">
        <v>103</v>
      </c>
      <c r="F5652" s="3" t="s">
        <v>103</v>
      </c>
      <c r="G5652" s="3" t="s">
        <v>103</v>
      </c>
      <c r="H5652" s="3" t="s">
        <v>831</v>
      </c>
      <c r="I5652" s="3" t="s">
        <v>103</v>
      </c>
    </row>
    <row r="5653" spans="1:9" x14ac:dyDescent="0.3">
      <c r="A5653" t="s">
        <v>27</v>
      </c>
      <c r="B5653" t="s">
        <v>308</v>
      </c>
      <c r="C5653">
        <v>2</v>
      </c>
      <c r="D5653" t="s">
        <v>422</v>
      </c>
      <c r="E5653" t="s">
        <v>103</v>
      </c>
      <c r="F5653" t="s">
        <v>103</v>
      </c>
      <c r="G5653" t="s">
        <v>103</v>
      </c>
      <c r="H5653" t="s">
        <v>423</v>
      </c>
      <c r="I5653" t="s">
        <v>103</v>
      </c>
    </row>
    <row r="5654" spans="1:9" s="3" customFormat="1" x14ac:dyDescent="0.3">
      <c r="A5654" s="3" t="s">
        <v>41</v>
      </c>
      <c r="B5654" s="3" t="s">
        <v>2137</v>
      </c>
      <c r="C5654" s="3">
        <v>1</v>
      </c>
      <c r="D5654" s="3" t="s">
        <v>103</v>
      </c>
      <c r="E5654" s="3" t="s">
        <v>103</v>
      </c>
      <c r="F5654" s="3" t="s">
        <v>103</v>
      </c>
      <c r="G5654" s="3" t="s">
        <v>103</v>
      </c>
      <c r="H5654" s="3" t="s">
        <v>192</v>
      </c>
      <c r="I5654" s="3" t="s">
        <v>103</v>
      </c>
    </row>
    <row r="5655" spans="1:9" s="3" customFormat="1" x14ac:dyDescent="0.3">
      <c r="A5655" s="3" t="s">
        <v>41</v>
      </c>
      <c r="B5655" s="3" t="s">
        <v>2144</v>
      </c>
      <c r="C5655" s="3">
        <v>5</v>
      </c>
      <c r="D5655" s="3" t="s">
        <v>192</v>
      </c>
      <c r="E5655" s="3" t="s">
        <v>628</v>
      </c>
      <c r="F5655" s="3" t="s">
        <v>103</v>
      </c>
      <c r="G5655" s="3" t="s">
        <v>103</v>
      </c>
      <c r="H5655" s="3" t="s">
        <v>103</v>
      </c>
      <c r="I5655" s="3" t="s">
        <v>103</v>
      </c>
    </row>
    <row r="5656" spans="1:9" x14ac:dyDescent="0.3">
      <c r="A5656" t="s">
        <v>41</v>
      </c>
      <c r="B5656" t="s">
        <v>2138</v>
      </c>
      <c r="C5656">
        <v>61</v>
      </c>
      <c r="D5656" t="s">
        <v>498</v>
      </c>
      <c r="E5656" t="s">
        <v>272</v>
      </c>
      <c r="F5656" t="s">
        <v>270</v>
      </c>
      <c r="G5656" t="s">
        <v>103</v>
      </c>
      <c r="H5656" t="s">
        <v>1068</v>
      </c>
      <c r="I5656" t="s">
        <v>103</v>
      </c>
    </row>
    <row r="5657" spans="1:9" s="3" customFormat="1" x14ac:dyDescent="0.3">
      <c r="A5657" s="3" t="s">
        <v>41</v>
      </c>
      <c r="B5657" s="3" t="s">
        <v>2139</v>
      </c>
      <c r="C5657" s="3">
        <v>19</v>
      </c>
      <c r="D5657" s="3" t="s">
        <v>737</v>
      </c>
      <c r="E5657" s="3" t="s">
        <v>194</v>
      </c>
      <c r="F5657" s="3" t="s">
        <v>123</v>
      </c>
      <c r="G5657" s="3" t="s">
        <v>103</v>
      </c>
      <c r="H5657" s="3" t="s">
        <v>603</v>
      </c>
      <c r="I5657" s="3" t="s">
        <v>103</v>
      </c>
    </row>
    <row r="5658" spans="1:9" x14ac:dyDescent="0.3">
      <c r="A5658" t="s">
        <v>41</v>
      </c>
      <c r="B5658" t="s">
        <v>2140</v>
      </c>
      <c r="C5658">
        <v>82</v>
      </c>
      <c r="D5658" t="s">
        <v>250</v>
      </c>
      <c r="E5658" t="s">
        <v>98</v>
      </c>
      <c r="F5658" t="s">
        <v>629</v>
      </c>
      <c r="G5658" t="s">
        <v>103</v>
      </c>
      <c r="H5658" t="s">
        <v>260</v>
      </c>
      <c r="I5658" t="s">
        <v>97</v>
      </c>
    </row>
    <row r="5659" spans="1:9" s="3" customFormat="1" x14ac:dyDescent="0.3">
      <c r="A5659" s="3" t="s">
        <v>41</v>
      </c>
      <c r="B5659" s="3" t="s">
        <v>2141</v>
      </c>
      <c r="C5659" s="3">
        <v>19</v>
      </c>
      <c r="D5659" s="3" t="s">
        <v>453</v>
      </c>
      <c r="E5659" s="3" t="s">
        <v>103</v>
      </c>
      <c r="F5659" s="3" t="s">
        <v>201</v>
      </c>
      <c r="G5659" s="3" t="s">
        <v>103</v>
      </c>
      <c r="H5659" s="3" t="s">
        <v>1394</v>
      </c>
      <c r="I5659" s="3" t="s">
        <v>103</v>
      </c>
    </row>
    <row r="5660" spans="1:9" x14ac:dyDescent="0.3">
      <c r="A5660" t="s">
        <v>41</v>
      </c>
      <c r="B5660" t="s">
        <v>2142</v>
      </c>
      <c r="C5660">
        <v>78</v>
      </c>
      <c r="D5660" t="s">
        <v>541</v>
      </c>
      <c r="E5660" t="s">
        <v>103</v>
      </c>
      <c r="F5660" t="s">
        <v>146</v>
      </c>
      <c r="G5660" t="s">
        <v>103</v>
      </c>
      <c r="H5660" t="s">
        <v>748</v>
      </c>
      <c r="I5660" t="s">
        <v>103</v>
      </c>
    </row>
    <row r="5661" spans="1:9" s="3" customFormat="1" x14ac:dyDescent="0.3">
      <c r="A5661" s="3" t="s">
        <v>41</v>
      </c>
      <c r="B5661" s="3" t="s">
        <v>2143</v>
      </c>
      <c r="C5661" s="3">
        <v>16</v>
      </c>
      <c r="D5661" s="3" t="s">
        <v>259</v>
      </c>
      <c r="E5661" s="3" t="s">
        <v>103</v>
      </c>
      <c r="F5661" s="3" t="s">
        <v>114</v>
      </c>
      <c r="G5661" s="3" t="s">
        <v>103</v>
      </c>
      <c r="H5661" s="3" t="s">
        <v>823</v>
      </c>
      <c r="I5661" s="3" t="s">
        <v>103</v>
      </c>
    </row>
    <row r="5662" spans="1:9" x14ac:dyDescent="0.3">
      <c r="A5662" t="s">
        <v>41</v>
      </c>
      <c r="B5662" t="s">
        <v>308</v>
      </c>
      <c r="C5662">
        <v>11</v>
      </c>
      <c r="D5662" t="s">
        <v>68</v>
      </c>
      <c r="E5662" t="s">
        <v>103</v>
      </c>
      <c r="F5662" t="s">
        <v>103</v>
      </c>
      <c r="G5662" t="s">
        <v>103</v>
      </c>
      <c r="H5662" t="s">
        <v>69</v>
      </c>
      <c r="I5662" t="s">
        <v>103</v>
      </c>
    </row>
    <row r="5664" spans="1:9" x14ac:dyDescent="0.3">
      <c r="A5664" t="s">
        <v>2145</v>
      </c>
    </row>
    <row r="5665" spans="1:12" x14ac:dyDescent="0.3">
      <c r="A5665" t="s">
        <v>36</v>
      </c>
      <c r="B5665" t="s">
        <v>24</v>
      </c>
      <c r="C5665" t="s">
        <v>2146</v>
      </c>
      <c r="D5665" t="s">
        <v>2147</v>
      </c>
      <c r="E5665" t="s">
        <v>2148</v>
      </c>
      <c r="F5665" t="s">
        <v>2149</v>
      </c>
      <c r="G5665" t="s">
        <v>2150</v>
      </c>
      <c r="H5665" t="s">
        <v>2151</v>
      </c>
      <c r="I5665" t="s">
        <v>183</v>
      </c>
      <c r="J5665" t="s">
        <v>87</v>
      </c>
      <c r="K5665" t="s">
        <v>181</v>
      </c>
    </row>
    <row r="5666" spans="1:12" x14ac:dyDescent="0.3">
      <c r="A5666" t="s">
        <v>25</v>
      </c>
      <c r="B5666">
        <v>414</v>
      </c>
      <c r="C5666" t="s">
        <v>611</v>
      </c>
      <c r="D5666" t="s">
        <v>278</v>
      </c>
      <c r="E5666" t="s">
        <v>116</v>
      </c>
      <c r="F5666" t="s">
        <v>103</v>
      </c>
      <c r="G5666" t="s">
        <v>103</v>
      </c>
      <c r="H5666" t="s">
        <v>103</v>
      </c>
      <c r="I5666" t="s">
        <v>122</v>
      </c>
      <c r="J5666" t="s">
        <v>103</v>
      </c>
      <c r="K5666" t="s">
        <v>103</v>
      </c>
    </row>
    <row r="5667" spans="1:12" x14ac:dyDescent="0.3">
      <c r="A5667" t="s">
        <v>26</v>
      </c>
      <c r="B5667">
        <v>477</v>
      </c>
      <c r="C5667" t="s">
        <v>837</v>
      </c>
      <c r="D5667" t="s">
        <v>93</v>
      </c>
      <c r="E5667" t="s">
        <v>91</v>
      </c>
      <c r="F5667" t="s">
        <v>103</v>
      </c>
      <c r="G5667" t="s">
        <v>103</v>
      </c>
      <c r="H5667" t="s">
        <v>103</v>
      </c>
      <c r="I5667" t="s">
        <v>139</v>
      </c>
      <c r="J5667" t="s">
        <v>103</v>
      </c>
      <c r="K5667" t="s">
        <v>66</v>
      </c>
    </row>
    <row r="5668" spans="1:12" x14ac:dyDescent="0.3">
      <c r="A5668" t="s">
        <v>29</v>
      </c>
      <c r="B5668">
        <v>530</v>
      </c>
      <c r="C5668" t="s">
        <v>851</v>
      </c>
      <c r="D5668" t="s">
        <v>460</v>
      </c>
      <c r="E5668" t="s">
        <v>438</v>
      </c>
      <c r="F5668" t="s">
        <v>103</v>
      </c>
      <c r="G5668" t="s">
        <v>103</v>
      </c>
      <c r="H5668" t="s">
        <v>66</v>
      </c>
      <c r="I5668" t="s">
        <v>120</v>
      </c>
      <c r="J5668" t="s">
        <v>116</v>
      </c>
      <c r="K5668" t="s">
        <v>103</v>
      </c>
    </row>
    <row r="5669" spans="1:12" x14ac:dyDescent="0.3">
      <c r="A5669" t="s">
        <v>28</v>
      </c>
      <c r="B5669">
        <v>317</v>
      </c>
      <c r="C5669" t="s">
        <v>871</v>
      </c>
      <c r="D5669" t="s">
        <v>126</v>
      </c>
      <c r="E5669" t="s">
        <v>103</v>
      </c>
      <c r="F5669" t="s">
        <v>122</v>
      </c>
      <c r="G5669" t="s">
        <v>103</v>
      </c>
      <c r="H5669" t="s">
        <v>122</v>
      </c>
      <c r="I5669" t="s">
        <v>122</v>
      </c>
      <c r="J5669" t="s">
        <v>103</v>
      </c>
      <c r="K5669" t="s">
        <v>103</v>
      </c>
    </row>
    <row r="5670" spans="1:12" x14ac:dyDescent="0.3">
      <c r="A5670" t="s">
        <v>27</v>
      </c>
      <c r="B5670">
        <v>300</v>
      </c>
      <c r="C5670" t="s">
        <v>280</v>
      </c>
      <c r="D5670" t="s">
        <v>113</v>
      </c>
      <c r="E5670" t="s">
        <v>282</v>
      </c>
      <c r="F5670" t="s">
        <v>103</v>
      </c>
      <c r="G5670" t="s">
        <v>103</v>
      </c>
      <c r="H5670" t="s">
        <v>116</v>
      </c>
      <c r="I5670" t="s">
        <v>245</v>
      </c>
      <c r="J5670" t="s">
        <v>239</v>
      </c>
      <c r="K5670" t="s">
        <v>122</v>
      </c>
    </row>
    <row r="5671" spans="1:12" x14ac:dyDescent="0.3">
      <c r="A5671" t="s">
        <v>41</v>
      </c>
      <c r="B5671">
        <v>2038</v>
      </c>
      <c r="C5671" t="s">
        <v>991</v>
      </c>
      <c r="D5671" t="s">
        <v>112</v>
      </c>
      <c r="E5671" t="s">
        <v>245</v>
      </c>
      <c r="F5671" t="s">
        <v>103</v>
      </c>
      <c r="G5671" t="s">
        <v>103</v>
      </c>
      <c r="H5671" t="s">
        <v>91</v>
      </c>
      <c r="I5671" t="s">
        <v>95</v>
      </c>
      <c r="J5671" t="s">
        <v>66</v>
      </c>
      <c r="K5671" t="s">
        <v>91</v>
      </c>
    </row>
    <row r="5673" spans="1:12" x14ac:dyDescent="0.3">
      <c r="A5673" t="s">
        <v>2152</v>
      </c>
    </row>
    <row r="5674" spans="1:12" x14ac:dyDescent="0.3">
      <c r="A5674" t="s">
        <v>36</v>
      </c>
      <c r="B5674" t="s">
        <v>307</v>
      </c>
      <c r="C5674" t="s">
        <v>24</v>
      </c>
      <c r="D5674" t="s">
        <v>2146</v>
      </c>
      <c r="E5674" t="s">
        <v>2147</v>
      </c>
      <c r="F5674" t="s">
        <v>2148</v>
      </c>
      <c r="G5674" t="s">
        <v>2149</v>
      </c>
      <c r="H5674" t="s">
        <v>2150</v>
      </c>
      <c r="I5674" t="s">
        <v>2151</v>
      </c>
      <c r="J5674" t="s">
        <v>183</v>
      </c>
      <c r="K5674" t="s">
        <v>87</v>
      </c>
      <c r="L5674" t="s">
        <v>181</v>
      </c>
    </row>
    <row r="5675" spans="1:12" x14ac:dyDescent="0.3">
      <c r="A5675" t="s">
        <v>25</v>
      </c>
      <c r="B5675" t="s">
        <v>291</v>
      </c>
      <c r="C5675">
        <v>156</v>
      </c>
      <c r="D5675" t="s">
        <v>283</v>
      </c>
      <c r="E5675" t="s">
        <v>460</v>
      </c>
      <c r="F5675" t="s">
        <v>139</v>
      </c>
      <c r="G5675" t="s">
        <v>103</v>
      </c>
      <c r="H5675" t="s">
        <v>103</v>
      </c>
      <c r="I5675" t="s">
        <v>103</v>
      </c>
      <c r="J5675" t="s">
        <v>95</v>
      </c>
      <c r="K5675" t="s">
        <v>103</v>
      </c>
      <c r="L5675" t="s">
        <v>103</v>
      </c>
    </row>
    <row r="5676" spans="1:12" x14ac:dyDescent="0.3">
      <c r="A5676" t="s">
        <v>25</v>
      </c>
      <c r="B5676" t="s">
        <v>292</v>
      </c>
      <c r="C5676">
        <v>254</v>
      </c>
      <c r="D5676" t="s">
        <v>1173</v>
      </c>
      <c r="E5676" t="s">
        <v>114</v>
      </c>
      <c r="F5676" t="s">
        <v>103</v>
      </c>
      <c r="G5676" t="s">
        <v>103</v>
      </c>
      <c r="H5676" t="s">
        <v>103</v>
      </c>
      <c r="I5676" t="s">
        <v>103</v>
      </c>
      <c r="J5676" t="s">
        <v>116</v>
      </c>
      <c r="K5676" t="s">
        <v>103</v>
      </c>
      <c r="L5676" t="s">
        <v>103</v>
      </c>
    </row>
    <row r="5677" spans="1:12" x14ac:dyDescent="0.3">
      <c r="A5677" t="s">
        <v>25</v>
      </c>
      <c r="B5677" t="s">
        <v>308</v>
      </c>
      <c r="C5677">
        <v>4</v>
      </c>
      <c r="D5677" t="s">
        <v>192</v>
      </c>
      <c r="E5677" t="s">
        <v>103</v>
      </c>
      <c r="F5677" t="s">
        <v>103</v>
      </c>
      <c r="G5677" t="s">
        <v>103</v>
      </c>
      <c r="H5677" t="s">
        <v>103</v>
      </c>
      <c r="I5677" t="s">
        <v>103</v>
      </c>
      <c r="J5677" t="s">
        <v>103</v>
      </c>
      <c r="K5677" t="s">
        <v>103</v>
      </c>
      <c r="L5677" t="s">
        <v>103</v>
      </c>
    </row>
    <row r="5678" spans="1:12" x14ac:dyDescent="0.3">
      <c r="A5678" t="s">
        <v>26</v>
      </c>
      <c r="B5678" t="s">
        <v>291</v>
      </c>
      <c r="C5678">
        <v>122</v>
      </c>
      <c r="D5678" t="s">
        <v>882</v>
      </c>
      <c r="E5678" t="s">
        <v>114</v>
      </c>
      <c r="F5678" t="s">
        <v>103</v>
      </c>
      <c r="G5678" t="s">
        <v>103</v>
      </c>
      <c r="H5678" t="s">
        <v>103</v>
      </c>
      <c r="I5678" t="s">
        <v>103</v>
      </c>
      <c r="J5678" t="s">
        <v>272</v>
      </c>
      <c r="K5678" t="s">
        <v>103</v>
      </c>
      <c r="L5678" t="s">
        <v>95</v>
      </c>
    </row>
    <row r="5679" spans="1:12" x14ac:dyDescent="0.3">
      <c r="A5679" t="s">
        <v>26</v>
      </c>
      <c r="B5679" t="s">
        <v>292</v>
      </c>
      <c r="C5679">
        <v>352</v>
      </c>
      <c r="D5679" t="s">
        <v>340</v>
      </c>
      <c r="E5679" t="s">
        <v>216</v>
      </c>
      <c r="F5679" t="s">
        <v>66</v>
      </c>
      <c r="G5679" t="s">
        <v>103</v>
      </c>
      <c r="H5679" t="s">
        <v>103</v>
      </c>
      <c r="I5679" t="s">
        <v>103</v>
      </c>
      <c r="J5679" t="s">
        <v>103</v>
      </c>
      <c r="K5679" t="s">
        <v>103</v>
      </c>
      <c r="L5679" t="s">
        <v>103</v>
      </c>
    </row>
    <row r="5680" spans="1:12" x14ac:dyDescent="0.3">
      <c r="A5680" t="s">
        <v>26</v>
      </c>
      <c r="B5680" t="s">
        <v>308</v>
      </c>
      <c r="C5680">
        <v>3</v>
      </c>
      <c r="D5680" t="s">
        <v>192</v>
      </c>
      <c r="E5680" t="s">
        <v>103</v>
      </c>
      <c r="F5680" t="s">
        <v>103</v>
      </c>
      <c r="G5680" t="s">
        <v>103</v>
      </c>
      <c r="H5680" t="s">
        <v>103</v>
      </c>
      <c r="I5680" t="s">
        <v>103</v>
      </c>
      <c r="J5680" t="s">
        <v>103</v>
      </c>
      <c r="K5680" t="s">
        <v>103</v>
      </c>
      <c r="L5680" t="s">
        <v>103</v>
      </c>
    </row>
    <row r="5681" spans="1:12" x14ac:dyDescent="0.3">
      <c r="A5681" t="s">
        <v>29</v>
      </c>
      <c r="B5681" t="s">
        <v>291</v>
      </c>
      <c r="C5681">
        <v>205</v>
      </c>
      <c r="D5681" t="s">
        <v>170</v>
      </c>
      <c r="E5681" t="s">
        <v>137</v>
      </c>
      <c r="F5681" t="s">
        <v>214</v>
      </c>
      <c r="G5681" t="s">
        <v>103</v>
      </c>
      <c r="H5681" t="s">
        <v>103</v>
      </c>
      <c r="I5681" t="s">
        <v>103</v>
      </c>
      <c r="J5681" t="s">
        <v>98</v>
      </c>
      <c r="K5681" t="s">
        <v>116</v>
      </c>
      <c r="L5681" t="s">
        <v>103</v>
      </c>
    </row>
    <row r="5682" spans="1:12" x14ac:dyDescent="0.3">
      <c r="A5682" t="s">
        <v>29</v>
      </c>
      <c r="B5682" t="s">
        <v>292</v>
      </c>
      <c r="C5682">
        <v>325</v>
      </c>
      <c r="D5682" t="s">
        <v>882</v>
      </c>
      <c r="E5682" t="s">
        <v>452</v>
      </c>
      <c r="F5682" t="s">
        <v>217</v>
      </c>
      <c r="G5682" t="s">
        <v>103</v>
      </c>
      <c r="H5682" t="s">
        <v>103</v>
      </c>
      <c r="I5682" t="s">
        <v>116</v>
      </c>
      <c r="J5682" t="s">
        <v>97</v>
      </c>
      <c r="K5682" t="s">
        <v>66</v>
      </c>
      <c r="L5682" t="s">
        <v>103</v>
      </c>
    </row>
    <row r="5683" spans="1:12" x14ac:dyDescent="0.3">
      <c r="A5683" t="s">
        <v>28</v>
      </c>
      <c r="B5683" t="s">
        <v>291</v>
      </c>
      <c r="C5683">
        <v>114</v>
      </c>
      <c r="D5683" t="s">
        <v>721</v>
      </c>
      <c r="E5683" t="s">
        <v>164</v>
      </c>
      <c r="F5683" t="s">
        <v>103</v>
      </c>
      <c r="G5683" t="s">
        <v>98</v>
      </c>
      <c r="H5683" t="s">
        <v>103</v>
      </c>
      <c r="I5683" t="s">
        <v>98</v>
      </c>
      <c r="J5683" t="s">
        <v>98</v>
      </c>
      <c r="K5683" t="s">
        <v>103</v>
      </c>
      <c r="L5683" t="s">
        <v>103</v>
      </c>
    </row>
    <row r="5684" spans="1:12" x14ac:dyDescent="0.3">
      <c r="A5684" t="s">
        <v>28</v>
      </c>
      <c r="B5684" t="s">
        <v>292</v>
      </c>
      <c r="C5684">
        <v>191</v>
      </c>
      <c r="D5684" t="s">
        <v>1173</v>
      </c>
      <c r="E5684" t="s">
        <v>107</v>
      </c>
      <c r="F5684" t="s">
        <v>103</v>
      </c>
      <c r="G5684" t="s">
        <v>103</v>
      </c>
      <c r="H5684" t="s">
        <v>103</v>
      </c>
      <c r="I5684" t="s">
        <v>103</v>
      </c>
      <c r="J5684" t="s">
        <v>103</v>
      </c>
      <c r="K5684" t="s">
        <v>103</v>
      </c>
      <c r="L5684" t="s">
        <v>103</v>
      </c>
    </row>
    <row r="5685" spans="1:12" x14ac:dyDescent="0.3">
      <c r="A5685" t="s">
        <v>28</v>
      </c>
      <c r="B5685" t="s">
        <v>308</v>
      </c>
      <c r="C5685">
        <v>12</v>
      </c>
      <c r="D5685" t="s">
        <v>1509</v>
      </c>
      <c r="E5685" t="s">
        <v>205</v>
      </c>
      <c r="F5685" t="s">
        <v>103</v>
      </c>
      <c r="G5685" t="s">
        <v>103</v>
      </c>
      <c r="H5685" t="s">
        <v>103</v>
      </c>
      <c r="I5685" t="s">
        <v>103</v>
      </c>
      <c r="J5685" t="s">
        <v>103</v>
      </c>
      <c r="K5685" t="s">
        <v>103</v>
      </c>
      <c r="L5685" t="s">
        <v>103</v>
      </c>
    </row>
    <row r="5686" spans="1:12" x14ac:dyDescent="0.3">
      <c r="A5686" t="s">
        <v>27</v>
      </c>
      <c r="B5686" t="s">
        <v>291</v>
      </c>
      <c r="C5686">
        <v>95</v>
      </c>
      <c r="D5686" t="s">
        <v>1359</v>
      </c>
      <c r="E5686" t="s">
        <v>543</v>
      </c>
      <c r="F5686" t="s">
        <v>257</v>
      </c>
      <c r="G5686" t="s">
        <v>103</v>
      </c>
      <c r="H5686" t="s">
        <v>103</v>
      </c>
      <c r="I5686" t="s">
        <v>103</v>
      </c>
      <c r="J5686" t="s">
        <v>452</v>
      </c>
      <c r="K5686" t="s">
        <v>112</v>
      </c>
      <c r="L5686" t="s">
        <v>103</v>
      </c>
    </row>
    <row r="5687" spans="1:12" x14ac:dyDescent="0.3">
      <c r="A5687" t="s">
        <v>27</v>
      </c>
      <c r="B5687" t="s">
        <v>292</v>
      </c>
      <c r="C5687">
        <v>198</v>
      </c>
      <c r="D5687" t="s">
        <v>867</v>
      </c>
      <c r="E5687" t="s">
        <v>208</v>
      </c>
      <c r="F5687" t="s">
        <v>97</v>
      </c>
      <c r="G5687" t="s">
        <v>103</v>
      </c>
      <c r="H5687" t="s">
        <v>103</v>
      </c>
      <c r="I5687" t="s">
        <v>97</v>
      </c>
      <c r="J5687" t="s">
        <v>103</v>
      </c>
      <c r="K5687" t="s">
        <v>103</v>
      </c>
      <c r="L5687" t="s">
        <v>120</v>
      </c>
    </row>
    <row r="5688" spans="1:12" x14ac:dyDescent="0.3">
      <c r="A5688" t="s">
        <v>27</v>
      </c>
      <c r="B5688" t="s">
        <v>308</v>
      </c>
      <c r="C5688">
        <v>7</v>
      </c>
      <c r="D5688" t="s">
        <v>192</v>
      </c>
      <c r="E5688" t="s">
        <v>103</v>
      </c>
      <c r="F5688" t="s">
        <v>103</v>
      </c>
      <c r="G5688" t="s">
        <v>103</v>
      </c>
      <c r="H5688" t="s">
        <v>103</v>
      </c>
      <c r="I5688" t="s">
        <v>103</v>
      </c>
      <c r="J5688" t="s">
        <v>103</v>
      </c>
      <c r="K5688" t="s">
        <v>103</v>
      </c>
      <c r="L5688" t="s">
        <v>103</v>
      </c>
    </row>
    <row r="5689" spans="1:12" x14ac:dyDescent="0.3">
      <c r="A5689" t="s">
        <v>41</v>
      </c>
      <c r="B5689" t="s">
        <v>291</v>
      </c>
      <c r="C5689">
        <v>692</v>
      </c>
      <c r="D5689" t="s">
        <v>147</v>
      </c>
      <c r="E5689" t="s">
        <v>242</v>
      </c>
      <c r="F5689" t="s">
        <v>266</v>
      </c>
      <c r="G5689" t="s">
        <v>103</v>
      </c>
      <c r="H5689" t="s">
        <v>103</v>
      </c>
      <c r="I5689" t="s">
        <v>103</v>
      </c>
      <c r="J5689" t="s">
        <v>239</v>
      </c>
      <c r="K5689" t="s">
        <v>122</v>
      </c>
      <c r="L5689" t="s">
        <v>91</v>
      </c>
    </row>
    <row r="5690" spans="1:12" x14ac:dyDescent="0.3">
      <c r="A5690" t="s">
        <v>41</v>
      </c>
      <c r="B5690" t="s">
        <v>292</v>
      </c>
      <c r="C5690">
        <v>1320</v>
      </c>
      <c r="D5690" t="s">
        <v>213</v>
      </c>
      <c r="E5690" t="s">
        <v>186</v>
      </c>
      <c r="F5690" t="s">
        <v>468</v>
      </c>
      <c r="G5690" t="s">
        <v>103</v>
      </c>
      <c r="H5690" t="s">
        <v>103</v>
      </c>
      <c r="I5690" t="s">
        <v>91</v>
      </c>
      <c r="J5690" t="s">
        <v>116</v>
      </c>
      <c r="K5690" t="s">
        <v>91</v>
      </c>
      <c r="L5690" t="s">
        <v>103</v>
      </c>
    </row>
    <row r="5691" spans="1:12" x14ac:dyDescent="0.3">
      <c r="A5691" t="s">
        <v>41</v>
      </c>
      <c r="B5691" t="s">
        <v>308</v>
      </c>
      <c r="C5691">
        <v>26</v>
      </c>
      <c r="D5691" t="s">
        <v>852</v>
      </c>
      <c r="E5691" t="s">
        <v>128</v>
      </c>
      <c r="F5691" t="s">
        <v>103</v>
      </c>
      <c r="G5691" t="s">
        <v>103</v>
      </c>
      <c r="H5691" t="s">
        <v>103</v>
      </c>
      <c r="I5691" t="s">
        <v>103</v>
      </c>
      <c r="J5691" t="s">
        <v>103</v>
      </c>
      <c r="K5691" t="s">
        <v>103</v>
      </c>
      <c r="L5691" t="s">
        <v>103</v>
      </c>
    </row>
    <row r="5693" spans="1:12" x14ac:dyDescent="0.3">
      <c r="A5693" t="s">
        <v>2153</v>
      </c>
    </row>
    <row r="5694" spans="1:12" x14ac:dyDescent="0.3">
      <c r="A5694" t="s">
        <v>36</v>
      </c>
      <c r="B5694" t="s">
        <v>197</v>
      </c>
      <c r="C5694" t="s">
        <v>24</v>
      </c>
      <c r="D5694" t="s">
        <v>2146</v>
      </c>
      <c r="E5694" t="s">
        <v>2147</v>
      </c>
      <c r="F5694" t="s">
        <v>2148</v>
      </c>
      <c r="G5694" t="s">
        <v>2149</v>
      </c>
      <c r="H5694" t="s">
        <v>2150</v>
      </c>
      <c r="I5694" t="s">
        <v>2151</v>
      </c>
      <c r="J5694" t="s">
        <v>183</v>
      </c>
      <c r="K5694" t="s">
        <v>87</v>
      </c>
      <c r="L5694" t="s">
        <v>181</v>
      </c>
    </row>
    <row r="5695" spans="1:12" x14ac:dyDescent="0.3">
      <c r="A5695" t="s">
        <v>25</v>
      </c>
      <c r="B5695" t="s">
        <v>198</v>
      </c>
      <c r="C5695">
        <v>104</v>
      </c>
      <c r="D5695" t="s">
        <v>1153</v>
      </c>
      <c r="E5695" t="s">
        <v>552</v>
      </c>
      <c r="F5695" t="s">
        <v>103</v>
      </c>
      <c r="G5695" t="s">
        <v>103</v>
      </c>
      <c r="H5695" t="s">
        <v>103</v>
      </c>
      <c r="I5695" t="s">
        <v>103</v>
      </c>
      <c r="J5695" t="s">
        <v>103</v>
      </c>
      <c r="K5695" t="s">
        <v>103</v>
      </c>
      <c r="L5695" t="s">
        <v>103</v>
      </c>
    </row>
    <row r="5696" spans="1:12" x14ac:dyDescent="0.3">
      <c r="A5696" t="s">
        <v>25</v>
      </c>
      <c r="B5696" t="s">
        <v>199</v>
      </c>
      <c r="C5696">
        <v>310</v>
      </c>
      <c r="D5696" t="s">
        <v>340</v>
      </c>
      <c r="E5696" t="s">
        <v>345</v>
      </c>
      <c r="F5696" t="s">
        <v>122</v>
      </c>
      <c r="G5696" t="s">
        <v>103</v>
      </c>
      <c r="H5696" t="s">
        <v>103</v>
      </c>
      <c r="I5696" t="s">
        <v>103</v>
      </c>
      <c r="J5696" t="s">
        <v>97</v>
      </c>
      <c r="K5696" t="s">
        <v>103</v>
      </c>
      <c r="L5696" t="s">
        <v>103</v>
      </c>
    </row>
    <row r="5697" spans="1:12" x14ac:dyDescent="0.3">
      <c r="A5697" t="s">
        <v>26</v>
      </c>
      <c r="B5697" t="s">
        <v>198</v>
      </c>
      <c r="C5697">
        <v>41</v>
      </c>
      <c r="D5697" t="s">
        <v>189</v>
      </c>
      <c r="E5697" t="s">
        <v>807</v>
      </c>
      <c r="F5697" t="s">
        <v>118</v>
      </c>
      <c r="G5697" t="s">
        <v>103</v>
      </c>
      <c r="H5697" t="s">
        <v>103</v>
      </c>
      <c r="I5697" t="s">
        <v>103</v>
      </c>
      <c r="J5697" t="s">
        <v>188</v>
      </c>
      <c r="K5697" t="s">
        <v>103</v>
      </c>
      <c r="L5697" t="s">
        <v>103</v>
      </c>
    </row>
    <row r="5698" spans="1:12" x14ac:dyDescent="0.3">
      <c r="A5698" t="s">
        <v>26</v>
      </c>
      <c r="B5698" t="s">
        <v>199</v>
      </c>
      <c r="C5698">
        <v>436</v>
      </c>
      <c r="D5698" t="s">
        <v>1176</v>
      </c>
      <c r="E5698" t="s">
        <v>110</v>
      </c>
      <c r="F5698" t="s">
        <v>103</v>
      </c>
      <c r="G5698" t="s">
        <v>103</v>
      </c>
      <c r="H5698" t="s">
        <v>103</v>
      </c>
      <c r="I5698" t="s">
        <v>103</v>
      </c>
      <c r="J5698" t="s">
        <v>120</v>
      </c>
      <c r="K5698" t="s">
        <v>103</v>
      </c>
      <c r="L5698" t="s">
        <v>66</v>
      </c>
    </row>
    <row r="5699" spans="1:12" x14ac:dyDescent="0.3">
      <c r="A5699" t="s">
        <v>29</v>
      </c>
      <c r="B5699" t="s">
        <v>198</v>
      </c>
      <c r="C5699">
        <v>170</v>
      </c>
      <c r="D5699" t="s">
        <v>757</v>
      </c>
      <c r="E5699" t="s">
        <v>268</v>
      </c>
      <c r="F5699" t="s">
        <v>575</v>
      </c>
      <c r="G5699" t="s">
        <v>103</v>
      </c>
      <c r="H5699" t="s">
        <v>103</v>
      </c>
      <c r="I5699" t="s">
        <v>103</v>
      </c>
      <c r="J5699" t="s">
        <v>208</v>
      </c>
      <c r="K5699" t="s">
        <v>139</v>
      </c>
      <c r="L5699" t="s">
        <v>103</v>
      </c>
    </row>
    <row r="5700" spans="1:12" x14ac:dyDescent="0.3">
      <c r="A5700" t="s">
        <v>29</v>
      </c>
      <c r="B5700" t="s">
        <v>199</v>
      </c>
      <c r="C5700">
        <v>360</v>
      </c>
      <c r="D5700" t="s">
        <v>837</v>
      </c>
      <c r="E5700" t="s">
        <v>266</v>
      </c>
      <c r="F5700" t="s">
        <v>110</v>
      </c>
      <c r="G5700" t="s">
        <v>103</v>
      </c>
      <c r="H5700" t="s">
        <v>103</v>
      </c>
      <c r="I5700" t="s">
        <v>66</v>
      </c>
      <c r="J5700" t="s">
        <v>103</v>
      </c>
      <c r="K5700" t="s">
        <v>103</v>
      </c>
      <c r="L5700" t="s">
        <v>103</v>
      </c>
    </row>
    <row r="5701" spans="1:12" x14ac:dyDescent="0.3">
      <c r="A5701" t="s">
        <v>28</v>
      </c>
      <c r="B5701" t="s">
        <v>198</v>
      </c>
      <c r="C5701">
        <v>70</v>
      </c>
      <c r="D5701" t="s">
        <v>158</v>
      </c>
      <c r="E5701" t="s">
        <v>157</v>
      </c>
      <c r="F5701" t="s">
        <v>103</v>
      </c>
      <c r="G5701" t="s">
        <v>103</v>
      </c>
      <c r="H5701" t="s">
        <v>103</v>
      </c>
      <c r="I5701" t="s">
        <v>103</v>
      </c>
      <c r="J5701" t="s">
        <v>103</v>
      </c>
      <c r="K5701" t="s">
        <v>103</v>
      </c>
      <c r="L5701" t="s">
        <v>103</v>
      </c>
    </row>
    <row r="5702" spans="1:12" x14ac:dyDescent="0.3">
      <c r="A5702" t="s">
        <v>28</v>
      </c>
      <c r="B5702" t="s">
        <v>199</v>
      </c>
      <c r="C5702">
        <v>247</v>
      </c>
      <c r="D5702" t="s">
        <v>624</v>
      </c>
      <c r="E5702" t="s">
        <v>140</v>
      </c>
      <c r="F5702" t="s">
        <v>103</v>
      </c>
      <c r="G5702" t="s">
        <v>97</v>
      </c>
      <c r="H5702" t="s">
        <v>103</v>
      </c>
      <c r="I5702" t="s">
        <v>97</v>
      </c>
      <c r="J5702" t="s">
        <v>97</v>
      </c>
      <c r="K5702" t="s">
        <v>103</v>
      </c>
      <c r="L5702" t="s">
        <v>103</v>
      </c>
    </row>
    <row r="5703" spans="1:12" x14ac:dyDescent="0.3">
      <c r="A5703" t="s">
        <v>27</v>
      </c>
      <c r="B5703" t="s">
        <v>198</v>
      </c>
      <c r="C5703">
        <v>136</v>
      </c>
      <c r="D5703" t="s">
        <v>974</v>
      </c>
      <c r="E5703" t="s">
        <v>493</v>
      </c>
      <c r="F5703" t="s">
        <v>93</v>
      </c>
      <c r="G5703" t="s">
        <v>103</v>
      </c>
      <c r="H5703" t="s">
        <v>103</v>
      </c>
      <c r="I5703" t="s">
        <v>95</v>
      </c>
      <c r="J5703" t="s">
        <v>329</v>
      </c>
      <c r="K5703" t="s">
        <v>118</v>
      </c>
      <c r="L5703" t="s">
        <v>139</v>
      </c>
    </row>
    <row r="5704" spans="1:12" x14ac:dyDescent="0.3">
      <c r="A5704" t="s">
        <v>27</v>
      </c>
      <c r="B5704" t="s">
        <v>199</v>
      </c>
      <c r="C5704">
        <v>164</v>
      </c>
      <c r="D5704" t="s">
        <v>1355</v>
      </c>
      <c r="E5704" t="s">
        <v>32</v>
      </c>
      <c r="F5704" t="s">
        <v>103</v>
      </c>
      <c r="G5704" t="s">
        <v>103</v>
      </c>
      <c r="H5704" t="s">
        <v>103</v>
      </c>
      <c r="I5704" t="s">
        <v>103</v>
      </c>
      <c r="J5704" t="s">
        <v>468</v>
      </c>
      <c r="K5704" t="s">
        <v>139</v>
      </c>
      <c r="L5704" t="s">
        <v>103</v>
      </c>
    </row>
    <row r="5705" spans="1:12" x14ac:dyDescent="0.3">
      <c r="A5705" t="s">
        <v>41</v>
      </c>
      <c r="B5705" t="s">
        <v>198</v>
      </c>
      <c r="C5705">
        <v>521</v>
      </c>
      <c r="D5705" t="s">
        <v>47</v>
      </c>
      <c r="E5705" t="s">
        <v>682</v>
      </c>
      <c r="F5705" t="s">
        <v>278</v>
      </c>
      <c r="G5705" t="s">
        <v>103</v>
      </c>
      <c r="H5705" t="s">
        <v>103</v>
      </c>
      <c r="I5705" t="s">
        <v>91</v>
      </c>
      <c r="J5705" t="s">
        <v>245</v>
      </c>
      <c r="K5705" t="s">
        <v>95</v>
      </c>
      <c r="L5705" t="s">
        <v>91</v>
      </c>
    </row>
    <row r="5706" spans="1:12" x14ac:dyDescent="0.3">
      <c r="A5706" t="s">
        <v>41</v>
      </c>
      <c r="B5706" t="s">
        <v>199</v>
      </c>
      <c r="C5706">
        <v>1517</v>
      </c>
      <c r="D5706" t="s">
        <v>65</v>
      </c>
      <c r="E5706" t="s">
        <v>93</v>
      </c>
      <c r="F5706" t="s">
        <v>95</v>
      </c>
      <c r="G5706" t="s">
        <v>103</v>
      </c>
      <c r="H5706" t="s">
        <v>103</v>
      </c>
      <c r="I5706" t="s">
        <v>91</v>
      </c>
      <c r="J5706" t="s">
        <v>122</v>
      </c>
      <c r="K5706" t="s">
        <v>103</v>
      </c>
      <c r="L5706" t="s">
        <v>91</v>
      </c>
    </row>
    <row r="5708" spans="1:12" x14ac:dyDescent="0.3">
      <c r="A5708" t="s">
        <v>2154</v>
      </c>
    </row>
    <row r="5709" spans="1:12" x14ac:dyDescent="0.3">
      <c r="A5709" t="s">
        <v>36</v>
      </c>
      <c r="B5709" t="s">
        <v>310</v>
      </c>
      <c r="C5709" t="s">
        <v>24</v>
      </c>
      <c r="D5709" t="s">
        <v>2146</v>
      </c>
      <c r="E5709" t="s">
        <v>2147</v>
      </c>
      <c r="F5709" t="s">
        <v>2148</v>
      </c>
      <c r="G5709" t="s">
        <v>2149</v>
      </c>
      <c r="H5709" t="s">
        <v>2150</v>
      </c>
      <c r="I5709" t="s">
        <v>2151</v>
      </c>
      <c r="J5709" t="s">
        <v>183</v>
      </c>
      <c r="K5709" t="s">
        <v>87</v>
      </c>
      <c r="L5709" t="s">
        <v>181</v>
      </c>
    </row>
    <row r="5710" spans="1:12" x14ac:dyDescent="0.3">
      <c r="A5710" t="s">
        <v>25</v>
      </c>
      <c r="B5710" t="s">
        <v>311</v>
      </c>
      <c r="C5710">
        <v>324</v>
      </c>
      <c r="D5710" t="s">
        <v>633</v>
      </c>
      <c r="E5710" t="s">
        <v>531</v>
      </c>
      <c r="F5710" t="s">
        <v>122</v>
      </c>
      <c r="G5710" t="s">
        <v>103</v>
      </c>
      <c r="H5710" t="s">
        <v>103</v>
      </c>
      <c r="I5710" t="s">
        <v>103</v>
      </c>
      <c r="J5710" t="s">
        <v>66</v>
      </c>
      <c r="K5710" t="s">
        <v>103</v>
      </c>
      <c r="L5710" t="s">
        <v>103</v>
      </c>
    </row>
    <row r="5711" spans="1:12" x14ac:dyDescent="0.3">
      <c r="A5711" t="s">
        <v>25</v>
      </c>
      <c r="B5711" t="s">
        <v>312</v>
      </c>
      <c r="C5711">
        <v>80</v>
      </c>
      <c r="D5711" t="s">
        <v>336</v>
      </c>
      <c r="E5711" t="s">
        <v>245</v>
      </c>
      <c r="F5711" t="s">
        <v>103</v>
      </c>
      <c r="G5711" t="s">
        <v>103</v>
      </c>
      <c r="H5711" t="s">
        <v>103</v>
      </c>
      <c r="I5711" t="s">
        <v>103</v>
      </c>
      <c r="J5711" t="s">
        <v>239</v>
      </c>
      <c r="K5711" t="s">
        <v>103</v>
      </c>
      <c r="L5711" t="s">
        <v>103</v>
      </c>
    </row>
    <row r="5712" spans="1:12" x14ac:dyDescent="0.3">
      <c r="A5712" t="s">
        <v>25</v>
      </c>
      <c r="B5712" t="s">
        <v>308</v>
      </c>
      <c r="C5712">
        <v>10</v>
      </c>
      <c r="D5712" t="s">
        <v>192</v>
      </c>
      <c r="E5712" t="s">
        <v>103</v>
      </c>
      <c r="F5712" t="s">
        <v>103</v>
      </c>
      <c r="G5712" t="s">
        <v>103</v>
      </c>
      <c r="H5712" t="s">
        <v>103</v>
      </c>
      <c r="I5712" t="s">
        <v>103</v>
      </c>
      <c r="J5712" t="s">
        <v>103</v>
      </c>
      <c r="K5712" t="s">
        <v>103</v>
      </c>
      <c r="L5712" t="s">
        <v>103</v>
      </c>
    </row>
    <row r="5713" spans="1:12" x14ac:dyDescent="0.3">
      <c r="A5713" t="s">
        <v>26</v>
      </c>
      <c r="B5713" t="s">
        <v>311</v>
      </c>
      <c r="C5713">
        <v>343</v>
      </c>
      <c r="D5713" t="s">
        <v>69</v>
      </c>
      <c r="E5713" t="s">
        <v>266</v>
      </c>
      <c r="F5713" t="s">
        <v>66</v>
      </c>
      <c r="G5713" t="s">
        <v>103</v>
      </c>
      <c r="H5713" t="s">
        <v>103</v>
      </c>
      <c r="I5713" t="s">
        <v>103</v>
      </c>
      <c r="J5713" t="s">
        <v>97</v>
      </c>
      <c r="K5713" t="s">
        <v>103</v>
      </c>
      <c r="L5713" t="s">
        <v>66</v>
      </c>
    </row>
    <row r="5714" spans="1:12" x14ac:dyDescent="0.3">
      <c r="A5714" t="s">
        <v>26</v>
      </c>
      <c r="B5714" t="s">
        <v>312</v>
      </c>
      <c r="C5714">
        <v>96</v>
      </c>
      <c r="D5714" t="s">
        <v>880</v>
      </c>
      <c r="E5714" t="s">
        <v>103</v>
      </c>
      <c r="F5714" t="s">
        <v>103</v>
      </c>
      <c r="G5714" t="s">
        <v>103</v>
      </c>
      <c r="H5714" t="s">
        <v>103</v>
      </c>
      <c r="I5714" t="s">
        <v>103</v>
      </c>
      <c r="J5714" t="s">
        <v>257</v>
      </c>
      <c r="K5714" t="s">
        <v>103</v>
      </c>
      <c r="L5714" t="s">
        <v>103</v>
      </c>
    </row>
    <row r="5715" spans="1:12" x14ac:dyDescent="0.3">
      <c r="A5715" t="s">
        <v>26</v>
      </c>
      <c r="B5715" t="s">
        <v>308</v>
      </c>
      <c r="C5715">
        <v>38</v>
      </c>
      <c r="D5715" t="s">
        <v>837</v>
      </c>
      <c r="E5715" t="s">
        <v>195</v>
      </c>
      <c r="F5715" t="s">
        <v>103</v>
      </c>
      <c r="G5715" t="s">
        <v>103</v>
      </c>
      <c r="H5715" t="s">
        <v>103</v>
      </c>
      <c r="I5715" t="s">
        <v>103</v>
      </c>
      <c r="J5715" t="s">
        <v>103</v>
      </c>
      <c r="K5715" t="s">
        <v>103</v>
      </c>
      <c r="L5715" t="s">
        <v>103</v>
      </c>
    </row>
    <row r="5716" spans="1:12" x14ac:dyDescent="0.3">
      <c r="A5716" t="s">
        <v>29</v>
      </c>
      <c r="B5716" t="s">
        <v>311</v>
      </c>
      <c r="C5716">
        <v>414</v>
      </c>
      <c r="D5716" t="s">
        <v>1484</v>
      </c>
      <c r="E5716" t="s">
        <v>594</v>
      </c>
      <c r="F5716" t="s">
        <v>195</v>
      </c>
      <c r="G5716" t="s">
        <v>103</v>
      </c>
      <c r="H5716" t="s">
        <v>103</v>
      </c>
      <c r="I5716" t="s">
        <v>66</v>
      </c>
      <c r="J5716" t="s">
        <v>91</v>
      </c>
      <c r="K5716" t="s">
        <v>103</v>
      </c>
      <c r="L5716" t="s">
        <v>103</v>
      </c>
    </row>
    <row r="5717" spans="1:12" x14ac:dyDescent="0.3">
      <c r="A5717" t="s">
        <v>29</v>
      </c>
      <c r="B5717" t="s">
        <v>312</v>
      </c>
      <c r="C5717">
        <v>103</v>
      </c>
      <c r="D5717" t="s">
        <v>751</v>
      </c>
      <c r="E5717" t="s">
        <v>269</v>
      </c>
      <c r="F5717" t="s">
        <v>32</v>
      </c>
      <c r="G5717" t="s">
        <v>103</v>
      </c>
      <c r="H5717" t="s">
        <v>103</v>
      </c>
      <c r="I5717" t="s">
        <v>103</v>
      </c>
      <c r="J5717" t="s">
        <v>68</v>
      </c>
      <c r="K5717" t="s">
        <v>110</v>
      </c>
      <c r="L5717" t="s">
        <v>103</v>
      </c>
    </row>
    <row r="5718" spans="1:12" x14ac:dyDescent="0.3">
      <c r="A5718" t="s">
        <v>29</v>
      </c>
      <c r="B5718" t="s">
        <v>308</v>
      </c>
      <c r="C5718">
        <v>13</v>
      </c>
      <c r="D5718" t="s">
        <v>241</v>
      </c>
      <c r="E5718" t="s">
        <v>463</v>
      </c>
      <c r="F5718" t="s">
        <v>594</v>
      </c>
      <c r="G5718" t="s">
        <v>103</v>
      </c>
      <c r="H5718" t="s">
        <v>103</v>
      </c>
      <c r="I5718" t="s">
        <v>103</v>
      </c>
      <c r="J5718" t="s">
        <v>103</v>
      </c>
      <c r="K5718" t="s">
        <v>103</v>
      </c>
      <c r="L5718" t="s">
        <v>103</v>
      </c>
    </row>
    <row r="5719" spans="1:12" x14ac:dyDescent="0.3">
      <c r="A5719" t="s">
        <v>28</v>
      </c>
      <c r="B5719" t="s">
        <v>311</v>
      </c>
      <c r="C5719">
        <v>223</v>
      </c>
      <c r="D5719" t="s">
        <v>827</v>
      </c>
      <c r="E5719" t="s">
        <v>90</v>
      </c>
      <c r="F5719" t="s">
        <v>103</v>
      </c>
      <c r="G5719" t="s">
        <v>97</v>
      </c>
      <c r="H5719" t="s">
        <v>103</v>
      </c>
      <c r="I5719" t="s">
        <v>97</v>
      </c>
      <c r="J5719" t="s">
        <v>103</v>
      </c>
      <c r="K5719" t="s">
        <v>103</v>
      </c>
      <c r="L5719" t="s">
        <v>103</v>
      </c>
    </row>
    <row r="5720" spans="1:12" x14ac:dyDescent="0.3">
      <c r="A5720" t="s">
        <v>28</v>
      </c>
      <c r="B5720" t="s">
        <v>312</v>
      </c>
      <c r="C5720">
        <v>93</v>
      </c>
      <c r="D5720" t="s">
        <v>590</v>
      </c>
      <c r="E5720" t="s">
        <v>251</v>
      </c>
      <c r="F5720" t="s">
        <v>103</v>
      </c>
      <c r="G5720" t="s">
        <v>103</v>
      </c>
      <c r="H5720" t="s">
        <v>103</v>
      </c>
      <c r="I5720" t="s">
        <v>103</v>
      </c>
      <c r="J5720" t="s">
        <v>194</v>
      </c>
      <c r="K5720" t="s">
        <v>103</v>
      </c>
      <c r="L5720" t="s">
        <v>103</v>
      </c>
    </row>
    <row r="5721" spans="1:12" x14ac:dyDescent="0.3">
      <c r="A5721" t="s">
        <v>28</v>
      </c>
      <c r="B5721" t="s">
        <v>308</v>
      </c>
      <c r="C5721">
        <v>1</v>
      </c>
      <c r="D5721" t="s">
        <v>192</v>
      </c>
      <c r="E5721" t="s">
        <v>103</v>
      </c>
      <c r="F5721" t="s">
        <v>103</v>
      </c>
      <c r="G5721" t="s">
        <v>103</v>
      </c>
      <c r="H5721" t="s">
        <v>103</v>
      </c>
      <c r="I5721" t="s">
        <v>103</v>
      </c>
      <c r="J5721" t="s">
        <v>103</v>
      </c>
      <c r="K5721" t="s">
        <v>103</v>
      </c>
      <c r="L5721" t="s">
        <v>103</v>
      </c>
    </row>
    <row r="5722" spans="1:12" x14ac:dyDescent="0.3">
      <c r="A5722" t="s">
        <v>27</v>
      </c>
      <c r="B5722" t="s">
        <v>311</v>
      </c>
      <c r="C5722">
        <v>237</v>
      </c>
      <c r="D5722" t="s">
        <v>759</v>
      </c>
      <c r="E5722" t="s">
        <v>214</v>
      </c>
      <c r="F5722" t="s">
        <v>194</v>
      </c>
      <c r="G5722" t="s">
        <v>103</v>
      </c>
      <c r="H5722" t="s">
        <v>103</v>
      </c>
      <c r="I5722" t="s">
        <v>122</v>
      </c>
      <c r="J5722" t="s">
        <v>208</v>
      </c>
      <c r="K5722" t="s">
        <v>341</v>
      </c>
      <c r="L5722" t="s">
        <v>97</v>
      </c>
    </row>
    <row r="5723" spans="1:12" x14ac:dyDescent="0.3">
      <c r="A5723" t="s">
        <v>27</v>
      </c>
      <c r="B5723" t="s">
        <v>312</v>
      </c>
      <c r="C5723">
        <v>60</v>
      </c>
      <c r="D5723" t="s">
        <v>328</v>
      </c>
      <c r="E5723" t="s">
        <v>329</v>
      </c>
      <c r="F5723" t="s">
        <v>103</v>
      </c>
      <c r="G5723" t="s">
        <v>103</v>
      </c>
      <c r="H5723" t="s">
        <v>103</v>
      </c>
      <c r="I5723" t="s">
        <v>103</v>
      </c>
      <c r="J5723" t="s">
        <v>103</v>
      </c>
      <c r="K5723" t="s">
        <v>103</v>
      </c>
      <c r="L5723" t="s">
        <v>103</v>
      </c>
    </row>
    <row r="5724" spans="1:12" x14ac:dyDescent="0.3">
      <c r="A5724" t="s">
        <v>27</v>
      </c>
      <c r="B5724" t="s">
        <v>308</v>
      </c>
      <c r="C5724">
        <v>3</v>
      </c>
      <c r="D5724" t="s">
        <v>192</v>
      </c>
      <c r="E5724" t="s">
        <v>103</v>
      </c>
      <c r="F5724" t="s">
        <v>103</v>
      </c>
      <c r="G5724" t="s">
        <v>103</v>
      </c>
      <c r="H5724" t="s">
        <v>103</v>
      </c>
      <c r="I5724" t="s">
        <v>103</v>
      </c>
      <c r="J5724" t="s">
        <v>103</v>
      </c>
      <c r="K5724" t="s">
        <v>103</v>
      </c>
      <c r="L5724" t="s">
        <v>103</v>
      </c>
    </row>
    <row r="5725" spans="1:12" x14ac:dyDescent="0.3">
      <c r="A5725" t="s">
        <v>41</v>
      </c>
      <c r="B5725" t="s">
        <v>311</v>
      </c>
      <c r="C5725">
        <v>1541</v>
      </c>
      <c r="D5725" t="s">
        <v>636</v>
      </c>
      <c r="E5725" t="s">
        <v>133</v>
      </c>
      <c r="F5725" t="s">
        <v>216</v>
      </c>
      <c r="G5725" t="s">
        <v>103</v>
      </c>
      <c r="H5725" t="s">
        <v>103</v>
      </c>
      <c r="I5725" t="s">
        <v>91</v>
      </c>
      <c r="J5725" t="s">
        <v>116</v>
      </c>
      <c r="K5725" t="s">
        <v>91</v>
      </c>
      <c r="L5725" t="s">
        <v>91</v>
      </c>
    </row>
    <row r="5726" spans="1:12" x14ac:dyDescent="0.3">
      <c r="A5726" t="s">
        <v>41</v>
      </c>
      <c r="B5726" t="s">
        <v>312</v>
      </c>
      <c r="C5726">
        <v>432</v>
      </c>
      <c r="D5726" t="s">
        <v>851</v>
      </c>
      <c r="E5726" t="s">
        <v>558</v>
      </c>
      <c r="F5726" t="s">
        <v>93</v>
      </c>
      <c r="G5726" t="s">
        <v>103</v>
      </c>
      <c r="H5726" t="s">
        <v>103</v>
      </c>
      <c r="I5726" t="s">
        <v>103</v>
      </c>
      <c r="J5726" t="s">
        <v>118</v>
      </c>
      <c r="K5726" t="s">
        <v>120</v>
      </c>
      <c r="L5726" t="s">
        <v>103</v>
      </c>
    </row>
    <row r="5727" spans="1:12" x14ac:dyDescent="0.3">
      <c r="A5727" t="s">
        <v>41</v>
      </c>
      <c r="B5727" t="s">
        <v>308</v>
      </c>
      <c r="C5727">
        <v>65</v>
      </c>
      <c r="D5727" t="s">
        <v>213</v>
      </c>
      <c r="E5727" t="s">
        <v>214</v>
      </c>
      <c r="F5727" t="s">
        <v>245</v>
      </c>
      <c r="G5727" t="s">
        <v>103</v>
      </c>
      <c r="H5727" t="s">
        <v>103</v>
      </c>
      <c r="I5727" t="s">
        <v>103</v>
      </c>
      <c r="J5727" t="s">
        <v>103</v>
      </c>
      <c r="K5727" t="s">
        <v>103</v>
      </c>
      <c r="L5727" t="s">
        <v>103</v>
      </c>
    </row>
    <row r="5729" spans="1:12" x14ac:dyDescent="0.3">
      <c r="A5729" t="s">
        <v>2155</v>
      </c>
    </row>
    <row r="5730" spans="1:12" x14ac:dyDescent="0.3">
      <c r="A5730" t="s">
        <v>36</v>
      </c>
      <c r="B5730" t="s">
        <v>1106</v>
      </c>
      <c r="C5730" t="s">
        <v>24</v>
      </c>
      <c r="D5730" t="s">
        <v>2146</v>
      </c>
      <c r="E5730" t="s">
        <v>2147</v>
      </c>
      <c r="F5730" t="s">
        <v>2148</v>
      </c>
      <c r="G5730" t="s">
        <v>2149</v>
      </c>
      <c r="H5730" t="s">
        <v>2150</v>
      </c>
      <c r="I5730" t="s">
        <v>2151</v>
      </c>
      <c r="J5730" t="s">
        <v>183</v>
      </c>
      <c r="K5730" t="s">
        <v>87</v>
      </c>
      <c r="L5730" t="s">
        <v>181</v>
      </c>
    </row>
    <row r="5731" spans="1:12" x14ac:dyDescent="0.3">
      <c r="A5731" t="s">
        <v>25</v>
      </c>
      <c r="B5731" t="s">
        <v>1107</v>
      </c>
      <c r="C5731">
        <v>414</v>
      </c>
      <c r="D5731" t="s">
        <v>611</v>
      </c>
      <c r="E5731" t="s">
        <v>278</v>
      </c>
      <c r="F5731" t="s">
        <v>116</v>
      </c>
      <c r="G5731" t="s">
        <v>103</v>
      </c>
      <c r="H5731" t="s">
        <v>103</v>
      </c>
      <c r="I5731" t="s">
        <v>103</v>
      </c>
      <c r="J5731" t="s">
        <v>122</v>
      </c>
      <c r="K5731" t="s">
        <v>103</v>
      </c>
      <c r="L5731" t="s">
        <v>103</v>
      </c>
    </row>
    <row r="5732" spans="1:12" x14ac:dyDescent="0.3">
      <c r="A5732" t="s">
        <v>26</v>
      </c>
      <c r="B5732" t="s">
        <v>1107</v>
      </c>
      <c r="C5732">
        <v>476</v>
      </c>
      <c r="D5732" t="s">
        <v>837</v>
      </c>
      <c r="E5732" t="s">
        <v>93</v>
      </c>
      <c r="F5732" t="s">
        <v>91</v>
      </c>
      <c r="G5732" t="s">
        <v>103</v>
      </c>
      <c r="H5732" t="s">
        <v>103</v>
      </c>
      <c r="I5732" t="s">
        <v>103</v>
      </c>
      <c r="J5732" t="s">
        <v>139</v>
      </c>
      <c r="K5732" t="s">
        <v>103</v>
      </c>
      <c r="L5732" t="s">
        <v>66</v>
      </c>
    </row>
    <row r="5733" spans="1:12" s="3" customFormat="1" x14ac:dyDescent="0.3">
      <c r="A5733" s="3" t="s">
        <v>26</v>
      </c>
      <c r="B5733" s="3" t="s">
        <v>1108</v>
      </c>
      <c r="C5733" s="3">
        <v>1</v>
      </c>
      <c r="D5733" s="3" t="s">
        <v>192</v>
      </c>
      <c r="E5733" s="3" t="s">
        <v>103</v>
      </c>
      <c r="F5733" s="3" t="s">
        <v>103</v>
      </c>
      <c r="G5733" s="3" t="s">
        <v>103</v>
      </c>
      <c r="H5733" s="3" t="s">
        <v>103</v>
      </c>
      <c r="I5733" s="3" t="s">
        <v>103</v>
      </c>
      <c r="J5733" s="3" t="s">
        <v>103</v>
      </c>
      <c r="K5733" s="3" t="s">
        <v>103</v>
      </c>
      <c r="L5733" s="3" t="s">
        <v>103</v>
      </c>
    </row>
    <row r="5734" spans="1:12" x14ac:dyDescent="0.3">
      <c r="A5734" t="s">
        <v>29</v>
      </c>
      <c r="B5734" t="s">
        <v>1107</v>
      </c>
      <c r="C5734">
        <v>527</v>
      </c>
      <c r="D5734" t="s">
        <v>851</v>
      </c>
      <c r="E5734" t="s">
        <v>460</v>
      </c>
      <c r="F5734" t="s">
        <v>438</v>
      </c>
      <c r="G5734" t="s">
        <v>103</v>
      </c>
      <c r="H5734" t="s">
        <v>103</v>
      </c>
      <c r="I5734" t="s">
        <v>66</v>
      </c>
      <c r="J5734" t="s">
        <v>120</v>
      </c>
      <c r="K5734" t="s">
        <v>116</v>
      </c>
      <c r="L5734" t="s">
        <v>103</v>
      </c>
    </row>
    <row r="5735" spans="1:12" s="3" customFormat="1" x14ac:dyDescent="0.3">
      <c r="A5735" s="3" t="s">
        <v>29</v>
      </c>
      <c r="B5735" s="3" t="s">
        <v>1109</v>
      </c>
      <c r="C5735" s="3">
        <v>1</v>
      </c>
      <c r="D5735" s="3" t="s">
        <v>192</v>
      </c>
      <c r="E5735" s="3" t="s">
        <v>103</v>
      </c>
      <c r="F5735" s="3" t="s">
        <v>103</v>
      </c>
      <c r="G5735" s="3" t="s">
        <v>103</v>
      </c>
      <c r="H5735" s="3" t="s">
        <v>103</v>
      </c>
      <c r="I5735" s="3" t="s">
        <v>103</v>
      </c>
      <c r="J5735" s="3" t="s">
        <v>103</v>
      </c>
      <c r="K5735" s="3" t="s">
        <v>103</v>
      </c>
      <c r="L5735" s="3" t="s">
        <v>103</v>
      </c>
    </row>
    <row r="5736" spans="1:12" s="3" customFormat="1" x14ac:dyDescent="0.3">
      <c r="A5736" s="3" t="s">
        <v>29</v>
      </c>
      <c r="B5736" s="3" t="s">
        <v>1108</v>
      </c>
      <c r="C5736" s="3">
        <v>2</v>
      </c>
      <c r="D5736" s="3" t="s">
        <v>192</v>
      </c>
      <c r="E5736" s="3" t="s">
        <v>103</v>
      </c>
      <c r="F5736" s="3" t="s">
        <v>103</v>
      </c>
      <c r="G5736" s="3" t="s">
        <v>103</v>
      </c>
      <c r="H5736" s="3" t="s">
        <v>103</v>
      </c>
      <c r="I5736" s="3" t="s">
        <v>103</v>
      </c>
      <c r="J5736" s="3" t="s">
        <v>103</v>
      </c>
      <c r="K5736" s="3" t="s">
        <v>103</v>
      </c>
      <c r="L5736" s="3" t="s">
        <v>103</v>
      </c>
    </row>
    <row r="5737" spans="1:12" x14ac:dyDescent="0.3">
      <c r="A5737" t="s">
        <v>28</v>
      </c>
      <c r="B5737" t="s">
        <v>1107</v>
      </c>
      <c r="C5737">
        <v>317</v>
      </c>
      <c r="D5737" t="s">
        <v>871</v>
      </c>
      <c r="E5737" t="s">
        <v>126</v>
      </c>
      <c r="F5737" t="s">
        <v>103</v>
      </c>
      <c r="G5737" t="s">
        <v>122</v>
      </c>
      <c r="H5737" t="s">
        <v>103</v>
      </c>
      <c r="I5737" t="s">
        <v>122</v>
      </c>
      <c r="J5737" t="s">
        <v>122</v>
      </c>
      <c r="K5737" t="s">
        <v>103</v>
      </c>
      <c r="L5737" t="s">
        <v>103</v>
      </c>
    </row>
    <row r="5738" spans="1:12" x14ac:dyDescent="0.3">
      <c r="A5738" t="s">
        <v>27</v>
      </c>
      <c r="B5738" t="s">
        <v>1107</v>
      </c>
      <c r="C5738">
        <v>293</v>
      </c>
      <c r="D5738" t="s">
        <v>1134</v>
      </c>
      <c r="E5738" t="s">
        <v>201</v>
      </c>
      <c r="F5738" t="s">
        <v>345</v>
      </c>
      <c r="G5738" t="s">
        <v>103</v>
      </c>
      <c r="H5738" t="s">
        <v>103</v>
      </c>
      <c r="I5738" t="s">
        <v>116</v>
      </c>
      <c r="J5738" t="s">
        <v>245</v>
      </c>
      <c r="K5738" t="s">
        <v>216</v>
      </c>
      <c r="L5738" t="s">
        <v>122</v>
      </c>
    </row>
    <row r="5739" spans="1:12" s="3" customFormat="1" x14ac:dyDescent="0.3">
      <c r="A5739" s="3" t="s">
        <v>27</v>
      </c>
      <c r="B5739" s="3" t="s">
        <v>1109</v>
      </c>
      <c r="C5739" s="3">
        <v>3</v>
      </c>
      <c r="D5739" s="3" t="s">
        <v>192</v>
      </c>
      <c r="E5739" s="3" t="s">
        <v>103</v>
      </c>
      <c r="F5739" s="3" t="s">
        <v>103</v>
      </c>
      <c r="G5739" s="3" t="s">
        <v>103</v>
      </c>
      <c r="H5739" s="3" t="s">
        <v>103</v>
      </c>
      <c r="I5739" s="3" t="s">
        <v>103</v>
      </c>
      <c r="J5739" s="3" t="s">
        <v>103</v>
      </c>
      <c r="K5739" s="3" t="s">
        <v>103</v>
      </c>
      <c r="L5739" s="3" t="s">
        <v>103</v>
      </c>
    </row>
    <row r="5740" spans="1:12" s="3" customFormat="1" x14ac:dyDescent="0.3">
      <c r="A5740" s="3" t="s">
        <v>27</v>
      </c>
      <c r="B5740" s="3" t="s">
        <v>1108</v>
      </c>
      <c r="C5740" s="3">
        <v>3</v>
      </c>
      <c r="D5740" s="3" t="s">
        <v>192</v>
      </c>
      <c r="E5740" s="3" t="s">
        <v>103</v>
      </c>
      <c r="F5740" s="3" t="s">
        <v>103</v>
      </c>
      <c r="G5740" s="3" t="s">
        <v>103</v>
      </c>
      <c r="H5740" s="3" t="s">
        <v>103</v>
      </c>
      <c r="I5740" s="3" t="s">
        <v>103</v>
      </c>
      <c r="J5740" s="3" t="s">
        <v>103</v>
      </c>
      <c r="K5740" s="3" t="s">
        <v>103</v>
      </c>
      <c r="L5740" s="3" t="s">
        <v>103</v>
      </c>
    </row>
    <row r="5741" spans="1:12" x14ac:dyDescent="0.3">
      <c r="A5741" t="s">
        <v>27</v>
      </c>
      <c r="B5741" t="s">
        <v>308</v>
      </c>
      <c r="C5741">
        <v>1</v>
      </c>
      <c r="D5741" t="s">
        <v>192</v>
      </c>
      <c r="E5741" t="s">
        <v>103</v>
      </c>
      <c r="F5741" t="s">
        <v>103</v>
      </c>
      <c r="G5741" t="s">
        <v>103</v>
      </c>
      <c r="H5741" t="s">
        <v>103</v>
      </c>
      <c r="I5741" t="s">
        <v>103</v>
      </c>
      <c r="J5741" t="s">
        <v>103</v>
      </c>
      <c r="K5741" t="s">
        <v>103</v>
      </c>
      <c r="L5741" t="s">
        <v>103</v>
      </c>
    </row>
    <row r="5742" spans="1:12" x14ac:dyDescent="0.3">
      <c r="A5742" t="s">
        <v>41</v>
      </c>
      <c r="B5742" t="s">
        <v>1107</v>
      </c>
      <c r="C5742">
        <v>2027</v>
      </c>
      <c r="D5742" t="s">
        <v>1027</v>
      </c>
      <c r="E5742" t="s">
        <v>112</v>
      </c>
      <c r="F5742" t="s">
        <v>245</v>
      </c>
      <c r="G5742" t="s">
        <v>103</v>
      </c>
      <c r="H5742" t="s">
        <v>103</v>
      </c>
      <c r="I5742" t="s">
        <v>91</v>
      </c>
      <c r="J5742" t="s">
        <v>95</v>
      </c>
      <c r="K5742" t="s">
        <v>66</v>
      </c>
      <c r="L5742" t="s">
        <v>91</v>
      </c>
    </row>
    <row r="5743" spans="1:12" s="3" customFormat="1" x14ac:dyDescent="0.3">
      <c r="A5743" s="3" t="s">
        <v>41</v>
      </c>
      <c r="B5743" s="3" t="s">
        <v>1109</v>
      </c>
      <c r="C5743" s="3">
        <v>4</v>
      </c>
      <c r="D5743" s="3" t="s">
        <v>192</v>
      </c>
      <c r="E5743" s="3" t="s">
        <v>103</v>
      </c>
      <c r="F5743" s="3" t="s">
        <v>103</v>
      </c>
      <c r="G5743" s="3" t="s">
        <v>103</v>
      </c>
      <c r="H5743" s="3" t="s">
        <v>103</v>
      </c>
      <c r="I5743" s="3" t="s">
        <v>103</v>
      </c>
      <c r="J5743" s="3" t="s">
        <v>103</v>
      </c>
      <c r="K5743" s="3" t="s">
        <v>103</v>
      </c>
      <c r="L5743" s="3" t="s">
        <v>103</v>
      </c>
    </row>
    <row r="5744" spans="1:12" s="3" customFormat="1" x14ac:dyDescent="0.3">
      <c r="A5744" s="3" t="s">
        <v>41</v>
      </c>
      <c r="B5744" s="3" t="s">
        <v>1108</v>
      </c>
      <c r="C5744" s="3">
        <v>6</v>
      </c>
      <c r="D5744" s="3" t="s">
        <v>192</v>
      </c>
      <c r="E5744" s="3" t="s">
        <v>103</v>
      </c>
      <c r="F5744" s="3" t="s">
        <v>103</v>
      </c>
      <c r="G5744" s="3" t="s">
        <v>103</v>
      </c>
      <c r="H5744" s="3" t="s">
        <v>103</v>
      </c>
      <c r="I5744" s="3" t="s">
        <v>103</v>
      </c>
      <c r="J5744" s="3" t="s">
        <v>103</v>
      </c>
      <c r="K5744" s="3" t="s">
        <v>103</v>
      </c>
      <c r="L5744" s="3" t="s">
        <v>103</v>
      </c>
    </row>
    <row r="5745" spans="1:12" x14ac:dyDescent="0.3">
      <c r="A5745" t="s">
        <v>41</v>
      </c>
      <c r="B5745" t="s">
        <v>308</v>
      </c>
      <c r="C5745">
        <v>1</v>
      </c>
      <c r="D5745" t="s">
        <v>192</v>
      </c>
      <c r="E5745" t="s">
        <v>103</v>
      </c>
      <c r="F5745" t="s">
        <v>103</v>
      </c>
      <c r="G5745" t="s">
        <v>103</v>
      </c>
      <c r="H5745" t="s">
        <v>103</v>
      </c>
      <c r="I5745" t="s">
        <v>103</v>
      </c>
      <c r="J5745" t="s">
        <v>103</v>
      </c>
      <c r="K5745" t="s">
        <v>103</v>
      </c>
      <c r="L5745" t="s">
        <v>103</v>
      </c>
    </row>
    <row r="5747" spans="1:12" x14ac:dyDescent="0.3">
      <c r="A5747" t="s">
        <v>2156</v>
      </c>
    </row>
    <row r="5748" spans="1:12" x14ac:dyDescent="0.3">
      <c r="A5748" t="s">
        <v>36</v>
      </c>
      <c r="B5748" t="s">
        <v>2157</v>
      </c>
      <c r="C5748" t="s">
        <v>24</v>
      </c>
      <c r="D5748" t="s">
        <v>2146</v>
      </c>
      <c r="E5748" t="s">
        <v>2147</v>
      </c>
      <c r="F5748" t="s">
        <v>2148</v>
      </c>
      <c r="G5748" t="s">
        <v>2149</v>
      </c>
      <c r="H5748" t="s">
        <v>2150</v>
      </c>
      <c r="I5748" t="s">
        <v>2151</v>
      </c>
      <c r="J5748" t="s">
        <v>183</v>
      </c>
      <c r="K5748" t="s">
        <v>87</v>
      </c>
      <c r="L5748" t="s">
        <v>181</v>
      </c>
    </row>
    <row r="5749" spans="1:12" x14ac:dyDescent="0.3">
      <c r="A5749" t="s">
        <v>25</v>
      </c>
      <c r="B5749" t="s">
        <v>2158</v>
      </c>
      <c r="C5749">
        <v>238</v>
      </c>
      <c r="D5749" t="s">
        <v>781</v>
      </c>
      <c r="E5749" t="s">
        <v>532</v>
      </c>
      <c r="F5749" t="s">
        <v>97</v>
      </c>
      <c r="G5749" t="s">
        <v>103</v>
      </c>
      <c r="H5749" t="s">
        <v>103</v>
      </c>
      <c r="I5749" t="s">
        <v>103</v>
      </c>
      <c r="J5749" t="s">
        <v>122</v>
      </c>
      <c r="K5749" t="s">
        <v>103</v>
      </c>
      <c r="L5749" t="s">
        <v>103</v>
      </c>
    </row>
    <row r="5750" spans="1:12" x14ac:dyDescent="0.3">
      <c r="A5750" t="s">
        <v>25</v>
      </c>
      <c r="B5750" t="s">
        <v>2159</v>
      </c>
      <c r="C5750">
        <v>176</v>
      </c>
      <c r="D5750" t="s">
        <v>855</v>
      </c>
      <c r="E5750" t="s">
        <v>452</v>
      </c>
      <c r="F5750" t="s">
        <v>103</v>
      </c>
      <c r="G5750" t="s">
        <v>103</v>
      </c>
      <c r="H5750" t="s">
        <v>103</v>
      </c>
      <c r="I5750" t="s">
        <v>103</v>
      </c>
      <c r="J5750" t="s">
        <v>122</v>
      </c>
      <c r="K5750" t="s">
        <v>103</v>
      </c>
      <c r="L5750" t="s">
        <v>103</v>
      </c>
    </row>
    <row r="5751" spans="1:12" x14ac:dyDescent="0.3">
      <c r="A5751" t="s">
        <v>26</v>
      </c>
      <c r="B5751" t="s">
        <v>2158</v>
      </c>
      <c r="C5751">
        <v>230</v>
      </c>
      <c r="D5751" t="s">
        <v>1633</v>
      </c>
      <c r="E5751" t="s">
        <v>257</v>
      </c>
      <c r="F5751" t="s">
        <v>103</v>
      </c>
      <c r="G5751" t="s">
        <v>103</v>
      </c>
      <c r="H5751" t="s">
        <v>103</v>
      </c>
      <c r="I5751" t="s">
        <v>103</v>
      </c>
      <c r="J5751" t="s">
        <v>468</v>
      </c>
      <c r="K5751" t="s">
        <v>103</v>
      </c>
      <c r="L5751" t="s">
        <v>122</v>
      </c>
    </row>
    <row r="5752" spans="1:12" x14ac:dyDescent="0.3">
      <c r="A5752" t="s">
        <v>26</v>
      </c>
      <c r="B5752" t="s">
        <v>2159</v>
      </c>
      <c r="C5752">
        <v>247</v>
      </c>
      <c r="D5752" t="s">
        <v>339</v>
      </c>
      <c r="E5752" t="s">
        <v>208</v>
      </c>
      <c r="F5752" t="s">
        <v>66</v>
      </c>
      <c r="G5752" t="s">
        <v>103</v>
      </c>
      <c r="H5752" t="s">
        <v>103</v>
      </c>
      <c r="I5752" t="s">
        <v>103</v>
      </c>
      <c r="J5752" t="s">
        <v>97</v>
      </c>
      <c r="K5752" t="s">
        <v>103</v>
      </c>
      <c r="L5752" t="s">
        <v>103</v>
      </c>
    </row>
    <row r="5753" spans="1:12" x14ac:dyDescent="0.3">
      <c r="A5753" t="s">
        <v>29</v>
      </c>
      <c r="B5753" t="s">
        <v>2158</v>
      </c>
      <c r="C5753">
        <v>259</v>
      </c>
      <c r="D5753" t="s">
        <v>851</v>
      </c>
      <c r="E5753" t="s">
        <v>737</v>
      </c>
      <c r="F5753" t="s">
        <v>591</v>
      </c>
      <c r="G5753" t="s">
        <v>103</v>
      </c>
      <c r="H5753" t="s">
        <v>103</v>
      </c>
      <c r="I5753" t="s">
        <v>103</v>
      </c>
      <c r="J5753" t="s">
        <v>91</v>
      </c>
      <c r="K5753" t="s">
        <v>116</v>
      </c>
      <c r="L5753" t="s">
        <v>103</v>
      </c>
    </row>
    <row r="5754" spans="1:12" x14ac:dyDescent="0.3">
      <c r="A5754" t="s">
        <v>29</v>
      </c>
      <c r="B5754" t="s">
        <v>2159</v>
      </c>
      <c r="C5754">
        <v>270</v>
      </c>
      <c r="D5754" t="s">
        <v>851</v>
      </c>
      <c r="E5754" t="s">
        <v>594</v>
      </c>
      <c r="F5754" t="s">
        <v>270</v>
      </c>
      <c r="G5754" t="s">
        <v>103</v>
      </c>
      <c r="H5754" t="s">
        <v>103</v>
      </c>
      <c r="I5754" t="s">
        <v>116</v>
      </c>
      <c r="J5754" t="s">
        <v>345</v>
      </c>
      <c r="K5754" t="s">
        <v>66</v>
      </c>
      <c r="L5754" t="s">
        <v>103</v>
      </c>
    </row>
    <row r="5755" spans="1:12" x14ac:dyDescent="0.3">
      <c r="A5755" t="s">
        <v>29</v>
      </c>
      <c r="B5755" t="s">
        <v>308</v>
      </c>
      <c r="C5755">
        <v>1</v>
      </c>
      <c r="D5755" t="s">
        <v>192</v>
      </c>
      <c r="E5755" t="s">
        <v>103</v>
      </c>
      <c r="F5755" t="s">
        <v>103</v>
      </c>
      <c r="G5755" t="s">
        <v>103</v>
      </c>
      <c r="H5755" t="s">
        <v>103</v>
      </c>
      <c r="I5755" t="s">
        <v>103</v>
      </c>
      <c r="J5755" t="s">
        <v>103</v>
      </c>
      <c r="K5755" t="s">
        <v>103</v>
      </c>
      <c r="L5755" t="s">
        <v>103</v>
      </c>
    </row>
    <row r="5756" spans="1:12" x14ac:dyDescent="0.3">
      <c r="A5756" t="s">
        <v>28</v>
      </c>
      <c r="B5756" t="s">
        <v>2158</v>
      </c>
      <c r="C5756">
        <v>140</v>
      </c>
      <c r="D5756" t="s">
        <v>742</v>
      </c>
      <c r="E5756" t="s">
        <v>169</v>
      </c>
      <c r="F5756" t="s">
        <v>103</v>
      </c>
      <c r="G5756" t="s">
        <v>95</v>
      </c>
      <c r="H5756" t="s">
        <v>103</v>
      </c>
      <c r="I5756" t="s">
        <v>95</v>
      </c>
      <c r="J5756" t="s">
        <v>103</v>
      </c>
      <c r="K5756" t="s">
        <v>103</v>
      </c>
      <c r="L5756" t="s">
        <v>103</v>
      </c>
    </row>
    <row r="5757" spans="1:12" x14ac:dyDescent="0.3">
      <c r="A5757" t="s">
        <v>28</v>
      </c>
      <c r="B5757" t="s">
        <v>2159</v>
      </c>
      <c r="C5757">
        <v>177</v>
      </c>
      <c r="D5757" t="s">
        <v>752</v>
      </c>
      <c r="E5757" t="s">
        <v>284</v>
      </c>
      <c r="F5757" t="s">
        <v>103</v>
      </c>
      <c r="G5757" t="s">
        <v>103</v>
      </c>
      <c r="H5757" t="s">
        <v>103</v>
      </c>
      <c r="I5757" t="s">
        <v>103</v>
      </c>
      <c r="J5757" t="s">
        <v>95</v>
      </c>
      <c r="K5757" t="s">
        <v>103</v>
      </c>
      <c r="L5757" t="s">
        <v>103</v>
      </c>
    </row>
    <row r="5758" spans="1:12" x14ac:dyDescent="0.3">
      <c r="A5758" t="s">
        <v>27</v>
      </c>
      <c r="B5758" t="s">
        <v>2158</v>
      </c>
      <c r="C5758">
        <v>186</v>
      </c>
      <c r="D5758" t="s">
        <v>153</v>
      </c>
      <c r="E5758" t="s">
        <v>190</v>
      </c>
      <c r="F5758" t="s">
        <v>105</v>
      </c>
      <c r="G5758" t="s">
        <v>103</v>
      </c>
      <c r="H5758" t="s">
        <v>103</v>
      </c>
      <c r="I5758" t="s">
        <v>120</v>
      </c>
      <c r="J5758" t="s">
        <v>64</v>
      </c>
      <c r="K5758" t="s">
        <v>194</v>
      </c>
      <c r="L5758" t="s">
        <v>103</v>
      </c>
    </row>
    <row r="5759" spans="1:12" x14ac:dyDescent="0.3">
      <c r="A5759" t="s">
        <v>27</v>
      </c>
      <c r="B5759" t="s">
        <v>2159</v>
      </c>
      <c r="C5759">
        <v>114</v>
      </c>
      <c r="D5759" t="s">
        <v>286</v>
      </c>
      <c r="E5759" t="s">
        <v>139</v>
      </c>
      <c r="F5759" t="s">
        <v>103</v>
      </c>
      <c r="G5759" t="s">
        <v>103</v>
      </c>
      <c r="H5759" t="s">
        <v>103</v>
      </c>
      <c r="I5759" t="s">
        <v>103</v>
      </c>
      <c r="J5759" t="s">
        <v>103</v>
      </c>
      <c r="K5759" t="s">
        <v>341</v>
      </c>
      <c r="L5759" t="s">
        <v>98</v>
      </c>
    </row>
    <row r="5760" spans="1:12" x14ac:dyDescent="0.3">
      <c r="A5760" t="s">
        <v>41</v>
      </c>
      <c r="B5760" t="s">
        <v>2158</v>
      </c>
      <c r="C5760">
        <v>1053</v>
      </c>
      <c r="D5760" t="s">
        <v>1484</v>
      </c>
      <c r="E5760" t="s">
        <v>531</v>
      </c>
      <c r="F5760" t="s">
        <v>208</v>
      </c>
      <c r="G5760" t="s">
        <v>103</v>
      </c>
      <c r="H5760" t="s">
        <v>103</v>
      </c>
      <c r="I5760" t="s">
        <v>91</v>
      </c>
      <c r="J5760" t="s">
        <v>120</v>
      </c>
      <c r="K5760" t="s">
        <v>66</v>
      </c>
      <c r="L5760" t="s">
        <v>91</v>
      </c>
    </row>
    <row r="5761" spans="1:12" x14ac:dyDescent="0.3">
      <c r="A5761" t="s">
        <v>41</v>
      </c>
      <c r="B5761" t="s">
        <v>2159</v>
      </c>
      <c r="C5761">
        <v>984</v>
      </c>
      <c r="D5761" t="s">
        <v>636</v>
      </c>
      <c r="E5761" t="s">
        <v>32</v>
      </c>
      <c r="F5761" t="s">
        <v>239</v>
      </c>
      <c r="G5761" t="s">
        <v>103</v>
      </c>
      <c r="H5761" t="s">
        <v>103</v>
      </c>
      <c r="I5761" t="s">
        <v>66</v>
      </c>
      <c r="J5761" t="s">
        <v>139</v>
      </c>
      <c r="K5761" t="s">
        <v>66</v>
      </c>
      <c r="L5761" t="s">
        <v>103</v>
      </c>
    </row>
    <row r="5762" spans="1:12" x14ac:dyDescent="0.3">
      <c r="A5762" t="s">
        <v>41</v>
      </c>
      <c r="B5762" t="s">
        <v>308</v>
      </c>
      <c r="C5762">
        <v>1</v>
      </c>
      <c r="D5762" t="s">
        <v>192</v>
      </c>
      <c r="E5762" t="s">
        <v>103</v>
      </c>
      <c r="F5762" t="s">
        <v>103</v>
      </c>
      <c r="G5762" t="s">
        <v>103</v>
      </c>
      <c r="H5762" t="s">
        <v>103</v>
      </c>
      <c r="I5762" t="s">
        <v>103</v>
      </c>
      <c r="J5762" t="s">
        <v>103</v>
      </c>
      <c r="K5762" t="s">
        <v>103</v>
      </c>
      <c r="L5762" t="s">
        <v>103</v>
      </c>
    </row>
    <row r="5764" spans="1:12" x14ac:dyDescent="0.3">
      <c r="A5764" t="s">
        <v>2160</v>
      </c>
    </row>
    <row r="5765" spans="1:12" x14ac:dyDescent="0.3">
      <c r="A5765" t="s">
        <v>36</v>
      </c>
      <c r="B5765" t="s">
        <v>307</v>
      </c>
      <c r="C5765" t="s">
        <v>24</v>
      </c>
      <c r="D5765" t="s">
        <v>2146</v>
      </c>
      <c r="E5765" t="s">
        <v>2147</v>
      </c>
      <c r="F5765" t="s">
        <v>2148</v>
      </c>
      <c r="G5765" t="s">
        <v>2149</v>
      </c>
      <c r="H5765" t="s">
        <v>2150</v>
      </c>
      <c r="I5765" t="s">
        <v>2151</v>
      </c>
      <c r="J5765" t="s">
        <v>183</v>
      </c>
      <c r="K5765" t="s">
        <v>87</v>
      </c>
      <c r="L5765" t="s">
        <v>181</v>
      </c>
    </row>
    <row r="5766" spans="1:12" x14ac:dyDescent="0.3">
      <c r="A5766" t="s">
        <v>25</v>
      </c>
      <c r="B5766" t="s">
        <v>291</v>
      </c>
      <c r="C5766">
        <v>156</v>
      </c>
      <c r="D5766" t="s">
        <v>283</v>
      </c>
      <c r="E5766" t="s">
        <v>460</v>
      </c>
      <c r="F5766" t="s">
        <v>139</v>
      </c>
      <c r="G5766" t="s">
        <v>103</v>
      </c>
      <c r="H5766" t="s">
        <v>103</v>
      </c>
      <c r="I5766" t="s">
        <v>103</v>
      </c>
      <c r="J5766" t="s">
        <v>95</v>
      </c>
      <c r="K5766" t="s">
        <v>103</v>
      </c>
      <c r="L5766" t="s">
        <v>103</v>
      </c>
    </row>
    <row r="5767" spans="1:12" x14ac:dyDescent="0.3">
      <c r="A5767" t="s">
        <v>25</v>
      </c>
      <c r="B5767" t="s">
        <v>292</v>
      </c>
      <c r="C5767">
        <v>254</v>
      </c>
      <c r="D5767" t="s">
        <v>1173</v>
      </c>
      <c r="E5767" t="s">
        <v>114</v>
      </c>
      <c r="F5767" t="s">
        <v>103</v>
      </c>
      <c r="G5767" t="s">
        <v>103</v>
      </c>
      <c r="H5767" t="s">
        <v>103</v>
      </c>
      <c r="I5767" t="s">
        <v>103</v>
      </c>
      <c r="J5767" t="s">
        <v>116</v>
      </c>
      <c r="K5767" t="s">
        <v>103</v>
      </c>
      <c r="L5767" t="s">
        <v>103</v>
      </c>
    </row>
    <row r="5768" spans="1:12" x14ac:dyDescent="0.3">
      <c r="A5768" t="s">
        <v>25</v>
      </c>
      <c r="B5768" t="s">
        <v>308</v>
      </c>
      <c r="C5768">
        <v>4</v>
      </c>
      <c r="D5768" t="s">
        <v>192</v>
      </c>
      <c r="E5768" t="s">
        <v>103</v>
      </c>
      <c r="F5768" t="s">
        <v>103</v>
      </c>
      <c r="G5768" t="s">
        <v>103</v>
      </c>
      <c r="H5768" t="s">
        <v>103</v>
      </c>
      <c r="I5768" t="s">
        <v>103</v>
      </c>
      <c r="J5768" t="s">
        <v>103</v>
      </c>
      <c r="K5768" t="s">
        <v>103</v>
      </c>
      <c r="L5768" t="s">
        <v>103</v>
      </c>
    </row>
    <row r="5769" spans="1:12" x14ac:dyDescent="0.3">
      <c r="A5769" t="s">
        <v>26</v>
      </c>
      <c r="B5769" t="s">
        <v>291</v>
      </c>
      <c r="C5769">
        <v>122</v>
      </c>
      <c r="D5769" t="s">
        <v>882</v>
      </c>
      <c r="E5769" t="s">
        <v>114</v>
      </c>
      <c r="F5769" t="s">
        <v>103</v>
      </c>
      <c r="G5769" t="s">
        <v>103</v>
      </c>
      <c r="H5769" t="s">
        <v>103</v>
      </c>
      <c r="I5769" t="s">
        <v>103</v>
      </c>
      <c r="J5769" t="s">
        <v>272</v>
      </c>
      <c r="K5769" t="s">
        <v>103</v>
      </c>
      <c r="L5769" t="s">
        <v>95</v>
      </c>
    </row>
    <row r="5770" spans="1:12" x14ac:dyDescent="0.3">
      <c r="A5770" t="s">
        <v>26</v>
      </c>
      <c r="B5770" t="s">
        <v>292</v>
      </c>
      <c r="C5770">
        <v>352</v>
      </c>
      <c r="D5770" t="s">
        <v>340</v>
      </c>
      <c r="E5770" t="s">
        <v>216</v>
      </c>
      <c r="F5770" t="s">
        <v>66</v>
      </c>
      <c r="G5770" t="s">
        <v>103</v>
      </c>
      <c r="H5770" t="s">
        <v>103</v>
      </c>
      <c r="I5770" t="s">
        <v>103</v>
      </c>
      <c r="J5770" t="s">
        <v>103</v>
      </c>
      <c r="K5770" t="s">
        <v>103</v>
      </c>
      <c r="L5770" t="s">
        <v>103</v>
      </c>
    </row>
    <row r="5771" spans="1:12" x14ac:dyDescent="0.3">
      <c r="A5771" t="s">
        <v>26</v>
      </c>
      <c r="B5771" t="s">
        <v>308</v>
      </c>
      <c r="C5771">
        <v>3</v>
      </c>
      <c r="D5771" t="s">
        <v>192</v>
      </c>
      <c r="E5771" t="s">
        <v>103</v>
      </c>
      <c r="F5771" t="s">
        <v>103</v>
      </c>
      <c r="G5771" t="s">
        <v>103</v>
      </c>
      <c r="H5771" t="s">
        <v>103</v>
      </c>
      <c r="I5771" t="s">
        <v>103</v>
      </c>
      <c r="J5771" t="s">
        <v>103</v>
      </c>
      <c r="K5771" t="s">
        <v>103</v>
      </c>
      <c r="L5771" t="s">
        <v>103</v>
      </c>
    </row>
    <row r="5772" spans="1:12" x14ac:dyDescent="0.3">
      <c r="A5772" t="s">
        <v>29</v>
      </c>
      <c r="B5772" t="s">
        <v>291</v>
      </c>
      <c r="C5772">
        <v>205</v>
      </c>
      <c r="D5772" t="s">
        <v>170</v>
      </c>
      <c r="E5772" t="s">
        <v>137</v>
      </c>
      <c r="F5772" t="s">
        <v>214</v>
      </c>
      <c r="G5772" t="s">
        <v>103</v>
      </c>
      <c r="H5772" t="s">
        <v>103</v>
      </c>
      <c r="I5772" t="s">
        <v>103</v>
      </c>
      <c r="J5772" t="s">
        <v>98</v>
      </c>
      <c r="K5772" t="s">
        <v>116</v>
      </c>
      <c r="L5772" t="s">
        <v>103</v>
      </c>
    </row>
    <row r="5773" spans="1:12" x14ac:dyDescent="0.3">
      <c r="A5773" t="s">
        <v>29</v>
      </c>
      <c r="B5773" t="s">
        <v>292</v>
      </c>
      <c r="C5773">
        <v>325</v>
      </c>
      <c r="D5773" t="s">
        <v>882</v>
      </c>
      <c r="E5773" t="s">
        <v>452</v>
      </c>
      <c r="F5773" t="s">
        <v>217</v>
      </c>
      <c r="G5773" t="s">
        <v>103</v>
      </c>
      <c r="H5773" t="s">
        <v>103</v>
      </c>
      <c r="I5773" t="s">
        <v>116</v>
      </c>
      <c r="J5773" t="s">
        <v>97</v>
      </c>
      <c r="K5773" t="s">
        <v>66</v>
      </c>
      <c r="L5773" t="s">
        <v>103</v>
      </c>
    </row>
    <row r="5774" spans="1:12" x14ac:dyDescent="0.3">
      <c r="A5774" t="s">
        <v>28</v>
      </c>
      <c r="B5774" t="s">
        <v>291</v>
      </c>
      <c r="C5774">
        <v>114</v>
      </c>
      <c r="D5774" t="s">
        <v>721</v>
      </c>
      <c r="E5774" t="s">
        <v>164</v>
      </c>
      <c r="F5774" t="s">
        <v>103</v>
      </c>
      <c r="G5774" t="s">
        <v>98</v>
      </c>
      <c r="H5774" t="s">
        <v>103</v>
      </c>
      <c r="I5774" t="s">
        <v>98</v>
      </c>
      <c r="J5774" t="s">
        <v>98</v>
      </c>
      <c r="K5774" t="s">
        <v>103</v>
      </c>
      <c r="L5774" t="s">
        <v>103</v>
      </c>
    </row>
    <row r="5775" spans="1:12" x14ac:dyDescent="0.3">
      <c r="A5775" t="s">
        <v>28</v>
      </c>
      <c r="B5775" t="s">
        <v>292</v>
      </c>
      <c r="C5775">
        <v>191</v>
      </c>
      <c r="D5775" t="s">
        <v>1173</v>
      </c>
      <c r="E5775" t="s">
        <v>107</v>
      </c>
      <c r="F5775" t="s">
        <v>103</v>
      </c>
      <c r="G5775" t="s">
        <v>103</v>
      </c>
      <c r="H5775" t="s">
        <v>103</v>
      </c>
      <c r="I5775" t="s">
        <v>103</v>
      </c>
      <c r="J5775" t="s">
        <v>103</v>
      </c>
      <c r="K5775" t="s">
        <v>103</v>
      </c>
      <c r="L5775" t="s">
        <v>103</v>
      </c>
    </row>
    <row r="5776" spans="1:12" x14ac:dyDescent="0.3">
      <c r="A5776" t="s">
        <v>28</v>
      </c>
      <c r="B5776" t="s">
        <v>308</v>
      </c>
      <c r="C5776">
        <v>12</v>
      </c>
      <c r="D5776" t="s">
        <v>1509</v>
      </c>
      <c r="E5776" t="s">
        <v>205</v>
      </c>
      <c r="F5776" t="s">
        <v>103</v>
      </c>
      <c r="G5776" t="s">
        <v>103</v>
      </c>
      <c r="H5776" t="s">
        <v>103</v>
      </c>
      <c r="I5776" t="s">
        <v>103</v>
      </c>
      <c r="J5776" t="s">
        <v>103</v>
      </c>
      <c r="K5776" t="s">
        <v>103</v>
      </c>
      <c r="L5776" t="s">
        <v>103</v>
      </c>
    </row>
    <row r="5777" spans="1:12" x14ac:dyDescent="0.3">
      <c r="A5777" t="s">
        <v>27</v>
      </c>
      <c r="B5777" t="s">
        <v>291</v>
      </c>
      <c r="C5777">
        <v>95</v>
      </c>
      <c r="D5777" t="s">
        <v>1359</v>
      </c>
      <c r="E5777" t="s">
        <v>543</v>
      </c>
      <c r="F5777" t="s">
        <v>257</v>
      </c>
      <c r="G5777" t="s">
        <v>103</v>
      </c>
      <c r="H5777" t="s">
        <v>103</v>
      </c>
      <c r="I5777" t="s">
        <v>103</v>
      </c>
      <c r="J5777" t="s">
        <v>452</v>
      </c>
      <c r="K5777" t="s">
        <v>112</v>
      </c>
      <c r="L5777" t="s">
        <v>103</v>
      </c>
    </row>
    <row r="5778" spans="1:12" x14ac:dyDescent="0.3">
      <c r="A5778" t="s">
        <v>27</v>
      </c>
      <c r="B5778" t="s">
        <v>292</v>
      </c>
      <c r="C5778">
        <v>198</v>
      </c>
      <c r="D5778" t="s">
        <v>867</v>
      </c>
      <c r="E5778" t="s">
        <v>208</v>
      </c>
      <c r="F5778" t="s">
        <v>97</v>
      </c>
      <c r="G5778" t="s">
        <v>103</v>
      </c>
      <c r="H5778" t="s">
        <v>103</v>
      </c>
      <c r="I5778" t="s">
        <v>97</v>
      </c>
      <c r="J5778" t="s">
        <v>103</v>
      </c>
      <c r="K5778" t="s">
        <v>103</v>
      </c>
      <c r="L5778" t="s">
        <v>120</v>
      </c>
    </row>
    <row r="5779" spans="1:12" x14ac:dyDescent="0.3">
      <c r="A5779" t="s">
        <v>27</v>
      </c>
      <c r="B5779" t="s">
        <v>308</v>
      </c>
      <c r="C5779">
        <v>7</v>
      </c>
      <c r="D5779" t="s">
        <v>192</v>
      </c>
      <c r="E5779" t="s">
        <v>103</v>
      </c>
      <c r="F5779" t="s">
        <v>103</v>
      </c>
      <c r="G5779" t="s">
        <v>103</v>
      </c>
      <c r="H5779" t="s">
        <v>103</v>
      </c>
      <c r="I5779" t="s">
        <v>103</v>
      </c>
      <c r="J5779" t="s">
        <v>103</v>
      </c>
      <c r="K5779" t="s">
        <v>103</v>
      </c>
      <c r="L5779" t="s">
        <v>103</v>
      </c>
    </row>
    <row r="5780" spans="1:12" x14ac:dyDescent="0.3">
      <c r="A5780" t="s">
        <v>41</v>
      </c>
      <c r="B5780" t="s">
        <v>291</v>
      </c>
      <c r="C5780">
        <v>692</v>
      </c>
      <c r="D5780" t="s">
        <v>147</v>
      </c>
      <c r="E5780" t="s">
        <v>242</v>
      </c>
      <c r="F5780" t="s">
        <v>266</v>
      </c>
      <c r="G5780" t="s">
        <v>103</v>
      </c>
      <c r="H5780" t="s">
        <v>103</v>
      </c>
      <c r="I5780" t="s">
        <v>103</v>
      </c>
      <c r="J5780" t="s">
        <v>239</v>
      </c>
      <c r="K5780" t="s">
        <v>122</v>
      </c>
      <c r="L5780" t="s">
        <v>91</v>
      </c>
    </row>
    <row r="5781" spans="1:12" x14ac:dyDescent="0.3">
      <c r="A5781" t="s">
        <v>41</v>
      </c>
      <c r="B5781" t="s">
        <v>292</v>
      </c>
      <c r="C5781">
        <v>1320</v>
      </c>
      <c r="D5781" t="s">
        <v>213</v>
      </c>
      <c r="E5781" t="s">
        <v>186</v>
      </c>
      <c r="F5781" t="s">
        <v>468</v>
      </c>
      <c r="G5781" t="s">
        <v>103</v>
      </c>
      <c r="H5781" t="s">
        <v>103</v>
      </c>
      <c r="I5781" t="s">
        <v>91</v>
      </c>
      <c r="J5781" t="s">
        <v>116</v>
      </c>
      <c r="K5781" t="s">
        <v>91</v>
      </c>
      <c r="L5781" t="s">
        <v>103</v>
      </c>
    </row>
    <row r="5782" spans="1:12" x14ac:dyDescent="0.3">
      <c r="A5782" t="s">
        <v>41</v>
      </c>
      <c r="B5782" t="s">
        <v>308</v>
      </c>
      <c r="C5782">
        <v>26</v>
      </c>
      <c r="D5782" t="s">
        <v>852</v>
      </c>
      <c r="E5782" t="s">
        <v>128</v>
      </c>
      <c r="F5782" t="s">
        <v>103</v>
      </c>
      <c r="G5782" t="s">
        <v>103</v>
      </c>
      <c r="H5782" t="s">
        <v>103</v>
      </c>
      <c r="I5782" t="s">
        <v>103</v>
      </c>
      <c r="J5782" t="s">
        <v>103</v>
      </c>
      <c r="K5782" t="s">
        <v>103</v>
      </c>
      <c r="L5782" t="s">
        <v>103</v>
      </c>
    </row>
    <row r="5784" spans="1:12" x14ac:dyDescent="0.3">
      <c r="A5784" t="s">
        <v>2161</v>
      </c>
    </row>
    <row r="5785" spans="1:12" x14ac:dyDescent="0.3">
      <c r="A5785" t="s">
        <v>36</v>
      </c>
      <c r="B5785" t="s">
        <v>210</v>
      </c>
      <c r="C5785" t="s">
        <v>24</v>
      </c>
      <c r="D5785" t="s">
        <v>2146</v>
      </c>
      <c r="E5785" t="s">
        <v>2147</v>
      </c>
      <c r="F5785" t="s">
        <v>2148</v>
      </c>
      <c r="G5785" t="s">
        <v>2149</v>
      </c>
      <c r="H5785" t="s">
        <v>2150</v>
      </c>
      <c r="I5785" t="s">
        <v>2151</v>
      </c>
      <c r="J5785" t="s">
        <v>183</v>
      </c>
      <c r="K5785" t="s">
        <v>87</v>
      </c>
      <c r="L5785" t="s">
        <v>181</v>
      </c>
    </row>
    <row r="5786" spans="1:12" x14ac:dyDescent="0.3">
      <c r="A5786" t="s">
        <v>25</v>
      </c>
      <c r="B5786" t="s">
        <v>211</v>
      </c>
      <c r="C5786">
        <v>414</v>
      </c>
      <c r="D5786" t="s">
        <v>611</v>
      </c>
      <c r="E5786" t="s">
        <v>278</v>
      </c>
      <c r="F5786" t="s">
        <v>116</v>
      </c>
      <c r="G5786" t="s">
        <v>103</v>
      </c>
      <c r="H5786" t="s">
        <v>103</v>
      </c>
      <c r="I5786" t="s">
        <v>103</v>
      </c>
      <c r="J5786" t="s">
        <v>122</v>
      </c>
      <c r="K5786" t="s">
        <v>103</v>
      </c>
      <c r="L5786" t="s">
        <v>103</v>
      </c>
    </row>
    <row r="5787" spans="1:12" x14ac:dyDescent="0.3">
      <c r="A5787" t="s">
        <v>26</v>
      </c>
      <c r="B5787" t="s">
        <v>211</v>
      </c>
      <c r="C5787">
        <v>223</v>
      </c>
      <c r="D5787" t="s">
        <v>332</v>
      </c>
      <c r="E5787" t="s">
        <v>257</v>
      </c>
      <c r="F5787" t="s">
        <v>103</v>
      </c>
      <c r="G5787" t="s">
        <v>103</v>
      </c>
      <c r="H5787" t="s">
        <v>103</v>
      </c>
      <c r="I5787" t="s">
        <v>103</v>
      </c>
      <c r="J5787" t="s">
        <v>98</v>
      </c>
      <c r="K5787" t="s">
        <v>103</v>
      </c>
      <c r="L5787" t="s">
        <v>103</v>
      </c>
    </row>
    <row r="5788" spans="1:12" x14ac:dyDescent="0.3">
      <c r="A5788" t="s">
        <v>26</v>
      </c>
      <c r="B5788" t="s">
        <v>212</v>
      </c>
      <c r="C5788">
        <v>254</v>
      </c>
      <c r="D5788" t="s">
        <v>837</v>
      </c>
      <c r="E5788" t="s">
        <v>208</v>
      </c>
      <c r="F5788" t="s">
        <v>116</v>
      </c>
      <c r="G5788" t="s">
        <v>103</v>
      </c>
      <c r="H5788" t="s">
        <v>103</v>
      </c>
      <c r="I5788" t="s">
        <v>103</v>
      </c>
      <c r="J5788" t="s">
        <v>95</v>
      </c>
      <c r="K5788" t="s">
        <v>103</v>
      </c>
      <c r="L5788" t="s">
        <v>116</v>
      </c>
    </row>
    <row r="5789" spans="1:12" x14ac:dyDescent="0.3">
      <c r="A5789" t="s">
        <v>29</v>
      </c>
      <c r="B5789" t="s">
        <v>211</v>
      </c>
      <c r="C5789">
        <v>530</v>
      </c>
      <c r="D5789" t="s">
        <v>851</v>
      </c>
      <c r="E5789" t="s">
        <v>460</v>
      </c>
      <c r="F5789" t="s">
        <v>438</v>
      </c>
      <c r="G5789" t="s">
        <v>103</v>
      </c>
      <c r="H5789" t="s">
        <v>103</v>
      </c>
      <c r="I5789" t="s">
        <v>66</v>
      </c>
      <c r="J5789" t="s">
        <v>120</v>
      </c>
      <c r="K5789" t="s">
        <v>116</v>
      </c>
      <c r="L5789" t="s">
        <v>103</v>
      </c>
    </row>
    <row r="5790" spans="1:12" x14ac:dyDescent="0.3">
      <c r="A5790" t="s">
        <v>28</v>
      </c>
      <c r="B5790" t="s">
        <v>211</v>
      </c>
      <c r="C5790">
        <v>277</v>
      </c>
      <c r="D5790" t="s">
        <v>851</v>
      </c>
      <c r="E5790" t="s">
        <v>205</v>
      </c>
      <c r="F5790" t="s">
        <v>103</v>
      </c>
      <c r="G5790" t="s">
        <v>103</v>
      </c>
      <c r="H5790" t="s">
        <v>103</v>
      </c>
      <c r="I5790" t="s">
        <v>103</v>
      </c>
      <c r="J5790" t="s">
        <v>122</v>
      </c>
      <c r="K5790" t="s">
        <v>103</v>
      </c>
      <c r="L5790" t="s">
        <v>103</v>
      </c>
    </row>
    <row r="5791" spans="1:12" x14ac:dyDescent="0.3">
      <c r="A5791" t="s">
        <v>28</v>
      </c>
      <c r="B5791" t="s">
        <v>212</v>
      </c>
      <c r="C5791">
        <v>40</v>
      </c>
      <c r="D5791" t="s">
        <v>827</v>
      </c>
      <c r="E5791" t="s">
        <v>70</v>
      </c>
      <c r="F5791" t="s">
        <v>103</v>
      </c>
      <c r="G5791" t="s">
        <v>438</v>
      </c>
      <c r="H5791" t="s">
        <v>103</v>
      </c>
      <c r="I5791" t="s">
        <v>438</v>
      </c>
      <c r="J5791" t="s">
        <v>103</v>
      </c>
      <c r="K5791" t="s">
        <v>103</v>
      </c>
      <c r="L5791" t="s">
        <v>103</v>
      </c>
    </row>
    <row r="5792" spans="1:12" x14ac:dyDescent="0.3">
      <c r="A5792" t="s">
        <v>27</v>
      </c>
      <c r="B5792" t="s">
        <v>211</v>
      </c>
      <c r="C5792">
        <v>270</v>
      </c>
      <c r="D5792" t="s">
        <v>240</v>
      </c>
      <c r="E5792" t="s">
        <v>532</v>
      </c>
      <c r="F5792" t="s">
        <v>345</v>
      </c>
      <c r="G5792" t="s">
        <v>103</v>
      </c>
      <c r="H5792" t="s">
        <v>103</v>
      </c>
      <c r="I5792" t="s">
        <v>122</v>
      </c>
      <c r="J5792" t="s">
        <v>105</v>
      </c>
      <c r="K5792" t="s">
        <v>216</v>
      </c>
      <c r="L5792" t="s">
        <v>122</v>
      </c>
    </row>
    <row r="5793" spans="1:12" s="3" customFormat="1" x14ac:dyDescent="0.3">
      <c r="A5793" s="3" t="s">
        <v>27</v>
      </c>
      <c r="B5793" s="3" t="s">
        <v>212</v>
      </c>
      <c r="C5793" s="3">
        <v>30</v>
      </c>
      <c r="D5793" s="3" t="s">
        <v>192</v>
      </c>
      <c r="E5793" s="3" t="s">
        <v>103</v>
      </c>
      <c r="F5793" s="3" t="s">
        <v>103</v>
      </c>
      <c r="G5793" s="3" t="s">
        <v>103</v>
      </c>
      <c r="H5793" s="3" t="s">
        <v>103</v>
      </c>
      <c r="I5793" s="3" t="s">
        <v>103</v>
      </c>
      <c r="J5793" s="3" t="s">
        <v>103</v>
      </c>
      <c r="K5793" s="3" t="s">
        <v>103</v>
      </c>
      <c r="L5793" s="3" t="s">
        <v>103</v>
      </c>
    </row>
    <row r="5794" spans="1:12" x14ac:dyDescent="0.3">
      <c r="A5794" t="s">
        <v>41</v>
      </c>
      <c r="B5794" t="s">
        <v>211</v>
      </c>
      <c r="C5794">
        <v>1714</v>
      </c>
      <c r="D5794" t="s">
        <v>61</v>
      </c>
      <c r="E5794" t="s">
        <v>452</v>
      </c>
      <c r="F5794" t="s">
        <v>208</v>
      </c>
      <c r="G5794" t="s">
        <v>103</v>
      </c>
      <c r="H5794" t="s">
        <v>103</v>
      </c>
      <c r="I5794" t="s">
        <v>91</v>
      </c>
      <c r="J5794" t="s">
        <v>95</v>
      </c>
      <c r="K5794" t="s">
        <v>66</v>
      </c>
      <c r="L5794" t="s">
        <v>103</v>
      </c>
    </row>
    <row r="5795" spans="1:12" x14ac:dyDescent="0.3">
      <c r="A5795" t="s">
        <v>41</v>
      </c>
      <c r="B5795" t="s">
        <v>212</v>
      </c>
      <c r="C5795">
        <v>324</v>
      </c>
      <c r="D5795" t="s">
        <v>336</v>
      </c>
      <c r="E5795" t="s">
        <v>208</v>
      </c>
      <c r="F5795" t="s">
        <v>66</v>
      </c>
      <c r="G5795" t="s">
        <v>91</v>
      </c>
      <c r="H5795" t="s">
        <v>103</v>
      </c>
      <c r="I5795" t="s">
        <v>91</v>
      </c>
      <c r="J5795" t="s">
        <v>95</v>
      </c>
      <c r="K5795" t="s">
        <v>103</v>
      </c>
      <c r="L5795" t="s">
        <v>116</v>
      </c>
    </row>
    <row r="5797" spans="1:12" x14ac:dyDescent="0.3">
      <c r="A5797" t="s">
        <v>2162</v>
      </c>
    </row>
    <row r="5798" spans="1:12" x14ac:dyDescent="0.3">
      <c r="A5798" t="s">
        <v>36</v>
      </c>
      <c r="B5798" t="s">
        <v>1517</v>
      </c>
      <c r="C5798" t="s">
        <v>24</v>
      </c>
      <c r="D5798" t="s">
        <v>2163</v>
      </c>
      <c r="E5798" t="s">
        <v>181</v>
      </c>
      <c r="F5798" t="s">
        <v>59</v>
      </c>
    </row>
    <row r="5799" spans="1:12" x14ac:dyDescent="0.3">
      <c r="A5799" t="s">
        <v>25</v>
      </c>
      <c r="B5799" t="s">
        <v>1518</v>
      </c>
      <c r="C5799">
        <v>217</v>
      </c>
      <c r="D5799" t="s">
        <v>1324</v>
      </c>
      <c r="E5799" t="s">
        <v>116</v>
      </c>
      <c r="F5799" t="s">
        <v>805</v>
      </c>
    </row>
    <row r="5800" spans="1:12" x14ac:dyDescent="0.3">
      <c r="A5800" t="s">
        <v>25</v>
      </c>
      <c r="B5800" t="s">
        <v>1519</v>
      </c>
      <c r="C5800">
        <v>197</v>
      </c>
      <c r="D5800" t="s">
        <v>184</v>
      </c>
      <c r="E5800" t="s">
        <v>103</v>
      </c>
      <c r="F5800" t="s">
        <v>137</v>
      </c>
    </row>
    <row r="5801" spans="1:12" x14ac:dyDescent="0.3">
      <c r="A5801" t="s">
        <v>26</v>
      </c>
      <c r="B5801" t="s">
        <v>1518</v>
      </c>
      <c r="C5801">
        <v>237</v>
      </c>
      <c r="D5801" t="s">
        <v>1094</v>
      </c>
      <c r="E5801" t="s">
        <v>245</v>
      </c>
      <c r="F5801" t="s">
        <v>1093</v>
      </c>
    </row>
    <row r="5802" spans="1:12" x14ac:dyDescent="0.3">
      <c r="A5802" t="s">
        <v>26</v>
      </c>
      <c r="B5802" t="s">
        <v>1519</v>
      </c>
      <c r="C5802">
        <v>235</v>
      </c>
      <c r="D5802" t="s">
        <v>1307</v>
      </c>
      <c r="E5802" t="s">
        <v>468</v>
      </c>
      <c r="F5802" t="s">
        <v>494</v>
      </c>
    </row>
    <row r="5803" spans="1:12" x14ac:dyDescent="0.3">
      <c r="A5803" t="s">
        <v>26</v>
      </c>
      <c r="B5803" t="s">
        <v>308</v>
      </c>
      <c r="C5803">
        <v>5</v>
      </c>
      <c r="D5803" t="s">
        <v>231</v>
      </c>
      <c r="E5803" t="s">
        <v>103</v>
      </c>
      <c r="F5803" t="s">
        <v>1055</v>
      </c>
    </row>
    <row r="5804" spans="1:12" x14ac:dyDescent="0.3">
      <c r="A5804" t="s">
        <v>29</v>
      </c>
      <c r="B5804" t="s">
        <v>1518</v>
      </c>
      <c r="C5804">
        <v>343</v>
      </c>
      <c r="D5804" t="s">
        <v>790</v>
      </c>
      <c r="E5804" t="s">
        <v>194</v>
      </c>
      <c r="F5804" t="s">
        <v>1204</v>
      </c>
    </row>
    <row r="5805" spans="1:12" x14ac:dyDescent="0.3">
      <c r="A5805" t="s">
        <v>29</v>
      </c>
      <c r="B5805" t="s">
        <v>1519</v>
      </c>
      <c r="C5805">
        <v>177</v>
      </c>
      <c r="D5805" t="s">
        <v>246</v>
      </c>
      <c r="E5805" t="s">
        <v>98</v>
      </c>
      <c r="F5805" t="s">
        <v>104</v>
      </c>
    </row>
    <row r="5806" spans="1:12" x14ac:dyDescent="0.3">
      <c r="A5806" t="s">
        <v>29</v>
      </c>
      <c r="B5806" t="s">
        <v>308</v>
      </c>
      <c r="C5806">
        <v>10</v>
      </c>
      <c r="D5806" t="s">
        <v>596</v>
      </c>
      <c r="E5806" t="s">
        <v>566</v>
      </c>
      <c r="F5806" t="s">
        <v>103</v>
      </c>
    </row>
    <row r="5807" spans="1:12" x14ac:dyDescent="0.3">
      <c r="A5807" t="s">
        <v>28</v>
      </c>
      <c r="B5807" t="s">
        <v>1518</v>
      </c>
      <c r="C5807">
        <v>172</v>
      </c>
      <c r="D5807" t="s">
        <v>304</v>
      </c>
      <c r="E5807" t="s">
        <v>103</v>
      </c>
      <c r="F5807" t="s">
        <v>303</v>
      </c>
    </row>
    <row r="5808" spans="1:12" x14ac:dyDescent="0.3">
      <c r="A5808" t="s">
        <v>28</v>
      </c>
      <c r="B5808" t="s">
        <v>1519</v>
      </c>
      <c r="C5808">
        <v>143</v>
      </c>
      <c r="D5808" t="s">
        <v>1019</v>
      </c>
      <c r="E5808" t="s">
        <v>103</v>
      </c>
      <c r="F5808" t="s">
        <v>813</v>
      </c>
    </row>
    <row r="5809" spans="1:6" x14ac:dyDescent="0.3">
      <c r="A5809" t="s">
        <v>28</v>
      </c>
      <c r="B5809" t="s">
        <v>308</v>
      </c>
      <c r="C5809">
        <v>2</v>
      </c>
      <c r="D5809" t="s">
        <v>817</v>
      </c>
      <c r="E5809" t="s">
        <v>643</v>
      </c>
      <c r="F5809" t="s">
        <v>103</v>
      </c>
    </row>
    <row r="5810" spans="1:6" x14ac:dyDescent="0.3">
      <c r="A5810" t="s">
        <v>27</v>
      </c>
      <c r="B5810" t="s">
        <v>1518</v>
      </c>
      <c r="C5810">
        <v>168</v>
      </c>
      <c r="D5810" t="s">
        <v>751</v>
      </c>
      <c r="E5810" t="s">
        <v>615</v>
      </c>
      <c r="F5810" t="s">
        <v>191</v>
      </c>
    </row>
    <row r="5811" spans="1:6" x14ac:dyDescent="0.3">
      <c r="A5811" t="s">
        <v>27</v>
      </c>
      <c r="B5811" t="s">
        <v>1519</v>
      </c>
      <c r="C5811">
        <v>124</v>
      </c>
      <c r="D5811" t="s">
        <v>710</v>
      </c>
      <c r="E5811" t="s">
        <v>102</v>
      </c>
      <c r="F5811" t="s">
        <v>532</v>
      </c>
    </row>
    <row r="5812" spans="1:6" x14ac:dyDescent="0.3">
      <c r="A5812" t="s">
        <v>27</v>
      </c>
      <c r="B5812" t="s">
        <v>308</v>
      </c>
      <c r="C5812">
        <v>8</v>
      </c>
      <c r="D5812" t="s">
        <v>304</v>
      </c>
      <c r="E5812" t="s">
        <v>459</v>
      </c>
      <c r="F5812" t="s">
        <v>565</v>
      </c>
    </row>
    <row r="5813" spans="1:6" x14ac:dyDescent="0.3">
      <c r="A5813" t="s">
        <v>41</v>
      </c>
      <c r="B5813" t="s">
        <v>1518</v>
      </c>
      <c r="C5813">
        <v>1137</v>
      </c>
      <c r="D5813" t="s">
        <v>1362</v>
      </c>
      <c r="E5813" t="s">
        <v>194</v>
      </c>
      <c r="F5813" t="s">
        <v>234</v>
      </c>
    </row>
    <row r="5814" spans="1:6" x14ac:dyDescent="0.3">
      <c r="A5814" t="s">
        <v>41</v>
      </c>
      <c r="B5814" t="s">
        <v>1519</v>
      </c>
      <c r="C5814">
        <v>876</v>
      </c>
      <c r="D5814" t="s">
        <v>63</v>
      </c>
      <c r="E5814" t="s">
        <v>139</v>
      </c>
      <c r="F5814" t="s">
        <v>629</v>
      </c>
    </row>
    <row r="5815" spans="1:6" x14ac:dyDescent="0.3">
      <c r="A5815" t="s">
        <v>41</v>
      </c>
      <c r="B5815" t="s">
        <v>308</v>
      </c>
      <c r="C5815">
        <v>25</v>
      </c>
      <c r="D5815" t="s">
        <v>437</v>
      </c>
      <c r="E5815" t="s">
        <v>104</v>
      </c>
      <c r="F5815" t="s">
        <v>123</v>
      </c>
    </row>
    <row r="5817" spans="1:6" x14ac:dyDescent="0.3">
      <c r="A5817" t="s">
        <v>2164</v>
      </c>
    </row>
    <row r="5818" spans="1:6" x14ac:dyDescent="0.3">
      <c r="A5818" t="s">
        <v>36</v>
      </c>
      <c r="B5818" t="s">
        <v>307</v>
      </c>
      <c r="C5818" t="s">
        <v>24</v>
      </c>
      <c r="D5818" t="s">
        <v>2163</v>
      </c>
      <c r="E5818" t="s">
        <v>59</v>
      </c>
      <c r="F5818" t="s">
        <v>181</v>
      </c>
    </row>
    <row r="5819" spans="1:6" x14ac:dyDescent="0.3">
      <c r="A5819" t="s">
        <v>25</v>
      </c>
      <c r="B5819" t="s">
        <v>291</v>
      </c>
      <c r="C5819">
        <v>156</v>
      </c>
      <c r="D5819" t="s">
        <v>753</v>
      </c>
      <c r="E5819" t="s">
        <v>264</v>
      </c>
      <c r="F5819" t="s">
        <v>103</v>
      </c>
    </row>
    <row r="5820" spans="1:6" x14ac:dyDescent="0.3">
      <c r="A5820" t="s">
        <v>25</v>
      </c>
      <c r="B5820" t="s">
        <v>292</v>
      </c>
      <c r="C5820">
        <v>254</v>
      </c>
      <c r="D5820" t="s">
        <v>151</v>
      </c>
      <c r="E5820" t="s">
        <v>167</v>
      </c>
      <c r="F5820" t="s">
        <v>66</v>
      </c>
    </row>
    <row r="5821" spans="1:6" x14ac:dyDescent="0.3">
      <c r="A5821" t="s">
        <v>25</v>
      </c>
      <c r="B5821" t="s">
        <v>308</v>
      </c>
      <c r="C5821">
        <v>4</v>
      </c>
      <c r="D5821" t="s">
        <v>240</v>
      </c>
      <c r="E5821" t="s">
        <v>693</v>
      </c>
      <c r="F5821" t="s">
        <v>103</v>
      </c>
    </row>
    <row r="5822" spans="1:6" x14ac:dyDescent="0.3">
      <c r="A5822" t="s">
        <v>26</v>
      </c>
      <c r="B5822" t="s">
        <v>291</v>
      </c>
      <c r="C5822">
        <v>122</v>
      </c>
      <c r="D5822" t="s">
        <v>302</v>
      </c>
      <c r="E5822" t="s">
        <v>477</v>
      </c>
      <c r="F5822" t="s">
        <v>194</v>
      </c>
    </row>
    <row r="5823" spans="1:6" x14ac:dyDescent="0.3">
      <c r="A5823" t="s">
        <v>26</v>
      </c>
      <c r="B5823" t="s">
        <v>292</v>
      </c>
      <c r="C5823">
        <v>352</v>
      </c>
      <c r="D5823" t="s">
        <v>1022</v>
      </c>
      <c r="E5823" t="s">
        <v>160</v>
      </c>
      <c r="F5823" t="s">
        <v>239</v>
      </c>
    </row>
    <row r="5824" spans="1:6" x14ac:dyDescent="0.3">
      <c r="A5824" t="s">
        <v>26</v>
      </c>
      <c r="B5824" t="s">
        <v>308</v>
      </c>
      <c r="C5824">
        <v>3</v>
      </c>
      <c r="D5824" t="s">
        <v>192</v>
      </c>
      <c r="E5824" t="s">
        <v>103</v>
      </c>
      <c r="F5824" t="s">
        <v>103</v>
      </c>
    </row>
    <row r="5825" spans="1:6" x14ac:dyDescent="0.3">
      <c r="A5825" t="s">
        <v>29</v>
      </c>
      <c r="B5825" t="s">
        <v>291</v>
      </c>
      <c r="C5825">
        <v>205</v>
      </c>
      <c r="D5825" t="s">
        <v>1325</v>
      </c>
      <c r="E5825" t="s">
        <v>295</v>
      </c>
      <c r="F5825" t="s">
        <v>98</v>
      </c>
    </row>
    <row r="5826" spans="1:6" x14ac:dyDescent="0.3">
      <c r="A5826" t="s">
        <v>29</v>
      </c>
      <c r="B5826" t="s">
        <v>292</v>
      </c>
      <c r="C5826">
        <v>325</v>
      </c>
      <c r="D5826" t="s">
        <v>1012</v>
      </c>
      <c r="E5826" t="s">
        <v>900</v>
      </c>
      <c r="F5826" t="s">
        <v>245</v>
      </c>
    </row>
    <row r="5827" spans="1:6" x14ac:dyDescent="0.3">
      <c r="A5827" t="s">
        <v>28</v>
      </c>
      <c r="B5827" t="s">
        <v>291</v>
      </c>
      <c r="C5827">
        <v>114</v>
      </c>
      <c r="D5827" t="s">
        <v>1244</v>
      </c>
      <c r="E5827" t="s">
        <v>523</v>
      </c>
      <c r="F5827" t="s">
        <v>103</v>
      </c>
    </row>
    <row r="5828" spans="1:6" x14ac:dyDescent="0.3">
      <c r="A5828" t="s">
        <v>28</v>
      </c>
      <c r="B5828" t="s">
        <v>292</v>
      </c>
      <c r="C5828">
        <v>191</v>
      </c>
      <c r="D5828" t="s">
        <v>1368</v>
      </c>
      <c r="E5828" t="s">
        <v>505</v>
      </c>
      <c r="F5828" t="s">
        <v>103</v>
      </c>
    </row>
    <row r="5829" spans="1:6" x14ac:dyDescent="0.3">
      <c r="A5829" t="s">
        <v>28</v>
      </c>
      <c r="B5829" t="s">
        <v>308</v>
      </c>
      <c r="C5829">
        <v>12</v>
      </c>
      <c r="D5829" t="s">
        <v>379</v>
      </c>
      <c r="E5829" t="s">
        <v>1093</v>
      </c>
      <c r="F5829" t="s">
        <v>112</v>
      </c>
    </row>
    <row r="5830" spans="1:6" x14ac:dyDescent="0.3">
      <c r="A5830" t="s">
        <v>27</v>
      </c>
      <c r="B5830" t="s">
        <v>291</v>
      </c>
      <c r="C5830">
        <v>95</v>
      </c>
      <c r="D5830" t="s">
        <v>772</v>
      </c>
      <c r="E5830" t="s">
        <v>615</v>
      </c>
      <c r="F5830" t="s">
        <v>575</v>
      </c>
    </row>
    <row r="5831" spans="1:6" x14ac:dyDescent="0.3">
      <c r="A5831" t="s">
        <v>27</v>
      </c>
      <c r="B5831" t="s">
        <v>292</v>
      </c>
      <c r="C5831">
        <v>198</v>
      </c>
      <c r="D5831" t="s">
        <v>246</v>
      </c>
      <c r="E5831" t="s">
        <v>137</v>
      </c>
      <c r="F5831" t="s">
        <v>68</v>
      </c>
    </row>
    <row r="5832" spans="1:6" x14ac:dyDescent="0.3">
      <c r="A5832" t="s">
        <v>27</v>
      </c>
      <c r="B5832" t="s">
        <v>308</v>
      </c>
      <c r="C5832">
        <v>7</v>
      </c>
      <c r="D5832" t="s">
        <v>605</v>
      </c>
      <c r="E5832" t="s">
        <v>488</v>
      </c>
      <c r="F5832" t="s">
        <v>103</v>
      </c>
    </row>
    <row r="5833" spans="1:6" x14ac:dyDescent="0.3">
      <c r="A5833" t="s">
        <v>41</v>
      </c>
      <c r="B5833" t="s">
        <v>291</v>
      </c>
      <c r="C5833">
        <v>692</v>
      </c>
      <c r="D5833" t="s">
        <v>1046</v>
      </c>
      <c r="E5833" t="s">
        <v>691</v>
      </c>
      <c r="F5833" t="s">
        <v>282</v>
      </c>
    </row>
    <row r="5834" spans="1:6" x14ac:dyDescent="0.3">
      <c r="A5834" t="s">
        <v>41</v>
      </c>
      <c r="B5834" t="s">
        <v>292</v>
      </c>
      <c r="C5834">
        <v>1320</v>
      </c>
      <c r="D5834" t="s">
        <v>728</v>
      </c>
      <c r="E5834" t="s">
        <v>472</v>
      </c>
      <c r="F5834" t="s">
        <v>194</v>
      </c>
    </row>
    <row r="5835" spans="1:6" x14ac:dyDescent="0.3">
      <c r="A5835" t="s">
        <v>41</v>
      </c>
      <c r="B5835" t="s">
        <v>308</v>
      </c>
      <c r="C5835">
        <v>26</v>
      </c>
      <c r="D5835" t="s">
        <v>630</v>
      </c>
      <c r="E5835" t="s">
        <v>925</v>
      </c>
      <c r="F5835" t="s">
        <v>216</v>
      </c>
    </row>
    <row r="5837" spans="1:6" x14ac:dyDescent="0.3">
      <c r="A5837" t="s">
        <v>2165</v>
      </c>
    </row>
    <row r="5838" spans="1:6" x14ac:dyDescent="0.3">
      <c r="A5838" t="s">
        <v>36</v>
      </c>
      <c r="B5838" t="s">
        <v>2136</v>
      </c>
      <c r="C5838" t="s">
        <v>24</v>
      </c>
      <c r="D5838" t="s">
        <v>2163</v>
      </c>
      <c r="E5838" t="s">
        <v>59</v>
      </c>
      <c r="F5838" t="s">
        <v>181</v>
      </c>
    </row>
    <row r="5839" spans="1:6" s="3" customFormat="1" x14ac:dyDescent="0.3">
      <c r="A5839" s="3" t="s">
        <v>25</v>
      </c>
      <c r="B5839" s="3" t="s">
        <v>2137</v>
      </c>
      <c r="C5839" s="3">
        <v>10</v>
      </c>
      <c r="D5839" s="3" t="s">
        <v>192</v>
      </c>
      <c r="E5839" s="3" t="s">
        <v>103</v>
      </c>
      <c r="F5839" s="3" t="s">
        <v>103</v>
      </c>
    </row>
    <row r="5840" spans="1:6" s="3" customFormat="1" x14ac:dyDescent="0.3">
      <c r="A5840" s="3" t="s">
        <v>25</v>
      </c>
      <c r="B5840" s="3" t="s">
        <v>2144</v>
      </c>
      <c r="C5840" s="3">
        <v>3</v>
      </c>
      <c r="D5840" s="3" t="s">
        <v>1423</v>
      </c>
      <c r="E5840" s="3" t="s">
        <v>259</v>
      </c>
      <c r="F5840" s="3" t="s">
        <v>103</v>
      </c>
    </row>
    <row r="5841" spans="1:6" x14ac:dyDescent="0.3">
      <c r="A5841" t="s">
        <v>25</v>
      </c>
      <c r="B5841" t="s">
        <v>2138</v>
      </c>
      <c r="C5841">
        <v>114</v>
      </c>
      <c r="D5841" t="s">
        <v>806</v>
      </c>
      <c r="E5841" t="s">
        <v>548</v>
      </c>
      <c r="F5841" t="s">
        <v>103</v>
      </c>
    </row>
    <row r="5842" spans="1:6" s="3" customFormat="1" x14ac:dyDescent="0.3">
      <c r="A5842" s="3" t="s">
        <v>25</v>
      </c>
      <c r="B5842" s="3" t="s">
        <v>2139</v>
      </c>
      <c r="C5842" s="3">
        <v>22</v>
      </c>
      <c r="D5842" s="3" t="s">
        <v>1058</v>
      </c>
      <c r="E5842" s="3" t="s">
        <v>352</v>
      </c>
      <c r="F5842" s="3" t="s">
        <v>103</v>
      </c>
    </row>
    <row r="5843" spans="1:6" x14ac:dyDescent="0.3">
      <c r="A5843" t="s">
        <v>25</v>
      </c>
      <c r="B5843" t="s">
        <v>2140</v>
      </c>
      <c r="C5843">
        <v>106</v>
      </c>
      <c r="D5843" t="s">
        <v>1153</v>
      </c>
      <c r="E5843" t="s">
        <v>256</v>
      </c>
      <c r="F5843" t="s">
        <v>120</v>
      </c>
    </row>
    <row r="5844" spans="1:6" s="3" customFormat="1" x14ac:dyDescent="0.3">
      <c r="A5844" s="3" t="s">
        <v>25</v>
      </c>
      <c r="B5844" s="3" t="s">
        <v>2141</v>
      </c>
      <c r="C5844" s="3">
        <v>28</v>
      </c>
      <c r="D5844" s="3" t="s">
        <v>614</v>
      </c>
      <c r="E5844" s="3" t="s">
        <v>269</v>
      </c>
      <c r="F5844" s="3" t="s">
        <v>103</v>
      </c>
    </row>
    <row r="5845" spans="1:6" x14ac:dyDescent="0.3">
      <c r="A5845" t="s">
        <v>25</v>
      </c>
      <c r="B5845" t="s">
        <v>2142</v>
      </c>
      <c r="C5845">
        <v>94</v>
      </c>
      <c r="D5845" t="s">
        <v>863</v>
      </c>
      <c r="E5845" t="s">
        <v>191</v>
      </c>
      <c r="F5845" t="s">
        <v>103</v>
      </c>
    </row>
    <row r="5846" spans="1:6" s="3" customFormat="1" x14ac:dyDescent="0.3">
      <c r="A5846" s="3" t="s">
        <v>25</v>
      </c>
      <c r="B5846" s="3" t="s">
        <v>2143</v>
      </c>
      <c r="C5846" s="3">
        <v>27</v>
      </c>
      <c r="D5846" s="3" t="s">
        <v>192</v>
      </c>
      <c r="E5846" s="3" t="s">
        <v>103</v>
      </c>
      <c r="F5846" s="3" t="s">
        <v>103</v>
      </c>
    </row>
    <row r="5847" spans="1:6" x14ac:dyDescent="0.3">
      <c r="A5847" t="s">
        <v>25</v>
      </c>
      <c r="B5847" t="s">
        <v>308</v>
      </c>
      <c r="C5847">
        <v>10</v>
      </c>
      <c r="D5847" t="s">
        <v>1373</v>
      </c>
      <c r="E5847" t="s">
        <v>507</v>
      </c>
      <c r="F5847" t="s">
        <v>103</v>
      </c>
    </row>
    <row r="5848" spans="1:6" s="3" customFormat="1" x14ac:dyDescent="0.3">
      <c r="A5848" s="3" t="s">
        <v>26</v>
      </c>
      <c r="B5848" s="3" t="s">
        <v>2137</v>
      </c>
      <c r="C5848" s="3">
        <v>8</v>
      </c>
      <c r="D5848" s="3" t="s">
        <v>1443</v>
      </c>
      <c r="E5848" s="3" t="s">
        <v>1223</v>
      </c>
      <c r="F5848" s="3" t="s">
        <v>103</v>
      </c>
    </row>
    <row r="5849" spans="1:6" s="3" customFormat="1" x14ac:dyDescent="0.3">
      <c r="A5849" s="3" t="s">
        <v>26</v>
      </c>
      <c r="B5849" s="3" t="s">
        <v>2144</v>
      </c>
      <c r="C5849" s="3">
        <v>9</v>
      </c>
      <c r="D5849" s="3" t="s">
        <v>192</v>
      </c>
      <c r="E5849" s="3" t="s">
        <v>103</v>
      </c>
      <c r="F5849" s="3" t="s">
        <v>103</v>
      </c>
    </row>
    <row r="5850" spans="1:6" x14ac:dyDescent="0.3">
      <c r="A5850" t="s">
        <v>26</v>
      </c>
      <c r="B5850" t="s">
        <v>2138</v>
      </c>
      <c r="C5850">
        <v>135</v>
      </c>
      <c r="D5850" t="s">
        <v>434</v>
      </c>
      <c r="E5850" t="s">
        <v>503</v>
      </c>
      <c r="F5850" t="s">
        <v>257</v>
      </c>
    </row>
    <row r="5851" spans="1:6" x14ac:dyDescent="0.3">
      <c r="A5851" t="s">
        <v>26</v>
      </c>
      <c r="B5851" t="s">
        <v>2139</v>
      </c>
      <c r="C5851">
        <v>40</v>
      </c>
      <c r="D5851" t="s">
        <v>69</v>
      </c>
      <c r="E5851" t="s">
        <v>68</v>
      </c>
      <c r="F5851" t="s">
        <v>103</v>
      </c>
    </row>
    <row r="5852" spans="1:6" x14ac:dyDescent="0.3">
      <c r="A5852" t="s">
        <v>26</v>
      </c>
      <c r="B5852" t="s">
        <v>2140</v>
      </c>
      <c r="C5852">
        <v>105</v>
      </c>
      <c r="D5852" t="s">
        <v>1016</v>
      </c>
      <c r="E5852" t="s">
        <v>525</v>
      </c>
      <c r="F5852" t="s">
        <v>239</v>
      </c>
    </row>
    <row r="5853" spans="1:6" s="3" customFormat="1" x14ac:dyDescent="0.3">
      <c r="A5853" s="3" t="s">
        <v>26</v>
      </c>
      <c r="B5853" s="3" t="s">
        <v>2141</v>
      </c>
      <c r="C5853" s="3">
        <v>28</v>
      </c>
      <c r="D5853" s="3" t="s">
        <v>895</v>
      </c>
      <c r="E5853" s="3" t="s">
        <v>581</v>
      </c>
      <c r="F5853" s="3" t="s">
        <v>103</v>
      </c>
    </row>
    <row r="5854" spans="1:6" x14ac:dyDescent="0.3">
      <c r="A5854" t="s">
        <v>26</v>
      </c>
      <c r="B5854" t="s">
        <v>2142</v>
      </c>
      <c r="C5854">
        <v>92</v>
      </c>
      <c r="D5854" t="s">
        <v>145</v>
      </c>
      <c r="E5854" t="s">
        <v>481</v>
      </c>
      <c r="F5854" t="s">
        <v>120</v>
      </c>
    </row>
    <row r="5855" spans="1:6" s="3" customFormat="1" x14ac:dyDescent="0.3">
      <c r="A5855" s="3" t="s">
        <v>26</v>
      </c>
      <c r="B5855" s="3" t="s">
        <v>2143</v>
      </c>
      <c r="C5855" s="3">
        <v>19</v>
      </c>
      <c r="D5855" s="3" t="s">
        <v>1308</v>
      </c>
      <c r="E5855" s="3" t="s">
        <v>1319</v>
      </c>
      <c r="F5855" s="3" t="s">
        <v>103</v>
      </c>
    </row>
    <row r="5856" spans="1:6" x14ac:dyDescent="0.3">
      <c r="A5856" t="s">
        <v>26</v>
      </c>
      <c r="B5856" t="s">
        <v>308</v>
      </c>
      <c r="C5856">
        <v>41</v>
      </c>
      <c r="D5856" t="s">
        <v>184</v>
      </c>
      <c r="E5856" t="s">
        <v>140</v>
      </c>
      <c r="F5856" t="s">
        <v>128</v>
      </c>
    </row>
    <row r="5857" spans="1:6" s="3" customFormat="1" x14ac:dyDescent="0.3">
      <c r="A5857" s="3" t="s">
        <v>29</v>
      </c>
      <c r="B5857" s="3" t="s">
        <v>2137</v>
      </c>
      <c r="C5857" s="3">
        <v>9</v>
      </c>
      <c r="D5857" s="3" t="s">
        <v>735</v>
      </c>
      <c r="E5857" s="3" t="s">
        <v>734</v>
      </c>
      <c r="F5857" s="3" t="s">
        <v>103</v>
      </c>
    </row>
    <row r="5858" spans="1:6" s="3" customFormat="1" x14ac:dyDescent="0.3">
      <c r="A5858" s="3" t="s">
        <v>29</v>
      </c>
      <c r="B5858" s="3" t="s">
        <v>2144</v>
      </c>
      <c r="C5858" s="3">
        <v>6</v>
      </c>
      <c r="D5858" s="3" t="s">
        <v>1402</v>
      </c>
      <c r="E5858" s="3" t="s">
        <v>109</v>
      </c>
      <c r="F5858" s="3" t="s">
        <v>479</v>
      </c>
    </row>
    <row r="5859" spans="1:6" x14ac:dyDescent="0.3">
      <c r="A5859" t="s">
        <v>29</v>
      </c>
      <c r="B5859" t="s">
        <v>2138</v>
      </c>
      <c r="C5859">
        <v>201</v>
      </c>
      <c r="D5859" t="s">
        <v>1398</v>
      </c>
      <c r="E5859" t="s">
        <v>651</v>
      </c>
      <c r="F5859" t="s">
        <v>208</v>
      </c>
    </row>
    <row r="5860" spans="1:6" x14ac:dyDescent="0.3">
      <c r="A5860" t="s">
        <v>29</v>
      </c>
      <c r="B5860" t="s">
        <v>2139</v>
      </c>
      <c r="C5860">
        <v>40</v>
      </c>
      <c r="D5860" t="s">
        <v>976</v>
      </c>
      <c r="E5860" t="s">
        <v>1023</v>
      </c>
      <c r="F5860" t="s">
        <v>122</v>
      </c>
    </row>
    <row r="5861" spans="1:6" x14ac:dyDescent="0.3">
      <c r="A5861" t="s">
        <v>29</v>
      </c>
      <c r="B5861" t="s">
        <v>2140</v>
      </c>
      <c r="C5861">
        <v>103</v>
      </c>
      <c r="D5861" t="s">
        <v>976</v>
      </c>
      <c r="E5861" t="s">
        <v>1023</v>
      </c>
      <c r="F5861" t="s">
        <v>122</v>
      </c>
    </row>
    <row r="5862" spans="1:6" x14ac:dyDescent="0.3">
      <c r="A5862" t="s">
        <v>29</v>
      </c>
      <c r="B5862" t="s">
        <v>2141</v>
      </c>
      <c r="C5862">
        <v>35</v>
      </c>
      <c r="D5862" t="s">
        <v>1258</v>
      </c>
      <c r="E5862" t="s">
        <v>705</v>
      </c>
      <c r="F5862" t="s">
        <v>103</v>
      </c>
    </row>
    <row r="5863" spans="1:6" x14ac:dyDescent="0.3">
      <c r="A5863" t="s">
        <v>29</v>
      </c>
      <c r="B5863" t="s">
        <v>2142</v>
      </c>
      <c r="C5863">
        <v>97</v>
      </c>
      <c r="D5863" t="s">
        <v>1308</v>
      </c>
      <c r="E5863" t="s">
        <v>131</v>
      </c>
      <c r="F5863" t="s">
        <v>216</v>
      </c>
    </row>
    <row r="5864" spans="1:6" s="3" customFormat="1" x14ac:dyDescent="0.3">
      <c r="A5864" s="3" t="s">
        <v>29</v>
      </c>
      <c r="B5864" s="3" t="s">
        <v>2143</v>
      </c>
      <c r="C5864" s="3">
        <v>22</v>
      </c>
      <c r="D5864" s="3" t="s">
        <v>895</v>
      </c>
      <c r="E5864" s="3" t="s">
        <v>581</v>
      </c>
      <c r="F5864" s="3" t="s">
        <v>103</v>
      </c>
    </row>
    <row r="5865" spans="1:6" x14ac:dyDescent="0.3">
      <c r="A5865" t="s">
        <v>29</v>
      </c>
      <c r="B5865" t="s">
        <v>308</v>
      </c>
      <c r="C5865">
        <v>17</v>
      </c>
      <c r="D5865" t="s">
        <v>1000</v>
      </c>
      <c r="E5865" t="s">
        <v>1402</v>
      </c>
      <c r="F5865" t="s">
        <v>103</v>
      </c>
    </row>
    <row r="5866" spans="1:6" s="3" customFormat="1" x14ac:dyDescent="0.3">
      <c r="A5866" s="3" t="s">
        <v>28</v>
      </c>
      <c r="B5866" s="3" t="s">
        <v>2137</v>
      </c>
      <c r="C5866" s="3">
        <v>9</v>
      </c>
      <c r="D5866" s="3" t="s">
        <v>992</v>
      </c>
      <c r="E5866" s="3" t="s">
        <v>580</v>
      </c>
      <c r="F5866" s="3" t="s">
        <v>103</v>
      </c>
    </row>
    <row r="5867" spans="1:6" s="3" customFormat="1" x14ac:dyDescent="0.3">
      <c r="A5867" s="3" t="s">
        <v>28</v>
      </c>
      <c r="B5867" s="3" t="s">
        <v>2144</v>
      </c>
      <c r="C5867" s="3">
        <v>22</v>
      </c>
      <c r="D5867" s="3" t="s">
        <v>192</v>
      </c>
      <c r="E5867" s="3" t="s">
        <v>103</v>
      </c>
      <c r="F5867" s="3" t="s">
        <v>103</v>
      </c>
    </row>
    <row r="5868" spans="1:6" x14ac:dyDescent="0.3">
      <c r="A5868" t="s">
        <v>28</v>
      </c>
      <c r="B5868" t="s">
        <v>2138</v>
      </c>
      <c r="C5868">
        <v>71</v>
      </c>
      <c r="D5868" t="s">
        <v>1423</v>
      </c>
      <c r="E5868" t="s">
        <v>259</v>
      </c>
      <c r="F5868" t="s">
        <v>103</v>
      </c>
    </row>
    <row r="5869" spans="1:6" s="3" customFormat="1" x14ac:dyDescent="0.3">
      <c r="A5869" s="3" t="s">
        <v>28</v>
      </c>
      <c r="B5869" s="3" t="s">
        <v>2139</v>
      </c>
      <c r="C5869" s="3">
        <v>29</v>
      </c>
      <c r="D5869" s="3" t="s">
        <v>2108</v>
      </c>
      <c r="E5869" s="3" t="s">
        <v>484</v>
      </c>
      <c r="F5869" s="3" t="s">
        <v>103</v>
      </c>
    </row>
    <row r="5870" spans="1:6" x14ac:dyDescent="0.3">
      <c r="A5870" t="s">
        <v>28</v>
      </c>
      <c r="B5870" t="s">
        <v>2140</v>
      </c>
      <c r="C5870">
        <v>75</v>
      </c>
      <c r="D5870" t="s">
        <v>1325</v>
      </c>
      <c r="E5870" t="s">
        <v>295</v>
      </c>
      <c r="F5870" t="s">
        <v>98</v>
      </c>
    </row>
    <row r="5871" spans="1:6" s="3" customFormat="1" x14ac:dyDescent="0.3">
      <c r="A5871" s="3" t="s">
        <v>28</v>
      </c>
      <c r="B5871" s="3" t="s">
        <v>2141</v>
      </c>
      <c r="C5871" s="3">
        <v>28</v>
      </c>
      <c r="D5871" s="3" t="s">
        <v>1393</v>
      </c>
      <c r="E5871" s="3" t="s">
        <v>569</v>
      </c>
      <c r="F5871" s="3" t="s">
        <v>103</v>
      </c>
    </row>
    <row r="5872" spans="1:6" x14ac:dyDescent="0.3">
      <c r="A5872" t="s">
        <v>28</v>
      </c>
      <c r="B5872" t="s">
        <v>2142</v>
      </c>
      <c r="C5872">
        <v>68</v>
      </c>
      <c r="D5872" t="s">
        <v>1317</v>
      </c>
      <c r="E5872" t="s">
        <v>685</v>
      </c>
      <c r="F5872" t="s">
        <v>103</v>
      </c>
    </row>
    <row r="5873" spans="1:6" s="3" customFormat="1" x14ac:dyDescent="0.3">
      <c r="A5873" s="3" t="s">
        <v>28</v>
      </c>
      <c r="B5873" s="3" t="s">
        <v>2143</v>
      </c>
      <c r="C5873" s="3">
        <v>14</v>
      </c>
      <c r="D5873" s="3" t="s">
        <v>349</v>
      </c>
      <c r="E5873" s="3" t="s">
        <v>350</v>
      </c>
      <c r="F5873" s="3" t="s">
        <v>103</v>
      </c>
    </row>
    <row r="5874" spans="1:6" x14ac:dyDescent="0.3">
      <c r="A5874" t="s">
        <v>28</v>
      </c>
      <c r="B5874" t="s">
        <v>308</v>
      </c>
      <c r="C5874">
        <v>1</v>
      </c>
      <c r="D5874" t="s">
        <v>192</v>
      </c>
      <c r="E5874" t="s">
        <v>103</v>
      </c>
      <c r="F5874" t="s">
        <v>103</v>
      </c>
    </row>
    <row r="5875" spans="1:6" s="3" customFormat="1" x14ac:dyDescent="0.3">
      <c r="A5875" s="3" t="s">
        <v>27</v>
      </c>
      <c r="B5875" s="3" t="s">
        <v>2137</v>
      </c>
      <c r="C5875" s="3">
        <v>2</v>
      </c>
      <c r="D5875" s="3" t="s">
        <v>192</v>
      </c>
      <c r="E5875" s="3" t="s">
        <v>103</v>
      </c>
      <c r="F5875" s="3" t="s">
        <v>103</v>
      </c>
    </row>
    <row r="5876" spans="1:6" x14ac:dyDescent="0.3">
      <c r="A5876" t="s">
        <v>27</v>
      </c>
      <c r="B5876" t="s">
        <v>2138</v>
      </c>
      <c r="C5876">
        <v>69</v>
      </c>
      <c r="D5876" t="s">
        <v>728</v>
      </c>
      <c r="E5876" t="s">
        <v>131</v>
      </c>
      <c r="F5876" t="s">
        <v>133</v>
      </c>
    </row>
    <row r="5877" spans="1:6" s="3" customFormat="1" x14ac:dyDescent="0.3">
      <c r="A5877" s="3" t="s">
        <v>27</v>
      </c>
      <c r="B5877" s="3" t="s">
        <v>2139</v>
      </c>
      <c r="C5877" s="3">
        <v>15</v>
      </c>
      <c r="D5877" s="3" t="s">
        <v>1316</v>
      </c>
      <c r="E5877" s="3" t="s">
        <v>890</v>
      </c>
      <c r="F5877" s="3" t="s">
        <v>152</v>
      </c>
    </row>
    <row r="5878" spans="1:6" x14ac:dyDescent="0.3">
      <c r="A5878" t="s">
        <v>27</v>
      </c>
      <c r="B5878" t="s">
        <v>2140</v>
      </c>
      <c r="C5878">
        <v>66</v>
      </c>
      <c r="D5878" t="s">
        <v>613</v>
      </c>
      <c r="E5878" t="s">
        <v>136</v>
      </c>
      <c r="F5878" t="s">
        <v>468</v>
      </c>
    </row>
    <row r="5879" spans="1:6" s="3" customFormat="1" x14ac:dyDescent="0.3">
      <c r="A5879" s="3" t="s">
        <v>27</v>
      </c>
      <c r="B5879" s="3" t="s">
        <v>2141</v>
      </c>
      <c r="C5879" s="3">
        <v>16</v>
      </c>
      <c r="D5879" s="3" t="s">
        <v>606</v>
      </c>
      <c r="E5879" s="3" t="s">
        <v>652</v>
      </c>
      <c r="F5879" s="3" t="s">
        <v>103</v>
      </c>
    </row>
    <row r="5880" spans="1:6" x14ac:dyDescent="0.3">
      <c r="A5880" t="s">
        <v>27</v>
      </c>
      <c r="B5880" t="s">
        <v>2142</v>
      </c>
      <c r="C5880">
        <v>99</v>
      </c>
      <c r="D5880" t="s">
        <v>855</v>
      </c>
      <c r="E5880" t="s">
        <v>194</v>
      </c>
      <c r="F5880" t="s">
        <v>284</v>
      </c>
    </row>
    <row r="5881" spans="1:6" s="3" customFormat="1" x14ac:dyDescent="0.3">
      <c r="A5881" s="3" t="s">
        <v>27</v>
      </c>
      <c r="B5881" s="3" t="s">
        <v>2143</v>
      </c>
      <c r="C5881" s="3">
        <v>29</v>
      </c>
      <c r="D5881" s="3" t="s">
        <v>869</v>
      </c>
      <c r="E5881" s="3" t="s">
        <v>103</v>
      </c>
      <c r="F5881" s="3" t="s">
        <v>494</v>
      </c>
    </row>
    <row r="5882" spans="1:6" x14ac:dyDescent="0.3">
      <c r="A5882" t="s">
        <v>27</v>
      </c>
      <c r="B5882" t="s">
        <v>308</v>
      </c>
      <c r="C5882">
        <v>4</v>
      </c>
      <c r="D5882" t="s">
        <v>192</v>
      </c>
      <c r="E5882" t="s">
        <v>103</v>
      </c>
      <c r="F5882" t="s">
        <v>103</v>
      </c>
    </row>
    <row r="5883" spans="1:6" x14ac:dyDescent="0.3">
      <c r="A5883" t="s">
        <v>41</v>
      </c>
      <c r="B5883" t="s">
        <v>2137</v>
      </c>
      <c r="C5883">
        <v>38</v>
      </c>
      <c r="D5883" t="s">
        <v>622</v>
      </c>
      <c r="E5883" t="s">
        <v>687</v>
      </c>
      <c r="F5883" t="s">
        <v>103</v>
      </c>
    </row>
    <row r="5884" spans="1:6" x14ac:dyDescent="0.3">
      <c r="A5884" t="s">
        <v>41</v>
      </c>
      <c r="B5884" t="s">
        <v>2144</v>
      </c>
      <c r="C5884">
        <v>40</v>
      </c>
      <c r="D5884" t="s">
        <v>1324</v>
      </c>
      <c r="E5884" t="s">
        <v>475</v>
      </c>
      <c r="F5884" t="s">
        <v>100</v>
      </c>
    </row>
    <row r="5885" spans="1:6" x14ac:dyDescent="0.3">
      <c r="A5885" t="s">
        <v>41</v>
      </c>
      <c r="B5885" t="s">
        <v>2138</v>
      </c>
      <c r="C5885">
        <v>590</v>
      </c>
      <c r="D5885" t="s">
        <v>1259</v>
      </c>
      <c r="E5885" t="s">
        <v>31</v>
      </c>
      <c r="F5885" t="s">
        <v>105</v>
      </c>
    </row>
    <row r="5886" spans="1:6" x14ac:dyDescent="0.3">
      <c r="A5886" t="s">
        <v>41</v>
      </c>
      <c r="B5886" t="s">
        <v>2139</v>
      </c>
      <c r="C5886">
        <v>146</v>
      </c>
      <c r="D5886" t="s">
        <v>1381</v>
      </c>
      <c r="E5886" t="s">
        <v>50</v>
      </c>
      <c r="F5886" t="s">
        <v>120</v>
      </c>
    </row>
    <row r="5887" spans="1:6" x14ac:dyDescent="0.3">
      <c r="A5887" t="s">
        <v>41</v>
      </c>
      <c r="B5887" t="s">
        <v>2140</v>
      </c>
      <c r="C5887">
        <v>455</v>
      </c>
      <c r="D5887" t="s">
        <v>1324</v>
      </c>
      <c r="E5887" t="s">
        <v>658</v>
      </c>
      <c r="F5887" t="s">
        <v>139</v>
      </c>
    </row>
    <row r="5888" spans="1:6" x14ac:dyDescent="0.3">
      <c r="A5888" t="s">
        <v>41</v>
      </c>
      <c r="B5888" t="s">
        <v>2141</v>
      </c>
      <c r="C5888">
        <v>135</v>
      </c>
      <c r="D5888" t="s">
        <v>1680</v>
      </c>
      <c r="E5888" t="s">
        <v>31</v>
      </c>
      <c r="F5888" t="s">
        <v>103</v>
      </c>
    </row>
    <row r="5889" spans="1:6" x14ac:dyDescent="0.3">
      <c r="A5889" t="s">
        <v>41</v>
      </c>
      <c r="B5889" t="s">
        <v>2142</v>
      </c>
      <c r="C5889">
        <v>450</v>
      </c>
      <c r="D5889" t="s">
        <v>605</v>
      </c>
      <c r="E5889" t="s">
        <v>152</v>
      </c>
      <c r="F5889" t="s">
        <v>468</v>
      </c>
    </row>
    <row r="5890" spans="1:6" x14ac:dyDescent="0.3">
      <c r="A5890" t="s">
        <v>41</v>
      </c>
      <c r="B5890" t="s">
        <v>2143</v>
      </c>
      <c r="C5890">
        <v>111</v>
      </c>
      <c r="D5890" t="s">
        <v>612</v>
      </c>
      <c r="E5890" t="s">
        <v>162</v>
      </c>
      <c r="F5890" t="s">
        <v>97</v>
      </c>
    </row>
    <row r="5891" spans="1:6" x14ac:dyDescent="0.3">
      <c r="A5891" t="s">
        <v>41</v>
      </c>
      <c r="B5891" t="s">
        <v>308</v>
      </c>
      <c r="C5891">
        <v>73</v>
      </c>
      <c r="D5891" t="s">
        <v>976</v>
      </c>
      <c r="E5891" t="s">
        <v>900</v>
      </c>
      <c r="F5891" t="s">
        <v>194</v>
      </c>
    </row>
    <row r="5893" spans="1:6" x14ac:dyDescent="0.3">
      <c r="A5893" t="s">
        <v>2166</v>
      </c>
    </row>
    <row r="5894" spans="1:6" x14ac:dyDescent="0.3">
      <c r="A5894" t="s">
        <v>36</v>
      </c>
      <c r="B5894" t="s">
        <v>307</v>
      </c>
      <c r="C5894" t="s">
        <v>24</v>
      </c>
      <c r="D5894" t="s">
        <v>2163</v>
      </c>
      <c r="E5894" t="s">
        <v>59</v>
      </c>
      <c r="F5894" t="s">
        <v>181</v>
      </c>
    </row>
    <row r="5895" spans="1:6" x14ac:dyDescent="0.3">
      <c r="A5895" t="s">
        <v>25</v>
      </c>
      <c r="B5895" t="s">
        <v>291</v>
      </c>
      <c r="C5895">
        <v>156</v>
      </c>
      <c r="D5895" t="s">
        <v>753</v>
      </c>
      <c r="E5895" t="s">
        <v>264</v>
      </c>
      <c r="F5895" t="s">
        <v>103</v>
      </c>
    </row>
    <row r="5896" spans="1:6" x14ac:dyDescent="0.3">
      <c r="A5896" t="s">
        <v>25</v>
      </c>
      <c r="B5896" t="s">
        <v>292</v>
      </c>
      <c r="C5896">
        <v>254</v>
      </c>
      <c r="D5896" t="s">
        <v>151</v>
      </c>
      <c r="E5896" t="s">
        <v>167</v>
      </c>
      <c r="F5896" t="s">
        <v>66</v>
      </c>
    </row>
    <row r="5897" spans="1:6" x14ac:dyDescent="0.3">
      <c r="A5897" t="s">
        <v>25</v>
      </c>
      <c r="B5897" t="s">
        <v>308</v>
      </c>
      <c r="C5897">
        <v>4</v>
      </c>
      <c r="D5897" t="s">
        <v>240</v>
      </c>
      <c r="E5897" t="s">
        <v>693</v>
      </c>
      <c r="F5897" t="s">
        <v>103</v>
      </c>
    </row>
    <row r="5898" spans="1:6" x14ac:dyDescent="0.3">
      <c r="A5898" t="s">
        <v>26</v>
      </c>
      <c r="B5898" t="s">
        <v>291</v>
      </c>
      <c r="C5898">
        <v>122</v>
      </c>
      <c r="D5898" t="s">
        <v>302</v>
      </c>
      <c r="E5898" t="s">
        <v>477</v>
      </c>
      <c r="F5898" t="s">
        <v>194</v>
      </c>
    </row>
    <row r="5899" spans="1:6" x14ac:dyDescent="0.3">
      <c r="A5899" t="s">
        <v>26</v>
      </c>
      <c r="B5899" t="s">
        <v>292</v>
      </c>
      <c r="C5899">
        <v>352</v>
      </c>
      <c r="D5899" t="s">
        <v>1022</v>
      </c>
      <c r="E5899" t="s">
        <v>160</v>
      </c>
      <c r="F5899" t="s">
        <v>239</v>
      </c>
    </row>
    <row r="5900" spans="1:6" x14ac:dyDescent="0.3">
      <c r="A5900" t="s">
        <v>26</v>
      </c>
      <c r="B5900" t="s">
        <v>308</v>
      </c>
      <c r="C5900">
        <v>3</v>
      </c>
      <c r="D5900" t="s">
        <v>192</v>
      </c>
      <c r="E5900" t="s">
        <v>103</v>
      </c>
      <c r="F5900" t="s">
        <v>103</v>
      </c>
    </row>
    <row r="5901" spans="1:6" x14ac:dyDescent="0.3">
      <c r="A5901" t="s">
        <v>29</v>
      </c>
      <c r="B5901" t="s">
        <v>291</v>
      </c>
      <c r="C5901">
        <v>205</v>
      </c>
      <c r="D5901" t="s">
        <v>1325</v>
      </c>
      <c r="E5901" t="s">
        <v>295</v>
      </c>
      <c r="F5901" t="s">
        <v>98</v>
      </c>
    </row>
    <row r="5902" spans="1:6" x14ac:dyDescent="0.3">
      <c r="A5902" t="s">
        <v>29</v>
      </c>
      <c r="B5902" t="s">
        <v>292</v>
      </c>
      <c r="C5902">
        <v>325</v>
      </c>
      <c r="D5902" t="s">
        <v>1012</v>
      </c>
      <c r="E5902" t="s">
        <v>900</v>
      </c>
      <c r="F5902" t="s">
        <v>245</v>
      </c>
    </row>
    <row r="5903" spans="1:6" x14ac:dyDescent="0.3">
      <c r="A5903" t="s">
        <v>28</v>
      </c>
      <c r="B5903" t="s">
        <v>291</v>
      </c>
      <c r="C5903">
        <v>114</v>
      </c>
      <c r="D5903" t="s">
        <v>1244</v>
      </c>
      <c r="E5903" t="s">
        <v>523</v>
      </c>
      <c r="F5903" t="s">
        <v>103</v>
      </c>
    </row>
    <row r="5904" spans="1:6" x14ac:dyDescent="0.3">
      <c r="A5904" t="s">
        <v>28</v>
      </c>
      <c r="B5904" t="s">
        <v>292</v>
      </c>
      <c r="C5904">
        <v>191</v>
      </c>
      <c r="D5904" t="s">
        <v>1368</v>
      </c>
      <c r="E5904" t="s">
        <v>505</v>
      </c>
      <c r="F5904" t="s">
        <v>103</v>
      </c>
    </row>
    <row r="5905" spans="1:6" x14ac:dyDescent="0.3">
      <c r="A5905" t="s">
        <v>28</v>
      </c>
      <c r="B5905" t="s">
        <v>308</v>
      </c>
      <c r="C5905">
        <v>12</v>
      </c>
      <c r="D5905" t="s">
        <v>379</v>
      </c>
      <c r="E5905" t="s">
        <v>1093</v>
      </c>
      <c r="F5905" t="s">
        <v>112</v>
      </c>
    </row>
    <row r="5906" spans="1:6" x14ac:dyDescent="0.3">
      <c r="A5906" t="s">
        <v>27</v>
      </c>
      <c r="B5906" t="s">
        <v>291</v>
      </c>
      <c r="C5906">
        <v>95</v>
      </c>
      <c r="D5906" t="s">
        <v>772</v>
      </c>
      <c r="E5906" t="s">
        <v>615</v>
      </c>
      <c r="F5906" t="s">
        <v>575</v>
      </c>
    </row>
    <row r="5907" spans="1:6" x14ac:dyDescent="0.3">
      <c r="A5907" t="s">
        <v>27</v>
      </c>
      <c r="B5907" t="s">
        <v>292</v>
      </c>
      <c r="C5907">
        <v>198</v>
      </c>
      <c r="D5907" t="s">
        <v>246</v>
      </c>
      <c r="E5907" t="s">
        <v>137</v>
      </c>
      <c r="F5907" t="s">
        <v>68</v>
      </c>
    </row>
    <row r="5908" spans="1:6" x14ac:dyDescent="0.3">
      <c r="A5908" t="s">
        <v>27</v>
      </c>
      <c r="B5908" t="s">
        <v>308</v>
      </c>
      <c r="C5908">
        <v>7</v>
      </c>
      <c r="D5908" t="s">
        <v>605</v>
      </c>
      <c r="E5908" t="s">
        <v>488</v>
      </c>
      <c r="F5908" t="s">
        <v>103</v>
      </c>
    </row>
    <row r="5909" spans="1:6" x14ac:dyDescent="0.3">
      <c r="A5909" t="s">
        <v>41</v>
      </c>
      <c r="B5909" t="s">
        <v>291</v>
      </c>
      <c r="C5909">
        <v>692</v>
      </c>
      <c r="D5909" t="s">
        <v>1046</v>
      </c>
      <c r="E5909" t="s">
        <v>691</v>
      </c>
      <c r="F5909" t="s">
        <v>282</v>
      </c>
    </row>
    <row r="5910" spans="1:6" x14ac:dyDescent="0.3">
      <c r="A5910" t="s">
        <v>41</v>
      </c>
      <c r="B5910" t="s">
        <v>292</v>
      </c>
      <c r="C5910">
        <v>1320</v>
      </c>
      <c r="D5910" t="s">
        <v>728</v>
      </c>
      <c r="E5910" t="s">
        <v>472</v>
      </c>
      <c r="F5910" t="s">
        <v>194</v>
      </c>
    </row>
    <row r="5911" spans="1:6" x14ac:dyDescent="0.3">
      <c r="A5911" t="s">
        <v>41</v>
      </c>
      <c r="B5911" t="s">
        <v>308</v>
      </c>
      <c r="C5911">
        <v>26</v>
      </c>
      <c r="D5911" t="s">
        <v>630</v>
      </c>
      <c r="E5911" t="s">
        <v>925</v>
      </c>
      <c r="F5911" t="s">
        <v>216</v>
      </c>
    </row>
    <row r="5913" spans="1:6" x14ac:dyDescent="0.3">
      <c r="A5913" t="s">
        <v>2167</v>
      </c>
    </row>
    <row r="5914" spans="1:6" x14ac:dyDescent="0.3">
      <c r="A5914" t="s">
        <v>36</v>
      </c>
      <c r="B5914" t="s">
        <v>197</v>
      </c>
      <c r="C5914" t="s">
        <v>24</v>
      </c>
      <c r="D5914" t="s">
        <v>2163</v>
      </c>
      <c r="E5914" t="s">
        <v>181</v>
      </c>
      <c r="F5914" t="s">
        <v>59</v>
      </c>
    </row>
    <row r="5915" spans="1:6" x14ac:dyDescent="0.3">
      <c r="A5915" t="s">
        <v>25</v>
      </c>
      <c r="B5915" t="s">
        <v>198</v>
      </c>
      <c r="C5915">
        <v>104</v>
      </c>
      <c r="D5915" t="s">
        <v>1459</v>
      </c>
      <c r="E5915" t="s">
        <v>95</v>
      </c>
      <c r="F5915" t="s">
        <v>331</v>
      </c>
    </row>
    <row r="5916" spans="1:6" x14ac:dyDescent="0.3">
      <c r="A5916" t="s">
        <v>25</v>
      </c>
      <c r="B5916" t="s">
        <v>199</v>
      </c>
      <c r="C5916">
        <v>310</v>
      </c>
      <c r="D5916" t="s">
        <v>1308</v>
      </c>
      <c r="E5916" t="s">
        <v>103</v>
      </c>
      <c r="F5916" t="s">
        <v>1319</v>
      </c>
    </row>
    <row r="5917" spans="1:6" x14ac:dyDescent="0.3">
      <c r="A5917" t="s">
        <v>26</v>
      </c>
      <c r="B5917" t="s">
        <v>198</v>
      </c>
      <c r="C5917">
        <v>41</v>
      </c>
      <c r="D5917" t="s">
        <v>787</v>
      </c>
      <c r="E5917" t="s">
        <v>103</v>
      </c>
      <c r="F5917" t="s">
        <v>788</v>
      </c>
    </row>
    <row r="5918" spans="1:6" x14ac:dyDescent="0.3">
      <c r="A5918" t="s">
        <v>26</v>
      </c>
      <c r="B5918" t="s">
        <v>199</v>
      </c>
      <c r="C5918">
        <v>436</v>
      </c>
      <c r="D5918" t="s">
        <v>156</v>
      </c>
      <c r="E5918" t="s">
        <v>239</v>
      </c>
      <c r="F5918" t="s">
        <v>483</v>
      </c>
    </row>
    <row r="5919" spans="1:6" x14ac:dyDescent="0.3">
      <c r="A5919" t="s">
        <v>29</v>
      </c>
      <c r="B5919" t="s">
        <v>198</v>
      </c>
      <c r="C5919">
        <v>170</v>
      </c>
      <c r="D5919" t="s">
        <v>1680</v>
      </c>
      <c r="E5919" t="s">
        <v>345</v>
      </c>
      <c r="F5919" t="s">
        <v>702</v>
      </c>
    </row>
    <row r="5920" spans="1:6" x14ac:dyDescent="0.3">
      <c r="A5920" t="s">
        <v>29</v>
      </c>
      <c r="B5920" t="s">
        <v>199</v>
      </c>
      <c r="C5920">
        <v>360</v>
      </c>
      <c r="D5920" t="s">
        <v>1063</v>
      </c>
      <c r="E5920" t="s">
        <v>239</v>
      </c>
      <c r="F5920" t="s">
        <v>409</v>
      </c>
    </row>
    <row r="5921" spans="1:6" x14ac:dyDescent="0.3">
      <c r="A5921" t="s">
        <v>28</v>
      </c>
      <c r="B5921" t="s">
        <v>198</v>
      </c>
      <c r="C5921">
        <v>70</v>
      </c>
      <c r="D5921" t="s">
        <v>298</v>
      </c>
      <c r="E5921" t="s">
        <v>103</v>
      </c>
      <c r="F5921" t="s">
        <v>297</v>
      </c>
    </row>
    <row r="5922" spans="1:6" x14ac:dyDescent="0.3">
      <c r="A5922" t="s">
        <v>28</v>
      </c>
      <c r="B5922" t="s">
        <v>199</v>
      </c>
      <c r="C5922">
        <v>247</v>
      </c>
      <c r="D5922" t="s">
        <v>204</v>
      </c>
      <c r="E5922" t="s">
        <v>116</v>
      </c>
      <c r="F5922" t="s">
        <v>927</v>
      </c>
    </row>
    <row r="5923" spans="1:6" x14ac:dyDescent="0.3">
      <c r="A5923" t="s">
        <v>27</v>
      </c>
      <c r="B5923" t="s">
        <v>198</v>
      </c>
      <c r="C5923">
        <v>136</v>
      </c>
      <c r="D5923" t="s">
        <v>596</v>
      </c>
      <c r="E5923" t="s">
        <v>558</v>
      </c>
      <c r="F5923" t="s">
        <v>205</v>
      </c>
    </row>
    <row r="5924" spans="1:6" x14ac:dyDescent="0.3">
      <c r="A5924" t="s">
        <v>27</v>
      </c>
      <c r="B5924" t="s">
        <v>199</v>
      </c>
      <c r="C5924">
        <v>164</v>
      </c>
      <c r="D5924" t="s">
        <v>170</v>
      </c>
      <c r="E5924" t="s">
        <v>195</v>
      </c>
      <c r="F5924" t="s">
        <v>127</v>
      </c>
    </row>
    <row r="5925" spans="1:6" x14ac:dyDescent="0.3">
      <c r="A5925" t="s">
        <v>41</v>
      </c>
      <c r="B5925" t="s">
        <v>198</v>
      </c>
      <c r="C5925">
        <v>521</v>
      </c>
      <c r="D5925" t="s">
        <v>985</v>
      </c>
      <c r="E5925" t="s">
        <v>110</v>
      </c>
      <c r="F5925" t="s">
        <v>658</v>
      </c>
    </row>
    <row r="5926" spans="1:6" x14ac:dyDescent="0.3">
      <c r="A5926" t="s">
        <v>41</v>
      </c>
      <c r="B5926" t="s">
        <v>199</v>
      </c>
      <c r="C5926">
        <v>1517</v>
      </c>
      <c r="D5926" t="s">
        <v>753</v>
      </c>
      <c r="E5926" t="s">
        <v>468</v>
      </c>
      <c r="F5926" t="s">
        <v>256</v>
      </c>
    </row>
    <row r="5928" spans="1:6" x14ac:dyDescent="0.3">
      <c r="A5928" t="s">
        <v>2168</v>
      </c>
    </row>
    <row r="5929" spans="1:6" x14ac:dyDescent="0.3">
      <c r="A5929" t="s">
        <v>36</v>
      </c>
      <c r="B5929" t="s">
        <v>763</v>
      </c>
      <c r="C5929" t="s">
        <v>24</v>
      </c>
      <c r="D5929" t="s">
        <v>2163</v>
      </c>
      <c r="E5929" t="s">
        <v>59</v>
      </c>
      <c r="F5929" t="s">
        <v>181</v>
      </c>
    </row>
    <row r="5930" spans="1:6" x14ac:dyDescent="0.3">
      <c r="A5930" t="s">
        <v>25</v>
      </c>
      <c r="B5930" t="s">
        <v>764</v>
      </c>
      <c r="C5930">
        <v>31</v>
      </c>
      <c r="D5930" t="s">
        <v>757</v>
      </c>
      <c r="E5930" t="s">
        <v>756</v>
      </c>
      <c r="F5930" t="s">
        <v>103</v>
      </c>
    </row>
    <row r="5931" spans="1:6" x14ac:dyDescent="0.3">
      <c r="A5931" t="s">
        <v>25</v>
      </c>
      <c r="B5931" t="s">
        <v>765</v>
      </c>
      <c r="C5931">
        <v>280</v>
      </c>
      <c r="D5931" t="s">
        <v>720</v>
      </c>
      <c r="E5931" t="s">
        <v>578</v>
      </c>
      <c r="F5931" t="s">
        <v>66</v>
      </c>
    </row>
    <row r="5932" spans="1:6" x14ac:dyDescent="0.3">
      <c r="A5932" t="s">
        <v>25</v>
      </c>
      <c r="B5932" t="s">
        <v>767</v>
      </c>
      <c r="C5932">
        <v>103</v>
      </c>
      <c r="D5932" t="s">
        <v>149</v>
      </c>
      <c r="E5932" t="s">
        <v>148</v>
      </c>
      <c r="F5932" t="s">
        <v>103</v>
      </c>
    </row>
    <row r="5933" spans="1:6" x14ac:dyDescent="0.3">
      <c r="A5933" t="s">
        <v>26</v>
      </c>
      <c r="B5933" t="s">
        <v>764</v>
      </c>
      <c r="C5933">
        <v>58</v>
      </c>
      <c r="D5933" t="s">
        <v>751</v>
      </c>
      <c r="E5933" t="s">
        <v>99</v>
      </c>
      <c r="F5933" t="s">
        <v>214</v>
      </c>
    </row>
    <row r="5934" spans="1:6" x14ac:dyDescent="0.3">
      <c r="A5934" t="s">
        <v>26</v>
      </c>
      <c r="B5934" t="s">
        <v>765</v>
      </c>
      <c r="C5934">
        <v>278</v>
      </c>
      <c r="D5934" t="s">
        <v>1378</v>
      </c>
      <c r="E5934" t="s">
        <v>48</v>
      </c>
      <c r="F5934" t="s">
        <v>66</v>
      </c>
    </row>
    <row r="5935" spans="1:6" x14ac:dyDescent="0.3">
      <c r="A5935" t="s">
        <v>26</v>
      </c>
      <c r="B5935" t="s">
        <v>767</v>
      </c>
      <c r="C5935">
        <v>141</v>
      </c>
      <c r="D5935" t="s">
        <v>252</v>
      </c>
      <c r="E5935" t="s">
        <v>667</v>
      </c>
      <c r="F5935" t="s">
        <v>128</v>
      </c>
    </row>
    <row r="5936" spans="1:6" s="3" customFormat="1" x14ac:dyDescent="0.3">
      <c r="A5936" s="3" t="s">
        <v>29</v>
      </c>
      <c r="B5936" s="3" t="s">
        <v>764</v>
      </c>
      <c r="C5936" s="3">
        <v>11</v>
      </c>
      <c r="D5936" s="3" t="s">
        <v>1018</v>
      </c>
      <c r="E5936" s="3" t="s">
        <v>121</v>
      </c>
      <c r="F5936" s="3" t="s">
        <v>136</v>
      </c>
    </row>
    <row r="5937" spans="1:6" x14ac:dyDescent="0.3">
      <c r="A5937" t="s">
        <v>29</v>
      </c>
      <c r="B5937" t="s">
        <v>765</v>
      </c>
      <c r="C5937">
        <v>365</v>
      </c>
      <c r="D5937" t="s">
        <v>1016</v>
      </c>
      <c r="E5937" t="s">
        <v>581</v>
      </c>
      <c r="F5937" t="s">
        <v>98</v>
      </c>
    </row>
    <row r="5938" spans="1:6" x14ac:dyDescent="0.3">
      <c r="A5938" t="s">
        <v>29</v>
      </c>
      <c r="B5938" t="s">
        <v>767</v>
      </c>
      <c r="C5938">
        <v>154</v>
      </c>
      <c r="D5938" t="s">
        <v>1017</v>
      </c>
      <c r="E5938" t="s">
        <v>820</v>
      </c>
      <c r="F5938" t="s">
        <v>341</v>
      </c>
    </row>
    <row r="5939" spans="1:6" s="3" customFormat="1" x14ac:dyDescent="0.3">
      <c r="A5939" s="3" t="s">
        <v>28</v>
      </c>
      <c r="B5939" s="3" t="s">
        <v>764</v>
      </c>
      <c r="C5939" s="3">
        <v>20</v>
      </c>
      <c r="D5939" s="3" t="s">
        <v>806</v>
      </c>
      <c r="E5939" s="3" t="s">
        <v>548</v>
      </c>
      <c r="F5939" s="3" t="s">
        <v>103</v>
      </c>
    </row>
    <row r="5940" spans="1:6" x14ac:dyDescent="0.3">
      <c r="A5940" t="s">
        <v>28</v>
      </c>
      <c r="B5940" t="s">
        <v>765</v>
      </c>
      <c r="C5940">
        <v>260</v>
      </c>
      <c r="D5940" t="s">
        <v>51</v>
      </c>
      <c r="E5940" t="s">
        <v>921</v>
      </c>
      <c r="F5940" t="s">
        <v>116</v>
      </c>
    </row>
    <row r="5941" spans="1:6" x14ac:dyDescent="0.3">
      <c r="A5941" t="s">
        <v>28</v>
      </c>
      <c r="B5941" t="s">
        <v>767</v>
      </c>
      <c r="C5941">
        <v>37</v>
      </c>
      <c r="D5941" t="s">
        <v>1325</v>
      </c>
      <c r="E5941" t="s">
        <v>1226</v>
      </c>
      <c r="F5941" t="s">
        <v>103</v>
      </c>
    </row>
    <row r="5942" spans="1:6" s="3" customFormat="1" x14ac:dyDescent="0.3">
      <c r="A5942" s="3" t="s">
        <v>27</v>
      </c>
      <c r="B5942" s="3" t="s">
        <v>764</v>
      </c>
      <c r="C5942" s="3">
        <v>29</v>
      </c>
      <c r="D5942" s="3" t="s">
        <v>69</v>
      </c>
      <c r="E5942" s="3" t="s">
        <v>68</v>
      </c>
      <c r="F5942" s="3" t="s">
        <v>103</v>
      </c>
    </row>
    <row r="5943" spans="1:6" x14ac:dyDescent="0.3">
      <c r="A5943" t="s">
        <v>27</v>
      </c>
      <c r="B5943" t="s">
        <v>765</v>
      </c>
      <c r="C5943">
        <v>209</v>
      </c>
      <c r="D5943" t="s">
        <v>984</v>
      </c>
      <c r="E5943" t="s">
        <v>482</v>
      </c>
      <c r="F5943" t="s">
        <v>284</v>
      </c>
    </row>
    <row r="5944" spans="1:6" x14ac:dyDescent="0.3">
      <c r="A5944" t="s">
        <v>27</v>
      </c>
      <c r="B5944" t="s">
        <v>767</v>
      </c>
      <c r="C5944">
        <v>62</v>
      </c>
      <c r="D5944" t="s">
        <v>771</v>
      </c>
      <c r="E5944" t="s">
        <v>140</v>
      </c>
      <c r="F5944" t="s">
        <v>113</v>
      </c>
    </row>
    <row r="5945" spans="1:6" x14ac:dyDescent="0.3">
      <c r="A5945" t="s">
        <v>41</v>
      </c>
      <c r="B5945" t="s">
        <v>764</v>
      </c>
      <c r="C5945">
        <v>149</v>
      </c>
      <c r="D5945" t="s">
        <v>592</v>
      </c>
      <c r="E5945" t="s">
        <v>518</v>
      </c>
      <c r="F5945" t="s">
        <v>188</v>
      </c>
    </row>
    <row r="5946" spans="1:6" x14ac:dyDescent="0.3">
      <c r="A5946" t="s">
        <v>41</v>
      </c>
      <c r="B5946" t="s">
        <v>765</v>
      </c>
      <c r="C5946">
        <v>1392</v>
      </c>
      <c r="D5946" t="s">
        <v>227</v>
      </c>
      <c r="E5946" t="s">
        <v>568</v>
      </c>
      <c r="F5946" t="s">
        <v>139</v>
      </c>
    </row>
    <row r="5947" spans="1:6" x14ac:dyDescent="0.3">
      <c r="A5947" t="s">
        <v>41</v>
      </c>
      <c r="B5947" t="s">
        <v>767</v>
      </c>
      <c r="C5947">
        <v>497</v>
      </c>
      <c r="D5947" t="s">
        <v>1324</v>
      </c>
      <c r="E5947" t="s">
        <v>476</v>
      </c>
      <c r="F5947" t="s">
        <v>245</v>
      </c>
    </row>
    <row r="5949" spans="1:6" x14ac:dyDescent="0.3">
      <c r="A5949" t="s">
        <v>2169</v>
      </c>
    </row>
    <row r="5950" spans="1:6" x14ac:dyDescent="0.3">
      <c r="A5950" t="s">
        <v>36</v>
      </c>
      <c r="B5950" t="s">
        <v>1106</v>
      </c>
      <c r="C5950" t="s">
        <v>24</v>
      </c>
      <c r="D5950" t="s">
        <v>2163</v>
      </c>
      <c r="E5950" t="s">
        <v>181</v>
      </c>
      <c r="F5950" t="s">
        <v>59</v>
      </c>
    </row>
    <row r="5951" spans="1:6" x14ac:dyDescent="0.3">
      <c r="A5951" t="s">
        <v>25</v>
      </c>
      <c r="B5951" t="s">
        <v>1107</v>
      </c>
      <c r="C5951">
        <v>414</v>
      </c>
      <c r="D5951" t="s">
        <v>238</v>
      </c>
      <c r="E5951" t="s">
        <v>91</v>
      </c>
      <c r="F5951" t="s">
        <v>682</v>
      </c>
    </row>
    <row r="5952" spans="1:6" x14ac:dyDescent="0.3">
      <c r="A5952" t="s">
        <v>26</v>
      </c>
      <c r="B5952" t="s">
        <v>1107</v>
      </c>
      <c r="C5952">
        <v>476</v>
      </c>
      <c r="D5952" t="s">
        <v>267</v>
      </c>
      <c r="E5952" t="s">
        <v>110</v>
      </c>
      <c r="F5952" t="s">
        <v>680</v>
      </c>
    </row>
    <row r="5953" spans="1:6" s="3" customFormat="1" x14ac:dyDescent="0.3">
      <c r="A5953" s="3" t="s">
        <v>26</v>
      </c>
      <c r="B5953" s="3" t="s">
        <v>1108</v>
      </c>
      <c r="C5953" s="3">
        <v>1</v>
      </c>
      <c r="D5953" s="3" t="s">
        <v>192</v>
      </c>
      <c r="E5953" s="3" t="s">
        <v>103</v>
      </c>
      <c r="F5953" s="3" t="s">
        <v>103</v>
      </c>
    </row>
    <row r="5954" spans="1:6" x14ac:dyDescent="0.3">
      <c r="A5954" t="s">
        <v>29</v>
      </c>
      <c r="B5954" t="s">
        <v>1107</v>
      </c>
      <c r="C5954">
        <v>527</v>
      </c>
      <c r="D5954" t="s">
        <v>989</v>
      </c>
      <c r="E5954" t="s">
        <v>345</v>
      </c>
      <c r="F5954" t="s">
        <v>505</v>
      </c>
    </row>
    <row r="5955" spans="1:6" s="3" customFormat="1" x14ac:dyDescent="0.3">
      <c r="A5955" s="3" t="s">
        <v>29</v>
      </c>
      <c r="B5955" s="3" t="s">
        <v>1109</v>
      </c>
      <c r="C5955" s="3">
        <v>1</v>
      </c>
      <c r="D5955" s="3" t="s">
        <v>192</v>
      </c>
      <c r="E5955" s="3" t="s">
        <v>103</v>
      </c>
      <c r="F5955" s="3" t="s">
        <v>103</v>
      </c>
    </row>
    <row r="5956" spans="1:6" s="3" customFormat="1" x14ac:dyDescent="0.3">
      <c r="A5956" s="3" t="s">
        <v>29</v>
      </c>
      <c r="B5956" s="3" t="s">
        <v>1108</v>
      </c>
      <c r="C5956" s="3">
        <v>2</v>
      </c>
      <c r="D5956" s="3" t="s">
        <v>932</v>
      </c>
      <c r="E5956" s="3" t="s">
        <v>931</v>
      </c>
      <c r="F5956" s="3" t="s">
        <v>103</v>
      </c>
    </row>
    <row r="5957" spans="1:6" x14ac:dyDescent="0.3">
      <c r="A5957" t="s">
        <v>28</v>
      </c>
      <c r="B5957" t="s">
        <v>1107</v>
      </c>
      <c r="C5957">
        <v>317</v>
      </c>
      <c r="D5957" t="s">
        <v>1017</v>
      </c>
      <c r="E5957" t="s">
        <v>66</v>
      </c>
      <c r="F5957" t="s">
        <v>650</v>
      </c>
    </row>
    <row r="5958" spans="1:6" x14ac:dyDescent="0.3">
      <c r="A5958" t="s">
        <v>27</v>
      </c>
      <c r="B5958" t="s">
        <v>1107</v>
      </c>
      <c r="C5958">
        <v>293</v>
      </c>
      <c r="D5958" t="s">
        <v>145</v>
      </c>
      <c r="E5958" t="s">
        <v>201</v>
      </c>
      <c r="F5958" t="s">
        <v>126</v>
      </c>
    </row>
    <row r="5959" spans="1:6" s="3" customFormat="1" x14ac:dyDescent="0.3">
      <c r="A5959" s="3" t="s">
        <v>27</v>
      </c>
      <c r="B5959" s="3" t="s">
        <v>1109</v>
      </c>
      <c r="C5959" s="3">
        <v>3</v>
      </c>
      <c r="D5959" s="3" t="s">
        <v>192</v>
      </c>
      <c r="E5959" s="3" t="s">
        <v>103</v>
      </c>
      <c r="F5959" s="3" t="s">
        <v>103</v>
      </c>
    </row>
    <row r="5960" spans="1:6" s="3" customFormat="1" x14ac:dyDescent="0.3">
      <c r="A5960" s="3" t="s">
        <v>27</v>
      </c>
      <c r="B5960" s="3" t="s">
        <v>1108</v>
      </c>
      <c r="C5960" s="3">
        <v>3</v>
      </c>
      <c r="D5960" s="3" t="s">
        <v>192</v>
      </c>
      <c r="E5960" s="3" t="s">
        <v>103</v>
      </c>
      <c r="F5960" s="3" t="s">
        <v>103</v>
      </c>
    </row>
    <row r="5961" spans="1:6" x14ac:dyDescent="0.3">
      <c r="A5961" t="s">
        <v>27</v>
      </c>
      <c r="B5961" t="s">
        <v>308</v>
      </c>
      <c r="C5961">
        <v>1</v>
      </c>
      <c r="D5961" t="s">
        <v>103</v>
      </c>
      <c r="E5961" t="s">
        <v>103</v>
      </c>
      <c r="F5961" t="s">
        <v>192</v>
      </c>
    </row>
    <row r="5962" spans="1:6" x14ac:dyDescent="0.3">
      <c r="A5962" t="s">
        <v>41</v>
      </c>
      <c r="B5962" t="s">
        <v>1107</v>
      </c>
      <c r="C5962">
        <v>2027</v>
      </c>
      <c r="D5962" t="s">
        <v>602</v>
      </c>
      <c r="E5962" t="s">
        <v>345</v>
      </c>
      <c r="F5962" t="s">
        <v>552</v>
      </c>
    </row>
    <row r="5963" spans="1:6" s="3" customFormat="1" x14ac:dyDescent="0.3">
      <c r="A5963" s="3" t="s">
        <v>41</v>
      </c>
      <c r="B5963" s="3" t="s">
        <v>1109</v>
      </c>
      <c r="C5963" s="3">
        <v>4</v>
      </c>
      <c r="D5963" s="3" t="s">
        <v>192</v>
      </c>
      <c r="E5963" s="3" t="s">
        <v>103</v>
      </c>
      <c r="F5963" s="3" t="s">
        <v>103</v>
      </c>
    </row>
    <row r="5964" spans="1:6" s="3" customFormat="1" x14ac:dyDescent="0.3">
      <c r="A5964" s="3" t="s">
        <v>41</v>
      </c>
      <c r="B5964" s="3" t="s">
        <v>1108</v>
      </c>
      <c r="C5964" s="3">
        <v>6</v>
      </c>
      <c r="D5964" s="3" t="s">
        <v>406</v>
      </c>
      <c r="E5964" s="3" t="s">
        <v>407</v>
      </c>
      <c r="F5964" s="3" t="s">
        <v>103</v>
      </c>
    </row>
    <row r="5965" spans="1:6" x14ac:dyDescent="0.3">
      <c r="A5965" t="s">
        <v>41</v>
      </c>
      <c r="B5965" t="s">
        <v>308</v>
      </c>
      <c r="C5965">
        <v>1</v>
      </c>
      <c r="D5965" t="s">
        <v>103</v>
      </c>
      <c r="E5965" t="s">
        <v>103</v>
      </c>
      <c r="F5965" t="s">
        <v>192</v>
      </c>
    </row>
    <row r="5967" spans="1:6" x14ac:dyDescent="0.3">
      <c r="A5967" t="s">
        <v>2170</v>
      </c>
    </row>
    <row r="5968" spans="1:6" x14ac:dyDescent="0.3">
      <c r="A5968" t="s">
        <v>36</v>
      </c>
      <c r="B5968" t="s">
        <v>24</v>
      </c>
      <c r="C5968" t="s">
        <v>58</v>
      </c>
      <c r="D5968" t="s">
        <v>181</v>
      </c>
      <c r="E5968" t="s">
        <v>59</v>
      </c>
      <c r="F5968" t="s">
        <v>348</v>
      </c>
    </row>
    <row r="5969" spans="1:7" x14ac:dyDescent="0.3">
      <c r="A5969" t="s">
        <v>25</v>
      </c>
      <c r="B5969">
        <v>963</v>
      </c>
      <c r="C5969" t="s">
        <v>405</v>
      </c>
      <c r="D5969" t="s">
        <v>139</v>
      </c>
      <c r="E5969" t="s">
        <v>527</v>
      </c>
      <c r="F5969" t="s">
        <v>103</v>
      </c>
    </row>
    <row r="5970" spans="1:7" x14ac:dyDescent="0.3">
      <c r="A5970" t="s">
        <v>26</v>
      </c>
      <c r="B5970">
        <v>1118</v>
      </c>
      <c r="C5970" t="s">
        <v>430</v>
      </c>
      <c r="D5970" t="s">
        <v>103</v>
      </c>
      <c r="E5970" t="s">
        <v>792</v>
      </c>
      <c r="F5970" t="s">
        <v>103</v>
      </c>
    </row>
    <row r="5971" spans="1:7" x14ac:dyDescent="0.3">
      <c r="A5971" t="s">
        <v>29</v>
      </c>
      <c r="B5971">
        <v>1329</v>
      </c>
      <c r="C5971" t="s">
        <v>943</v>
      </c>
      <c r="D5971" t="s">
        <v>91</v>
      </c>
      <c r="E5971" t="s">
        <v>665</v>
      </c>
      <c r="F5971" t="s">
        <v>91</v>
      </c>
    </row>
    <row r="5972" spans="1:7" x14ac:dyDescent="0.3">
      <c r="A5972" t="s">
        <v>28</v>
      </c>
      <c r="B5972">
        <v>605</v>
      </c>
      <c r="C5972" t="s">
        <v>426</v>
      </c>
      <c r="D5972" t="s">
        <v>66</v>
      </c>
      <c r="E5972" t="s">
        <v>427</v>
      </c>
      <c r="F5972" t="s">
        <v>91</v>
      </c>
    </row>
    <row r="5973" spans="1:7" x14ac:dyDescent="0.3">
      <c r="A5973" t="s">
        <v>27</v>
      </c>
      <c r="B5973">
        <v>572</v>
      </c>
      <c r="C5973" t="s">
        <v>1260</v>
      </c>
      <c r="D5973" t="s">
        <v>103</v>
      </c>
      <c r="E5973" t="s">
        <v>1215</v>
      </c>
      <c r="F5973" t="s">
        <v>103</v>
      </c>
    </row>
    <row r="5974" spans="1:7" x14ac:dyDescent="0.3">
      <c r="A5974" t="s">
        <v>41</v>
      </c>
      <c r="B5974">
        <v>4587</v>
      </c>
      <c r="C5974" t="s">
        <v>572</v>
      </c>
      <c r="D5974" t="s">
        <v>66</v>
      </c>
      <c r="E5974" t="s">
        <v>943</v>
      </c>
      <c r="F5974" t="s">
        <v>103</v>
      </c>
    </row>
    <row r="5976" spans="1:7" x14ac:dyDescent="0.3">
      <c r="A5976" t="s">
        <v>2171</v>
      </c>
    </row>
    <row r="5977" spans="1:7" x14ac:dyDescent="0.3">
      <c r="A5977" t="s">
        <v>36</v>
      </c>
      <c r="B5977" t="s">
        <v>2172</v>
      </c>
      <c r="C5977" t="s">
        <v>24</v>
      </c>
      <c r="D5977" t="s">
        <v>58</v>
      </c>
      <c r="E5977" t="s">
        <v>59</v>
      </c>
      <c r="F5977" t="s">
        <v>181</v>
      </c>
      <c r="G5977" t="s">
        <v>348</v>
      </c>
    </row>
    <row r="5978" spans="1:7" x14ac:dyDescent="0.3">
      <c r="A5978" t="s">
        <v>25</v>
      </c>
      <c r="B5978" t="s">
        <v>844</v>
      </c>
      <c r="C5978">
        <v>38</v>
      </c>
      <c r="D5978" t="s">
        <v>2103</v>
      </c>
      <c r="E5978" t="s">
        <v>635</v>
      </c>
      <c r="F5978" t="s">
        <v>103</v>
      </c>
      <c r="G5978" t="s">
        <v>103</v>
      </c>
    </row>
    <row r="5979" spans="1:7" x14ac:dyDescent="0.3">
      <c r="A5979" t="s">
        <v>25</v>
      </c>
      <c r="B5979" t="s">
        <v>2173</v>
      </c>
      <c r="C5979">
        <v>46</v>
      </c>
      <c r="D5979" t="s">
        <v>1006</v>
      </c>
      <c r="E5979" t="s">
        <v>1089</v>
      </c>
      <c r="F5979" t="s">
        <v>103</v>
      </c>
      <c r="G5979" t="s">
        <v>103</v>
      </c>
    </row>
    <row r="5980" spans="1:7" s="3" customFormat="1" x14ac:dyDescent="0.3">
      <c r="A5980" s="3" t="s">
        <v>25</v>
      </c>
      <c r="B5980" s="3" t="s">
        <v>2174</v>
      </c>
      <c r="C5980" s="3">
        <v>19</v>
      </c>
      <c r="D5980" s="3" t="s">
        <v>1097</v>
      </c>
      <c r="E5980" s="3" t="s">
        <v>1374</v>
      </c>
      <c r="F5980" s="3" t="s">
        <v>103</v>
      </c>
      <c r="G5980" s="3" t="s">
        <v>103</v>
      </c>
    </row>
    <row r="5981" spans="1:7" s="3" customFormat="1" x14ac:dyDescent="0.3">
      <c r="A5981" s="3" t="s">
        <v>25</v>
      </c>
      <c r="B5981" s="3" t="s">
        <v>2175</v>
      </c>
      <c r="C5981" s="3">
        <v>25</v>
      </c>
      <c r="D5981" s="3" t="s">
        <v>696</v>
      </c>
      <c r="E5981" s="3" t="s">
        <v>770</v>
      </c>
      <c r="F5981" s="3" t="s">
        <v>103</v>
      </c>
      <c r="G5981" s="3" t="s">
        <v>103</v>
      </c>
    </row>
    <row r="5982" spans="1:7" x14ac:dyDescent="0.3">
      <c r="A5982" t="s">
        <v>25</v>
      </c>
      <c r="B5982" t="s">
        <v>2176</v>
      </c>
      <c r="C5982">
        <v>180</v>
      </c>
      <c r="D5982" t="s">
        <v>1294</v>
      </c>
      <c r="E5982" t="s">
        <v>1098</v>
      </c>
      <c r="F5982" t="s">
        <v>103</v>
      </c>
      <c r="G5982" t="s">
        <v>103</v>
      </c>
    </row>
    <row r="5983" spans="1:7" x14ac:dyDescent="0.3">
      <c r="A5983" t="s">
        <v>25</v>
      </c>
      <c r="B5983" t="s">
        <v>2177</v>
      </c>
      <c r="C5983">
        <v>140</v>
      </c>
      <c r="D5983" t="s">
        <v>540</v>
      </c>
      <c r="E5983" t="s">
        <v>1418</v>
      </c>
      <c r="F5983" t="s">
        <v>103</v>
      </c>
      <c r="G5983" t="s">
        <v>103</v>
      </c>
    </row>
    <row r="5984" spans="1:7" x14ac:dyDescent="0.3">
      <c r="A5984" t="s">
        <v>25</v>
      </c>
      <c r="B5984" t="s">
        <v>2178</v>
      </c>
      <c r="C5984">
        <v>154</v>
      </c>
      <c r="D5984" t="s">
        <v>357</v>
      </c>
      <c r="E5984" t="s">
        <v>229</v>
      </c>
      <c r="F5984" t="s">
        <v>468</v>
      </c>
      <c r="G5984" t="s">
        <v>103</v>
      </c>
    </row>
    <row r="5985" spans="1:7" x14ac:dyDescent="0.3">
      <c r="A5985" t="s">
        <v>25</v>
      </c>
      <c r="B5985" t="s">
        <v>846</v>
      </c>
      <c r="C5985">
        <v>46</v>
      </c>
      <c r="D5985" t="s">
        <v>374</v>
      </c>
      <c r="E5985" t="s">
        <v>427</v>
      </c>
      <c r="F5985" t="s">
        <v>188</v>
      </c>
      <c r="G5985" t="s">
        <v>103</v>
      </c>
    </row>
    <row r="5986" spans="1:7" x14ac:dyDescent="0.3">
      <c r="A5986" t="s">
        <v>25</v>
      </c>
      <c r="B5986" t="s">
        <v>2179</v>
      </c>
      <c r="C5986">
        <v>43</v>
      </c>
      <c r="D5986" t="s">
        <v>1199</v>
      </c>
      <c r="E5986" t="s">
        <v>1284</v>
      </c>
      <c r="F5986" t="s">
        <v>103</v>
      </c>
      <c r="G5986" t="s">
        <v>103</v>
      </c>
    </row>
    <row r="5987" spans="1:7" s="3" customFormat="1" x14ac:dyDescent="0.3">
      <c r="A5987" s="3" t="s">
        <v>25</v>
      </c>
      <c r="B5987" s="3" t="s">
        <v>2180</v>
      </c>
      <c r="C5987" s="3">
        <v>22</v>
      </c>
      <c r="D5987" s="3" t="s">
        <v>1088</v>
      </c>
      <c r="E5987" s="3" t="s">
        <v>704</v>
      </c>
      <c r="F5987" s="3" t="s">
        <v>103</v>
      </c>
      <c r="G5987" s="3" t="s">
        <v>103</v>
      </c>
    </row>
    <row r="5988" spans="1:7" s="3" customFormat="1" x14ac:dyDescent="0.3">
      <c r="A5988" s="3" t="s">
        <v>25</v>
      </c>
      <c r="B5988" s="3" t="s">
        <v>2181</v>
      </c>
      <c r="C5988" s="3">
        <v>22</v>
      </c>
      <c r="D5988" s="3" t="s">
        <v>1068</v>
      </c>
      <c r="E5988" s="3" t="s">
        <v>440</v>
      </c>
      <c r="F5988" s="3" t="s">
        <v>205</v>
      </c>
      <c r="G5988" s="3" t="s">
        <v>103</v>
      </c>
    </row>
    <row r="5989" spans="1:7" x14ac:dyDescent="0.3">
      <c r="A5989" t="s">
        <v>25</v>
      </c>
      <c r="B5989" t="s">
        <v>2182</v>
      </c>
      <c r="C5989">
        <v>96</v>
      </c>
      <c r="D5989" t="s">
        <v>1426</v>
      </c>
      <c r="E5989" t="s">
        <v>1212</v>
      </c>
      <c r="F5989" t="s">
        <v>217</v>
      </c>
      <c r="G5989" t="s">
        <v>103</v>
      </c>
    </row>
    <row r="5990" spans="1:7" x14ac:dyDescent="0.3">
      <c r="A5990" t="s">
        <v>25</v>
      </c>
      <c r="B5990" t="s">
        <v>2183</v>
      </c>
      <c r="C5990">
        <v>73</v>
      </c>
      <c r="D5990" t="s">
        <v>838</v>
      </c>
      <c r="E5990" t="s">
        <v>839</v>
      </c>
      <c r="F5990" t="s">
        <v>103</v>
      </c>
      <c r="G5990" t="s">
        <v>103</v>
      </c>
    </row>
    <row r="5991" spans="1:7" x14ac:dyDescent="0.3">
      <c r="A5991" t="s">
        <v>25</v>
      </c>
      <c r="B5991" t="s">
        <v>2184</v>
      </c>
      <c r="C5991">
        <v>59</v>
      </c>
      <c r="D5991" t="s">
        <v>537</v>
      </c>
      <c r="E5991" t="s">
        <v>924</v>
      </c>
      <c r="F5991" t="s">
        <v>103</v>
      </c>
      <c r="G5991" t="s">
        <v>103</v>
      </c>
    </row>
    <row r="5992" spans="1:7" x14ac:dyDescent="0.3">
      <c r="A5992" t="s">
        <v>26</v>
      </c>
      <c r="B5992" t="s">
        <v>844</v>
      </c>
      <c r="C5992">
        <v>49</v>
      </c>
      <c r="D5992" t="s">
        <v>1443</v>
      </c>
      <c r="E5992" t="s">
        <v>1223</v>
      </c>
      <c r="F5992" t="s">
        <v>103</v>
      </c>
      <c r="G5992" t="s">
        <v>103</v>
      </c>
    </row>
    <row r="5993" spans="1:7" x14ac:dyDescent="0.3">
      <c r="A5993" t="s">
        <v>26</v>
      </c>
      <c r="B5993" t="s">
        <v>2173</v>
      </c>
      <c r="C5993">
        <v>62</v>
      </c>
      <c r="D5993" t="s">
        <v>415</v>
      </c>
      <c r="E5993" t="s">
        <v>416</v>
      </c>
      <c r="F5993" t="s">
        <v>103</v>
      </c>
      <c r="G5993" t="s">
        <v>103</v>
      </c>
    </row>
    <row r="5994" spans="1:7" s="3" customFormat="1" x14ac:dyDescent="0.3">
      <c r="A5994" s="3" t="s">
        <v>26</v>
      </c>
      <c r="B5994" s="3" t="s">
        <v>2174</v>
      </c>
      <c r="C5994" s="3">
        <v>30</v>
      </c>
      <c r="D5994" s="3" t="s">
        <v>699</v>
      </c>
      <c r="E5994" s="3" t="s">
        <v>784</v>
      </c>
      <c r="F5994" s="3" t="s">
        <v>103</v>
      </c>
      <c r="G5994" s="3" t="s">
        <v>103</v>
      </c>
    </row>
    <row r="5995" spans="1:7" s="3" customFormat="1" x14ac:dyDescent="0.3">
      <c r="A5995" s="3" t="s">
        <v>26</v>
      </c>
      <c r="B5995" s="3" t="s">
        <v>2175</v>
      </c>
      <c r="C5995" s="3">
        <v>25</v>
      </c>
      <c r="D5995" s="3" t="s">
        <v>1044</v>
      </c>
      <c r="E5995" s="3" t="s">
        <v>464</v>
      </c>
      <c r="F5995" s="3" t="s">
        <v>103</v>
      </c>
      <c r="G5995" s="3" t="s">
        <v>103</v>
      </c>
    </row>
    <row r="5996" spans="1:7" x14ac:dyDescent="0.3">
      <c r="A5996" t="s">
        <v>26</v>
      </c>
      <c r="B5996" t="s">
        <v>2176</v>
      </c>
      <c r="C5996">
        <v>202</v>
      </c>
      <c r="D5996" t="s">
        <v>785</v>
      </c>
      <c r="E5996" t="s">
        <v>626</v>
      </c>
      <c r="F5996" t="s">
        <v>103</v>
      </c>
      <c r="G5996" t="s">
        <v>103</v>
      </c>
    </row>
    <row r="5997" spans="1:7" x14ac:dyDescent="0.3">
      <c r="A5997" t="s">
        <v>26</v>
      </c>
      <c r="B5997" t="s">
        <v>2177</v>
      </c>
      <c r="C5997">
        <v>153</v>
      </c>
      <c r="D5997" t="s">
        <v>993</v>
      </c>
      <c r="E5997" t="s">
        <v>993</v>
      </c>
      <c r="F5997" t="s">
        <v>103</v>
      </c>
      <c r="G5997" t="s">
        <v>103</v>
      </c>
    </row>
    <row r="5998" spans="1:7" x14ac:dyDescent="0.3">
      <c r="A5998" t="s">
        <v>26</v>
      </c>
      <c r="B5998" t="s">
        <v>2178</v>
      </c>
      <c r="C5998">
        <v>141</v>
      </c>
      <c r="D5998" t="s">
        <v>432</v>
      </c>
      <c r="E5998" t="s">
        <v>2185</v>
      </c>
      <c r="F5998" t="s">
        <v>103</v>
      </c>
      <c r="G5998" t="s">
        <v>103</v>
      </c>
    </row>
    <row r="5999" spans="1:7" x14ac:dyDescent="0.3">
      <c r="A5999" t="s">
        <v>26</v>
      </c>
      <c r="B5999" t="s">
        <v>846</v>
      </c>
      <c r="C5999">
        <v>59</v>
      </c>
      <c r="D5999" t="s">
        <v>739</v>
      </c>
      <c r="E5999" t="s">
        <v>485</v>
      </c>
      <c r="F5999" t="s">
        <v>103</v>
      </c>
      <c r="G5999" t="s">
        <v>103</v>
      </c>
    </row>
    <row r="6000" spans="1:7" x14ac:dyDescent="0.3">
      <c r="A6000" t="s">
        <v>26</v>
      </c>
      <c r="B6000" t="s">
        <v>2179</v>
      </c>
      <c r="C6000">
        <v>54</v>
      </c>
      <c r="D6000" t="s">
        <v>892</v>
      </c>
      <c r="E6000" t="s">
        <v>893</v>
      </c>
      <c r="F6000" t="s">
        <v>103</v>
      </c>
      <c r="G6000" t="s">
        <v>103</v>
      </c>
    </row>
    <row r="6001" spans="1:7" s="3" customFormat="1" x14ac:dyDescent="0.3">
      <c r="A6001" s="3" t="s">
        <v>26</v>
      </c>
      <c r="B6001" s="3" t="s">
        <v>2180</v>
      </c>
      <c r="C6001" s="3">
        <v>27</v>
      </c>
      <c r="D6001" s="3" t="s">
        <v>1098</v>
      </c>
      <c r="E6001" s="3" t="s">
        <v>1294</v>
      </c>
      <c r="F6001" s="3" t="s">
        <v>103</v>
      </c>
      <c r="G6001" s="3" t="s">
        <v>103</v>
      </c>
    </row>
    <row r="6002" spans="1:7" x14ac:dyDescent="0.3">
      <c r="A6002" t="s">
        <v>26</v>
      </c>
      <c r="B6002" t="s">
        <v>2181</v>
      </c>
      <c r="C6002">
        <v>46</v>
      </c>
      <c r="D6002" t="s">
        <v>753</v>
      </c>
      <c r="E6002" t="s">
        <v>264</v>
      </c>
      <c r="F6002" t="s">
        <v>103</v>
      </c>
      <c r="G6002" t="s">
        <v>103</v>
      </c>
    </row>
    <row r="6003" spans="1:7" x14ac:dyDescent="0.3">
      <c r="A6003" t="s">
        <v>26</v>
      </c>
      <c r="B6003" t="s">
        <v>2182</v>
      </c>
      <c r="C6003">
        <v>142</v>
      </c>
      <c r="D6003" t="s">
        <v>796</v>
      </c>
      <c r="E6003" t="s">
        <v>455</v>
      </c>
      <c r="F6003" t="s">
        <v>103</v>
      </c>
      <c r="G6003" t="s">
        <v>103</v>
      </c>
    </row>
    <row r="6004" spans="1:7" x14ac:dyDescent="0.3">
      <c r="A6004" t="s">
        <v>26</v>
      </c>
      <c r="B6004" t="s">
        <v>2183</v>
      </c>
      <c r="C6004">
        <v>82</v>
      </c>
      <c r="D6004" t="s">
        <v>621</v>
      </c>
      <c r="E6004" t="s">
        <v>1028</v>
      </c>
      <c r="F6004" t="s">
        <v>103</v>
      </c>
      <c r="G6004" t="s">
        <v>103</v>
      </c>
    </row>
    <row r="6005" spans="1:7" x14ac:dyDescent="0.3">
      <c r="A6005" t="s">
        <v>26</v>
      </c>
      <c r="B6005" t="s">
        <v>2184</v>
      </c>
      <c r="C6005">
        <v>46</v>
      </c>
      <c r="D6005" t="s">
        <v>934</v>
      </c>
      <c r="E6005" t="s">
        <v>933</v>
      </c>
      <c r="F6005" t="s">
        <v>103</v>
      </c>
      <c r="G6005" t="s">
        <v>103</v>
      </c>
    </row>
    <row r="6006" spans="1:7" x14ac:dyDescent="0.3">
      <c r="A6006" t="s">
        <v>29</v>
      </c>
      <c r="B6006" t="s">
        <v>844</v>
      </c>
      <c r="C6006">
        <v>72</v>
      </c>
      <c r="D6006" t="s">
        <v>620</v>
      </c>
      <c r="E6006" t="s">
        <v>1057</v>
      </c>
      <c r="F6006" t="s">
        <v>103</v>
      </c>
      <c r="G6006" t="s">
        <v>103</v>
      </c>
    </row>
    <row r="6007" spans="1:7" x14ac:dyDescent="0.3">
      <c r="A6007" t="s">
        <v>29</v>
      </c>
      <c r="B6007" t="s">
        <v>2173</v>
      </c>
      <c r="C6007">
        <v>96</v>
      </c>
      <c r="D6007" t="s">
        <v>442</v>
      </c>
      <c r="E6007" t="s">
        <v>441</v>
      </c>
      <c r="F6007" t="s">
        <v>103</v>
      </c>
      <c r="G6007" t="s">
        <v>103</v>
      </c>
    </row>
    <row r="6008" spans="1:7" x14ac:dyDescent="0.3">
      <c r="A6008" t="s">
        <v>29</v>
      </c>
      <c r="B6008" t="s">
        <v>2174</v>
      </c>
      <c r="C6008">
        <v>52</v>
      </c>
      <c r="D6008" t="s">
        <v>380</v>
      </c>
      <c r="E6008" t="s">
        <v>379</v>
      </c>
      <c r="F6008" t="s">
        <v>103</v>
      </c>
      <c r="G6008" t="s">
        <v>103</v>
      </c>
    </row>
    <row r="6009" spans="1:7" x14ac:dyDescent="0.3">
      <c r="A6009" t="s">
        <v>29</v>
      </c>
      <c r="B6009" t="s">
        <v>2175</v>
      </c>
      <c r="C6009">
        <v>37</v>
      </c>
      <c r="D6009" t="s">
        <v>924</v>
      </c>
      <c r="E6009" t="s">
        <v>537</v>
      </c>
      <c r="F6009" t="s">
        <v>103</v>
      </c>
      <c r="G6009" t="s">
        <v>103</v>
      </c>
    </row>
    <row r="6010" spans="1:7" x14ac:dyDescent="0.3">
      <c r="A6010" t="s">
        <v>29</v>
      </c>
      <c r="B6010" t="s">
        <v>2176</v>
      </c>
      <c r="C6010">
        <v>280</v>
      </c>
      <c r="D6010" t="s">
        <v>1555</v>
      </c>
      <c r="E6010" t="s">
        <v>2010</v>
      </c>
      <c r="F6010" t="s">
        <v>103</v>
      </c>
      <c r="G6010" t="s">
        <v>103</v>
      </c>
    </row>
    <row r="6011" spans="1:7" x14ac:dyDescent="0.3">
      <c r="A6011" t="s">
        <v>29</v>
      </c>
      <c r="B6011" t="s">
        <v>2177</v>
      </c>
      <c r="C6011">
        <v>152</v>
      </c>
      <c r="D6011" t="s">
        <v>560</v>
      </c>
      <c r="E6011" t="s">
        <v>926</v>
      </c>
      <c r="F6011" t="s">
        <v>103</v>
      </c>
      <c r="G6011" t="s">
        <v>103</v>
      </c>
    </row>
    <row r="6012" spans="1:7" x14ac:dyDescent="0.3">
      <c r="A6012" t="s">
        <v>29</v>
      </c>
      <c r="B6012" t="s">
        <v>2178</v>
      </c>
      <c r="C6012">
        <v>165</v>
      </c>
      <c r="D6012" t="s">
        <v>626</v>
      </c>
      <c r="E6012" t="s">
        <v>857</v>
      </c>
      <c r="F6012" t="s">
        <v>120</v>
      </c>
      <c r="G6012" t="s">
        <v>103</v>
      </c>
    </row>
    <row r="6013" spans="1:7" x14ac:dyDescent="0.3">
      <c r="A6013" t="s">
        <v>29</v>
      </c>
      <c r="B6013" t="s">
        <v>846</v>
      </c>
      <c r="C6013">
        <v>88</v>
      </c>
      <c r="D6013" t="s">
        <v>793</v>
      </c>
      <c r="E6013" t="s">
        <v>1043</v>
      </c>
      <c r="F6013" t="s">
        <v>103</v>
      </c>
      <c r="G6013" t="s">
        <v>103</v>
      </c>
    </row>
    <row r="6014" spans="1:7" x14ac:dyDescent="0.3">
      <c r="A6014" t="s">
        <v>29</v>
      </c>
      <c r="B6014" t="s">
        <v>2179</v>
      </c>
      <c r="C6014">
        <v>63</v>
      </c>
      <c r="D6014" t="s">
        <v>1462</v>
      </c>
      <c r="E6014" t="s">
        <v>373</v>
      </c>
      <c r="F6014" t="s">
        <v>103</v>
      </c>
      <c r="G6014" t="s">
        <v>103</v>
      </c>
    </row>
    <row r="6015" spans="1:7" x14ac:dyDescent="0.3">
      <c r="A6015" t="s">
        <v>29</v>
      </c>
      <c r="B6015" t="s">
        <v>2180</v>
      </c>
      <c r="C6015">
        <v>39</v>
      </c>
      <c r="D6015" t="s">
        <v>416</v>
      </c>
      <c r="E6015" t="s">
        <v>415</v>
      </c>
      <c r="F6015" t="s">
        <v>103</v>
      </c>
      <c r="G6015" t="s">
        <v>103</v>
      </c>
    </row>
    <row r="6016" spans="1:7" x14ac:dyDescent="0.3">
      <c r="A6016" t="s">
        <v>29</v>
      </c>
      <c r="B6016" t="s">
        <v>2181</v>
      </c>
      <c r="C6016">
        <v>31</v>
      </c>
      <c r="D6016" t="s">
        <v>1456</v>
      </c>
      <c r="E6016" t="s">
        <v>555</v>
      </c>
      <c r="F6016" t="s">
        <v>103</v>
      </c>
      <c r="G6016" t="s">
        <v>103</v>
      </c>
    </row>
    <row r="6017" spans="1:7" x14ac:dyDescent="0.3">
      <c r="A6017" t="s">
        <v>29</v>
      </c>
      <c r="B6017" t="s">
        <v>2182</v>
      </c>
      <c r="C6017">
        <v>122</v>
      </c>
      <c r="D6017" t="s">
        <v>430</v>
      </c>
      <c r="E6017" t="s">
        <v>96</v>
      </c>
      <c r="F6017" t="s">
        <v>103</v>
      </c>
      <c r="G6017" t="s">
        <v>97</v>
      </c>
    </row>
    <row r="6018" spans="1:7" x14ac:dyDescent="0.3">
      <c r="A6018" t="s">
        <v>29</v>
      </c>
      <c r="B6018" t="s">
        <v>2183</v>
      </c>
      <c r="C6018">
        <v>76</v>
      </c>
      <c r="D6018" t="s">
        <v>659</v>
      </c>
      <c r="E6018" t="s">
        <v>1390</v>
      </c>
      <c r="F6018" t="s">
        <v>103</v>
      </c>
      <c r="G6018" t="s">
        <v>103</v>
      </c>
    </row>
    <row r="6019" spans="1:7" x14ac:dyDescent="0.3">
      <c r="A6019" t="s">
        <v>29</v>
      </c>
      <c r="B6019" t="s">
        <v>2184</v>
      </c>
      <c r="C6019">
        <v>55</v>
      </c>
      <c r="D6019" t="s">
        <v>1043</v>
      </c>
      <c r="E6019" t="s">
        <v>793</v>
      </c>
      <c r="F6019" t="s">
        <v>103</v>
      </c>
      <c r="G6019" t="s">
        <v>103</v>
      </c>
    </row>
    <row r="6020" spans="1:7" x14ac:dyDescent="0.3">
      <c r="A6020" t="s">
        <v>29</v>
      </c>
      <c r="B6020" t="s">
        <v>308</v>
      </c>
      <c r="C6020">
        <v>1</v>
      </c>
      <c r="D6020" t="s">
        <v>192</v>
      </c>
      <c r="E6020" t="s">
        <v>103</v>
      </c>
      <c r="F6020" t="s">
        <v>103</v>
      </c>
      <c r="G6020" t="s">
        <v>103</v>
      </c>
    </row>
    <row r="6021" spans="1:7" s="3" customFormat="1" x14ac:dyDescent="0.3">
      <c r="A6021" s="3" t="s">
        <v>28</v>
      </c>
      <c r="B6021" s="3" t="s">
        <v>844</v>
      </c>
      <c r="C6021" s="3">
        <v>28</v>
      </c>
      <c r="D6021" s="3" t="s">
        <v>1064</v>
      </c>
      <c r="E6021" s="3" t="s">
        <v>627</v>
      </c>
      <c r="F6021" s="3" t="s">
        <v>103</v>
      </c>
      <c r="G6021" s="3" t="s">
        <v>103</v>
      </c>
    </row>
    <row r="6022" spans="1:7" s="3" customFormat="1" x14ac:dyDescent="0.3">
      <c r="A6022" s="3" t="s">
        <v>28</v>
      </c>
      <c r="B6022" s="3" t="s">
        <v>2173</v>
      </c>
      <c r="C6022" s="3">
        <v>23</v>
      </c>
      <c r="D6022" s="3" t="s">
        <v>1222</v>
      </c>
      <c r="E6022" s="3" t="s">
        <v>674</v>
      </c>
      <c r="F6022" s="3" t="s">
        <v>103</v>
      </c>
      <c r="G6022" s="3" t="s">
        <v>103</v>
      </c>
    </row>
    <row r="6023" spans="1:7" s="3" customFormat="1" x14ac:dyDescent="0.3">
      <c r="A6023" s="3" t="s">
        <v>28</v>
      </c>
      <c r="B6023" s="3" t="s">
        <v>2174</v>
      </c>
      <c r="C6023" s="3">
        <v>22</v>
      </c>
      <c r="D6023" s="3" t="s">
        <v>1305</v>
      </c>
      <c r="E6023" s="3" t="s">
        <v>789</v>
      </c>
      <c r="F6023" s="3" t="s">
        <v>103</v>
      </c>
      <c r="G6023" s="3" t="s">
        <v>103</v>
      </c>
    </row>
    <row r="6024" spans="1:7" s="3" customFormat="1" x14ac:dyDescent="0.3">
      <c r="A6024" s="3" t="s">
        <v>28</v>
      </c>
      <c r="B6024" s="3" t="s">
        <v>2175</v>
      </c>
      <c r="C6024" s="3">
        <v>22</v>
      </c>
      <c r="D6024" s="3" t="s">
        <v>410</v>
      </c>
      <c r="E6024" s="3" t="s">
        <v>411</v>
      </c>
      <c r="F6024" s="3" t="s">
        <v>103</v>
      </c>
      <c r="G6024" s="3" t="s">
        <v>103</v>
      </c>
    </row>
    <row r="6025" spans="1:7" x14ac:dyDescent="0.3">
      <c r="A6025" t="s">
        <v>28</v>
      </c>
      <c r="B6025" t="s">
        <v>2176</v>
      </c>
      <c r="C6025">
        <v>100</v>
      </c>
      <c r="D6025" t="s">
        <v>835</v>
      </c>
      <c r="E6025" t="s">
        <v>530</v>
      </c>
      <c r="F6025" t="s">
        <v>95</v>
      </c>
      <c r="G6025" t="s">
        <v>139</v>
      </c>
    </row>
    <row r="6026" spans="1:7" x14ac:dyDescent="0.3">
      <c r="A6026" t="s">
        <v>28</v>
      </c>
      <c r="B6026" t="s">
        <v>2177</v>
      </c>
      <c r="C6026">
        <v>85</v>
      </c>
      <c r="D6026" t="s">
        <v>225</v>
      </c>
      <c r="E6026" t="s">
        <v>225</v>
      </c>
      <c r="F6026" t="s">
        <v>139</v>
      </c>
      <c r="G6026" t="s">
        <v>103</v>
      </c>
    </row>
    <row r="6027" spans="1:7" x14ac:dyDescent="0.3">
      <c r="A6027" t="s">
        <v>28</v>
      </c>
      <c r="B6027" t="s">
        <v>2178</v>
      </c>
      <c r="C6027">
        <v>83</v>
      </c>
      <c r="D6027" t="s">
        <v>893</v>
      </c>
      <c r="E6027" t="s">
        <v>892</v>
      </c>
      <c r="F6027" t="s">
        <v>103</v>
      </c>
      <c r="G6027" t="s">
        <v>103</v>
      </c>
    </row>
    <row r="6028" spans="1:7" x14ac:dyDescent="0.3">
      <c r="A6028" t="s">
        <v>28</v>
      </c>
      <c r="B6028" t="s">
        <v>846</v>
      </c>
      <c r="C6028">
        <v>32</v>
      </c>
      <c r="D6028" t="s">
        <v>1031</v>
      </c>
      <c r="E6028" t="s">
        <v>1008</v>
      </c>
      <c r="F6028" t="s">
        <v>103</v>
      </c>
      <c r="G6028" t="s">
        <v>103</v>
      </c>
    </row>
    <row r="6029" spans="1:7" s="3" customFormat="1" x14ac:dyDescent="0.3">
      <c r="A6029" s="3" t="s">
        <v>28</v>
      </c>
      <c r="B6029" s="3" t="s">
        <v>2179</v>
      </c>
      <c r="C6029" s="3">
        <v>30</v>
      </c>
      <c r="D6029" s="3" t="s">
        <v>439</v>
      </c>
      <c r="E6029" s="3" t="s">
        <v>938</v>
      </c>
      <c r="F6029" s="3" t="s">
        <v>103</v>
      </c>
      <c r="G6029" s="3" t="s">
        <v>103</v>
      </c>
    </row>
    <row r="6030" spans="1:7" s="3" customFormat="1" x14ac:dyDescent="0.3">
      <c r="A6030" s="3" t="s">
        <v>28</v>
      </c>
      <c r="B6030" s="3" t="s">
        <v>2180</v>
      </c>
      <c r="C6030" s="3">
        <v>11</v>
      </c>
      <c r="D6030" s="3" t="s">
        <v>465</v>
      </c>
      <c r="E6030" s="3" t="s">
        <v>982</v>
      </c>
      <c r="F6030" s="3" t="s">
        <v>103</v>
      </c>
      <c r="G6030" s="3" t="s">
        <v>103</v>
      </c>
    </row>
    <row r="6031" spans="1:7" s="3" customFormat="1" x14ac:dyDescent="0.3">
      <c r="A6031" s="3" t="s">
        <v>28</v>
      </c>
      <c r="B6031" s="3" t="s">
        <v>2181</v>
      </c>
      <c r="C6031" s="3">
        <v>30</v>
      </c>
      <c r="D6031" s="3" t="s">
        <v>243</v>
      </c>
      <c r="E6031" s="3" t="s">
        <v>578</v>
      </c>
      <c r="F6031" s="3" t="s">
        <v>103</v>
      </c>
      <c r="G6031" s="3" t="s">
        <v>103</v>
      </c>
    </row>
    <row r="6032" spans="1:7" x14ac:dyDescent="0.3">
      <c r="A6032" t="s">
        <v>28</v>
      </c>
      <c r="B6032" t="s">
        <v>2182</v>
      </c>
      <c r="C6032">
        <v>63</v>
      </c>
      <c r="D6032" t="s">
        <v>229</v>
      </c>
      <c r="E6032" t="s">
        <v>1011</v>
      </c>
      <c r="F6032" t="s">
        <v>103</v>
      </c>
      <c r="G6032" t="s">
        <v>103</v>
      </c>
    </row>
    <row r="6033" spans="1:7" x14ac:dyDescent="0.3">
      <c r="A6033" t="s">
        <v>28</v>
      </c>
      <c r="B6033" t="s">
        <v>2183</v>
      </c>
      <c r="C6033">
        <v>49</v>
      </c>
      <c r="D6033" t="s">
        <v>1180</v>
      </c>
      <c r="E6033" t="s">
        <v>529</v>
      </c>
      <c r="F6033" t="s">
        <v>103</v>
      </c>
      <c r="G6033" t="s">
        <v>103</v>
      </c>
    </row>
    <row r="6034" spans="1:7" s="3" customFormat="1" x14ac:dyDescent="0.3">
      <c r="A6034" s="3" t="s">
        <v>28</v>
      </c>
      <c r="B6034" s="3" t="s">
        <v>2184</v>
      </c>
      <c r="C6034" s="3">
        <v>27</v>
      </c>
      <c r="D6034" s="3" t="s">
        <v>1394</v>
      </c>
      <c r="E6034" s="3" t="s">
        <v>1210</v>
      </c>
      <c r="F6034" s="3" t="s">
        <v>103</v>
      </c>
      <c r="G6034" s="3" t="s">
        <v>103</v>
      </c>
    </row>
    <row r="6035" spans="1:7" s="3" customFormat="1" x14ac:dyDescent="0.3">
      <c r="A6035" s="3" t="s">
        <v>27</v>
      </c>
      <c r="B6035" s="3" t="s">
        <v>844</v>
      </c>
      <c r="C6035" s="3">
        <v>21</v>
      </c>
      <c r="D6035" s="3" t="s">
        <v>1305</v>
      </c>
      <c r="E6035" s="3" t="s">
        <v>789</v>
      </c>
      <c r="F6035" s="3" t="s">
        <v>103</v>
      </c>
      <c r="G6035" s="3" t="s">
        <v>103</v>
      </c>
    </row>
    <row r="6036" spans="1:7" s="3" customFormat="1" x14ac:dyDescent="0.3">
      <c r="A6036" s="3" t="s">
        <v>27</v>
      </c>
      <c r="B6036" s="3" t="s">
        <v>2173</v>
      </c>
      <c r="C6036" s="3">
        <v>18</v>
      </c>
      <c r="D6036" s="3" t="s">
        <v>810</v>
      </c>
      <c r="E6036" s="3" t="s">
        <v>538</v>
      </c>
      <c r="F6036" s="3" t="s">
        <v>103</v>
      </c>
      <c r="G6036" s="3" t="s">
        <v>103</v>
      </c>
    </row>
    <row r="6037" spans="1:7" s="3" customFormat="1" x14ac:dyDescent="0.3">
      <c r="A6037" s="3" t="s">
        <v>27</v>
      </c>
      <c r="B6037" s="3" t="s">
        <v>2174</v>
      </c>
      <c r="C6037" s="3">
        <v>10</v>
      </c>
      <c r="D6037" s="3" t="s">
        <v>385</v>
      </c>
      <c r="E6037" s="3" t="s">
        <v>384</v>
      </c>
      <c r="F6037" s="3" t="s">
        <v>103</v>
      </c>
      <c r="G6037" s="3" t="s">
        <v>103</v>
      </c>
    </row>
    <row r="6038" spans="1:7" s="3" customFormat="1" x14ac:dyDescent="0.3">
      <c r="A6038" s="3" t="s">
        <v>27</v>
      </c>
      <c r="B6038" s="3" t="s">
        <v>2175</v>
      </c>
      <c r="C6038" s="3">
        <v>15</v>
      </c>
      <c r="D6038" s="3" t="s">
        <v>1581</v>
      </c>
      <c r="E6038" s="3" t="s">
        <v>1204</v>
      </c>
      <c r="F6038" s="3" t="s">
        <v>103</v>
      </c>
      <c r="G6038" s="3" t="s">
        <v>103</v>
      </c>
    </row>
    <row r="6039" spans="1:7" x14ac:dyDescent="0.3">
      <c r="A6039" t="s">
        <v>27</v>
      </c>
      <c r="B6039" t="s">
        <v>2176</v>
      </c>
      <c r="C6039">
        <v>88</v>
      </c>
      <c r="D6039" t="s">
        <v>1375</v>
      </c>
      <c r="E6039" t="s">
        <v>1224</v>
      </c>
      <c r="F6039" t="s">
        <v>103</v>
      </c>
      <c r="G6039" t="s">
        <v>103</v>
      </c>
    </row>
    <row r="6040" spans="1:7" x14ac:dyDescent="0.3">
      <c r="A6040" t="s">
        <v>27</v>
      </c>
      <c r="B6040" t="s">
        <v>2177</v>
      </c>
      <c r="C6040">
        <v>77</v>
      </c>
      <c r="D6040" t="s">
        <v>436</v>
      </c>
      <c r="E6040" t="s">
        <v>1329</v>
      </c>
      <c r="F6040" t="s">
        <v>103</v>
      </c>
      <c r="G6040" t="s">
        <v>103</v>
      </c>
    </row>
    <row r="6041" spans="1:7" x14ac:dyDescent="0.3">
      <c r="A6041" t="s">
        <v>27</v>
      </c>
      <c r="B6041" t="s">
        <v>2178</v>
      </c>
      <c r="C6041">
        <v>124</v>
      </c>
      <c r="D6041" t="s">
        <v>52</v>
      </c>
      <c r="E6041" t="s">
        <v>51</v>
      </c>
      <c r="F6041" t="s">
        <v>103</v>
      </c>
      <c r="G6041" t="s">
        <v>103</v>
      </c>
    </row>
    <row r="6042" spans="1:7" s="3" customFormat="1" x14ac:dyDescent="0.3">
      <c r="A6042" s="3" t="s">
        <v>27</v>
      </c>
      <c r="B6042" s="3" t="s">
        <v>846</v>
      </c>
      <c r="C6042" s="3">
        <v>28</v>
      </c>
      <c r="D6042" s="3" t="s">
        <v>1049</v>
      </c>
      <c r="E6042" s="3" t="s">
        <v>431</v>
      </c>
      <c r="F6042" s="3" t="s">
        <v>103</v>
      </c>
      <c r="G6042" s="3" t="s">
        <v>103</v>
      </c>
    </row>
    <row r="6043" spans="1:7" s="3" customFormat="1" x14ac:dyDescent="0.3">
      <c r="A6043" s="3" t="s">
        <v>27</v>
      </c>
      <c r="B6043" s="3" t="s">
        <v>2179</v>
      </c>
      <c r="C6043" s="3">
        <v>17</v>
      </c>
      <c r="D6043" s="3" t="s">
        <v>1136</v>
      </c>
      <c r="E6043" s="3" t="s">
        <v>684</v>
      </c>
      <c r="F6043" s="3" t="s">
        <v>103</v>
      </c>
      <c r="G6043" s="3" t="s">
        <v>103</v>
      </c>
    </row>
    <row r="6044" spans="1:7" s="3" customFormat="1" x14ac:dyDescent="0.3">
      <c r="A6044" s="3" t="s">
        <v>27</v>
      </c>
      <c r="B6044" s="3" t="s">
        <v>2180</v>
      </c>
      <c r="C6044" s="3">
        <v>10</v>
      </c>
      <c r="D6044" s="3" t="s">
        <v>1006</v>
      </c>
      <c r="E6044" s="3" t="s">
        <v>1089</v>
      </c>
      <c r="F6044" s="3" t="s">
        <v>103</v>
      </c>
      <c r="G6044" s="3" t="s">
        <v>103</v>
      </c>
    </row>
    <row r="6045" spans="1:7" s="3" customFormat="1" x14ac:dyDescent="0.3">
      <c r="A6045" s="3" t="s">
        <v>27</v>
      </c>
      <c r="B6045" s="3" t="s">
        <v>2181</v>
      </c>
      <c r="C6045" s="3">
        <v>19</v>
      </c>
      <c r="D6045" s="3" t="s">
        <v>215</v>
      </c>
      <c r="E6045" s="3" t="s">
        <v>104</v>
      </c>
      <c r="F6045" s="3" t="s">
        <v>103</v>
      </c>
      <c r="G6045" s="3" t="s">
        <v>103</v>
      </c>
    </row>
    <row r="6046" spans="1:7" x14ac:dyDescent="0.3">
      <c r="A6046" t="s">
        <v>27</v>
      </c>
      <c r="B6046" t="s">
        <v>2182</v>
      </c>
      <c r="C6046">
        <v>53</v>
      </c>
      <c r="D6046" t="s">
        <v>808</v>
      </c>
      <c r="E6046" t="s">
        <v>1203</v>
      </c>
      <c r="F6046" t="s">
        <v>103</v>
      </c>
      <c r="G6046" t="s">
        <v>103</v>
      </c>
    </row>
    <row r="6047" spans="1:7" x14ac:dyDescent="0.3">
      <c r="A6047" t="s">
        <v>27</v>
      </c>
      <c r="B6047" t="s">
        <v>2183</v>
      </c>
      <c r="C6047">
        <v>43</v>
      </c>
      <c r="D6047" t="s">
        <v>414</v>
      </c>
      <c r="E6047" t="s">
        <v>413</v>
      </c>
      <c r="F6047" t="s">
        <v>103</v>
      </c>
      <c r="G6047" t="s">
        <v>103</v>
      </c>
    </row>
    <row r="6048" spans="1:7" x14ac:dyDescent="0.3">
      <c r="A6048" t="s">
        <v>27</v>
      </c>
      <c r="B6048" t="s">
        <v>2184</v>
      </c>
      <c r="C6048">
        <v>49</v>
      </c>
      <c r="D6048" t="s">
        <v>557</v>
      </c>
      <c r="E6048" t="s">
        <v>1316</v>
      </c>
      <c r="F6048" t="s">
        <v>103</v>
      </c>
      <c r="G6048" t="s">
        <v>103</v>
      </c>
    </row>
    <row r="6049" spans="1:7" x14ac:dyDescent="0.3">
      <c r="A6049" t="s">
        <v>41</v>
      </c>
      <c r="B6049" t="s">
        <v>844</v>
      </c>
      <c r="C6049">
        <v>208</v>
      </c>
      <c r="D6049" t="s">
        <v>356</v>
      </c>
      <c r="E6049" t="s">
        <v>458</v>
      </c>
      <c r="F6049" t="s">
        <v>103</v>
      </c>
      <c r="G6049" t="s">
        <v>103</v>
      </c>
    </row>
    <row r="6050" spans="1:7" x14ac:dyDescent="0.3">
      <c r="A6050" t="s">
        <v>41</v>
      </c>
      <c r="B6050" t="s">
        <v>2173</v>
      </c>
      <c r="C6050">
        <v>245</v>
      </c>
      <c r="D6050" t="s">
        <v>487</v>
      </c>
      <c r="E6050" t="s">
        <v>1236</v>
      </c>
      <c r="F6050" t="s">
        <v>103</v>
      </c>
      <c r="G6050" t="s">
        <v>103</v>
      </c>
    </row>
    <row r="6051" spans="1:7" x14ac:dyDescent="0.3">
      <c r="A6051" t="s">
        <v>41</v>
      </c>
      <c r="B6051" t="s">
        <v>2174</v>
      </c>
      <c r="C6051">
        <v>133</v>
      </c>
      <c r="D6051" t="s">
        <v>729</v>
      </c>
      <c r="E6051" t="s">
        <v>730</v>
      </c>
      <c r="F6051" t="s">
        <v>103</v>
      </c>
      <c r="G6051" t="s">
        <v>103</v>
      </c>
    </row>
    <row r="6052" spans="1:7" x14ac:dyDescent="0.3">
      <c r="A6052" t="s">
        <v>41</v>
      </c>
      <c r="B6052" t="s">
        <v>2175</v>
      </c>
      <c r="C6052">
        <v>124</v>
      </c>
      <c r="D6052" t="s">
        <v>2103</v>
      </c>
      <c r="E6052" t="s">
        <v>635</v>
      </c>
      <c r="F6052" t="s">
        <v>103</v>
      </c>
      <c r="G6052" t="s">
        <v>103</v>
      </c>
    </row>
    <row r="6053" spans="1:7" x14ac:dyDescent="0.3">
      <c r="A6053" t="s">
        <v>41</v>
      </c>
      <c r="B6053" t="s">
        <v>2176</v>
      </c>
      <c r="C6053">
        <v>850</v>
      </c>
      <c r="D6053" t="s">
        <v>942</v>
      </c>
      <c r="E6053" t="s">
        <v>496</v>
      </c>
      <c r="F6053" t="s">
        <v>103</v>
      </c>
      <c r="G6053" t="s">
        <v>103</v>
      </c>
    </row>
    <row r="6054" spans="1:7" x14ac:dyDescent="0.3">
      <c r="A6054" t="s">
        <v>41</v>
      </c>
      <c r="B6054" t="s">
        <v>2177</v>
      </c>
      <c r="C6054">
        <v>607</v>
      </c>
      <c r="D6054" t="s">
        <v>396</v>
      </c>
      <c r="E6054" t="s">
        <v>1209</v>
      </c>
      <c r="F6054" t="s">
        <v>103</v>
      </c>
      <c r="G6054" t="s">
        <v>103</v>
      </c>
    </row>
    <row r="6055" spans="1:7" x14ac:dyDescent="0.3">
      <c r="A6055" t="s">
        <v>41</v>
      </c>
      <c r="B6055" t="s">
        <v>2178</v>
      </c>
      <c r="C6055">
        <v>667</v>
      </c>
      <c r="D6055" t="s">
        <v>619</v>
      </c>
      <c r="E6055" t="s">
        <v>892</v>
      </c>
      <c r="F6055" t="s">
        <v>97</v>
      </c>
      <c r="G6055" t="s">
        <v>103</v>
      </c>
    </row>
    <row r="6056" spans="1:7" x14ac:dyDescent="0.3">
      <c r="A6056" t="s">
        <v>41</v>
      </c>
      <c r="B6056" t="s">
        <v>846</v>
      </c>
      <c r="C6056">
        <v>253</v>
      </c>
      <c r="D6056" t="s">
        <v>1379</v>
      </c>
      <c r="E6056" t="s">
        <v>643</v>
      </c>
      <c r="F6056" t="s">
        <v>120</v>
      </c>
      <c r="G6056" t="s">
        <v>103</v>
      </c>
    </row>
    <row r="6057" spans="1:7" x14ac:dyDescent="0.3">
      <c r="A6057" t="s">
        <v>41</v>
      </c>
      <c r="B6057" t="s">
        <v>2179</v>
      </c>
      <c r="C6057">
        <v>207</v>
      </c>
      <c r="D6057" t="s">
        <v>1064</v>
      </c>
      <c r="E6057" t="s">
        <v>627</v>
      </c>
      <c r="F6057" t="s">
        <v>103</v>
      </c>
      <c r="G6057" t="s">
        <v>103</v>
      </c>
    </row>
    <row r="6058" spans="1:7" x14ac:dyDescent="0.3">
      <c r="A6058" t="s">
        <v>41</v>
      </c>
      <c r="B6058" t="s">
        <v>2180</v>
      </c>
      <c r="C6058">
        <v>109</v>
      </c>
      <c r="D6058" t="s">
        <v>1015</v>
      </c>
      <c r="E6058" t="s">
        <v>1676</v>
      </c>
      <c r="F6058" t="s">
        <v>103</v>
      </c>
      <c r="G6058" t="s">
        <v>103</v>
      </c>
    </row>
    <row r="6059" spans="1:7" x14ac:dyDescent="0.3">
      <c r="A6059" t="s">
        <v>41</v>
      </c>
      <c r="B6059" t="s">
        <v>2181</v>
      </c>
      <c r="C6059">
        <v>148</v>
      </c>
      <c r="D6059" t="s">
        <v>1171</v>
      </c>
      <c r="E6059" t="s">
        <v>927</v>
      </c>
      <c r="F6059" t="s">
        <v>468</v>
      </c>
      <c r="G6059" t="s">
        <v>103</v>
      </c>
    </row>
    <row r="6060" spans="1:7" x14ac:dyDescent="0.3">
      <c r="A6060" t="s">
        <v>41</v>
      </c>
      <c r="B6060" t="s">
        <v>2182</v>
      </c>
      <c r="C6060">
        <v>476</v>
      </c>
      <c r="D6060" t="s">
        <v>351</v>
      </c>
      <c r="E6060" t="s">
        <v>499</v>
      </c>
      <c r="F6060" t="s">
        <v>97</v>
      </c>
      <c r="G6060" t="s">
        <v>66</v>
      </c>
    </row>
    <row r="6061" spans="1:7" x14ac:dyDescent="0.3">
      <c r="A6061" t="s">
        <v>41</v>
      </c>
      <c r="B6061" t="s">
        <v>2183</v>
      </c>
      <c r="C6061">
        <v>323</v>
      </c>
      <c r="D6061" t="s">
        <v>2010</v>
      </c>
      <c r="E6061" t="s">
        <v>1555</v>
      </c>
      <c r="F6061" t="s">
        <v>103</v>
      </c>
      <c r="G6061" t="s">
        <v>103</v>
      </c>
    </row>
    <row r="6062" spans="1:7" x14ac:dyDescent="0.3">
      <c r="A6062" t="s">
        <v>41</v>
      </c>
      <c r="B6062" t="s">
        <v>2184</v>
      </c>
      <c r="C6062">
        <v>236</v>
      </c>
      <c r="D6062" t="s">
        <v>1637</v>
      </c>
      <c r="E6062" t="s">
        <v>395</v>
      </c>
      <c r="F6062" t="s">
        <v>103</v>
      </c>
      <c r="G6062" t="s">
        <v>103</v>
      </c>
    </row>
    <row r="6063" spans="1:7" x14ac:dyDescent="0.3">
      <c r="A6063" t="s">
        <v>41</v>
      </c>
      <c r="B6063" t="s">
        <v>308</v>
      </c>
      <c r="C6063">
        <v>1</v>
      </c>
      <c r="D6063" t="s">
        <v>192</v>
      </c>
      <c r="E6063" t="s">
        <v>103</v>
      </c>
      <c r="F6063" t="s">
        <v>103</v>
      </c>
      <c r="G6063" t="s">
        <v>103</v>
      </c>
    </row>
    <row r="6065" spans="1:7" x14ac:dyDescent="0.3">
      <c r="A6065" t="s">
        <v>2186</v>
      </c>
    </row>
    <row r="6066" spans="1:7" x14ac:dyDescent="0.3">
      <c r="A6066" t="s">
        <v>36</v>
      </c>
      <c r="B6066" t="s">
        <v>2187</v>
      </c>
      <c r="C6066" t="s">
        <v>24</v>
      </c>
      <c r="D6066" t="s">
        <v>58</v>
      </c>
      <c r="E6066" t="s">
        <v>181</v>
      </c>
      <c r="F6066" t="s">
        <v>59</v>
      </c>
      <c r="G6066" t="s">
        <v>348</v>
      </c>
    </row>
    <row r="6067" spans="1:7" x14ac:dyDescent="0.3">
      <c r="A6067" t="s">
        <v>25</v>
      </c>
      <c r="B6067" t="s">
        <v>2188</v>
      </c>
      <c r="C6067">
        <v>187</v>
      </c>
      <c r="D6067" t="s">
        <v>1082</v>
      </c>
      <c r="E6067" t="s">
        <v>216</v>
      </c>
      <c r="F6067" t="s">
        <v>1373</v>
      </c>
      <c r="G6067" t="s">
        <v>103</v>
      </c>
    </row>
    <row r="6068" spans="1:7" x14ac:dyDescent="0.3">
      <c r="A6068" t="s">
        <v>25</v>
      </c>
      <c r="B6068" t="s">
        <v>2189</v>
      </c>
      <c r="C6068">
        <v>736</v>
      </c>
      <c r="D6068" t="s">
        <v>368</v>
      </c>
      <c r="E6068" t="s">
        <v>120</v>
      </c>
      <c r="F6068" t="s">
        <v>500</v>
      </c>
      <c r="G6068" t="s">
        <v>103</v>
      </c>
    </row>
    <row r="6069" spans="1:7" x14ac:dyDescent="0.3">
      <c r="A6069" t="s">
        <v>25</v>
      </c>
      <c r="B6069" t="s">
        <v>308</v>
      </c>
      <c r="C6069">
        <v>40</v>
      </c>
      <c r="D6069" t="s">
        <v>626</v>
      </c>
      <c r="E6069" t="s">
        <v>103</v>
      </c>
      <c r="F6069" t="s">
        <v>785</v>
      </c>
      <c r="G6069" t="s">
        <v>103</v>
      </c>
    </row>
    <row r="6070" spans="1:7" x14ac:dyDescent="0.3">
      <c r="A6070" t="s">
        <v>26</v>
      </c>
      <c r="B6070" t="s">
        <v>2188</v>
      </c>
      <c r="C6070">
        <v>130</v>
      </c>
      <c r="D6070" t="s">
        <v>893</v>
      </c>
      <c r="E6070" t="s">
        <v>103</v>
      </c>
      <c r="F6070" t="s">
        <v>892</v>
      </c>
      <c r="G6070" t="s">
        <v>103</v>
      </c>
    </row>
    <row r="6071" spans="1:7" x14ac:dyDescent="0.3">
      <c r="A6071" t="s">
        <v>26</v>
      </c>
      <c r="B6071" t="s">
        <v>2189</v>
      </c>
      <c r="C6071">
        <v>941</v>
      </c>
      <c r="D6071" t="s">
        <v>229</v>
      </c>
      <c r="E6071" t="s">
        <v>103</v>
      </c>
      <c r="F6071" t="s">
        <v>1011</v>
      </c>
      <c r="G6071" t="s">
        <v>103</v>
      </c>
    </row>
    <row r="6072" spans="1:7" x14ac:dyDescent="0.3">
      <c r="A6072" t="s">
        <v>26</v>
      </c>
      <c r="B6072" t="s">
        <v>308</v>
      </c>
      <c r="C6072">
        <v>47</v>
      </c>
      <c r="D6072" t="s">
        <v>1054</v>
      </c>
      <c r="E6072" t="s">
        <v>103</v>
      </c>
      <c r="F6072" t="s">
        <v>1053</v>
      </c>
      <c r="G6072" t="s">
        <v>103</v>
      </c>
    </row>
    <row r="6073" spans="1:7" x14ac:dyDescent="0.3">
      <c r="A6073" t="s">
        <v>29</v>
      </c>
      <c r="B6073" t="s">
        <v>2188</v>
      </c>
      <c r="C6073">
        <v>242</v>
      </c>
      <c r="D6073" t="s">
        <v>688</v>
      </c>
      <c r="E6073" t="s">
        <v>103</v>
      </c>
      <c r="F6073" t="s">
        <v>1259</v>
      </c>
      <c r="G6073" t="s">
        <v>103</v>
      </c>
    </row>
    <row r="6074" spans="1:7" x14ac:dyDescent="0.3">
      <c r="A6074" t="s">
        <v>29</v>
      </c>
      <c r="B6074" t="s">
        <v>2189</v>
      </c>
      <c r="C6074">
        <v>1007</v>
      </c>
      <c r="D6074" t="s">
        <v>400</v>
      </c>
      <c r="E6074" t="s">
        <v>91</v>
      </c>
      <c r="F6074" t="s">
        <v>436</v>
      </c>
      <c r="G6074" t="s">
        <v>91</v>
      </c>
    </row>
    <row r="6075" spans="1:7" x14ac:dyDescent="0.3">
      <c r="A6075" t="s">
        <v>29</v>
      </c>
      <c r="B6075" t="s">
        <v>308</v>
      </c>
      <c r="C6075">
        <v>80</v>
      </c>
      <c r="D6075" t="s">
        <v>464</v>
      </c>
      <c r="E6075" t="s">
        <v>103</v>
      </c>
      <c r="F6075" t="s">
        <v>1044</v>
      </c>
      <c r="G6075" t="s">
        <v>103</v>
      </c>
    </row>
    <row r="6076" spans="1:7" x14ac:dyDescent="0.3">
      <c r="A6076" t="s">
        <v>28</v>
      </c>
      <c r="B6076" t="s">
        <v>2188</v>
      </c>
      <c r="C6076">
        <v>127</v>
      </c>
      <c r="D6076" t="s">
        <v>1204</v>
      </c>
      <c r="E6076" t="s">
        <v>103</v>
      </c>
      <c r="F6076" t="s">
        <v>1581</v>
      </c>
      <c r="G6076" t="s">
        <v>103</v>
      </c>
    </row>
    <row r="6077" spans="1:7" x14ac:dyDescent="0.3">
      <c r="A6077" t="s">
        <v>28</v>
      </c>
      <c r="B6077" t="s">
        <v>2189</v>
      </c>
      <c r="C6077">
        <v>425</v>
      </c>
      <c r="D6077" t="s">
        <v>831</v>
      </c>
      <c r="E6077" t="s">
        <v>103</v>
      </c>
      <c r="F6077" t="s">
        <v>529</v>
      </c>
      <c r="G6077" t="s">
        <v>66</v>
      </c>
    </row>
    <row r="6078" spans="1:7" x14ac:dyDescent="0.3">
      <c r="A6078" t="s">
        <v>28</v>
      </c>
      <c r="B6078" t="s">
        <v>308</v>
      </c>
      <c r="C6078">
        <v>53</v>
      </c>
      <c r="D6078" t="s">
        <v>1375</v>
      </c>
      <c r="E6078" t="s">
        <v>64</v>
      </c>
      <c r="F6078" t="s">
        <v>109</v>
      </c>
      <c r="G6078" t="s">
        <v>103</v>
      </c>
    </row>
    <row r="6079" spans="1:7" x14ac:dyDescent="0.3">
      <c r="A6079" t="s">
        <v>27</v>
      </c>
      <c r="B6079" t="s">
        <v>2188</v>
      </c>
      <c r="C6079">
        <v>103</v>
      </c>
      <c r="D6079" t="s">
        <v>519</v>
      </c>
      <c r="E6079" t="s">
        <v>103</v>
      </c>
      <c r="F6079" t="s">
        <v>897</v>
      </c>
      <c r="G6079" t="s">
        <v>103</v>
      </c>
    </row>
    <row r="6080" spans="1:7" x14ac:dyDescent="0.3">
      <c r="A6080" t="s">
        <v>27</v>
      </c>
      <c r="B6080" t="s">
        <v>2189</v>
      </c>
      <c r="C6080">
        <v>438</v>
      </c>
      <c r="D6080" t="s">
        <v>1676</v>
      </c>
      <c r="E6080" t="s">
        <v>103</v>
      </c>
      <c r="F6080" t="s">
        <v>1015</v>
      </c>
      <c r="G6080" t="s">
        <v>103</v>
      </c>
    </row>
    <row r="6081" spans="1:7" x14ac:dyDescent="0.3">
      <c r="A6081" t="s">
        <v>27</v>
      </c>
      <c r="B6081" t="s">
        <v>308</v>
      </c>
      <c r="C6081">
        <v>31</v>
      </c>
      <c r="D6081" t="s">
        <v>942</v>
      </c>
      <c r="E6081" t="s">
        <v>103</v>
      </c>
      <c r="F6081" t="s">
        <v>496</v>
      </c>
      <c r="G6081" t="s">
        <v>103</v>
      </c>
    </row>
    <row r="6082" spans="1:7" x14ac:dyDescent="0.3">
      <c r="A6082" t="s">
        <v>41</v>
      </c>
      <c r="B6082" t="s">
        <v>2188</v>
      </c>
      <c r="C6082">
        <v>789</v>
      </c>
      <c r="D6082" t="s">
        <v>1008</v>
      </c>
      <c r="E6082" t="s">
        <v>116</v>
      </c>
      <c r="F6082" t="s">
        <v>944</v>
      </c>
      <c r="G6082" t="s">
        <v>103</v>
      </c>
    </row>
    <row r="6083" spans="1:7" x14ac:dyDescent="0.3">
      <c r="A6083" t="s">
        <v>41</v>
      </c>
      <c r="B6083" t="s">
        <v>2189</v>
      </c>
      <c r="C6083">
        <v>3547</v>
      </c>
      <c r="D6083" t="s">
        <v>1418</v>
      </c>
      <c r="E6083" t="s">
        <v>66</v>
      </c>
      <c r="F6083" t="s">
        <v>694</v>
      </c>
      <c r="G6083" t="s">
        <v>103</v>
      </c>
    </row>
    <row r="6084" spans="1:7" x14ac:dyDescent="0.3">
      <c r="A6084" t="s">
        <v>41</v>
      </c>
      <c r="B6084" t="s">
        <v>308</v>
      </c>
      <c r="C6084">
        <v>251</v>
      </c>
      <c r="D6084" t="s">
        <v>498</v>
      </c>
      <c r="E6084" t="s">
        <v>91</v>
      </c>
      <c r="F6084" t="s">
        <v>1071</v>
      </c>
      <c r="G6084" t="s">
        <v>103</v>
      </c>
    </row>
    <row r="6086" spans="1:7" x14ac:dyDescent="0.3">
      <c r="A6086" t="s">
        <v>2190</v>
      </c>
    </row>
    <row r="6087" spans="1:7" x14ac:dyDescent="0.3">
      <c r="A6087" t="s">
        <v>36</v>
      </c>
      <c r="B6087" t="s">
        <v>197</v>
      </c>
      <c r="C6087" t="s">
        <v>24</v>
      </c>
      <c r="D6087" t="s">
        <v>58</v>
      </c>
      <c r="E6087" t="s">
        <v>59</v>
      </c>
      <c r="F6087" t="s">
        <v>181</v>
      </c>
      <c r="G6087" t="s">
        <v>348</v>
      </c>
    </row>
    <row r="6088" spans="1:7" x14ac:dyDescent="0.3">
      <c r="A6088" t="s">
        <v>25</v>
      </c>
      <c r="B6088" t="s">
        <v>198</v>
      </c>
      <c r="C6088">
        <v>243</v>
      </c>
      <c r="D6088" t="s">
        <v>233</v>
      </c>
      <c r="E6088" t="s">
        <v>440</v>
      </c>
      <c r="F6088" t="s">
        <v>103</v>
      </c>
      <c r="G6088" t="s">
        <v>103</v>
      </c>
    </row>
    <row r="6089" spans="1:7" x14ac:dyDescent="0.3">
      <c r="A6089" t="s">
        <v>25</v>
      </c>
      <c r="B6089" t="s">
        <v>199</v>
      </c>
      <c r="C6089">
        <v>720</v>
      </c>
      <c r="D6089" t="s">
        <v>1205</v>
      </c>
      <c r="E6089" t="s">
        <v>942</v>
      </c>
      <c r="F6089" t="s">
        <v>282</v>
      </c>
      <c r="G6089" t="s">
        <v>103</v>
      </c>
    </row>
    <row r="6090" spans="1:7" x14ac:dyDescent="0.3">
      <c r="A6090" t="s">
        <v>26</v>
      </c>
      <c r="B6090" t="s">
        <v>198</v>
      </c>
      <c r="C6090">
        <v>86</v>
      </c>
      <c r="D6090" t="s">
        <v>258</v>
      </c>
      <c r="E6090" t="s">
        <v>1041</v>
      </c>
      <c r="F6090" t="s">
        <v>103</v>
      </c>
      <c r="G6090" t="s">
        <v>103</v>
      </c>
    </row>
    <row r="6091" spans="1:7" x14ac:dyDescent="0.3">
      <c r="A6091" t="s">
        <v>26</v>
      </c>
      <c r="B6091" t="s">
        <v>199</v>
      </c>
      <c r="C6091">
        <v>1032</v>
      </c>
      <c r="D6091" t="s">
        <v>430</v>
      </c>
      <c r="E6091" t="s">
        <v>792</v>
      </c>
      <c r="F6091" t="s">
        <v>103</v>
      </c>
      <c r="G6091" t="s">
        <v>103</v>
      </c>
    </row>
    <row r="6092" spans="1:7" x14ac:dyDescent="0.3">
      <c r="A6092" t="s">
        <v>29</v>
      </c>
      <c r="B6092" t="s">
        <v>198</v>
      </c>
      <c r="C6092">
        <v>436</v>
      </c>
      <c r="D6092" t="s">
        <v>943</v>
      </c>
      <c r="E6092" t="s">
        <v>665</v>
      </c>
      <c r="F6092" t="s">
        <v>103</v>
      </c>
      <c r="G6092" t="s">
        <v>66</v>
      </c>
    </row>
    <row r="6093" spans="1:7" x14ac:dyDescent="0.3">
      <c r="A6093" t="s">
        <v>29</v>
      </c>
      <c r="B6093" t="s">
        <v>199</v>
      </c>
      <c r="C6093">
        <v>893</v>
      </c>
      <c r="D6093" t="s">
        <v>943</v>
      </c>
      <c r="E6093" t="s">
        <v>665</v>
      </c>
      <c r="F6093" t="s">
        <v>91</v>
      </c>
      <c r="G6093" t="s">
        <v>103</v>
      </c>
    </row>
    <row r="6094" spans="1:7" x14ac:dyDescent="0.3">
      <c r="A6094" t="s">
        <v>28</v>
      </c>
      <c r="B6094" t="s">
        <v>198</v>
      </c>
      <c r="C6094">
        <v>164</v>
      </c>
      <c r="D6094" t="s">
        <v>417</v>
      </c>
      <c r="E6094" t="s">
        <v>499</v>
      </c>
      <c r="F6094" t="s">
        <v>103</v>
      </c>
      <c r="G6094" t="s">
        <v>103</v>
      </c>
    </row>
    <row r="6095" spans="1:7" x14ac:dyDescent="0.3">
      <c r="A6095" t="s">
        <v>28</v>
      </c>
      <c r="B6095" t="s">
        <v>199</v>
      </c>
      <c r="C6095">
        <v>441</v>
      </c>
      <c r="D6095" t="s">
        <v>1059</v>
      </c>
      <c r="E6095" t="s">
        <v>661</v>
      </c>
      <c r="F6095" t="s">
        <v>116</v>
      </c>
      <c r="G6095" t="s">
        <v>66</v>
      </c>
    </row>
    <row r="6096" spans="1:7" x14ac:dyDescent="0.3">
      <c r="A6096" t="s">
        <v>27</v>
      </c>
      <c r="B6096" t="s">
        <v>198</v>
      </c>
      <c r="C6096">
        <v>271</v>
      </c>
      <c r="D6096" t="s">
        <v>1676</v>
      </c>
      <c r="E6096" t="s">
        <v>1015</v>
      </c>
      <c r="F6096" t="s">
        <v>103</v>
      </c>
      <c r="G6096" t="s">
        <v>103</v>
      </c>
    </row>
    <row r="6097" spans="1:7" x14ac:dyDescent="0.3">
      <c r="A6097" t="s">
        <v>27</v>
      </c>
      <c r="B6097" t="s">
        <v>199</v>
      </c>
      <c r="C6097">
        <v>301</v>
      </c>
      <c r="D6097" t="s">
        <v>436</v>
      </c>
      <c r="E6097" t="s">
        <v>1329</v>
      </c>
      <c r="F6097" t="s">
        <v>103</v>
      </c>
      <c r="G6097" t="s">
        <v>103</v>
      </c>
    </row>
    <row r="6098" spans="1:7" x14ac:dyDescent="0.3">
      <c r="A6098" t="s">
        <v>41</v>
      </c>
      <c r="B6098" t="s">
        <v>198</v>
      </c>
      <c r="C6098">
        <v>1200</v>
      </c>
      <c r="D6098" t="s">
        <v>1096</v>
      </c>
      <c r="E6098" t="s">
        <v>1425</v>
      </c>
      <c r="F6098" t="s">
        <v>103</v>
      </c>
      <c r="G6098" t="s">
        <v>91</v>
      </c>
    </row>
    <row r="6099" spans="1:7" x14ac:dyDescent="0.3">
      <c r="A6099" t="s">
        <v>41</v>
      </c>
      <c r="B6099" t="s">
        <v>199</v>
      </c>
      <c r="C6099">
        <v>3387</v>
      </c>
      <c r="D6099" t="s">
        <v>839</v>
      </c>
      <c r="E6099" t="s">
        <v>692</v>
      </c>
      <c r="F6099" t="s">
        <v>116</v>
      </c>
      <c r="G6099" t="s">
        <v>103</v>
      </c>
    </row>
    <row r="6101" spans="1:7" x14ac:dyDescent="0.3">
      <c r="A6101" t="s">
        <v>2191</v>
      </c>
    </row>
    <row r="6102" spans="1:7" x14ac:dyDescent="0.3">
      <c r="A6102" t="s">
        <v>36</v>
      </c>
      <c r="B6102" t="s">
        <v>763</v>
      </c>
      <c r="C6102" t="s">
        <v>24</v>
      </c>
      <c r="D6102" t="s">
        <v>58</v>
      </c>
      <c r="E6102" t="s">
        <v>59</v>
      </c>
      <c r="F6102" t="s">
        <v>181</v>
      </c>
      <c r="G6102" t="s">
        <v>348</v>
      </c>
    </row>
    <row r="6103" spans="1:7" x14ac:dyDescent="0.3">
      <c r="A6103" t="s">
        <v>25</v>
      </c>
      <c r="B6103" t="s">
        <v>764</v>
      </c>
      <c r="C6103">
        <v>47</v>
      </c>
      <c r="D6103" t="s">
        <v>410</v>
      </c>
      <c r="E6103" t="s">
        <v>411</v>
      </c>
      <c r="F6103" t="s">
        <v>103</v>
      </c>
      <c r="G6103" t="s">
        <v>103</v>
      </c>
    </row>
    <row r="6104" spans="1:7" x14ac:dyDescent="0.3">
      <c r="A6104" t="s">
        <v>25</v>
      </c>
      <c r="B6104" t="s">
        <v>765</v>
      </c>
      <c r="C6104">
        <v>548</v>
      </c>
      <c r="D6104" t="s">
        <v>1060</v>
      </c>
      <c r="E6104" t="s">
        <v>1059</v>
      </c>
      <c r="F6104" t="s">
        <v>103</v>
      </c>
      <c r="G6104" t="s">
        <v>103</v>
      </c>
    </row>
    <row r="6105" spans="1:7" x14ac:dyDescent="0.3">
      <c r="A6105" t="s">
        <v>25</v>
      </c>
      <c r="B6105" t="s">
        <v>767</v>
      </c>
      <c r="C6105">
        <v>368</v>
      </c>
      <c r="D6105" t="s">
        <v>358</v>
      </c>
      <c r="E6105" t="s">
        <v>1214</v>
      </c>
      <c r="F6105" t="s">
        <v>208</v>
      </c>
      <c r="G6105" t="s">
        <v>103</v>
      </c>
    </row>
    <row r="6106" spans="1:7" x14ac:dyDescent="0.3">
      <c r="A6106" t="s">
        <v>26</v>
      </c>
      <c r="B6106" t="s">
        <v>764</v>
      </c>
      <c r="C6106">
        <v>81</v>
      </c>
      <c r="D6106" t="s">
        <v>1040</v>
      </c>
      <c r="E6106" t="s">
        <v>707</v>
      </c>
      <c r="F6106" t="s">
        <v>103</v>
      </c>
      <c r="G6106" t="s">
        <v>103</v>
      </c>
    </row>
    <row r="6107" spans="1:7" x14ac:dyDescent="0.3">
      <c r="A6107" t="s">
        <v>26</v>
      </c>
      <c r="B6107" t="s">
        <v>765</v>
      </c>
      <c r="C6107">
        <v>567</v>
      </c>
      <c r="D6107" t="s">
        <v>354</v>
      </c>
      <c r="E6107" t="s">
        <v>353</v>
      </c>
      <c r="F6107" t="s">
        <v>103</v>
      </c>
      <c r="G6107" t="s">
        <v>103</v>
      </c>
    </row>
    <row r="6108" spans="1:7" x14ac:dyDescent="0.3">
      <c r="A6108" t="s">
        <v>26</v>
      </c>
      <c r="B6108" t="s">
        <v>767</v>
      </c>
      <c r="C6108">
        <v>470</v>
      </c>
      <c r="D6108" t="s">
        <v>1044</v>
      </c>
      <c r="E6108" t="s">
        <v>464</v>
      </c>
      <c r="F6108" t="s">
        <v>103</v>
      </c>
      <c r="G6108" t="s">
        <v>103</v>
      </c>
    </row>
    <row r="6109" spans="1:7" s="3" customFormat="1" x14ac:dyDescent="0.3">
      <c r="A6109" s="3" t="s">
        <v>29</v>
      </c>
      <c r="B6109" s="3" t="s">
        <v>764</v>
      </c>
      <c r="C6109" s="3">
        <v>16</v>
      </c>
      <c r="D6109" s="3" t="s">
        <v>1680</v>
      </c>
      <c r="E6109" s="3" t="s">
        <v>31</v>
      </c>
      <c r="F6109" s="3" t="s">
        <v>103</v>
      </c>
      <c r="G6109" s="3" t="s">
        <v>103</v>
      </c>
    </row>
    <row r="6110" spans="1:7" x14ac:dyDescent="0.3">
      <c r="A6110" t="s">
        <v>29</v>
      </c>
      <c r="B6110" t="s">
        <v>765</v>
      </c>
      <c r="C6110">
        <v>818</v>
      </c>
      <c r="D6110" t="s">
        <v>496</v>
      </c>
      <c r="E6110" t="s">
        <v>1059</v>
      </c>
      <c r="F6110" t="s">
        <v>91</v>
      </c>
      <c r="G6110" t="s">
        <v>91</v>
      </c>
    </row>
    <row r="6111" spans="1:7" x14ac:dyDescent="0.3">
      <c r="A6111" t="s">
        <v>29</v>
      </c>
      <c r="B6111" t="s">
        <v>767</v>
      </c>
      <c r="C6111">
        <v>495</v>
      </c>
      <c r="D6111" t="s">
        <v>1394</v>
      </c>
      <c r="E6111" t="s">
        <v>1210</v>
      </c>
      <c r="F6111" t="s">
        <v>103</v>
      </c>
      <c r="G6111" t="s">
        <v>103</v>
      </c>
    </row>
    <row r="6112" spans="1:7" s="3" customFormat="1" x14ac:dyDescent="0.3">
      <c r="A6112" s="3" t="s">
        <v>28</v>
      </c>
      <c r="B6112" s="3" t="s">
        <v>764</v>
      </c>
      <c r="C6112" s="3">
        <v>25</v>
      </c>
      <c r="D6112" s="3" t="s">
        <v>1055</v>
      </c>
      <c r="E6112" s="3" t="s">
        <v>231</v>
      </c>
      <c r="F6112" s="3" t="s">
        <v>103</v>
      </c>
      <c r="G6112" s="3" t="s">
        <v>103</v>
      </c>
    </row>
    <row r="6113" spans="1:7" x14ac:dyDescent="0.3">
      <c r="A6113" t="s">
        <v>28</v>
      </c>
      <c r="B6113" t="s">
        <v>765</v>
      </c>
      <c r="C6113">
        <v>466</v>
      </c>
      <c r="D6113" t="s">
        <v>1018</v>
      </c>
      <c r="E6113" t="s">
        <v>1043</v>
      </c>
      <c r="F6113" t="s">
        <v>116</v>
      </c>
      <c r="G6113" t="s">
        <v>103</v>
      </c>
    </row>
    <row r="6114" spans="1:7" x14ac:dyDescent="0.3">
      <c r="A6114" t="s">
        <v>28</v>
      </c>
      <c r="B6114" t="s">
        <v>767</v>
      </c>
      <c r="C6114">
        <v>114</v>
      </c>
      <c r="D6114" t="s">
        <v>794</v>
      </c>
      <c r="E6114" t="s">
        <v>561</v>
      </c>
      <c r="F6114" t="s">
        <v>103</v>
      </c>
      <c r="G6114" t="s">
        <v>139</v>
      </c>
    </row>
    <row r="6115" spans="1:7" x14ac:dyDescent="0.3">
      <c r="A6115" t="s">
        <v>27</v>
      </c>
      <c r="B6115" t="s">
        <v>764</v>
      </c>
      <c r="C6115">
        <v>34</v>
      </c>
      <c r="D6115" t="s">
        <v>439</v>
      </c>
      <c r="E6115" t="s">
        <v>938</v>
      </c>
      <c r="F6115" t="s">
        <v>103</v>
      </c>
      <c r="G6115" t="s">
        <v>103</v>
      </c>
    </row>
    <row r="6116" spans="1:7" x14ac:dyDescent="0.3">
      <c r="A6116" t="s">
        <v>27</v>
      </c>
      <c r="B6116" t="s">
        <v>765</v>
      </c>
      <c r="C6116">
        <v>353</v>
      </c>
      <c r="D6116" t="s">
        <v>797</v>
      </c>
      <c r="E6116" t="s">
        <v>426</v>
      </c>
      <c r="F6116" t="s">
        <v>103</v>
      </c>
      <c r="G6116" t="s">
        <v>103</v>
      </c>
    </row>
    <row r="6117" spans="1:7" x14ac:dyDescent="0.3">
      <c r="A6117" t="s">
        <v>27</v>
      </c>
      <c r="B6117" t="s">
        <v>767</v>
      </c>
      <c r="C6117">
        <v>185</v>
      </c>
      <c r="D6117" t="s">
        <v>866</v>
      </c>
      <c r="E6117" t="s">
        <v>510</v>
      </c>
      <c r="F6117" t="s">
        <v>103</v>
      </c>
      <c r="G6117" t="s">
        <v>103</v>
      </c>
    </row>
    <row r="6118" spans="1:7" x14ac:dyDescent="0.3">
      <c r="A6118" t="s">
        <v>41</v>
      </c>
      <c r="B6118" t="s">
        <v>764</v>
      </c>
      <c r="C6118">
        <v>203</v>
      </c>
      <c r="D6118" t="s">
        <v>2033</v>
      </c>
      <c r="E6118" t="s">
        <v>683</v>
      </c>
      <c r="F6118" t="s">
        <v>103</v>
      </c>
      <c r="G6118" t="s">
        <v>103</v>
      </c>
    </row>
    <row r="6119" spans="1:7" x14ac:dyDescent="0.3">
      <c r="A6119" t="s">
        <v>41</v>
      </c>
      <c r="B6119" t="s">
        <v>765</v>
      </c>
      <c r="C6119">
        <v>2752</v>
      </c>
      <c r="D6119" t="s">
        <v>1545</v>
      </c>
      <c r="E6119" t="s">
        <v>368</v>
      </c>
      <c r="F6119" t="s">
        <v>91</v>
      </c>
      <c r="G6119" t="s">
        <v>103</v>
      </c>
    </row>
    <row r="6120" spans="1:7" x14ac:dyDescent="0.3">
      <c r="A6120" t="s">
        <v>41</v>
      </c>
      <c r="B6120" t="s">
        <v>767</v>
      </c>
      <c r="C6120">
        <v>1632</v>
      </c>
      <c r="D6120" t="s">
        <v>1018</v>
      </c>
      <c r="E6120" t="s">
        <v>404</v>
      </c>
      <c r="F6120" t="s">
        <v>122</v>
      </c>
      <c r="G6120" t="s">
        <v>103</v>
      </c>
    </row>
    <row r="6122" spans="1:7" x14ac:dyDescent="0.3">
      <c r="A6122" t="s">
        <v>2192</v>
      </c>
    </row>
    <row r="6123" spans="1:7" x14ac:dyDescent="0.3">
      <c r="A6123" t="s">
        <v>36</v>
      </c>
      <c r="B6123" t="s">
        <v>1106</v>
      </c>
      <c r="C6123" t="s">
        <v>24</v>
      </c>
      <c r="D6123" t="s">
        <v>58</v>
      </c>
      <c r="E6123" t="s">
        <v>181</v>
      </c>
      <c r="F6123" t="s">
        <v>59</v>
      </c>
      <c r="G6123" t="s">
        <v>348</v>
      </c>
    </row>
    <row r="6124" spans="1:7" x14ac:dyDescent="0.3">
      <c r="A6124" t="s">
        <v>25</v>
      </c>
      <c r="B6124" t="s">
        <v>1107</v>
      </c>
      <c r="C6124">
        <v>963</v>
      </c>
      <c r="D6124" t="s">
        <v>405</v>
      </c>
      <c r="E6124" t="s">
        <v>139</v>
      </c>
      <c r="F6124" t="s">
        <v>527</v>
      </c>
      <c r="G6124" t="s">
        <v>103</v>
      </c>
    </row>
    <row r="6125" spans="1:7" x14ac:dyDescent="0.3">
      <c r="A6125" t="s">
        <v>26</v>
      </c>
      <c r="B6125" t="s">
        <v>1107</v>
      </c>
      <c r="C6125">
        <v>1116</v>
      </c>
      <c r="D6125" t="s">
        <v>628</v>
      </c>
      <c r="E6125" t="s">
        <v>103</v>
      </c>
      <c r="F6125" t="s">
        <v>562</v>
      </c>
      <c r="G6125" t="s">
        <v>103</v>
      </c>
    </row>
    <row r="6126" spans="1:7" s="3" customFormat="1" x14ac:dyDescent="0.3">
      <c r="A6126" s="3" t="s">
        <v>26</v>
      </c>
      <c r="B6126" s="3" t="s">
        <v>1108</v>
      </c>
      <c r="C6126" s="3">
        <v>2</v>
      </c>
      <c r="D6126" s="3" t="s">
        <v>993</v>
      </c>
      <c r="E6126" s="3" t="s">
        <v>103</v>
      </c>
      <c r="F6126" s="3" t="s">
        <v>993</v>
      </c>
      <c r="G6126" s="3" t="s">
        <v>103</v>
      </c>
    </row>
    <row r="6127" spans="1:7" x14ac:dyDescent="0.3">
      <c r="A6127" t="s">
        <v>29</v>
      </c>
      <c r="B6127" t="s">
        <v>1107</v>
      </c>
      <c r="C6127">
        <v>1323</v>
      </c>
      <c r="D6127" t="s">
        <v>1402</v>
      </c>
      <c r="E6127" t="s">
        <v>91</v>
      </c>
      <c r="F6127" t="s">
        <v>527</v>
      </c>
      <c r="G6127" t="s">
        <v>91</v>
      </c>
    </row>
    <row r="6128" spans="1:7" s="3" customFormat="1" x14ac:dyDescent="0.3">
      <c r="A6128" s="3" t="s">
        <v>29</v>
      </c>
      <c r="B6128" s="3" t="s">
        <v>1109</v>
      </c>
      <c r="C6128" s="3">
        <v>2</v>
      </c>
      <c r="D6128" s="3" t="s">
        <v>993</v>
      </c>
      <c r="E6128" s="3" t="s">
        <v>103</v>
      </c>
      <c r="F6128" s="3" t="s">
        <v>993</v>
      </c>
      <c r="G6128" s="3" t="s">
        <v>103</v>
      </c>
    </row>
    <row r="6129" spans="1:7" s="3" customFormat="1" x14ac:dyDescent="0.3">
      <c r="A6129" s="3" t="s">
        <v>29</v>
      </c>
      <c r="B6129" s="3" t="s">
        <v>1108</v>
      </c>
      <c r="C6129" s="3">
        <v>4</v>
      </c>
      <c r="D6129" s="3" t="s">
        <v>724</v>
      </c>
      <c r="E6129" s="3" t="s">
        <v>103</v>
      </c>
      <c r="F6129" s="3" t="s">
        <v>547</v>
      </c>
      <c r="G6129" s="3" t="s">
        <v>103</v>
      </c>
    </row>
    <row r="6130" spans="1:7" x14ac:dyDescent="0.3">
      <c r="A6130" t="s">
        <v>28</v>
      </c>
      <c r="B6130" t="s">
        <v>1107</v>
      </c>
      <c r="C6130">
        <v>605</v>
      </c>
      <c r="D6130" t="s">
        <v>426</v>
      </c>
      <c r="E6130" t="s">
        <v>66</v>
      </c>
      <c r="F6130" t="s">
        <v>427</v>
      </c>
      <c r="G6130" t="s">
        <v>91</v>
      </c>
    </row>
    <row r="6131" spans="1:7" x14ac:dyDescent="0.3">
      <c r="A6131" t="s">
        <v>27</v>
      </c>
      <c r="B6131" t="s">
        <v>1107</v>
      </c>
      <c r="C6131">
        <v>557</v>
      </c>
      <c r="D6131" t="s">
        <v>358</v>
      </c>
      <c r="E6131" t="s">
        <v>103</v>
      </c>
      <c r="F6131" t="s">
        <v>405</v>
      </c>
      <c r="G6131" t="s">
        <v>103</v>
      </c>
    </row>
    <row r="6132" spans="1:7" s="3" customFormat="1" x14ac:dyDescent="0.3">
      <c r="A6132" s="3" t="s">
        <v>27</v>
      </c>
      <c r="B6132" s="3" t="s">
        <v>1109</v>
      </c>
      <c r="C6132" s="3">
        <v>6</v>
      </c>
      <c r="D6132" s="3" t="s">
        <v>92</v>
      </c>
      <c r="E6132" s="3" t="s">
        <v>103</v>
      </c>
      <c r="F6132" s="3" t="s">
        <v>617</v>
      </c>
      <c r="G6132" s="3" t="s">
        <v>103</v>
      </c>
    </row>
    <row r="6133" spans="1:7" s="3" customFormat="1" x14ac:dyDescent="0.3">
      <c r="A6133" s="3" t="s">
        <v>27</v>
      </c>
      <c r="B6133" s="3" t="s">
        <v>1108</v>
      </c>
      <c r="C6133" s="3">
        <v>6</v>
      </c>
      <c r="D6133" s="3" t="s">
        <v>144</v>
      </c>
      <c r="E6133" s="3" t="s">
        <v>103</v>
      </c>
      <c r="F6133" s="3" t="s">
        <v>145</v>
      </c>
      <c r="G6133" s="3" t="s">
        <v>103</v>
      </c>
    </row>
    <row r="6134" spans="1:7" x14ac:dyDescent="0.3">
      <c r="A6134" t="s">
        <v>27</v>
      </c>
      <c r="B6134" t="s">
        <v>308</v>
      </c>
      <c r="C6134">
        <v>3</v>
      </c>
      <c r="D6134" t="s">
        <v>1050</v>
      </c>
      <c r="E6134" t="s">
        <v>103</v>
      </c>
      <c r="F6134" t="s">
        <v>831</v>
      </c>
      <c r="G6134" t="s">
        <v>103</v>
      </c>
    </row>
    <row r="6135" spans="1:7" x14ac:dyDescent="0.3">
      <c r="A6135" t="s">
        <v>41</v>
      </c>
      <c r="B6135" t="s">
        <v>1107</v>
      </c>
      <c r="C6135">
        <v>4564</v>
      </c>
      <c r="D6135" t="s">
        <v>572</v>
      </c>
      <c r="E6135" t="s">
        <v>66</v>
      </c>
      <c r="F6135" t="s">
        <v>943</v>
      </c>
      <c r="G6135" t="s">
        <v>103</v>
      </c>
    </row>
    <row r="6136" spans="1:7" s="3" customFormat="1" x14ac:dyDescent="0.3">
      <c r="A6136" s="3" t="s">
        <v>41</v>
      </c>
      <c r="B6136" s="3" t="s">
        <v>1109</v>
      </c>
      <c r="C6136" s="3">
        <v>8</v>
      </c>
      <c r="D6136" s="3" t="s">
        <v>683</v>
      </c>
      <c r="E6136" s="3" t="s">
        <v>103</v>
      </c>
      <c r="F6136" s="3" t="s">
        <v>2033</v>
      </c>
      <c r="G6136" s="3" t="s">
        <v>103</v>
      </c>
    </row>
    <row r="6137" spans="1:7" s="3" customFormat="1" x14ac:dyDescent="0.3">
      <c r="A6137" s="3" t="s">
        <v>41</v>
      </c>
      <c r="B6137" s="3" t="s">
        <v>1108</v>
      </c>
      <c r="C6137" s="3">
        <v>12</v>
      </c>
      <c r="D6137" s="3" t="s">
        <v>1230</v>
      </c>
      <c r="E6137" s="3" t="s">
        <v>103</v>
      </c>
      <c r="F6137" s="3" t="s">
        <v>663</v>
      </c>
      <c r="G6137" s="3" t="s">
        <v>103</v>
      </c>
    </row>
    <row r="6138" spans="1:7" x14ac:dyDescent="0.3">
      <c r="A6138" t="s">
        <v>41</v>
      </c>
      <c r="B6138" t="s">
        <v>308</v>
      </c>
      <c r="C6138">
        <v>3</v>
      </c>
      <c r="D6138" t="s">
        <v>1050</v>
      </c>
      <c r="E6138" t="s">
        <v>103</v>
      </c>
      <c r="F6138" t="s">
        <v>831</v>
      </c>
      <c r="G6138" t="s">
        <v>103</v>
      </c>
    </row>
    <row r="6140" spans="1:7" x14ac:dyDescent="0.3">
      <c r="A6140" t="s">
        <v>2193</v>
      </c>
    </row>
    <row r="6141" spans="1:7" x14ac:dyDescent="0.3">
      <c r="A6141" t="s">
        <v>36</v>
      </c>
      <c r="B6141" t="s">
        <v>2157</v>
      </c>
      <c r="C6141" t="s">
        <v>24</v>
      </c>
      <c r="D6141" t="s">
        <v>58</v>
      </c>
      <c r="E6141" t="s">
        <v>181</v>
      </c>
      <c r="F6141" t="s">
        <v>59</v>
      </c>
      <c r="G6141" t="s">
        <v>348</v>
      </c>
    </row>
    <row r="6142" spans="1:7" x14ac:dyDescent="0.3">
      <c r="A6142" t="s">
        <v>25</v>
      </c>
      <c r="B6142" t="s">
        <v>2158</v>
      </c>
      <c r="C6142">
        <v>529</v>
      </c>
      <c r="D6142" t="s">
        <v>416</v>
      </c>
      <c r="E6142" t="s">
        <v>110</v>
      </c>
      <c r="F6142" t="s">
        <v>1032</v>
      </c>
      <c r="G6142" t="s">
        <v>103</v>
      </c>
    </row>
    <row r="6143" spans="1:7" x14ac:dyDescent="0.3">
      <c r="A6143" t="s">
        <v>25</v>
      </c>
      <c r="B6143" t="s">
        <v>2159</v>
      </c>
      <c r="C6143">
        <v>434</v>
      </c>
      <c r="D6143" t="s">
        <v>572</v>
      </c>
      <c r="E6143" t="s">
        <v>103</v>
      </c>
      <c r="F6143" t="s">
        <v>1250</v>
      </c>
      <c r="G6143" t="s">
        <v>103</v>
      </c>
    </row>
    <row r="6144" spans="1:7" x14ac:dyDescent="0.3">
      <c r="A6144" t="s">
        <v>26</v>
      </c>
      <c r="B6144" t="s">
        <v>2158</v>
      </c>
      <c r="C6144">
        <v>455</v>
      </c>
      <c r="D6144" t="s">
        <v>810</v>
      </c>
      <c r="E6144" t="s">
        <v>103</v>
      </c>
      <c r="F6144" t="s">
        <v>538</v>
      </c>
      <c r="G6144" t="s">
        <v>103</v>
      </c>
    </row>
    <row r="6145" spans="1:7" x14ac:dyDescent="0.3">
      <c r="A6145" t="s">
        <v>26</v>
      </c>
      <c r="B6145" t="s">
        <v>2159</v>
      </c>
      <c r="C6145">
        <v>663</v>
      </c>
      <c r="D6145" t="s">
        <v>260</v>
      </c>
      <c r="E6145" t="s">
        <v>103</v>
      </c>
      <c r="F6145" t="s">
        <v>919</v>
      </c>
      <c r="G6145" t="s">
        <v>103</v>
      </c>
    </row>
    <row r="6146" spans="1:7" x14ac:dyDescent="0.3">
      <c r="A6146" t="s">
        <v>29</v>
      </c>
      <c r="B6146" t="s">
        <v>2158</v>
      </c>
      <c r="C6146">
        <v>578</v>
      </c>
      <c r="D6146" t="s">
        <v>677</v>
      </c>
      <c r="E6146" t="s">
        <v>66</v>
      </c>
      <c r="F6146" t="s">
        <v>1327</v>
      </c>
      <c r="G6146" t="s">
        <v>103</v>
      </c>
    </row>
    <row r="6147" spans="1:7" x14ac:dyDescent="0.3">
      <c r="A6147" t="s">
        <v>29</v>
      </c>
      <c r="B6147" t="s">
        <v>2159</v>
      </c>
      <c r="C6147">
        <v>748</v>
      </c>
      <c r="D6147" t="s">
        <v>1096</v>
      </c>
      <c r="E6147" t="s">
        <v>103</v>
      </c>
      <c r="F6147" t="s">
        <v>1425</v>
      </c>
      <c r="G6147" t="s">
        <v>91</v>
      </c>
    </row>
    <row r="6148" spans="1:7" x14ac:dyDescent="0.3">
      <c r="A6148" t="s">
        <v>29</v>
      </c>
      <c r="B6148" t="s">
        <v>308</v>
      </c>
      <c r="C6148">
        <v>3</v>
      </c>
      <c r="D6148" t="s">
        <v>831</v>
      </c>
      <c r="E6148" t="s">
        <v>103</v>
      </c>
      <c r="F6148" t="s">
        <v>1050</v>
      </c>
      <c r="G6148" t="s">
        <v>103</v>
      </c>
    </row>
    <row r="6149" spans="1:7" x14ac:dyDescent="0.3">
      <c r="A6149" t="s">
        <v>28</v>
      </c>
      <c r="B6149" t="s">
        <v>2158</v>
      </c>
      <c r="C6149">
        <v>236</v>
      </c>
      <c r="D6149" t="s">
        <v>657</v>
      </c>
      <c r="E6149" t="s">
        <v>97</v>
      </c>
      <c r="F6149" t="s">
        <v>1579</v>
      </c>
      <c r="G6149" t="s">
        <v>103</v>
      </c>
    </row>
    <row r="6150" spans="1:7" x14ac:dyDescent="0.3">
      <c r="A6150" t="s">
        <v>28</v>
      </c>
      <c r="B6150" t="s">
        <v>2159</v>
      </c>
      <c r="C6150">
        <v>369</v>
      </c>
      <c r="D6150" t="s">
        <v>1328</v>
      </c>
      <c r="E6150" t="s">
        <v>103</v>
      </c>
      <c r="F6150" t="s">
        <v>407</v>
      </c>
      <c r="G6150" t="s">
        <v>66</v>
      </c>
    </row>
    <row r="6151" spans="1:7" x14ac:dyDescent="0.3">
      <c r="A6151" t="s">
        <v>27</v>
      </c>
      <c r="B6151" t="s">
        <v>2158</v>
      </c>
      <c r="C6151">
        <v>304</v>
      </c>
      <c r="D6151" t="s">
        <v>490</v>
      </c>
      <c r="E6151" t="s">
        <v>103</v>
      </c>
      <c r="F6151" t="s">
        <v>1172</v>
      </c>
      <c r="G6151" t="s">
        <v>103</v>
      </c>
    </row>
    <row r="6152" spans="1:7" x14ac:dyDescent="0.3">
      <c r="A6152" t="s">
        <v>27</v>
      </c>
      <c r="B6152" t="s">
        <v>2159</v>
      </c>
      <c r="C6152">
        <v>268</v>
      </c>
      <c r="D6152" t="s">
        <v>1044</v>
      </c>
      <c r="E6152" t="s">
        <v>103</v>
      </c>
      <c r="F6152" t="s">
        <v>464</v>
      </c>
      <c r="G6152" t="s">
        <v>103</v>
      </c>
    </row>
    <row r="6153" spans="1:7" x14ac:dyDescent="0.3">
      <c r="A6153" t="s">
        <v>41</v>
      </c>
      <c r="B6153" t="s">
        <v>2158</v>
      </c>
      <c r="C6153">
        <v>2102</v>
      </c>
      <c r="D6153" t="s">
        <v>375</v>
      </c>
      <c r="E6153" t="s">
        <v>122</v>
      </c>
      <c r="F6153" t="s">
        <v>1025</v>
      </c>
      <c r="G6153" t="s">
        <v>103</v>
      </c>
    </row>
    <row r="6154" spans="1:7" x14ac:dyDescent="0.3">
      <c r="A6154" t="s">
        <v>41</v>
      </c>
      <c r="B6154" t="s">
        <v>2159</v>
      </c>
      <c r="C6154">
        <v>2482</v>
      </c>
      <c r="D6154" t="s">
        <v>1059</v>
      </c>
      <c r="E6154" t="s">
        <v>103</v>
      </c>
      <c r="F6154" t="s">
        <v>1060</v>
      </c>
      <c r="G6154" t="s">
        <v>91</v>
      </c>
    </row>
    <row r="6155" spans="1:7" x14ac:dyDescent="0.3">
      <c r="A6155" t="s">
        <v>41</v>
      </c>
      <c r="B6155" t="s">
        <v>308</v>
      </c>
      <c r="C6155">
        <v>3</v>
      </c>
      <c r="D6155" t="s">
        <v>831</v>
      </c>
      <c r="E6155" t="s">
        <v>103</v>
      </c>
      <c r="F6155" t="s">
        <v>1050</v>
      </c>
      <c r="G6155" t="s">
        <v>103</v>
      </c>
    </row>
    <row r="6157" spans="1:7" x14ac:dyDescent="0.3">
      <c r="A6157" t="s">
        <v>2194</v>
      </c>
    </row>
    <row r="6158" spans="1:7" x14ac:dyDescent="0.3">
      <c r="A6158" t="s">
        <v>36</v>
      </c>
      <c r="B6158" t="s">
        <v>307</v>
      </c>
      <c r="C6158" t="s">
        <v>24</v>
      </c>
      <c r="D6158" t="s">
        <v>58</v>
      </c>
      <c r="E6158" t="s">
        <v>181</v>
      </c>
      <c r="F6158" t="s">
        <v>59</v>
      </c>
      <c r="G6158" t="s">
        <v>348</v>
      </c>
    </row>
    <row r="6159" spans="1:7" x14ac:dyDescent="0.3">
      <c r="A6159" t="s">
        <v>25</v>
      </c>
      <c r="B6159" t="s">
        <v>291</v>
      </c>
      <c r="C6159">
        <v>399</v>
      </c>
      <c r="D6159" t="s">
        <v>573</v>
      </c>
      <c r="E6159" t="s">
        <v>341</v>
      </c>
      <c r="F6159" t="s">
        <v>426</v>
      </c>
      <c r="G6159" t="s">
        <v>103</v>
      </c>
    </row>
    <row r="6160" spans="1:7" x14ac:dyDescent="0.3">
      <c r="A6160" t="s">
        <v>25</v>
      </c>
      <c r="B6160" t="s">
        <v>292</v>
      </c>
      <c r="C6160">
        <v>550</v>
      </c>
      <c r="D6160" t="s">
        <v>1558</v>
      </c>
      <c r="E6160" t="s">
        <v>103</v>
      </c>
      <c r="F6160" t="s">
        <v>929</v>
      </c>
      <c r="G6160" t="s">
        <v>103</v>
      </c>
    </row>
    <row r="6161" spans="1:7" x14ac:dyDescent="0.3">
      <c r="A6161" t="s">
        <v>25</v>
      </c>
      <c r="B6161" t="s">
        <v>308</v>
      </c>
      <c r="C6161">
        <v>14</v>
      </c>
      <c r="D6161" t="s">
        <v>167</v>
      </c>
      <c r="E6161" t="s">
        <v>103</v>
      </c>
      <c r="F6161" t="s">
        <v>168</v>
      </c>
      <c r="G6161" t="s">
        <v>103</v>
      </c>
    </row>
    <row r="6162" spans="1:7" x14ac:dyDescent="0.3">
      <c r="A6162" t="s">
        <v>26</v>
      </c>
      <c r="B6162" t="s">
        <v>291</v>
      </c>
      <c r="C6162">
        <v>284</v>
      </c>
      <c r="D6162" t="s">
        <v>442</v>
      </c>
      <c r="E6162" t="s">
        <v>103</v>
      </c>
      <c r="F6162" t="s">
        <v>441</v>
      </c>
      <c r="G6162" t="s">
        <v>103</v>
      </c>
    </row>
    <row r="6163" spans="1:7" x14ac:dyDescent="0.3">
      <c r="A6163" t="s">
        <v>26</v>
      </c>
      <c r="B6163" t="s">
        <v>292</v>
      </c>
      <c r="C6163">
        <v>824</v>
      </c>
      <c r="D6163" t="s">
        <v>229</v>
      </c>
      <c r="E6163" t="s">
        <v>103</v>
      </c>
      <c r="F6163" t="s">
        <v>1011</v>
      </c>
      <c r="G6163" t="s">
        <v>103</v>
      </c>
    </row>
    <row r="6164" spans="1:7" x14ac:dyDescent="0.3">
      <c r="A6164" t="s">
        <v>26</v>
      </c>
      <c r="B6164" t="s">
        <v>308</v>
      </c>
      <c r="C6164">
        <v>10</v>
      </c>
      <c r="D6164" t="s">
        <v>1242</v>
      </c>
      <c r="E6164" t="s">
        <v>103</v>
      </c>
      <c r="F6164" t="s">
        <v>1231</v>
      </c>
      <c r="G6164" t="s">
        <v>103</v>
      </c>
    </row>
    <row r="6165" spans="1:7" x14ac:dyDescent="0.3">
      <c r="A6165" t="s">
        <v>29</v>
      </c>
      <c r="B6165" t="s">
        <v>291</v>
      </c>
      <c r="C6165">
        <v>501</v>
      </c>
      <c r="D6165" t="s">
        <v>659</v>
      </c>
      <c r="E6165" t="s">
        <v>66</v>
      </c>
      <c r="F6165" t="s">
        <v>1230</v>
      </c>
      <c r="G6165" t="s">
        <v>103</v>
      </c>
    </row>
    <row r="6166" spans="1:7" x14ac:dyDescent="0.3">
      <c r="A6166" t="s">
        <v>29</v>
      </c>
      <c r="B6166" t="s">
        <v>292</v>
      </c>
      <c r="C6166">
        <v>828</v>
      </c>
      <c r="D6166" t="s">
        <v>1032</v>
      </c>
      <c r="E6166" t="s">
        <v>103</v>
      </c>
      <c r="F6166" t="s">
        <v>353</v>
      </c>
      <c r="G6166" t="s">
        <v>91</v>
      </c>
    </row>
    <row r="6167" spans="1:7" x14ac:dyDescent="0.3">
      <c r="A6167" t="s">
        <v>28</v>
      </c>
      <c r="B6167" t="s">
        <v>291</v>
      </c>
      <c r="C6167">
        <v>215</v>
      </c>
      <c r="D6167" t="s">
        <v>1356</v>
      </c>
      <c r="E6167" t="s">
        <v>103</v>
      </c>
      <c r="F6167" t="s">
        <v>1546</v>
      </c>
      <c r="G6167" t="s">
        <v>103</v>
      </c>
    </row>
    <row r="6168" spans="1:7" x14ac:dyDescent="0.3">
      <c r="A6168" t="s">
        <v>28</v>
      </c>
      <c r="B6168" t="s">
        <v>292</v>
      </c>
      <c r="C6168">
        <v>335</v>
      </c>
      <c r="D6168" t="s">
        <v>866</v>
      </c>
      <c r="E6168" t="s">
        <v>103</v>
      </c>
      <c r="F6168" t="s">
        <v>567</v>
      </c>
      <c r="G6168" t="s">
        <v>66</v>
      </c>
    </row>
    <row r="6169" spans="1:7" x14ac:dyDescent="0.3">
      <c r="A6169" t="s">
        <v>28</v>
      </c>
      <c r="B6169" t="s">
        <v>308</v>
      </c>
      <c r="C6169">
        <v>55</v>
      </c>
      <c r="D6169" t="s">
        <v>1398</v>
      </c>
      <c r="E6169" t="s">
        <v>257</v>
      </c>
      <c r="F6169" t="s">
        <v>875</v>
      </c>
      <c r="G6169" t="s">
        <v>103</v>
      </c>
    </row>
    <row r="6170" spans="1:7" x14ac:dyDescent="0.3">
      <c r="A6170" t="s">
        <v>27</v>
      </c>
      <c r="B6170" t="s">
        <v>291</v>
      </c>
      <c r="C6170">
        <v>166</v>
      </c>
      <c r="D6170" t="s">
        <v>705</v>
      </c>
      <c r="E6170" t="s">
        <v>103</v>
      </c>
      <c r="F6170" t="s">
        <v>1258</v>
      </c>
      <c r="G6170" t="s">
        <v>103</v>
      </c>
    </row>
    <row r="6171" spans="1:7" x14ac:dyDescent="0.3">
      <c r="A6171" t="s">
        <v>27</v>
      </c>
      <c r="B6171" t="s">
        <v>292</v>
      </c>
      <c r="C6171">
        <v>376</v>
      </c>
      <c r="D6171" t="s">
        <v>1059</v>
      </c>
      <c r="E6171" t="s">
        <v>103</v>
      </c>
      <c r="F6171" t="s">
        <v>1060</v>
      </c>
      <c r="G6171" t="s">
        <v>103</v>
      </c>
    </row>
    <row r="6172" spans="1:7" x14ac:dyDescent="0.3">
      <c r="A6172" t="s">
        <v>27</v>
      </c>
      <c r="B6172" t="s">
        <v>308</v>
      </c>
      <c r="C6172">
        <v>30</v>
      </c>
      <c r="D6172" t="s">
        <v>720</v>
      </c>
      <c r="E6172" t="s">
        <v>103</v>
      </c>
      <c r="F6172" t="s">
        <v>268</v>
      </c>
      <c r="G6172" t="s">
        <v>103</v>
      </c>
    </row>
    <row r="6173" spans="1:7" x14ac:dyDescent="0.3">
      <c r="A6173" t="s">
        <v>41</v>
      </c>
      <c r="B6173" t="s">
        <v>291</v>
      </c>
      <c r="C6173">
        <v>1565</v>
      </c>
      <c r="D6173" t="s">
        <v>134</v>
      </c>
      <c r="E6173" t="s">
        <v>97</v>
      </c>
      <c r="F6173" t="s">
        <v>1240</v>
      </c>
      <c r="G6173" t="s">
        <v>103</v>
      </c>
    </row>
    <row r="6174" spans="1:7" x14ac:dyDescent="0.3">
      <c r="A6174" t="s">
        <v>41</v>
      </c>
      <c r="B6174" t="s">
        <v>292</v>
      </c>
      <c r="C6174">
        <v>2913</v>
      </c>
      <c r="D6174" t="s">
        <v>1039</v>
      </c>
      <c r="E6174" t="s">
        <v>103</v>
      </c>
      <c r="F6174" t="s">
        <v>411</v>
      </c>
      <c r="G6174" t="s">
        <v>103</v>
      </c>
    </row>
    <row r="6175" spans="1:7" x14ac:dyDescent="0.3">
      <c r="A6175" t="s">
        <v>41</v>
      </c>
      <c r="B6175" t="s">
        <v>308</v>
      </c>
      <c r="C6175">
        <v>109</v>
      </c>
      <c r="D6175" t="s">
        <v>431</v>
      </c>
      <c r="E6175" t="s">
        <v>139</v>
      </c>
      <c r="F6175" t="s">
        <v>676</v>
      </c>
      <c r="G6175" t="s">
        <v>103</v>
      </c>
    </row>
    <row r="6177" spans="1:7" x14ac:dyDescent="0.3">
      <c r="A6177" t="s">
        <v>2195</v>
      </c>
    </row>
    <row r="6178" spans="1:7" x14ac:dyDescent="0.3">
      <c r="A6178" t="s">
        <v>36</v>
      </c>
      <c r="B6178" t="s">
        <v>210</v>
      </c>
      <c r="C6178" t="s">
        <v>24</v>
      </c>
      <c r="D6178" t="s">
        <v>58</v>
      </c>
      <c r="E6178" t="s">
        <v>181</v>
      </c>
      <c r="F6178" t="s">
        <v>59</v>
      </c>
      <c r="G6178" t="s">
        <v>348</v>
      </c>
    </row>
    <row r="6179" spans="1:7" x14ac:dyDescent="0.3">
      <c r="A6179" t="s">
        <v>25</v>
      </c>
      <c r="B6179" t="s">
        <v>211</v>
      </c>
      <c r="C6179">
        <v>963</v>
      </c>
      <c r="D6179" t="s">
        <v>405</v>
      </c>
      <c r="E6179" t="s">
        <v>139</v>
      </c>
      <c r="F6179" t="s">
        <v>527</v>
      </c>
      <c r="G6179" t="s">
        <v>103</v>
      </c>
    </row>
    <row r="6180" spans="1:7" x14ac:dyDescent="0.3">
      <c r="A6180" t="s">
        <v>26</v>
      </c>
      <c r="B6180" t="s">
        <v>211</v>
      </c>
      <c r="C6180">
        <v>456</v>
      </c>
      <c r="D6180" t="s">
        <v>406</v>
      </c>
      <c r="E6180" t="s">
        <v>103</v>
      </c>
      <c r="F6180" t="s">
        <v>407</v>
      </c>
      <c r="G6180" t="s">
        <v>103</v>
      </c>
    </row>
    <row r="6181" spans="1:7" x14ac:dyDescent="0.3">
      <c r="A6181" t="s">
        <v>26</v>
      </c>
      <c r="B6181" t="s">
        <v>212</v>
      </c>
      <c r="C6181">
        <v>662</v>
      </c>
      <c r="D6181" t="s">
        <v>1068</v>
      </c>
      <c r="E6181" t="s">
        <v>103</v>
      </c>
      <c r="F6181" t="s">
        <v>226</v>
      </c>
      <c r="G6181" t="s">
        <v>103</v>
      </c>
    </row>
    <row r="6182" spans="1:7" x14ac:dyDescent="0.3">
      <c r="A6182" t="s">
        <v>29</v>
      </c>
      <c r="B6182" t="s">
        <v>211</v>
      </c>
      <c r="C6182">
        <v>1329</v>
      </c>
      <c r="D6182" t="s">
        <v>943</v>
      </c>
      <c r="E6182" t="s">
        <v>91</v>
      </c>
      <c r="F6182" t="s">
        <v>665</v>
      </c>
      <c r="G6182" t="s">
        <v>91</v>
      </c>
    </row>
    <row r="6183" spans="1:7" x14ac:dyDescent="0.3">
      <c r="A6183" t="s">
        <v>28</v>
      </c>
      <c r="B6183" t="s">
        <v>211</v>
      </c>
      <c r="C6183">
        <v>553</v>
      </c>
      <c r="D6183" t="s">
        <v>1251</v>
      </c>
      <c r="E6183" t="s">
        <v>66</v>
      </c>
      <c r="F6183" t="s">
        <v>1015</v>
      </c>
      <c r="G6183" t="s">
        <v>91</v>
      </c>
    </row>
    <row r="6184" spans="1:7" x14ac:dyDescent="0.3">
      <c r="A6184" t="s">
        <v>28</v>
      </c>
      <c r="B6184" t="s">
        <v>212</v>
      </c>
      <c r="C6184">
        <v>52</v>
      </c>
      <c r="D6184" t="s">
        <v>736</v>
      </c>
      <c r="E6184" t="s">
        <v>103</v>
      </c>
      <c r="F6184" t="s">
        <v>559</v>
      </c>
      <c r="G6184" t="s">
        <v>103</v>
      </c>
    </row>
    <row r="6185" spans="1:7" x14ac:dyDescent="0.3">
      <c r="A6185" t="s">
        <v>27</v>
      </c>
      <c r="B6185" t="s">
        <v>211</v>
      </c>
      <c r="C6185">
        <v>521</v>
      </c>
      <c r="D6185" t="s">
        <v>1220</v>
      </c>
      <c r="E6185" t="s">
        <v>103</v>
      </c>
      <c r="F6185" t="s">
        <v>1461</v>
      </c>
      <c r="G6185" t="s">
        <v>103</v>
      </c>
    </row>
    <row r="6186" spans="1:7" x14ac:dyDescent="0.3">
      <c r="A6186" t="s">
        <v>27</v>
      </c>
      <c r="B6186" t="s">
        <v>212</v>
      </c>
      <c r="C6186">
        <v>51</v>
      </c>
      <c r="D6186" t="s">
        <v>801</v>
      </c>
      <c r="E6186" t="s">
        <v>103</v>
      </c>
      <c r="F6186" t="s">
        <v>1014</v>
      </c>
      <c r="G6186" t="s">
        <v>103</v>
      </c>
    </row>
    <row r="6187" spans="1:7" x14ac:dyDescent="0.3">
      <c r="A6187" t="s">
        <v>41</v>
      </c>
      <c r="B6187" t="s">
        <v>211</v>
      </c>
      <c r="C6187">
        <v>3822</v>
      </c>
      <c r="D6187" t="s">
        <v>385</v>
      </c>
      <c r="E6187" t="s">
        <v>66</v>
      </c>
      <c r="F6187" t="s">
        <v>386</v>
      </c>
      <c r="G6187" t="s">
        <v>103</v>
      </c>
    </row>
    <row r="6188" spans="1:7" x14ac:dyDescent="0.3">
      <c r="A6188" t="s">
        <v>41</v>
      </c>
      <c r="B6188" t="s">
        <v>212</v>
      </c>
      <c r="C6188">
        <v>765</v>
      </c>
      <c r="D6188" t="s">
        <v>426</v>
      </c>
      <c r="E6188" t="s">
        <v>103</v>
      </c>
      <c r="F6188" t="s">
        <v>797</v>
      </c>
      <c r="G6188" t="s">
        <v>103</v>
      </c>
    </row>
    <row r="6190" spans="1:7" x14ac:dyDescent="0.3">
      <c r="A6190" t="s">
        <v>2196</v>
      </c>
    </row>
    <row r="6191" spans="1:7" x14ac:dyDescent="0.3">
      <c r="A6191" t="s">
        <v>36</v>
      </c>
      <c r="B6191" t="s">
        <v>1517</v>
      </c>
      <c r="C6191" t="s">
        <v>24</v>
      </c>
      <c r="D6191" t="s">
        <v>58</v>
      </c>
      <c r="E6191" t="s">
        <v>181</v>
      </c>
      <c r="F6191" t="s">
        <v>59</v>
      </c>
      <c r="G6191" t="s">
        <v>348</v>
      </c>
    </row>
    <row r="6192" spans="1:7" x14ac:dyDescent="0.3">
      <c r="A6192" t="s">
        <v>25</v>
      </c>
      <c r="B6192" t="s">
        <v>1518</v>
      </c>
      <c r="C6192">
        <v>523</v>
      </c>
      <c r="D6192" t="s">
        <v>792</v>
      </c>
      <c r="E6192" t="s">
        <v>282</v>
      </c>
      <c r="F6192" t="s">
        <v>678</v>
      </c>
      <c r="G6192" t="s">
        <v>103</v>
      </c>
    </row>
    <row r="6193" spans="1:7" x14ac:dyDescent="0.3">
      <c r="A6193" t="s">
        <v>25</v>
      </c>
      <c r="B6193" t="s">
        <v>1519</v>
      </c>
      <c r="C6193">
        <v>440</v>
      </c>
      <c r="D6193" t="s">
        <v>1292</v>
      </c>
      <c r="E6193" t="s">
        <v>120</v>
      </c>
      <c r="F6193" t="s">
        <v>535</v>
      </c>
      <c r="G6193" t="s">
        <v>103</v>
      </c>
    </row>
    <row r="6194" spans="1:7" x14ac:dyDescent="0.3">
      <c r="A6194" t="s">
        <v>26</v>
      </c>
      <c r="B6194" t="s">
        <v>1518</v>
      </c>
      <c r="C6194">
        <v>588</v>
      </c>
      <c r="D6194" t="s">
        <v>392</v>
      </c>
      <c r="E6194" t="s">
        <v>103</v>
      </c>
      <c r="F6194" t="s">
        <v>391</v>
      </c>
      <c r="G6194" t="s">
        <v>103</v>
      </c>
    </row>
    <row r="6195" spans="1:7" x14ac:dyDescent="0.3">
      <c r="A6195" t="s">
        <v>26</v>
      </c>
      <c r="B6195" t="s">
        <v>1519</v>
      </c>
      <c r="C6195">
        <v>515</v>
      </c>
      <c r="D6195" t="s">
        <v>924</v>
      </c>
      <c r="E6195" t="s">
        <v>103</v>
      </c>
      <c r="F6195" t="s">
        <v>537</v>
      </c>
      <c r="G6195" t="s">
        <v>103</v>
      </c>
    </row>
    <row r="6196" spans="1:7" x14ac:dyDescent="0.3">
      <c r="A6196" t="s">
        <v>26</v>
      </c>
      <c r="B6196" t="s">
        <v>308</v>
      </c>
      <c r="C6196">
        <v>15</v>
      </c>
      <c r="D6196" t="s">
        <v>1178</v>
      </c>
      <c r="E6196" t="s">
        <v>103</v>
      </c>
      <c r="F6196" t="s">
        <v>921</v>
      </c>
      <c r="G6196" t="s">
        <v>103</v>
      </c>
    </row>
    <row r="6197" spans="1:7" x14ac:dyDescent="0.3">
      <c r="A6197" t="s">
        <v>29</v>
      </c>
      <c r="B6197" t="s">
        <v>1518</v>
      </c>
      <c r="C6197">
        <v>841</v>
      </c>
      <c r="D6197" t="s">
        <v>1055</v>
      </c>
      <c r="E6197" t="s">
        <v>91</v>
      </c>
      <c r="F6197" t="s">
        <v>1394</v>
      </c>
      <c r="G6197" t="s">
        <v>103</v>
      </c>
    </row>
    <row r="6198" spans="1:7" x14ac:dyDescent="0.3">
      <c r="A6198" t="s">
        <v>29</v>
      </c>
      <c r="B6198" t="s">
        <v>1519</v>
      </c>
      <c r="C6198">
        <v>463</v>
      </c>
      <c r="D6198" t="s">
        <v>389</v>
      </c>
      <c r="E6198" t="s">
        <v>103</v>
      </c>
      <c r="F6198" t="s">
        <v>676</v>
      </c>
      <c r="G6198" t="s">
        <v>66</v>
      </c>
    </row>
    <row r="6199" spans="1:7" x14ac:dyDescent="0.3">
      <c r="A6199" t="s">
        <v>29</v>
      </c>
      <c r="B6199" t="s">
        <v>308</v>
      </c>
      <c r="C6199">
        <v>25</v>
      </c>
      <c r="D6199" t="s">
        <v>408</v>
      </c>
      <c r="E6199" t="s">
        <v>103</v>
      </c>
      <c r="F6199" t="s">
        <v>520</v>
      </c>
      <c r="G6199" t="s">
        <v>103</v>
      </c>
    </row>
    <row r="6200" spans="1:7" x14ac:dyDescent="0.3">
      <c r="A6200" t="s">
        <v>28</v>
      </c>
      <c r="B6200" t="s">
        <v>1518</v>
      </c>
      <c r="C6200">
        <v>317</v>
      </c>
      <c r="D6200" t="s">
        <v>802</v>
      </c>
      <c r="E6200" t="s">
        <v>103</v>
      </c>
      <c r="F6200" t="s">
        <v>669</v>
      </c>
      <c r="G6200" t="s">
        <v>103</v>
      </c>
    </row>
    <row r="6201" spans="1:7" x14ac:dyDescent="0.3">
      <c r="A6201" t="s">
        <v>28</v>
      </c>
      <c r="B6201" t="s">
        <v>1519</v>
      </c>
      <c r="C6201">
        <v>284</v>
      </c>
      <c r="D6201" t="s">
        <v>1240</v>
      </c>
      <c r="E6201" t="s">
        <v>103</v>
      </c>
      <c r="F6201" t="s">
        <v>509</v>
      </c>
      <c r="G6201" t="s">
        <v>116</v>
      </c>
    </row>
    <row r="6202" spans="1:7" x14ac:dyDescent="0.3">
      <c r="A6202" t="s">
        <v>28</v>
      </c>
      <c r="B6202" t="s">
        <v>308</v>
      </c>
      <c r="C6202">
        <v>4</v>
      </c>
      <c r="D6202" t="s">
        <v>1198</v>
      </c>
      <c r="E6202" t="s">
        <v>1205</v>
      </c>
      <c r="F6202" t="s">
        <v>465</v>
      </c>
      <c r="G6202" t="s">
        <v>103</v>
      </c>
    </row>
    <row r="6203" spans="1:7" x14ac:dyDescent="0.3">
      <c r="A6203" t="s">
        <v>27</v>
      </c>
      <c r="B6203" t="s">
        <v>1518</v>
      </c>
      <c r="C6203">
        <v>348</v>
      </c>
      <c r="D6203" t="s">
        <v>1021</v>
      </c>
      <c r="E6203" t="s">
        <v>103</v>
      </c>
      <c r="F6203" t="s">
        <v>1295</v>
      </c>
      <c r="G6203" t="s">
        <v>103</v>
      </c>
    </row>
    <row r="6204" spans="1:7" x14ac:dyDescent="0.3">
      <c r="A6204" t="s">
        <v>27</v>
      </c>
      <c r="B6204" t="s">
        <v>1519</v>
      </c>
      <c r="C6204">
        <v>213</v>
      </c>
      <c r="D6204" t="s">
        <v>1029</v>
      </c>
      <c r="E6204" t="s">
        <v>103</v>
      </c>
      <c r="F6204" t="s">
        <v>462</v>
      </c>
      <c r="G6204" t="s">
        <v>103</v>
      </c>
    </row>
    <row r="6205" spans="1:7" x14ac:dyDescent="0.3">
      <c r="A6205" t="s">
        <v>27</v>
      </c>
      <c r="B6205" t="s">
        <v>308</v>
      </c>
      <c r="C6205">
        <v>11</v>
      </c>
      <c r="D6205" t="s">
        <v>676</v>
      </c>
      <c r="E6205" t="s">
        <v>103</v>
      </c>
      <c r="F6205" t="s">
        <v>675</v>
      </c>
      <c r="G6205" t="s">
        <v>103</v>
      </c>
    </row>
    <row r="6206" spans="1:7" x14ac:dyDescent="0.3">
      <c r="A6206" t="s">
        <v>41</v>
      </c>
      <c r="B6206" t="s">
        <v>1518</v>
      </c>
      <c r="C6206">
        <v>2617</v>
      </c>
      <c r="D6206" t="s">
        <v>369</v>
      </c>
      <c r="E6206" t="s">
        <v>66</v>
      </c>
      <c r="F6206" t="s">
        <v>1096</v>
      </c>
      <c r="G6206" t="s">
        <v>103</v>
      </c>
    </row>
    <row r="6207" spans="1:7" x14ac:dyDescent="0.3">
      <c r="A6207" t="s">
        <v>41</v>
      </c>
      <c r="B6207" t="s">
        <v>1519</v>
      </c>
      <c r="C6207">
        <v>1915</v>
      </c>
      <c r="D6207" t="s">
        <v>1034</v>
      </c>
      <c r="E6207" t="s">
        <v>91</v>
      </c>
      <c r="F6207" t="s">
        <v>427</v>
      </c>
      <c r="G6207" t="s">
        <v>91</v>
      </c>
    </row>
    <row r="6208" spans="1:7" x14ac:dyDescent="0.3">
      <c r="A6208" t="s">
        <v>41</v>
      </c>
      <c r="B6208" t="s">
        <v>308</v>
      </c>
      <c r="C6208">
        <v>55</v>
      </c>
      <c r="D6208" t="s">
        <v>2109</v>
      </c>
      <c r="E6208" t="s">
        <v>120</v>
      </c>
      <c r="F6208" t="s">
        <v>1226</v>
      </c>
      <c r="G6208" t="s">
        <v>103</v>
      </c>
    </row>
    <row r="6210" spans="1:18" x14ac:dyDescent="0.3">
      <c r="A6210" t="s">
        <v>2197</v>
      </c>
    </row>
    <row r="6211" spans="1:18" x14ac:dyDescent="0.3">
      <c r="A6211" t="s">
        <v>36</v>
      </c>
      <c r="B6211" t="s">
        <v>24</v>
      </c>
      <c r="C6211" t="s">
        <v>2198</v>
      </c>
      <c r="D6211" t="s">
        <v>2199</v>
      </c>
      <c r="E6211" t="s">
        <v>2200</v>
      </c>
      <c r="F6211" t="s">
        <v>2201</v>
      </c>
      <c r="G6211" t="s">
        <v>2202</v>
      </c>
      <c r="H6211" t="s">
        <v>2203</v>
      </c>
      <c r="I6211" t="s">
        <v>2204</v>
      </c>
      <c r="J6211" t="s">
        <v>2205</v>
      </c>
      <c r="K6211" t="s">
        <v>2206</v>
      </c>
      <c r="L6211" t="s">
        <v>2207</v>
      </c>
      <c r="M6211" t="s">
        <v>2208</v>
      </c>
      <c r="N6211" t="s">
        <v>2209</v>
      </c>
      <c r="O6211" t="s">
        <v>89</v>
      </c>
      <c r="P6211" t="s">
        <v>87</v>
      </c>
      <c r="Q6211" t="s">
        <v>181</v>
      </c>
    </row>
    <row r="6212" spans="1:18" x14ac:dyDescent="0.3">
      <c r="A6212" t="s">
        <v>25</v>
      </c>
      <c r="B6212">
        <v>497</v>
      </c>
      <c r="C6212" t="s">
        <v>264</v>
      </c>
      <c r="D6212" t="s">
        <v>1284</v>
      </c>
      <c r="E6212" t="s">
        <v>122</v>
      </c>
      <c r="F6212" t="s">
        <v>438</v>
      </c>
      <c r="G6212" t="s">
        <v>103</v>
      </c>
      <c r="H6212" t="s">
        <v>139</v>
      </c>
      <c r="I6212" t="s">
        <v>278</v>
      </c>
      <c r="J6212" t="s">
        <v>544</v>
      </c>
      <c r="K6212" t="s">
        <v>278</v>
      </c>
      <c r="L6212" t="s">
        <v>188</v>
      </c>
      <c r="M6212" t="s">
        <v>461</v>
      </c>
      <c r="N6212" t="s">
        <v>117</v>
      </c>
      <c r="O6212" t="s">
        <v>341</v>
      </c>
      <c r="P6212" t="s">
        <v>103</v>
      </c>
      <c r="Q6212" t="s">
        <v>120</v>
      </c>
    </row>
    <row r="6213" spans="1:18" x14ac:dyDescent="0.3">
      <c r="A6213" t="s">
        <v>26</v>
      </c>
      <c r="B6213">
        <v>445</v>
      </c>
      <c r="C6213" t="s">
        <v>30</v>
      </c>
      <c r="D6213" t="s">
        <v>1558</v>
      </c>
      <c r="E6213" t="s">
        <v>128</v>
      </c>
      <c r="F6213" t="s">
        <v>64</v>
      </c>
      <c r="G6213" t="s">
        <v>103</v>
      </c>
      <c r="H6213" t="s">
        <v>66</v>
      </c>
      <c r="I6213" t="s">
        <v>494</v>
      </c>
      <c r="J6213" t="s">
        <v>511</v>
      </c>
      <c r="K6213" t="s">
        <v>201</v>
      </c>
      <c r="L6213" t="s">
        <v>125</v>
      </c>
      <c r="M6213" t="s">
        <v>671</v>
      </c>
      <c r="N6213" t="s">
        <v>700</v>
      </c>
      <c r="O6213" t="s">
        <v>468</v>
      </c>
      <c r="P6213" t="s">
        <v>103</v>
      </c>
      <c r="Q6213" t="s">
        <v>103</v>
      </c>
    </row>
    <row r="6214" spans="1:18" x14ac:dyDescent="0.3">
      <c r="A6214" t="s">
        <v>29</v>
      </c>
      <c r="B6214">
        <v>683</v>
      </c>
      <c r="C6214" t="s">
        <v>565</v>
      </c>
      <c r="D6214" t="s">
        <v>370</v>
      </c>
      <c r="E6214" t="s">
        <v>216</v>
      </c>
      <c r="F6214" t="s">
        <v>214</v>
      </c>
      <c r="G6214" t="s">
        <v>103</v>
      </c>
      <c r="H6214" t="s">
        <v>120</v>
      </c>
      <c r="I6214" t="s">
        <v>119</v>
      </c>
      <c r="J6214" t="s">
        <v>190</v>
      </c>
      <c r="K6214" t="s">
        <v>124</v>
      </c>
      <c r="L6214" t="s">
        <v>438</v>
      </c>
      <c r="M6214" t="s">
        <v>646</v>
      </c>
      <c r="N6214" t="s">
        <v>890</v>
      </c>
      <c r="O6214" t="s">
        <v>239</v>
      </c>
      <c r="P6214" t="s">
        <v>103</v>
      </c>
      <c r="Q6214" t="s">
        <v>103</v>
      </c>
    </row>
    <row r="6215" spans="1:18" x14ac:dyDescent="0.3">
      <c r="A6215" t="s">
        <v>28</v>
      </c>
      <c r="B6215">
        <v>242</v>
      </c>
      <c r="C6215" t="s">
        <v>46</v>
      </c>
      <c r="D6215" t="s">
        <v>421</v>
      </c>
      <c r="E6215" t="s">
        <v>194</v>
      </c>
      <c r="F6215" t="s">
        <v>257</v>
      </c>
      <c r="G6215" t="s">
        <v>103</v>
      </c>
      <c r="H6215" t="s">
        <v>103</v>
      </c>
      <c r="I6215" t="s">
        <v>549</v>
      </c>
      <c r="J6215" t="s">
        <v>117</v>
      </c>
      <c r="K6215" t="s">
        <v>64</v>
      </c>
      <c r="L6215" t="s">
        <v>105</v>
      </c>
      <c r="M6215" t="s">
        <v>1014</v>
      </c>
      <c r="N6215" t="s">
        <v>629</v>
      </c>
      <c r="O6215" t="s">
        <v>345</v>
      </c>
      <c r="P6215" t="s">
        <v>120</v>
      </c>
      <c r="Q6215" t="s">
        <v>103</v>
      </c>
    </row>
    <row r="6216" spans="1:18" x14ac:dyDescent="0.3">
      <c r="A6216" t="s">
        <v>27</v>
      </c>
      <c r="B6216">
        <v>285</v>
      </c>
      <c r="C6216" t="s">
        <v>56</v>
      </c>
      <c r="D6216" t="s">
        <v>1175</v>
      </c>
      <c r="E6216" t="s">
        <v>194</v>
      </c>
      <c r="F6216" t="s">
        <v>126</v>
      </c>
      <c r="G6216" t="s">
        <v>116</v>
      </c>
      <c r="H6216" t="s">
        <v>232</v>
      </c>
      <c r="I6216" t="s">
        <v>169</v>
      </c>
      <c r="J6216" t="s">
        <v>648</v>
      </c>
      <c r="K6216" t="s">
        <v>32</v>
      </c>
      <c r="L6216" t="s">
        <v>110</v>
      </c>
      <c r="M6216" t="s">
        <v>619</v>
      </c>
      <c r="N6216" t="s">
        <v>146</v>
      </c>
      <c r="O6216" t="s">
        <v>105</v>
      </c>
      <c r="P6216" t="s">
        <v>95</v>
      </c>
      <c r="Q6216" t="s">
        <v>95</v>
      </c>
    </row>
    <row r="6217" spans="1:18" x14ac:dyDescent="0.3">
      <c r="A6217" t="s">
        <v>41</v>
      </c>
      <c r="B6217">
        <v>2152</v>
      </c>
      <c r="C6217" t="s">
        <v>646</v>
      </c>
      <c r="D6217" t="s">
        <v>538</v>
      </c>
      <c r="E6217" t="s">
        <v>239</v>
      </c>
      <c r="F6217" t="s">
        <v>186</v>
      </c>
      <c r="G6217" t="s">
        <v>103</v>
      </c>
      <c r="H6217" t="s">
        <v>95</v>
      </c>
      <c r="I6217" t="s">
        <v>137</v>
      </c>
      <c r="J6217" t="s">
        <v>262</v>
      </c>
      <c r="K6217" t="s">
        <v>452</v>
      </c>
      <c r="L6217" t="s">
        <v>438</v>
      </c>
      <c r="M6217" t="s">
        <v>671</v>
      </c>
      <c r="N6217" t="s">
        <v>123</v>
      </c>
      <c r="O6217" t="s">
        <v>239</v>
      </c>
      <c r="P6217" t="s">
        <v>103</v>
      </c>
      <c r="Q6217" t="s">
        <v>66</v>
      </c>
    </row>
    <row r="6219" spans="1:18" x14ac:dyDescent="0.3">
      <c r="A6219" t="s">
        <v>2210</v>
      </c>
    </row>
    <row r="6220" spans="1:18" x14ac:dyDescent="0.3">
      <c r="A6220" t="s">
        <v>36</v>
      </c>
      <c r="B6220" t="s">
        <v>2172</v>
      </c>
      <c r="C6220" t="s">
        <v>24</v>
      </c>
      <c r="D6220" t="s">
        <v>2198</v>
      </c>
      <c r="E6220" t="s">
        <v>2199</v>
      </c>
      <c r="F6220" t="s">
        <v>2200</v>
      </c>
      <c r="G6220" t="s">
        <v>2201</v>
      </c>
      <c r="H6220" t="s">
        <v>2202</v>
      </c>
      <c r="I6220" t="s">
        <v>2203</v>
      </c>
      <c r="J6220" t="s">
        <v>2204</v>
      </c>
      <c r="K6220" t="s">
        <v>2205</v>
      </c>
      <c r="L6220" t="s">
        <v>2206</v>
      </c>
      <c r="M6220" t="s">
        <v>2207</v>
      </c>
      <c r="N6220" t="s">
        <v>2208</v>
      </c>
      <c r="O6220" t="s">
        <v>2209</v>
      </c>
      <c r="P6220" t="s">
        <v>89</v>
      </c>
      <c r="Q6220" t="s">
        <v>87</v>
      </c>
      <c r="R6220" t="s">
        <v>181</v>
      </c>
    </row>
    <row r="6221" spans="1:18" s="3" customFormat="1" x14ac:dyDescent="0.3">
      <c r="A6221" s="3" t="s">
        <v>25</v>
      </c>
      <c r="B6221" s="3" t="s">
        <v>844</v>
      </c>
      <c r="C6221" s="3">
        <v>16</v>
      </c>
      <c r="D6221" s="3" t="s">
        <v>1091</v>
      </c>
      <c r="E6221" s="3" t="s">
        <v>474</v>
      </c>
      <c r="F6221" s="3" t="s">
        <v>103</v>
      </c>
      <c r="G6221" s="3" t="s">
        <v>127</v>
      </c>
      <c r="H6221" s="3" t="s">
        <v>103</v>
      </c>
      <c r="I6221" s="3" t="s">
        <v>103</v>
      </c>
      <c r="J6221" s="3" t="s">
        <v>103</v>
      </c>
      <c r="K6221" s="3" t="s">
        <v>103</v>
      </c>
      <c r="L6221" s="3" t="s">
        <v>152</v>
      </c>
      <c r="M6221" s="3" t="s">
        <v>103</v>
      </c>
      <c r="N6221" s="3" t="s">
        <v>273</v>
      </c>
      <c r="O6221" s="3" t="s">
        <v>301</v>
      </c>
      <c r="P6221" s="3" t="s">
        <v>103</v>
      </c>
      <c r="Q6221" s="3" t="s">
        <v>103</v>
      </c>
      <c r="R6221" s="3" t="s">
        <v>103</v>
      </c>
    </row>
    <row r="6222" spans="1:18" s="3" customFormat="1" x14ac:dyDescent="0.3">
      <c r="A6222" s="3" t="s">
        <v>25</v>
      </c>
      <c r="B6222" s="3" t="s">
        <v>2173</v>
      </c>
      <c r="C6222" s="3">
        <v>23</v>
      </c>
      <c r="D6222" s="3" t="s">
        <v>1091</v>
      </c>
      <c r="E6222" s="3" t="s">
        <v>93</v>
      </c>
      <c r="F6222" s="3" t="s">
        <v>103</v>
      </c>
      <c r="G6222" s="3" t="s">
        <v>271</v>
      </c>
      <c r="H6222" s="3" t="s">
        <v>103</v>
      </c>
      <c r="I6222" s="3" t="s">
        <v>103</v>
      </c>
      <c r="J6222" s="3" t="s">
        <v>463</v>
      </c>
      <c r="K6222" s="3" t="s">
        <v>707</v>
      </c>
      <c r="L6222" s="3" t="s">
        <v>746</v>
      </c>
      <c r="M6222" s="3" t="s">
        <v>103</v>
      </c>
      <c r="N6222" s="3" t="s">
        <v>102</v>
      </c>
      <c r="O6222" s="3" t="s">
        <v>144</v>
      </c>
      <c r="P6222" s="3" t="s">
        <v>103</v>
      </c>
      <c r="Q6222" s="3" t="s">
        <v>103</v>
      </c>
      <c r="R6222" s="3" t="s">
        <v>103</v>
      </c>
    </row>
    <row r="6223" spans="1:18" s="3" customFormat="1" x14ac:dyDescent="0.3">
      <c r="A6223" s="3" t="s">
        <v>25</v>
      </c>
      <c r="B6223" s="3" t="s">
        <v>2174</v>
      </c>
      <c r="C6223" s="3">
        <v>13</v>
      </c>
      <c r="D6223" s="3" t="s">
        <v>1549</v>
      </c>
      <c r="E6223" s="3" t="s">
        <v>108</v>
      </c>
      <c r="F6223" s="3" t="s">
        <v>103</v>
      </c>
      <c r="G6223" s="3" t="s">
        <v>103</v>
      </c>
      <c r="H6223" s="3" t="s">
        <v>103</v>
      </c>
      <c r="I6223" s="3" t="s">
        <v>103</v>
      </c>
      <c r="J6223" s="3" t="s">
        <v>482</v>
      </c>
      <c r="K6223" s="3" t="s">
        <v>103</v>
      </c>
      <c r="L6223" s="3" t="s">
        <v>657</v>
      </c>
      <c r="M6223" s="3" t="s">
        <v>103</v>
      </c>
      <c r="N6223" s="3" t="s">
        <v>103</v>
      </c>
      <c r="O6223" s="3" t="s">
        <v>98</v>
      </c>
      <c r="P6223" s="3" t="s">
        <v>103</v>
      </c>
      <c r="Q6223" s="3" t="s">
        <v>103</v>
      </c>
      <c r="R6223" s="3" t="s">
        <v>103</v>
      </c>
    </row>
    <row r="6224" spans="1:18" s="3" customFormat="1" x14ac:dyDescent="0.3">
      <c r="A6224" s="3" t="s">
        <v>25</v>
      </c>
      <c r="B6224" s="3" t="s">
        <v>2175</v>
      </c>
      <c r="C6224" s="3">
        <v>11</v>
      </c>
      <c r="D6224" s="3" t="s">
        <v>1089</v>
      </c>
      <c r="E6224" s="3" t="s">
        <v>103</v>
      </c>
      <c r="F6224" s="3" t="s">
        <v>103</v>
      </c>
      <c r="G6224" s="3" t="s">
        <v>188</v>
      </c>
      <c r="H6224" s="3" t="s">
        <v>103</v>
      </c>
      <c r="I6224" s="3" t="s">
        <v>103</v>
      </c>
      <c r="J6224" s="3" t="s">
        <v>103</v>
      </c>
      <c r="K6224" s="3" t="s">
        <v>103</v>
      </c>
      <c r="L6224" s="3" t="s">
        <v>103</v>
      </c>
      <c r="M6224" s="3" t="s">
        <v>682</v>
      </c>
      <c r="N6224" s="3" t="s">
        <v>683</v>
      </c>
      <c r="O6224" s="3" t="s">
        <v>875</v>
      </c>
      <c r="P6224" s="3" t="s">
        <v>103</v>
      </c>
      <c r="Q6224" s="3" t="s">
        <v>103</v>
      </c>
      <c r="R6224" s="3" t="s">
        <v>103</v>
      </c>
    </row>
    <row r="6225" spans="1:18" x14ac:dyDescent="0.3">
      <c r="A6225" t="s">
        <v>25</v>
      </c>
      <c r="B6225" t="s">
        <v>2176</v>
      </c>
      <c r="C6225">
        <v>79</v>
      </c>
      <c r="D6225" t="s">
        <v>807</v>
      </c>
      <c r="E6225" t="s">
        <v>500</v>
      </c>
      <c r="F6225" t="s">
        <v>194</v>
      </c>
      <c r="G6225" t="s">
        <v>607</v>
      </c>
      <c r="H6225" t="s">
        <v>103</v>
      </c>
      <c r="I6225" t="s">
        <v>345</v>
      </c>
      <c r="J6225" t="s">
        <v>108</v>
      </c>
      <c r="K6225" t="s">
        <v>481</v>
      </c>
      <c r="L6225" t="s">
        <v>103</v>
      </c>
      <c r="M6225" t="s">
        <v>268</v>
      </c>
      <c r="N6225" t="s">
        <v>121</v>
      </c>
      <c r="O6225" t="s">
        <v>104</v>
      </c>
      <c r="P6225" t="s">
        <v>102</v>
      </c>
      <c r="Q6225" t="s">
        <v>103</v>
      </c>
      <c r="R6225" t="s">
        <v>103</v>
      </c>
    </row>
    <row r="6226" spans="1:18" x14ac:dyDescent="0.3">
      <c r="A6226" t="s">
        <v>25</v>
      </c>
      <c r="B6226" t="s">
        <v>2177</v>
      </c>
      <c r="C6226">
        <v>81</v>
      </c>
      <c r="D6226" t="s">
        <v>148</v>
      </c>
      <c r="E6226" t="s">
        <v>1401</v>
      </c>
      <c r="F6226" t="s">
        <v>282</v>
      </c>
      <c r="G6226" t="s">
        <v>70</v>
      </c>
      <c r="H6226" t="s">
        <v>103</v>
      </c>
      <c r="I6226" t="s">
        <v>239</v>
      </c>
      <c r="J6226" t="s">
        <v>239</v>
      </c>
      <c r="K6226" t="s">
        <v>275</v>
      </c>
      <c r="L6226" t="s">
        <v>103</v>
      </c>
      <c r="M6226" t="s">
        <v>125</v>
      </c>
      <c r="N6226" t="s">
        <v>461</v>
      </c>
      <c r="O6226" t="s">
        <v>463</v>
      </c>
      <c r="P6226" t="s">
        <v>270</v>
      </c>
      <c r="Q6226" t="s">
        <v>103</v>
      </c>
      <c r="R6226" t="s">
        <v>105</v>
      </c>
    </row>
    <row r="6227" spans="1:18" x14ac:dyDescent="0.3">
      <c r="A6227" t="s">
        <v>25</v>
      </c>
      <c r="B6227" t="s">
        <v>2178</v>
      </c>
      <c r="C6227">
        <v>100</v>
      </c>
      <c r="D6227" t="s">
        <v>140</v>
      </c>
      <c r="E6227" t="s">
        <v>884</v>
      </c>
      <c r="F6227" t="s">
        <v>103</v>
      </c>
      <c r="G6227" t="s">
        <v>120</v>
      </c>
      <c r="H6227" t="s">
        <v>103</v>
      </c>
      <c r="I6227" t="s">
        <v>103</v>
      </c>
      <c r="J6227" t="s">
        <v>591</v>
      </c>
      <c r="K6227" t="s">
        <v>92</v>
      </c>
      <c r="L6227" t="s">
        <v>103</v>
      </c>
      <c r="M6227" t="s">
        <v>120</v>
      </c>
      <c r="N6227" t="s">
        <v>670</v>
      </c>
      <c r="O6227" t="s">
        <v>543</v>
      </c>
      <c r="P6227" t="s">
        <v>103</v>
      </c>
      <c r="Q6227" t="s">
        <v>103</v>
      </c>
      <c r="R6227" t="s">
        <v>103</v>
      </c>
    </row>
    <row r="6228" spans="1:18" s="3" customFormat="1" x14ac:dyDescent="0.3">
      <c r="A6228" s="3" t="s">
        <v>25</v>
      </c>
      <c r="B6228" s="3" t="s">
        <v>846</v>
      </c>
      <c r="C6228" s="3">
        <v>17</v>
      </c>
      <c r="D6228" s="3" t="s">
        <v>691</v>
      </c>
      <c r="E6228" s="3" t="s">
        <v>56</v>
      </c>
      <c r="F6228" s="3" t="s">
        <v>103</v>
      </c>
      <c r="G6228" s="3" t="s">
        <v>123</v>
      </c>
      <c r="H6228" s="3" t="s">
        <v>103</v>
      </c>
      <c r="I6228" s="3" t="s">
        <v>103</v>
      </c>
      <c r="J6228" s="3" t="s">
        <v>629</v>
      </c>
      <c r="K6228" s="3" t="s">
        <v>123</v>
      </c>
      <c r="L6228" s="3" t="s">
        <v>148</v>
      </c>
      <c r="M6228" s="3" t="s">
        <v>103</v>
      </c>
      <c r="N6228" s="3" t="s">
        <v>694</v>
      </c>
      <c r="O6228" s="3" t="s">
        <v>734</v>
      </c>
      <c r="P6228" s="3" t="s">
        <v>103</v>
      </c>
      <c r="Q6228" s="3" t="s">
        <v>103</v>
      </c>
      <c r="R6228" s="3" t="s">
        <v>103</v>
      </c>
    </row>
    <row r="6229" spans="1:18" s="3" customFormat="1" x14ac:dyDescent="0.3">
      <c r="A6229" s="3" t="s">
        <v>25</v>
      </c>
      <c r="B6229" s="3" t="s">
        <v>2179</v>
      </c>
      <c r="C6229" s="3">
        <v>20</v>
      </c>
      <c r="D6229" s="3" t="s">
        <v>1284</v>
      </c>
      <c r="E6229" s="3" t="s">
        <v>119</v>
      </c>
      <c r="F6229" s="3" t="s">
        <v>103</v>
      </c>
      <c r="G6229" s="3" t="s">
        <v>103</v>
      </c>
      <c r="H6229" s="3" t="s">
        <v>103</v>
      </c>
      <c r="I6229" s="3" t="s">
        <v>103</v>
      </c>
      <c r="J6229" s="3" t="s">
        <v>103</v>
      </c>
      <c r="K6229" s="3" t="s">
        <v>469</v>
      </c>
      <c r="L6229" s="3" t="s">
        <v>815</v>
      </c>
      <c r="M6229" s="3" t="s">
        <v>103</v>
      </c>
      <c r="N6229" s="3" t="s">
        <v>528</v>
      </c>
      <c r="O6229" s="3" t="s">
        <v>549</v>
      </c>
      <c r="P6229" s="3" t="s">
        <v>112</v>
      </c>
      <c r="Q6229" s="3" t="s">
        <v>103</v>
      </c>
      <c r="R6229" s="3" t="s">
        <v>103</v>
      </c>
    </row>
    <row r="6230" spans="1:18" s="3" customFormat="1" x14ac:dyDescent="0.3">
      <c r="A6230" s="3" t="s">
        <v>25</v>
      </c>
      <c r="B6230" s="3" t="s">
        <v>2180</v>
      </c>
      <c r="C6230" s="3">
        <v>15</v>
      </c>
      <c r="D6230" s="3" t="s">
        <v>703</v>
      </c>
      <c r="E6230" s="3" t="s">
        <v>266</v>
      </c>
      <c r="F6230" s="3" t="s">
        <v>103</v>
      </c>
      <c r="G6230" s="3" t="s">
        <v>103</v>
      </c>
      <c r="H6230" s="3" t="s">
        <v>103</v>
      </c>
      <c r="I6230" s="3" t="s">
        <v>103</v>
      </c>
      <c r="J6230" s="3" t="s">
        <v>103</v>
      </c>
      <c r="K6230" s="3" t="s">
        <v>103</v>
      </c>
      <c r="L6230" s="3" t="s">
        <v>130</v>
      </c>
      <c r="M6230" s="3" t="s">
        <v>103</v>
      </c>
      <c r="N6230" s="3" t="s">
        <v>271</v>
      </c>
      <c r="O6230" s="3" t="s">
        <v>104</v>
      </c>
      <c r="P6230" s="3" t="s">
        <v>103</v>
      </c>
      <c r="Q6230" s="3" t="s">
        <v>103</v>
      </c>
      <c r="R6230" s="3" t="s">
        <v>103</v>
      </c>
    </row>
    <row r="6231" spans="1:18" s="3" customFormat="1" x14ac:dyDescent="0.3">
      <c r="A6231" s="3" t="s">
        <v>25</v>
      </c>
      <c r="B6231" s="3" t="s">
        <v>2181</v>
      </c>
      <c r="C6231" s="3">
        <v>7</v>
      </c>
      <c r="D6231" s="3" t="s">
        <v>920</v>
      </c>
      <c r="E6231" s="3" t="s">
        <v>92</v>
      </c>
      <c r="F6231" s="3" t="s">
        <v>103</v>
      </c>
      <c r="G6231" s="3" t="s">
        <v>103</v>
      </c>
      <c r="H6231" s="3" t="s">
        <v>103</v>
      </c>
      <c r="I6231" s="3" t="s">
        <v>103</v>
      </c>
      <c r="J6231" s="3" t="s">
        <v>103</v>
      </c>
      <c r="K6231" s="3" t="s">
        <v>551</v>
      </c>
      <c r="L6231" s="3" t="s">
        <v>103</v>
      </c>
      <c r="M6231" s="3" t="s">
        <v>103</v>
      </c>
      <c r="N6231" s="3" t="s">
        <v>509</v>
      </c>
      <c r="O6231" s="3" t="s">
        <v>92</v>
      </c>
      <c r="P6231" s="3" t="s">
        <v>103</v>
      </c>
      <c r="Q6231" s="3" t="s">
        <v>103</v>
      </c>
      <c r="R6231" s="3" t="s">
        <v>103</v>
      </c>
    </row>
    <row r="6232" spans="1:18" x14ac:dyDescent="0.3">
      <c r="A6232" t="s">
        <v>25</v>
      </c>
      <c r="B6232" t="s">
        <v>2182</v>
      </c>
      <c r="C6232">
        <v>40</v>
      </c>
      <c r="D6232" t="s">
        <v>160</v>
      </c>
      <c r="E6232" t="s">
        <v>948</v>
      </c>
      <c r="F6232" t="s">
        <v>103</v>
      </c>
      <c r="G6232" t="s">
        <v>103</v>
      </c>
      <c r="H6232" t="s">
        <v>103</v>
      </c>
      <c r="I6232" t="s">
        <v>118</v>
      </c>
      <c r="J6232" t="s">
        <v>571</v>
      </c>
      <c r="K6232" t="s">
        <v>167</v>
      </c>
      <c r="L6232" t="s">
        <v>103</v>
      </c>
      <c r="M6232" t="s">
        <v>103</v>
      </c>
      <c r="N6232" t="s">
        <v>506</v>
      </c>
      <c r="O6232" t="s">
        <v>737</v>
      </c>
      <c r="P6232" t="s">
        <v>103</v>
      </c>
      <c r="Q6232" t="s">
        <v>103</v>
      </c>
      <c r="R6232" t="s">
        <v>615</v>
      </c>
    </row>
    <row r="6233" spans="1:18" x14ac:dyDescent="0.3">
      <c r="A6233" t="s">
        <v>25</v>
      </c>
      <c r="B6233" t="s">
        <v>2183</v>
      </c>
      <c r="C6233">
        <v>37</v>
      </c>
      <c r="D6233" t="s">
        <v>99</v>
      </c>
      <c r="E6233" t="s">
        <v>1375</v>
      </c>
      <c r="F6233" t="s">
        <v>103</v>
      </c>
      <c r="G6233" t="s">
        <v>103</v>
      </c>
      <c r="H6233" t="s">
        <v>103</v>
      </c>
      <c r="I6233" t="s">
        <v>257</v>
      </c>
      <c r="J6233" t="s">
        <v>104</v>
      </c>
      <c r="K6233" t="s">
        <v>273</v>
      </c>
      <c r="L6233" t="s">
        <v>103</v>
      </c>
      <c r="M6233" t="s">
        <v>103</v>
      </c>
      <c r="N6233" t="s">
        <v>293</v>
      </c>
      <c r="O6233" t="s">
        <v>466</v>
      </c>
      <c r="P6233" t="s">
        <v>615</v>
      </c>
      <c r="Q6233" t="s">
        <v>103</v>
      </c>
      <c r="R6233" t="s">
        <v>103</v>
      </c>
    </row>
    <row r="6234" spans="1:18" x14ac:dyDescent="0.3">
      <c r="A6234" t="s">
        <v>25</v>
      </c>
      <c r="B6234" t="s">
        <v>2184</v>
      </c>
      <c r="C6234">
        <v>38</v>
      </c>
      <c r="D6234" t="s">
        <v>680</v>
      </c>
      <c r="E6234" t="s">
        <v>799</v>
      </c>
      <c r="F6234" t="s">
        <v>98</v>
      </c>
      <c r="G6234" t="s">
        <v>103</v>
      </c>
      <c r="H6234" t="s">
        <v>103</v>
      </c>
      <c r="I6234" t="s">
        <v>103</v>
      </c>
      <c r="J6234" t="s">
        <v>467</v>
      </c>
      <c r="K6234" t="s">
        <v>232</v>
      </c>
      <c r="L6234" t="s">
        <v>103</v>
      </c>
      <c r="M6234" t="s">
        <v>103</v>
      </c>
      <c r="N6234" t="s">
        <v>697</v>
      </c>
      <c r="O6234" t="s">
        <v>206</v>
      </c>
      <c r="P6234" t="s">
        <v>438</v>
      </c>
      <c r="Q6234" t="s">
        <v>103</v>
      </c>
      <c r="R6234" t="s">
        <v>103</v>
      </c>
    </row>
    <row r="6235" spans="1:18" s="3" customFormat="1" x14ac:dyDescent="0.3">
      <c r="A6235" s="3" t="s">
        <v>26</v>
      </c>
      <c r="B6235" s="3" t="s">
        <v>844</v>
      </c>
      <c r="C6235" s="3">
        <v>15</v>
      </c>
      <c r="D6235" s="3" t="s">
        <v>643</v>
      </c>
      <c r="E6235" s="3" t="s">
        <v>519</v>
      </c>
      <c r="F6235" s="3" t="s">
        <v>103</v>
      </c>
      <c r="G6235" s="3" t="s">
        <v>278</v>
      </c>
      <c r="H6235" s="3" t="s">
        <v>103</v>
      </c>
      <c r="I6235" s="3" t="s">
        <v>103</v>
      </c>
      <c r="J6235" s="3" t="s">
        <v>707</v>
      </c>
      <c r="K6235" s="3" t="s">
        <v>228</v>
      </c>
      <c r="L6235" s="3" t="s">
        <v>746</v>
      </c>
      <c r="M6235" s="3" t="s">
        <v>103</v>
      </c>
      <c r="N6235" s="3" t="s">
        <v>436</v>
      </c>
      <c r="O6235" s="3" t="s">
        <v>650</v>
      </c>
      <c r="P6235" s="3" t="s">
        <v>103</v>
      </c>
      <c r="Q6235" s="3" t="s">
        <v>103</v>
      </c>
      <c r="R6235" s="3" t="s">
        <v>103</v>
      </c>
    </row>
    <row r="6236" spans="1:18" s="3" customFormat="1" x14ac:dyDescent="0.3">
      <c r="A6236" s="3" t="s">
        <v>26</v>
      </c>
      <c r="B6236" s="3" t="s">
        <v>2173</v>
      </c>
      <c r="C6236" s="3">
        <v>26</v>
      </c>
      <c r="D6236" s="3" t="s">
        <v>367</v>
      </c>
      <c r="E6236" s="3" t="s">
        <v>475</v>
      </c>
      <c r="F6236" s="3" t="s">
        <v>103</v>
      </c>
      <c r="G6236" s="3" t="s">
        <v>103</v>
      </c>
      <c r="H6236" s="3" t="s">
        <v>103</v>
      </c>
      <c r="I6236" s="3" t="s">
        <v>103</v>
      </c>
      <c r="J6236" s="3" t="s">
        <v>272</v>
      </c>
      <c r="K6236" s="3" t="s">
        <v>112</v>
      </c>
      <c r="L6236" s="3" t="s">
        <v>123</v>
      </c>
      <c r="M6236" s="3" t="s">
        <v>103</v>
      </c>
      <c r="N6236" s="3" t="s">
        <v>927</v>
      </c>
      <c r="O6236" s="3" t="s">
        <v>1219</v>
      </c>
      <c r="P6236" s="3" t="s">
        <v>125</v>
      </c>
      <c r="Q6236" s="3" t="s">
        <v>103</v>
      </c>
      <c r="R6236" s="3" t="s">
        <v>103</v>
      </c>
    </row>
    <row r="6237" spans="1:18" s="3" customFormat="1" x14ac:dyDescent="0.3">
      <c r="A6237" s="3" t="s">
        <v>26</v>
      </c>
      <c r="B6237" s="3" t="s">
        <v>2174</v>
      </c>
      <c r="C6237" s="3">
        <v>16</v>
      </c>
      <c r="D6237" s="3" t="s">
        <v>937</v>
      </c>
      <c r="E6237" s="3" t="s">
        <v>114</v>
      </c>
      <c r="F6237" s="3" t="s">
        <v>438</v>
      </c>
      <c r="G6237" s="3" t="s">
        <v>114</v>
      </c>
      <c r="H6237" s="3" t="s">
        <v>103</v>
      </c>
      <c r="I6237" s="3" t="s">
        <v>103</v>
      </c>
      <c r="J6237" s="3" t="s">
        <v>188</v>
      </c>
      <c r="K6237" s="3" t="s">
        <v>103</v>
      </c>
      <c r="L6237" s="3" t="s">
        <v>409</v>
      </c>
      <c r="M6237" s="3" t="s">
        <v>103</v>
      </c>
      <c r="N6237" s="3" t="s">
        <v>743</v>
      </c>
      <c r="O6237" s="3" t="s">
        <v>438</v>
      </c>
      <c r="P6237" s="3" t="s">
        <v>103</v>
      </c>
      <c r="Q6237" s="3" t="s">
        <v>103</v>
      </c>
      <c r="R6237" s="3" t="s">
        <v>103</v>
      </c>
    </row>
    <row r="6238" spans="1:18" s="3" customFormat="1" x14ac:dyDescent="0.3">
      <c r="A6238" s="3" t="s">
        <v>26</v>
      </c>
      <c r="B6238" s="3" t="s">
        <v>2175</v>
      </c>
      <c r="C6238" s="3">
        <v>8</v>
      </c>
      <c r="D6238" s="3" t="s">
        <v>169</v>
      </c>
      <c r="E6238" s="3" t="s">
        <v>659</v>
      </c>
      <c r="F6238" s="3" t="s">
        <v>103</v>
      </c>
      <c r="G6238" s="3" t="s">
        <v>607</v>
      </c>
      <c r="H6238" s="3" t="s">
        <v>103</v>
      </c>
      <c r="I6238" s="3" t="s">
        <v>103</v>
      </c>
      <c r="J6238" s="3" t="s">
        <v>103</v>
      </c>
      <c r="K6238" s="3" t="s">
        <v>103</v>
      </c>
      <c r="L6238" s="3" t="s">
        <v>103</v>
      </c>
      <c r="M6238" s="3" t="s">
        <v>743</v>
      </c>
      <c r="N6238" s="3" t="s">
        <v>103</v>
      </c>
      <c r="O6238" s="3" t="s">
        <v>1091</v>
      </c>
      <c r="P6238" s="3" t="s">
        <v>103</v>
      </c>
      <c r="Q6238" s="3" t="s">
        <v>103</v>
      </c>
      <c r="R6238" s="3" t="s">
        <v>103</v>
      </c>
    </row>
    <row r="6239" spans="1:18" x14ac:dyDescent="0.3">
      <c r="A6239" t="s">
        <v>26</v>
      </c>
      <c r="B6239" t="s">
        <v>2176</v>
      </c>
      <c r="C6239">
        <v>67</v>
      </c>
      <c r="D6239" t="s">
        <v>518</v>
      </c>
      <c r="E6239" t="s">
        <v>353</v>
      </c>
      <c r="F6239" t="s">
        <v>468</v>
      </c>
      <c r="G6239" t="s">
        <v>607</v>
      </c>
      <c r="H6239" t="s">
        <v>103</v>
      </c>
      <c r="I6239" t="s">
        <v>216</v>
      </c>
      <c r="J6239" t="s">
        <v>251</v>
      </c>
      <c r="K6239" t="s">
        <v>251</v>
      </c>
      <c r="L6239" t="s">
        <v>103</v>
      </c>
      <c r="M6239" t="s">
        <v>472</v>
      </c>
      <c r="N6239" t="s">
        <v>456</v>
      </c>
      <c r="O6239" t="s">
        <v>925</v>
      </c>
      <c r="P6239" t="s">
        <v>103</v>
      </c>
      <c r="Q6239" t="s">
        <v>103</v>
      </c>
      <c r="R6239" t="s">
        <v>103</v>
      </c>
    </row>
    <row r="6240" spans="1:18" x14ac:dyDescent="0.3">
      <c r="A6240" t="s">
        <v>26</v>
      </c>
      <c r="B6240" t="s">
        <v>2177</v>
      </c>
      <c r="C6240">
        <v>74</v>
      </c>
      <c r="D6240" t="s">
        <v>206</v>
      </c>
      <c r="E6240" t="s">
        <v>886</v>
      </c>
      <c r="F6240" t="s">
        <v>272</v>
      </c>
      <c r="G6240" t="s">
        <v>116</v>
      </c>
      <c r="H6240" t="s">
        <v>103</v>
      </c>
      <c r="I6240" t="s">
        <v>103</v>
      </c>
      <c r="J6240" t="s">
        <v>272</v>
      </c>
      <c r="K6240" t="s">
        <v>254</v>
      </c>
      <c r="L6240" t="s">
        <v>103</v>
      </c>
      <c r="M6240" t="s">
        <v>239</v>
      </c>
      <c r="N6240" t="s">
        <v>552</v>
      </c>
      <c r="O6240" t="s">
        <v>48</v>
      </c>
      <c r="P6240" t="s">
        <v>103</v>
      </c>
      <c r="Q6240" t="s">
        <v>103</v>
      </c>
      <c r="R6240" t="s">
        <v>103</v>
      </c>
    </row>
    <row r="6241" spans="1:18" x14ac:dyDescent="0.3">
      <c r="A6241" t="s">
        <v>26</v>
      </c>
      <c r="B6241" t="s">
        <v>2178</v>
      </c>
      <c r="C6241">
        <v>79</v>
      </c>
      <c r="D6241" t="s">
        <v>571</v>
      </c>
      <c r="E6241" t="s">
        <v>760</v>
      </c>
      <c r="F6241" t="s">
        <v>266</v>
      </c>
      <c r="G6241" t="s">
        <v>103</v>
      </c>
      <c r="H6241" t="s">
        <v>103</v>
      </c>
      <c r="I6241" t="s">
        <v>103</v>
      </c>
      <c r="J6241" t="s">
        <v>918</v>
      </c>
      <c r="K6241" t="s">
        <v>281</v>
      </c>
      <c r="L6241" t="s">
        <v>103</v>
      </c>
      <c r="M6241" t="s">
        <v>103</v>
      </c>
      <c r="N6241" t="s">
        <v>1143</v>
      </c>
      <c r="O6241" t="s">
        <v>281</v>
      </c>
      <c r="P6241" t="s">
        <v>110</v>
      </c>
      <c r="Q6241" t="s">
        <v>103</v>
      </c>
      <c r="R6241" t="s">
        <v>103</v>
      </c>
    </row>
    <row r="6242" spans="1:18" s="3" customFormat="1" x14ac:dyDescent="0.3">
      <c r="A6242" s="3" t="s">
        <v>26</v>
      </c>
      <c r="B6242" s="3" t="s">
        <v>846</v>
      </c>
      <c r="C6242" s="3">
        <v>14</v>
      </c>
      <c r="D6242" s="3" t="s">
        <v>679</v>
      </c>
      <c r="E6242" s="3" t="s">
        <v>124</v>
      </c>
      <c r="F6242" s="3" t="s">
        <v>103</v>
      </c>
      <c r="G6242" s="3" t="s">
        <v>103</v>
      </c>
      <c r="H6242" s="3" t="s">
        <v>103</v>
      </c>
      <c r="I6242" s="3" t="s">
        <v>103</v>
      </c>
      <c r="J6242" s="3" t="s">
        <v>103</v>
      </c>
      <c r="K6242" s="3" t="s">
        <v>103</v>
      </c>
      <c r="L6242" s="3" t="s">
        <v>482</v>
      </c>
      <c r="M6242" s="3" t="s">
        <v>687</v>
      </c>
      <c r="N6242" s="3" t="s">
        <v>797</v>
      </c>
      <c r="O6242" s="3" t="s">
        <v>1082</v>
      </c>
      <c r="P6242" s="3" t="s">
        <v>103</v>
      </c>
      <c r="Q6242" s="3" t="s">
        <v>103</v>
      </c>
      <c r="R6242" s="3" t="s">
        <v>103</v>
      </c>
    </row>
    <row r="6243" spans="1:18" s="3" customFormat="1" x14ac:dyDescent="0.3">
      <c r="A6243" s="3" t="s">
        <v>26</v>
      </c>
      <c r="B6243" s="3" t="s">
        <v>2179</v>
      </c>
      <c r="C6243" s="3">
        <v>18</v>
      </c>
      <c r="D6243" s="3" t="s">
        <v>934</v>
      </c>
      <c r="E6243" s="3" t="s">
        <v>528</v>
      </c>
      <c r="F6243" s="3" t="s">
        <v>103</v>
      </c>
      <c r="G6243" s="3" t="s">
        <v>103</v>
      </c>
      <c r="H6243" s="3" t="s">
        <v>103</v>
      </c>
      <c r="I6243" s="3" t="s">
        <v>103</v>
      </c>
      <c r="J6243" s="3" t="s">
        <v>531</v>
      </c>
      <c r="K6243" s="3" t="s">
        <v>103</v>
      </c>
      <c r="L6243" s="3" t="s">
        <v>570</v>
      </c>
      <c r="M6243" s="3" t="s">
        <v>103</v>
      </c>
      <c r="N6243" s="3" t="s">
        <v>506</v>
      </c>
      <c r="O6243" s="3" t="s">
        <v>269</v>
      </c>
      <c r="P6243" s="3" t="s">
        <v>103</v>
      </c>
      <c r="Q6243" s="3" t="s">
        <v>103</v>
      </c>
      <c r="R6243" s="3" t="s">
        <v>103</v>
      </c>
    </row>
    <row r="6244" spans="1:18" s="3" customFormat="1" x14ac:dyDescent="0.3">
      <c r="A6244" s="3" t="s">
        <v>26</v>
      </c>
      <c r="B6244" s="3" t="s">
        <v>2180</v>
      </c>
      <c r="C6244" s="3">
        <v>13</v>
      </c>
      <c r="D6244" s="3" t="s">
        <v>866</v>
      </c>
      <c r="E6244" s="3" t="s">
        <v>900</v>
      </c>
      <c r="F6244" s="3" t="s">
        <v>103</v>
      </c>
      <c r="G6244" s="3" t="s">
        <v>103</v>
      </c>
      <c r="H6244" s="3" t="s">
        <v>103</v>
      </c>
      <c r="I6244" s="3" t="s">
        <v>103</v>
      </c>
      <c r="J6244" s="3" t="s">
        <v>103</v>
      </c>
      <c r="K6244" s="3" t="s">
        <v>103</v>
      </c>
      <c r="L6244" s="3" t="s">
        <v>167</v>
      </c>
      <c r="M6244" s="3" t="s">
        <v>103</v>
      </c>
      <c r="N6244" s="3" t="s">
        <v>119</v>
      </c>
      <c r="O6244" s="3" t="s">
        <v>452</v>
      </c>
      <c r="P6244" s="3" t="s">
        <v>103</v>
      </c>
      <c r="Q6244" s="3" t="s">
        <v>103</v>
      </c>
      <c r="R6244" s="3" t="s">
        <v>103</v>
      </c>
    </row>
    <row r="6245" spans="1:18" s="3" customFormat="1" x14ac:dyDescent="0.3">
      <c r="A6245" s="3" t="s">
        <v>26</v>
      </c>
      <c r="B6245" s="3" t="s">
        <v>2181</v>
      </c>
      <c r="C6245" s="3">
        <v>10</v>
      </c>
      <c r="D6245" s="3" t="s">
        <v>273</v>
      </c>
      <c r="E6245" s="3" t="s">
        <v>1025</v>
      </c>
      <c r="F6245" s="3" t="s">
        <v>103</v>
      </c>
      <c r="G6245" s="3" t="s">
        <v>483</v>
      </c>
      <c r="H6245" s="3" t="s">
        <v>103</v>
      </c>
      <c r="I6245" s="3" t="s">
        <v>103</v>
      </c>
      <c r="J6245" s="3" t="s">
        <v>205</v>
      </c>
      <c r="K6245" s="3" t="s">
        <v>269</v>
      </c>
      <c r="L6245" s="3" t="s">
        <v>103</v>
      </c>
      <c r="M6245" s="3" t="s">
        <v>103</v>
      </c>
      <c r="N6245" s="3" t="s">
        <v>48</v>
      </c>
      <c r="O6245" s="3" t="s">
        <v>272</v>
      </c>
      <c r="P6245" s="3" t="s">
        <v>103</v>
      </c>
      <c r="Q6245" s="3" t="s">
        <v>103</v>
      </c>
      <c r="R6245" s="3" t="s">
        <v>103</v>
      </c>
    </row>
    <row r="6246" spans="1:18" x14ac:dyDescent="0.3">
      <c r="A6246" t="s">
        <v>26</v>
      </c>
      <c r="B6246" t="s">
        <v>2182</v>
      </c>
      <c r="C6246">
        <v>48</v>
      </c>
      <c r="D6246" t="s">
        <v>494</v>
      </c>
      <c r="E6246" t="s">
        <v>1002</v>
      </c>
      <c r="F6246" t="s">
        <v>438</v>
      </c>
      <c r="G6246" t="s">
        <v>558</v>
      </c>
      <c r="H6246" t="s">
        <v>103</v>
      </c>
      <c r="I6246" t="s">
        <v>103</v>
      </c>
      <c r="J6246" t="s">
        <v>474</v>
      </c>
      <c r="K6246" t="s">
        <v>90</v>
      </c>
      <c r="L6246" t="s">
        <v>103</v>
      </c>
      <c r="M6246" t="s">
        <v>103</v>
      </c>
      <c r="N6246" t="s">
        <v>938</v>
      </c>
      <c r="O6246" t="s">
        <v>157</v>
      </c>
      <c r="P6246" t="s">
        <v>108</v>
      </c>
      <c r="Q6246" t="s">
        <v>103</v>
      </c>
      <c r="R6246" t="s">
        <v>103</v>
      </c>
    </row>
    <row r="6247" spans="1:18" x14ac:dyDescent="0.3">
      <c r="A6247" t="s">
        <v>26</v>
      </c>
      <c r="B6247" t="s">
        <v>2183</v>
      </c>
      <c r="C6247">
        <v>34</v>
      </c>
      <c r="D6247" t="s">
        <v>190</v>
      </c>
      <c r="E6247" t="s">
        <v>1169</v>
      </c>
      <c r="F6247" t="s">
        <v>594</v>
      </c>
      <c r="G6247" t="s">
        <v>125</v>
      </c>
      <c r="H6247" t="s">
        <v>103</v>
      </c>
      <c r="I6247" t="s">
        <v>103</v>
      </c>
      <c r="J6247" t="s">
        <v>114</v>
      </c>
      <c r="K6247" t="s">
        <v>273</v>
      </c>
      <c r="L6247" t="s">
        <v>103</v>
      </c>
      <c r="M6247" t="s">
        <v>103</v>
      </c>
      <c r="N6247" t="s">
        <v>682</v>
      </c>
      <c r="O6247" t="s">
        <v>284</v>
      </c>
      <c r="P6247" t="s">
        <v>103</v>
      </c>
      <c r="Q6247" t="s">
        <v>103</v>
      </c>
      <c r="R6247" t="s">
        <v>103</v>
      </c>
    </row>
    <row r="6248" spans="1:18" s="3" customFormat="1" x14ac:dyDescent="0.3">
      <c r="A6248" s="3" t="s">
        <v>26</v>
      </c>
      <c r="B6248" s="3" t="s">
        <v>2184</v>
      </c>
      <c r="C6248" s="3">
        <v>23</v>
      </c>
      <c r="D6248" s="3" t="s">
        <v>737</v>
      </c>
      <c r="E6248" s="3" t="s">
        <v>712</v>
      </c>
      <c r="F6248" s="3" t="s">
        <v>186</v>
      </c>
      <c r="G6248" s="3" t="s">
        <v>103</v>
      </c>
      <c r="H6248" s="3" t="s">
        <v>103</v>
      </c>
      <c r="I6248" s="3" t="s">
        <v>103</v>
      </c>
      <c r="J6248" s="3" t="s">
        <v>125</v>
      </c>
      <c r="K6248" s="3" t="s">
        <v>543</v>
      </c>
      <c r="L6248" s="3" t="s">
        <v>103</v>
      </c>
      <c r="M6248" s="3" t="s">
        <v>103</v>
      </c>
      <c r="N6248" s="3" t="s">
        <v>382</v>
      </c>
      <c r="O6248" s="3" t="s">
        <v>186</v>
      </c>
      <c r="P6248" s="3" t="s">
        <v>103</v>
      </c>
      <c r="Q6248" s="3" t="s">
        <v>103</v>
      </c>
      <c r="R6248" s="3" t="s">
        <v>103</v>
      </c>
    </row>
    <row r="6249" spans="1:18" s="3" customFormat="1" x14ac:dyDescent="0.3">
      <c r="A6249" s="3" t="s">
        <v>29</v>
      </c>
      <c r="B6249" s="3" t="s">
        <v>844</v>
      </c>
      <c r="C6249" s="3">
        <v>27</v>
      </c>
      <c r="D6249" s="3" t="s">
        <v>380</v>
      </c>
      <c r="E6249" s="3" t="s">
        <v>478</v>
      </c>
      <c r="F6249" s="3" t="s">
        <v>103</v>
      </c>
      <c r="G6249" s="3" t="s">
        <v>103</v>
      </c>
      <c r="H6249" s="3" t="s">
        <v>103</v>
      </c>
      <c r="I6249" s="3" t="s">
        <v>214</v>
      </c>
      <c r="J6249" s="3" t="s">
        <v>140</v>
      </c>
      <c r="K6249" s="3" t="s">
        <v>488</v>
      </c>
      <c r="L6249" s="3" t="s">
        <v>1083</v>
      </c>
      <c r="M6249" s="3" t="s">
        <v>103</v>
      </c>
      <c r="N6249" s="3" t="s">
        <v>550</v>
      </c>
      <c r="O6249" s="3" t="s">
        <v>813</v>
      </c>
      <c r="P6249" s="3" t="s">
        <v>103</v>
      </c>
      <c r="Q6249" s="3" t="s">
        <v>103</v>
      </c>
      <c r="R6249" s="3" t="s">
        <v>103</v>
      </c>
    </row>
    <row r="6250" spans="1:18" x14ac:dyDescent="0.3">
      <c r="A6250" t="s">
        <v>29</v>
      </c>
      <c r="B6250" t="s">
        <v>2173</v>
      </c>
      <c r="C6250">
        <v>48</v>
      </c>
      <c r="D6250" t="s">
        <v>929</v>
      </c>
      <c r="E6250" t="s">
        <v>104</v>
      </c>
      <c r="F6250" t="s">
        <v>103</v>
      </c>
      <c r="G6250" t="s">
        <v>251</v>
      </c>
      <c r="H6250" t="s">
        <v>103</v>
      </c>
      <c r="I6250" t="s">
        <v>103</v>
      </c>
      <c r="J6250" t="s">
        <v>113</v>
      </c>
      <c r="K6250" t="s">
        <v>190</v>
      </c>
      <c r="L6250" t="s">
        <v>927</v>
      </c>
      <c r="M6250" t="s">
        <v>103</v>
      </c>
      <c r="N6250" t="s">
        <v>162</v>
      </c>
      <c r="O6250" t="s">
        <v>918</v>
      </c>
      <c r="P6250" t="s">
        <v>103</v>
      </c>
      <c r="Q6250" t="s">
        <v>103</v>
      </c>
      <c r="R6250" t="s">
        <v>103</v>
      </c>
    </row>
    <row r="6251" spans="1:18" x14ac:dyDescent="0.3">
      <c r="A6251" t="s">
        <v>29</v>
      </c>
      <c r="B6251" t="s">
        <v>2174</v>
      </c>
      <c r="C6251">
        <v>35</v>
      </c>
      <c r="D6251" t="s">
        <v>2185</v>
      </c>
      <c r="E6251" t="s">
        <v>118</v>
      </c>
      <c r="F6251" t="s">
        <v>103</v>
      </c>
      <c r="G6251" t="s">
        <v>103</v>
      </c>
      <c r="H6251" t="s">
        <v>103</v>
      </c>
      <c r="I6251" t="s">
        <v>103</v>
      </c>
      <c r="J6251" t="s">
        <v>257</v>
      </c>
      <c r="K6251" t="s">
        <v>270</v>
      </c>
      <c r="L6251" t="s">
        <v>509</v>
      </c>
      <c r="M6251" t="s">
        <v>103</v>
      </c>
      <c r="N6251" t="s">
        <v>33</v>
      </c>
      <c r="O6251" t="s">
        <v>114</v>
      </c>
      <c r="P6251" t="s">
        <v>272</v>
      </c>
      <c r="Q6251" t="s">
        <v>103</v>
      </c>
      <c r="R6251" t="s">
        <v>103</v>
      </c>
    </row>
    <row r="6252" spans="1:18" s="3" customFormat="1" x14ac:dyDescent="0.3">
      <c r="A6252" s="3" t="s">
        <v>29</v>
      </c>
      <c r="B6252" s="3" t="s">
        <v>2175</v>
      </c>
      <c r="C6252" s="3">
        <v>12</v>
      </c>
      <c r="D6252" s="3" t="s">
        <v>268</v>
      </c>
      <c r="E6252" s="3" t="s">
        <v>443</v>
      </c>
      <c r="F6252" s="3" t="s">
        <v>103</v>
      </c>
      <c r="G6252" s="3" t="s">
        <v>819</v>
      </c>
      <c r="H6252" s="3" t="s">
        <v>103</v>
      </c>
      <c r="I6252" s="3" t="s">
        <v>103</v>
      </c>
      <c r="J6252" s="3" t="s">
        <v>103</v>
      </c>
      <c r="K6252" s="3" t="s">
        <v>90</v>
      </c>
      <c r="L6252" s="3" t="s">
        <v>103</v>
      </c>
      <c r="M6252" s="3" t="s">
        <v>1198</v>
      </c>
      <c r="N6252" s="3" t="s">
        <v>396</v>
      </c>
      <c r="O6252" s="3" t="s">
        <v>115</v>
      </c>
      <c r="P6252" s="3" t="s">
        <v>103</v>
      </c>
      <c r="Q6252" s="3" t="s">
        <v>103</v>
      </c>
      <c r="R6252" s="3" t="s">
        <v>103</v>
      </c>
    </row>
    <row r="6253" spans="1:18" x14ac:dyDescent="0.3">
      <c r="A6253" t="s">
        <v>29</v>
      </c>
      <c r="B6253" t="s">
        <v>2176</v>
      </c>
      <c r="C6253">
        <v>132</v>
      </c>
      <c r="D6253" t="s">
        <v>295</v>
      </c>
      <c r="E6253" t="s">
        <v>816</v>
      </c>
      <c r="F6253" t="s">
        <v>114</v>
      </c>
      <c r="G6253" t="s">
        <v>107</v>
      </c>
      <c r="H6253" t="s">
        <v>103</v>
      </c>
      <c r="I6253" t="s">
        <v>103</v>
      </c>
      <c r="J6253" t="s">
        <v>543</v>
      </c>
      <c r="K6253" t="s">
        <v>214</v>
      </c>
      <c r="L6253" t="s">
        <v>103</v>
      </c>
      <c r="M6253" t="s">
        <v>111</v>
      </c>
      <c r="N6253" t="s">
        <v>650</v>
      </c>
      <c r="O6253" t="s">
        <v>809</v>
      </c>
      <c r="P6253" t="s">
        <v>217</v>
      </c>
      <c r="Q6253" t="s">
        <v>103</v>
      </c>
      <c r="R6253" t="s">
        <v>103</v>
      </c>
    </row>
    <row r="6254" spans="1:18" x14ac:dyDescent="0.3">
      <c r="A6254" t="s">
        <v>29</v>
      </c>
      <c r="B6254" t="s">
        <v>2177</v>
      </c>
      <c r="C6254">
        <v>98</v>
      </c>
      <c r="D6254" t="s">
        <v>173</v>
      </c>
      <c r="E6254" t="s">
        <v>1397</v>
      </c>
      <c r="F6254" t="s">
        <v>195</v>
      </c>
      <c r="G6254" t="s">
        <v>118</v>
      </c>
      <c r="H6254" t="s">
        <v>103</v>
      </c>
      <c r="I6254" t="s">
        <v>103</v>
      </c>
      <c r="J6254" t="s">
        <v>92</v>
      </c>
      <c r="K6254" t="s">
        <v>144</v>
      </c>
      <c r="L6254" t="s">
        <v>103</v>
      </c>
      <c r="M6254" t="s">
        <v>438</v>
      </c>
      <c r="N6254" t="s">
        <v>1070</v>
      </c>
      <c r="O6254" t="s">
        <v>607</v>
      </c>
      <c r="P6254" t="s">
        <v>103</v>
      </c>
      <c r="Q6254" t="s">
        <v>103</v>
      </c>
      <c r="R6254" t="s">
        <v>103</v>
      </c>
    </row>
    <row r="6255" spans="1:18" x14ac:dyDescent="0.3">
      <c r="A6255" t="s">
        <v>29</v>
      </c>
      <c r="B6255" t="s">
        <v>2178</v>
      </c>
      <c r="C6255">
        <v>112</v>
      </c>
      <c r="D6255" t="s">
        <v>486</v>
      </c>
      <c r="E6255" t="s">
        <v>1062</v>
      </c>
      <c r="F6255" t="s">
        <v>468</v>
      </c>
      <c r="G6255" t="s">
        <v>98</v>
      </c>
      <c r="H6255" t="s">
        <v>103</v>
      </c>
      <c r="I6255" t="s">
        <v>103</v>
      </c>
      <c r="J6255" t="s">
        <v>144</v>
      </c>
      <c r="K6255" t="s">
        <v>101</v>
      </c>
      <c r="L6255" t="s">
        <v>103</v>
      </c>
      <c r="M6255" t="s">
        <v>103</v>
      </c>
      <c r="N6255" t="s">
        <v>674</v>
      </c>
      <c r="O6255" t="s">
        <v>32</v>
      </c>
      <c r="P6255" t="s">
        <v>103</v>
      </c>
      <c r="Q6255" t="s">
        <v>103</v>
      </c>
      <c r="R6255" t="s">
        <v>103</v>
      </c>
    </row>
    <row r="6256" spans="1:18" x14ac:dyDescent="0.3">
      <c r="A6256" t="s">
        <v>29</v>
      </c>
      <c r="B6256" t="s">
        <v>846</v>
      </c>
      <c r="C6256">
        <v>35</v>
      </c>
      <c r="D6256" t="s">
        <v>1203</v>
      </c>
      <c r="E6256" t="s">
        <v>565</v>
      </c>
      <c r="F6256" t="s">
        <v>103</v>
      </c>
      <c r="G6256" t="s">
        <v>157</v>
      </c>
      <c r="H6256" t="s">
        <v>103</v>
      </c>
      <c r="I6256" t="s">
        <v>103</v>
      </c>
      <c r="J6256" t="s">
        <v>152</v>
      </c>
      <c r="K6256" t="s">
        <v>118</v>
      </c>
      <c r="L6256" t="s">
        <v>48</v>
      </c>
      <c r="M6256" t="s">
        <v>103</v>
      </c>
      <c r="N6256" t="s">
        <v>118</v>
      </c>
      <c r="O6256" t="s">
        <v>565</v>
      </c>
      <c r="P6256" t="s">
        <v>103</v>
      </c>
      <c r="Q6256" t="s">
        <v>103</v>
      </c>
      <c r="R6256" t="s">
        <v>103</v>
      </c>
    </row>
    <row r="6257" spans="1:18" s="3" customFormat="1" x14ac:dyDescent="0.3">
      <c r="A6257" s="3" t="s">
        <v>29</v>
      </c>
      <c r="B6257" s="3" t="s">
        <v>2179</v>
      </c>
      <c r="C6257" s="3">
        <v>25</v>
      </c>
      <c r="D6257" s="3" t="s">
        <v>1208</v>
      </c>
      <c r="E6257" s="3" t="s">
        <v>208</v>
      </c>
      <c r="F6257" s="3" t="s">
        <v>103</v>
      </c>
      <c r="G6257" s="3" t="s">
        <v>103</v>
      </c>
      <c r="H6257" s="3" t="s">
        <v>103</v>
      </c>
      <c r="I6257" s="3" t="s">
        <v>103</v>
      </c>
      <c r="J6257" s="3" t="s">
        <v>680</v>
      </c>
      <c r="K6257" s="3" t="s">
        <v>103</v>
      </c>
      <c r="L6257" s="3" t="s">
        <v>486</v>
      </c>
      <c r="M6257" s="3" t="s">
        <v>103</v>
      </c>
      <c r="N6257" s="3" t="s">
        <v>112</v>
      </c>
      <c r="O6257" s="3" t="s">
        <v>504</v>
      </c>
      <c r="P6257" s="3" t="s">
        <v>103</v>
      </c>
      <c r="Q6257" s="3" t="s">
        <v>103</v>
      </c>
      <c r="R6257" s="3" t="s">
        <v>103</v>
      </c>
    </row>
    <row r="6258" spans="1:18" s="3" customFormat="1" x14ac:dyDescent="0.3">
      <c r="A6258" s="3" t="s">
        <v>29</v>
      </c>
      <c r="B6258" s="3" t="s">
        <v>2180</v>
      </c>
      <c r="C6258" s="3">
        <v>21</v>
      </c>
      <c r="D6258" s="3" t="s">
        <v>993</v>
      </c>
      <c r="E6258" s="3" t="s">
        <v>531</v>
      </c>
      <c r="F6258" s="3" t="s">
        <v>103</v>
      </c>
      <c r="G6258" s="3" t="s">
        <v>103</v>
      </c>
      <c r="H6258" s="3" t="s">
        <v>103</v>
      </c>
      <c r="I6258" s="3" t="s">
        <v>103</v>
      </c>
      <c r="J6258" s="3" t="s">
        <v>70</v>
      </c>
      <c r="K6258" s="3" t="s">
        <v>140</v>
      </c>
      <c r="L6258" s="3" t="s">
        <v>1212</v>
      </c>
      <c r="M6258" s="3" t="s">
        <v>103</v>
      </c>
      <c r="N6258" s="3" t="s">
        <v>70</v>
      </c>
      <c r="O6258" s="3" t="s">
        <v>103</v>
      </c>
      <c r="P6258" s="3" t="s">
        <v>70</v>
      </c>
      <c r="Q6258" s="3" t="s">
        <v>103</v>
      </c>
      <c r="R6258" s="3" t="s">
        <v>103</v>
      </c>
    </row>
    <row r="6259" spans="1:18" s="3" customFormat="1" x14ac:dyDescent="0.3">
      <c r="A6259" s="3" t="s">
        <v>29</v>
      </c>
      <c r="B6259" s="3" t="s">
        <v>2181</v>
      </c>
      <c r="C6259" s="3">
        <v>7</v>
      </c>
      <c r="D6259" s="3" t="s">
        <v>691</v>
      </c>
      <c r="E6259" s="3" t="s">
        <v>129</v>
      </c>
      <c r="F6259" s="3" t="s">
        <v>103</v>
      </c>
      <c r="G6259" s="3" t="s">
        <v>727</v>
      </c>
      <c r="H6259" s="3" t="s">
        <v>103</v>
      </c>
      <c r="I6259" s="3" t="s">
        <v>488</v>
      </c>
      <c r="J6259" s="3" t="s">
        <v>103</v>
      </c>
      <c r="K6259" s="3" t="s">
        <v>103</v>
      </c>
      <c r="L6259" s="3" t="s">
        <v>103</v>
      </c>
      <c r="M6259" s="3" t="s">
        <v>103</v>
      </c>
      <c r="N6259" s="3" t="s">
        <v>488</v>
      </c>
      <c r="O6259" s="3" t="s">
        <v>918</v>
      </c>
      <c r="P6259" s="3" t="s">
        <v>103</v>
      </c>
      <c r="Q6259" s="3" t="s">
        <v>103</v>
      </c>
      <c r="R6259" s="3" t="s">
        <v>103</v>
      </c>
    </row>
    <row r="6260" spans="1:18" x14ac:dyDescent="0.3">
      <c r="A6260" t="s">
        <v>29</v>
      </c>
      <c r="B6260" t="s">
        <v>2182</v>
      </c>
      <c r="C6260">
        <v>50</v>
      </c>
      <c r="D6260" t="s">
        <v>117</v>
      </c>
      <c r="E6260" t="s">
        <v>250</v>
      </c>
      <c r="F6260" t="s">
        <v>103</v>
      </c>
      <c r="G6260" t="s">
        <v>273</v>
      </c>
      <c r="H6260" t="s">
        <v>103</v>
      </c>
      <c r="I6260" t="s">
        <v>110</v>
      </c>
      <c r="J6260" t="s">
        <v>507</v>
      </c>
      <c r="K6260" t="s">
        <v>269</v>
      </c>
      <c r="L6260" t="s">
        <v>103</v>
      </c>
      <c r="M6260" t="s">
        <v>118</v>
      </c>
      <c r="N6260" t="s">
        <v>106</v>
      </c>
      <c r="O6260" t="s">
        <v>809</v>
      </c>
      <c r="P6260" t="s">
        <v>239</v>
      </c>
      <c r="Q6260" t="s">
        <v>103</v>
      </c>
      <c r="R6260" t="s">
        <v>103</v>
      </c>
    </row>
    <row r="6261" spans="1:18" x14ac:dyDescent="0.3">
      <c r="A6261" t="s">
        <v>29</v>
      </c>
      <c r="B6261" t="s">
        <v>2183</v>
      </c>
      <c r="C6261">
        <v>46</v>
      </c>
      <c r="D6261" t="s">
        <v>269</v>
      </c>
      <c r="E6261" t="s">
        <v>249</v>
      </c>
      <c r="F6261" t="s">
        <v>468</v>
      </c>
      <c r="G6261" t="s">
        <v>737</v>
      </c>
      <c r="H6261" t="s">
        <v>103</v>
      </c>
      <c r="I6261" t="s">
        <v>329</v>
      </c>
      <c r="J6261" t="s">
        <v>224</v>
      </c>
      <c r="K6261" t="s">
        <v>452</v>
      </c>
      <c r="L6261" t="s">
        <v>103</v>
      </c>
      <c r="M6261" t="s">
        <v>103</v>
      </c>
      <c r="N6261" t="s">
        <v>651</v>
      </c>
      <c r="O6261" t="s">
        <v>532</v>
      </c>
      <c r="P6261" t="s">
        <v>615</v>
      </c>
      <c r="Q6261" t="s">
        <v>103</v>
      </c>
      <c r="R6261" t="s">
        <v>103</v>
      </c>
    </row>
    <row r="6262" spans="1:18" x14ac:dyDescent="0.3">
      <c r="A6262" t="s">
        <v>29</v>
      </c>
      <c r="B6262" t="s">
        <v>2184</v>
      </c>
      <c r="C6262">
        <v>35</v>
      </c>
      <c r="D6262" t="s">
        <v>644</v>
      </c>
      <c r="E6262" t="s">
        <v>1178</v>
      </c>
      <c r="F6262" t="s">
        <v>217</v>
      </c>
      <c r="G6262" t="s">
        <v>93</v>
      </c>
      <c r="H6262" t="s">
        <v>103</v>
      </c>
      <c r="I6262" t="s">
        <v>103</v>
      </c>
      <c r="J6262" t="s">
        <v>186</v>
      </c>
      <c r="K6262" t="s">
        <v>103</v>
      </c>
      <c r="L6262" t="s">
        <v>103</v>
      </c>
      <c r="M6262" t="s">
        <v>103</v>
      </c>
      <c r="N6262" t="s">
        <v>456</v>
      </c>
      <c r="O6262" t="s">
        <v>601</v>
      </c>
      <c r="P6262" t="s">
        <v>232</v>
      </c>
      <c r="Q6262" t="s">
        <v>103</v>
      </c>
      <c r="R6262" t="s">
        <v>103</v>
      </c>
    </row>
    <row r="6263" spans="1:18" s="3" customFormat="1" x14ac:dyDescent="0.3">
      <c r="A6263" s="3" t="s">
        <v>28</v>
      </c>
      <c r="B6263" s="3" t="s">
        <v>844</v>
      </c>
      <c r="C6263" s="3">
        <v>10</v>
      </c>
      <c r="D6263" s="3" t="s">
        <v>1219</v>
      </c>
      <c r="E6263" s="3" t="s">
        <v>455</v>
      </c>
      <c r="F6263" s="3" t="s">
        <v>103</v>
      </c>
      <c r="G6263" s="3" t="s">
        <v>103</v>
      </c>
      <c r="H6263" s="3" t="s">
        <v>103</v>
      </c>
      <c r="I6263" s="3" t="s">
        <v>103</v>
      </c>
      <c r="J6263" s="3" t="s">
        <v>103</v>
      </c>
      <c r="K6263" s="3" t="s">
        <v>594</v>
      </c>
      <c r="L6263" s="3" t="s">
        <v>162</v>
      </c>
      <c r="M6263" s="3" t="s">
        <v>103</v>
      </c>
      <c r="N6263" s="3" t="s">
        <v>667</v>
      </c>
      <c r="O6263" s="3" t="s">
        <v>411</v>
      </c>
      <c r="P6263" s="3" t="s">
        <v>103</v>
      </c>
      <c r="Q6263" s="3" t="s">
        <v>103</v>
      </c>
      <c r="R6263" s="3" t="s">
        <v>103</v>
      </c>
    </row>
    <row r="6264" spans="1:18" s="3" customFormat="1" x14ac:dyDescent="0.3">
      <c r="A6264" s="3" t="s">
        <v>28</v>
      </c>
      <c r="B6264" s="3" t="s">
        <v>2173</v>
      </c>
      <c r="C6264" s="3">
        <v>7</v>
      </c>
      <c r="D6264" s="3" t="s">
        <v>935</v>
      </c>
      <c r="E6264" s="3" t="s">
        <v>463</v>
      </c>
      <c r="F6264" s="3" t="s">
        <v>103</v>
      </c>
      <c r="G6264" s="3" t="s">
        <v>103</v>
      </c>
      <c r="H6264" s="3" t="s">
        <v>103</v>
      </c>
      <c r="I6264" s="3" t="s">
        <v>103</v>
      </c>
      <c r="J6264" s="3" t="s">
        <v>103</v>
      </c>
      <c r="K6264" s="3" t="s">
        <v>142</v>
      </c>
      <c r="L6264" s="3" t="s">
        <v>103</v>
      </c>
      <c r="M6264" s="3" t="s">
        <v>103</v>
      </c>
      <c r="N6264" s="3" t="s">
        <v>1090</v>
      </c>
      <c r="O6264" s="3" t="s">
        <v>743</v>
      </c>
      <c r="P6264" s="3" t="s">
        <v>103</v>
      </c>
      <c r="Q6264" s="3" t="s">
        <v>103</v>
      </c>
      <c r="R6264" s="3" t="s">
        <v>103</v>
      </c>
    </row>
    <row r="6265" spans="1:18" s="3" customFormat="1" x14ac:dyDescent="0.3">
      <c r="A6265" s="3" t="s">
        <v>28</v>
      </c>
      <c r="B6265" s="3" t="s">
        <v>2174</v>
      </c>
      <c r="C6265" s="3">
        <v>5</v>
      </c>
      <c r="D6265" s="3" t="s">
        <v>103</v>
      </c>
      <c r="E6265" s="3" t="s">
        <v>103</v>
      </c>
      <c r="F6265" s="3" t="s">
        <v>103</v>
      </c>
      <c r="G6265" s="3" t="s">
        <v>103</v>
      </c>
      <c r="H6265" s="3" t="s">
        <v>103</v>
      </c>
      <c r="I6265" s="3" t="s">
        <v>103</v>
      </c>
      <c r="J6265" s="3" t="s">
        <v>103</v>
      </c>
      <c r="K6265" s="3" t="s">
        <v>103</v>
      </c>
      <c r="L6265" s="3" t="s">
        <v>457</v>
      </c>
      <c r="M6265" s="3" t="s">
        <v>103</v>
      </c>
      <c r="N6265" s="3" t="s">
        <v>103</v>
      </c>
      <c r="O6265" s="3" t="s">
        <v>471</v>
      </c>
      <c r="P6265" s="3" t="s">
        <v>810</v>
      </c>
      <c r="Q6265" s="3" t="s">
        <v>103</v>
      </c>
      <c r="R6265" s="3" t="s">
        <v>103</v>
      </c>
    </row>
    <row r="6266" spans="1:18" s="3" customFormat="1" x14ac:dyDescent="0.3">
      <c r="A6266" s="3" t="s">
        <v>28</v>
      </c>
      <c r="B6266" s="3" t="s">
        <v>2175</v>
      </c>
      <c r="C6266" s="3">
        <v>11</v>
      </c>
      <c r="D6266" s="3" t="s">
        <v>1207</v>
      </c>
      <c r="E6266" s="3" t="s">
        <v>670</v>
      </c>
      <c r="F6266" s="3" t="s">
        <v>103</v>
      </c>
      <c r="G6266" s="3" t="s">
        <v>262</v>
      </c>
      <c r="H6266" s="3" t="s">
        <v>103</v>
      </c>
      <c r="I6266" s="3" t="s">
        <v>103</v>
      </c>
      <c r="J6266" s="3" t="s">
        <v>549</v>
      </c>
      <c r="K6266" s="3" t="s">
        <v>103</v>
      </c>
      <c r="L6266" s="3" t="s">
        <v>103</v>
      </c>
      <c r="M6266" s="3" t="s">
        <v>103</v>
      </c>
      <c r="N6266" s="3" t="s">
        <v>535</v>
      </c>
      <c r="O6266" s="3" t="s">
        <v>103</v>
      </c>
      <c r="P6266" s="3" t="s">
        <v>103</v>
      </c>
      <c r="Q6266" s="3" t="s">
        <v>103</v>
      </c>
      <c r="R6266" s="3" t="s">
        <v>103</v>
      </c>
    </row>
    <row r="6267" spans="1:18" x14ac:dyDescent="0.3">
      <c r="A6267" t="s">
        <v>28</v>
      </c>
      <c r="B6267" t="s">
        <v>2176</v>
      </c>
      <c r="C6267">
        <v>39</v>
      </c>
      <c r="D6267" t="s">
        <v>160</v>
      </c>
      <c r="E6267" t="s">
        <v>805</v>
      </c>
      <c r="F6267" t="s">
        <v>103</v>
      </c>
      <c r="G6267" t="s">
        <v>257</v>
      </c>
      <c r="H6267" t="s">
        <v>103</v>
      </c>
      <c r="I6267" t="s">
        <v>103</v>
      </c>
      <c r="J6267" t="s">
        <v>284</v>
      </c>
      <c r="K6267" t="s">
        <v>284</v>
      </c>
      <c r="L6267" t="s">
        <v>103</v>
      </c>
      <c r="M6267" t="s">
        <v>146</v>
      </c>
      <c r="N6267" t="s">
        <v>1356</v>
      </c>
      <c r="O6267" t="s">
        <v>743</v>
      </c>
      <c r="P6267" t="s">
        <v>103</v>
      </c>
      <c r="Q6267" t="s">
        <v>93</v>
      </c>
      <c r="R6267" t="s">
        <v>103</v>
      </c>
    </row>
    <row r="6268" spans="1:18" x14ac:dyDescent="0.3">
      <c r="A6268" t="s">
        <v>28</v>
      </c>
      <c r="B6268" t="s">
        <v>2177</v>
      </c>
      <c r="C6268">
        <v>40</v>
      </c>
      <c r="D6268" t="s">
        <v>460</v>
      </c>
      <c r="E6268" t="s">
        <v>1029</v>
      </c>
      <c r="F6268" t="s">
        <v>245</v>
      </c>
      <c r="G6268" t="s">
        <v>103</v>
      </c>
      <c r="H6268" t="s">
        <v>103</v>
      </c>
      <c r="I6268" t="s">
        <v>103</v>
      </c>
      <c r="J6268" t="s">
        <v>127</v>
      </c>
      <c r="K6268" t="s">
        <v>108</v>
      </c>
      <c r="L6268" t="s">
        <v>103</v>
      </c>
      <c r="M6268" t="s">
        <v>120</v>
      </c>
      <c r="N6268" t="s">
        <v>651</v>
      </c>
      <c r="O6268" t="s">
        <v>120</v>
      </c>
      <c r="P6268" t="s">
        <v>103</v>
      </c>
      <c r="Q6268" t="s">
        <v>216</v>
      </c>
      <c r="R6268" t="s">
        <v>103</v>
      </c>
    </row>
    <row r="6269" spans="1:18" x14ac:dyDescent="0.3">
      <c r="A6269" t="s">
        <v>28</v>
      </c>
      <c r="B6269" t="s">
        <v>2178</v>
      </c>
      <c r="C6269">
        <v>52</v>
      </c>
      <c r="D6269" t="s">
        <v>173</v>
      </c>
      <c r="E6269" t="s">
        <v>1676</v>
      </c>
      <c r="F6269" t="s">
        <v>107</v>
      </c>
      <c r="G6269" t="s">
        <v>64</v>
      </c>
      <c r="H6269" t="s">
        <v>103</v>
      </c>
      <c r="I6269" t="s">
        <v>103</v>
      </c>
      <c r="J6269" t="s">
        <v>482</v>
      </c>
      <c r="K6269" t="s">
        <v>518</v>
      </c>
      <c r="L6269" t="s">
        <v>103</v>
      </c>
      <c r="M6269" t="s">
        <v>103</v>
      </c>
      <c r="N6269" t="s">
        <v>96</v>
      </c>
      <c r="O6269" t="s">
        <v>591</v>
      </c>
      <c r="P6269" t="s">
        <v>98</v>
      </c>
      <c r="Q6269" t="s">
        <v>103</v>
      </c>
      <c r="R6269" t="s">
        <v>103</v>
      </c>
    </row>
    <row r="6270" spans="1:18" s="3" customFormat="1" x14ac:dyDescent="0.3">
      <c r="A6270" s="3" t="s">
        <v>28</v>
      </c>
      <c r="B6270" s="3" t="s">
        <v>846</v>
      </c>
      <c r="C6270" s="3">
        <v>9</v>
      </c>
      <c r="D6270" s="3" t="s">
        <v>90</v>
      </c>
      <c r="E6270" s="3" t="s">
        <v>463</v>
      </c>
      <c r="F6270" s="3" t="s">
        <v>103</v>
      </c>
      <c r="G6270" s="3" t="s">
        <v>103</v>
      </c>
      <c r="H6270" s="3" t="s">
        <v>103</v>
      </c>
      <c r="I6270" s="3" t="s">
        <v>103</v>
      </c>
      <c r="J6270" s="3" t="s">
        <v>62</v>
      </c>
      <c r="K6270" s="3" t="s">
        <v>461</v>
      </c>
      <c r="L6270" s="3" t="s">
        <v>495</v>
      </c>
      <c r="M6270" s="3" t="s">
        <v>103</v>
      </c>
      <c r="N6270" s="3" t="s">
        <v>52</v>
      </c>
      <c r="O6270" s="3" t="s">
        <v>537</v>
      </c>
      <c r="P6270" s="3" t="s">
        <v>103</v>
      </c>
      <c r="Q6270" s="3" t="s">
        <v>103</v>
      </c>
      <c r="R6270" s="3" t="s">
        <v>103</v>
      </c>
    </row>
    <row r="6271" spans="1:18" s="3" customFormat="1" x14ac:dyDescent="0.3">
      <c r="A6271" s="3" t="s">
        <v>28</v>
      </c>
      <c r="B6271" s="3" t="s">
        <v>2179</v>
      </c>
      <c r="C6271" s="3">
        <v>11</v>
      </c>
      <c r="D6271" s="3" t="s">
        <v>796</v>
      </c>
      <c r="E6271" s="3" t="s">
        <v>103</v>
      </c>
      <c r="F6271" s="3" t="s">
        <v>103</v>
      </c>
      <c r="G6271" s="3" t="s">
        <v>103</v>
      </c>
      <c r="H6271" s="3" t="s">
        <v>103</v>
      </c>
      <c r="I6271" s="3" t="s">
        <v>103</v>
      </c>
      <c r="J6271" s="3" t="s">
        <v>652</v>
      </c>
      <c r="K6271" s="3" t="s">
        <v>232</v>
      </c>
      <c r="L6271" s="3" t="s">
        <v>890</v>
      </c>
      <c r="M6271" s="3" t="s">
        <v>103</v>
      </c>
      <c r="N6271" s="3" t="s">
        <v>550</v>
      </c>
      <c r="O6271" s="3" t="s">
        <v>251</v>
      </c>
      <c r="P6271" s="3" t="s">
        <v>103</v>
      </c>
      <c r="Q6271" s="3" t="s">
        <v>103</v>
      </c>
      <c r="R6271" s="3" t="s">
        <v>103</v>
      </c>
    </row>
    <row r="6272" spans="1:18" s="3" customFormat="1" x14ac:dyDescent="0.3">
      <c r="A6272" s="3" t="s">
        <v>28</v>
      </c>
      <c r="B6272" s="3" t="s">
        <v>2180</v>
      </c>
      <c r="C6272" s="3">
        <v>6</v>
      </c>
      <c r="D6272" s="3" t="s">
        <v>355</v>
      </c>
      <c r="E6272" s="3" t="s">
        <v>103</v>
      </c>
      <c r="F6272" s="3" t="s">
        <v>103</v>
      </c>
      <c r="G6272" s="3" t="s">
        <v>103</v>
      </c>
      <c r="H6272" s="3" t="s">
        <v>103</v>
      </c>
      <c r="I6272" s="3" t="s">
        <v>103</v>
      </c>
      <c r="J6272" s="3" t="s">
        <v>103</v>
      </c>
      <c r="K6272" s="3" t="s">
        <v>103</v>
      </c>
      <c r="L6272" s="3" t="s">
        <v>893</v>
      </c>
      <c r="M6272" s="3" t="s">
        <v>103</v>
      </c>
      <c r="N6272" s="3" t="s">
        <v>545</v>
      </c>
      <c r="O6272" s="3" t="s">
        <v>103</v>
      </c>
      <c r="P6272" s="3" t="s">
        <v>103</v>
      </c>
      <c r="Q6272" s="3" t="s">
        <v>103</v>
      </c>
      <c r="R6272" s="3" t="s">
        <v>103</v>
      </c>
    </row>
    <row r="6273" spans="1:18" s="3" customFormat="1" x14ac:dyDescent="0.3">
      <c r="A6273" s="3" t="s">
        <v>28</v>
      </c>
      <c r="B6273" s="3" t="s">
        <v>2181</v>
      </c>
      <c r="C6273" s="3">
        <v>7</v>
      </c>
      <c r="D6273" s="3" t="s">
        <v>875</v>
      </c>
      <c r="E6273" s="3" t="s">
        <v>103</v>
      </c>
      <c r="F6273" s="3" t="s">
        <v>103</v>
      </c>
      <c r="G6273" s="3" t="s">
        <v>103</v>
      </c>
      <c r="H6273" s="3" t="s">
        <v>103</v>
      </c>
      <c r="I6273" s="3" t="s">
        <v>103</v>
      </c>
      <c r="J6273" s="3" t="s">
        <v>103</v>
      </c>
      <c r="K6273" s="3" t="s">
        <v>103</v>
      </c>
      <c r="L6273" s="3" t="s">
        <v>103</v>
      </c>
      <c r="M6273" s="3" t="s">
        <v>680</v>
      </c>
      <c r="N6273" s="3" t="s">
        <v>531</v>
      </c>
      <c r="O6273" s="3" t="s">
        <v>1199</v>
      </c>
      <c r="P6273" s="3" t="s">
        <v>103</v>
      </c>
      <c r="Q6273" s="3" t="s">
        <v>103</v>
      </c>
      <c r="R6273" s="3" t="s">
        <v>103</v>
      </c>
    </row>
    <row r="6274" spans="1:18" s="3" customFormat="1" x14ac:dyDescent="0.3">
      <c r="A6274" s="3" t="s">
        <v>28</v>
      </c>
      <c r="B6274" s="3" t="s">
        <v>2182</v>
      </c>
      <c r="C6274" s="3">
        <v>16</v>
      </c>
      <c r="D6274" s="3" t="s">
        <v>463</v>
      </c>
      <c r="E6274" s="3" t="s">
        <v>1226</v>
      </c>
      <c r="F6274" s="3" t="s">
        <v>103</v>
      </c>
      <c r="G6274" s="3" t="s">
        <v>482</v>
      </c>
      <c r="H6274" s="3" t="s">
        <v>103</v>
      </c>
      <c r="I6274" s="3" t="s">
        <v>103</v>
      </c>
      <c r="J6274" s="3" t="s">
        <v>1219</v>
      </c>
      <c r="K6274" s="3" t="s">
        <v>106</v>
      </c>
      <c r="L6274" s="3" t="s">
        <v>103</v>
      </c>
      <c r="M6274" s="3" t="s">
        <v>103</v>
      </c>
      <c r="N6274" s="3" t="s">
        <v>943</v>
      </c>
      <c r="O6274" s="3" t="s">
        <v>103</v>
      </c>
      <c r="P6274" s="3" t="s">
        <v>103</v>
      </c>
      <c r="Q6274" s="3" t="s">
        <v>103</v>
      </c>
      <c r="R6274" s="3" t="s">
        <v>103</v>
      </c>
    </row>
    <row r="6275" spans="1:18" s="3" customFormat="1" x14ac:dyDescent="0.3">
      <c r="A6275" s="3" t="s">
        <v>28</v>
      </c>
      <c r="B6275" s="3" t="s">
        <v>2183</v>
      </c>
      <c r="C6275" s="3">
        <v>17</v>
      </c>
      <c r="D6275" s="3" t="s">
        <v>473</v>
      </c>
      <c r="E6275" s="3" t="s">
        <v>405</v>
      </c>
      <c r="F6275" s="3" t="s">
        <v>103</v>
      </c>
      <c r="G6275" s="3" t="s">
        <v>107</v>
      </c>
      <c r="H6275" s="3" t="s">
        <v>103</v>
      </c>
      <c r="I6275" s="3" t="s">
        <v>103</v>
      </c>
      <c r="J6275" s="3" t="s">
        <v>247</v>
      </c>
      <c r="K6275" s="3" t="s">
        <v>672</v>
      </c>
      <c r="L6275" s="3" t="s">
        <v>103</v>
      </c>
      <c r="M6275" s="3" t="s">
        <v>103</v>
      </c>
      <c r="N6275" s="3" t="s">
        <v>435</v>
      </c>
      <c r="O6275" s="3" t="s">
        <v>152</v>
      </c>
      <c r="P6275" s="3" t="s">
        <v>103</v>
      </c>
      <c r="Q6275" s="3" t="s">
        <v>103</v>
      </c>
      <c r="R6275" s="3" t="s">
        <v>103</v>
      </c>
    </row>
    <row r="6276" spans="1:18" s="3" customFormat="1" x14ac:dyDescent="0.3">
      <c r="A6276" s="3" t="s">
        <v>28</v>
      </c>
      <c r="B6276" s="3" t="s">
        <v>2184</v>
      </c>
      <c r="C6276" s="3">
        <v>12</v>
      </c>
      <c r="D6276" s="3" t="s">
        <v>256</v>
      </c>
      <c r="E6276" s="3" t="s">
        <v>369</v>
      </c>
      <c r="F6276" s="3" t="s">
        <v>103</v>
      </c>
      <c r="G6276" s="3" t="s">
        <v>103</v>
      </c>
      <c r="H6276" s="3" t="s">
        <v>103</v>
      </c>
      <c r="I6276" s="3" t="s">
        <v>103</v>
      </c>
      <c r="J6276" s="3" t="s">
        <v>551</v>
      </c>
      <c r="K6276" s="3" t="s">
        <v>531</v>
      </c>
      <c r="L6276" s="3" t="s">
        <v>103</v>
      </c>
      <c r="M6276" s="3" t="s">
        <v>103</v>
      </c>
      <c r="N6276" s="3" t="s">
        <v>756</v>
      </c>
      <c r="O6276" s="3" t="s">
        <v>483</v>
      </c>
      <c r="P6276" s="3" t="s">
        <v>103</v>
      </c>
      <c r="Q6276" s="3" t="s">
        <v>103</v>
      </c>
      <c r="R6276" s="3" t="s">
        <v>103</v>
      </c>
    </row>
    <row r="6277" spans="1:18" s="3" customFormat="1" x14ac:dyDescent="0.3">
      <c r="A6277" s="3" t="s">
        <v>27</v>
      </c>
      <c r="B6277" s="3" t="s">
        <v>844</v>
      </c>
      <c r="C6277" s="3">
        <v>4</v>
      </c>
      <c r="D6277" s="3" t="s">
        <v>686</v>
      </c>
      <c r="E6277" s="3" t="s">
        <v>425</v>
      </c>
      <c r="F6277" s="3" t="s">
        <v>103</v>
      </c>
      <c r="G6277" s="3" t="s">
        <v>686</v>
      </c>
      <c r="H6277" s="3" t="s">
        <v>103</v>
      </c>
      <c r="I6277" s="3" t="s">
        <v>103</v>
      </c>
      <c r="J6277" s="3" t="s">
        <v>1023</v>
      </c>
      <c r="K6277" s="3" t="s">
        <v>103</v>
      </c>
      <c r="L6277" s="3" t="s">
        <v>103</v>
      </c>
      <c r="M6277" s="3" t="s">
        <v>103</v>
      </c>
      <c r="N6277" s="3" t="s">
        <v>820</v>
      </c>
      <c r="O6277" s="3" t="s">
        <v>103</v>
      </c>
      <c r="P6277" s="3" t="s">
        <v>103</v>
      </c>
      <c r="Q6277" s="3" t="s">
        <v>103</v>
      </c>
      <c r="R6277" s="3" t="s">
        <v>103</v>
      </c>
    </row>
    <row r="6278" spans="1:18" s="3" customFormat="1" x14ac:dyDescent="0.3">
      <c r="A6278" s="3" t="s">
        <v>27</v>
      </c>
      <c r="B6278" s="3" t="s">
        <v>2173</v>
      </c>
      <c r="C6278" s="3">
        <v>6</v>
      </c>
      <c r="D6278" s="3" t="s">
        <v>550</v>
      </c>
      <c r="E6278" s="3" t="s">
        <v>2033</v>
      </c>
      <c r="F6278" s="3" t="s">
        <v>103</v>
      </c>
      <c r="G6278" s="3" t="s">
        <v>550</v>
      </c>
      <c r="H6278" s="3" t="s">
        <v>103</v>
      </c>
      <c r="I6278" s="3" t="s">
        <v>103</v>
      </c>
      <c r="J6278" s="3" t="s">
        <v>103</v>
      </c>
      <c r="K6278" s="3" t="s">
        <v>926</v>
      </c>
      <c r="L6278" s="3" t="s">
        <v>601</v>
      </c>
      <c r="M6278" s="3" t="s">
        <v>103</v>
      </c>
      <c r="N6278" s="3" t="s">
        <v>508</v>
      </c>
      <c r="O6278" s="3" t="s">
        <v>103</v>
      </c>
      <c r="P6278" s="3" t="s">
        <v>103</v>
      </c>
      <c r="Q6278" s="3" t="s">
        <v>103</v>
      </c>
      <c r="R6278" s="3" t="s">
        <v>103</v>
      </c>
    </row>
    <row r="6279" spans="1:18" s="3" customFormat="1" x14ac:dyDescent="0.3">
      <c r="A6279" s="3" t="s">
        <v>27</v>
      </c>
      <c r="B6279" s="3" t="s">
        <v>2174</v>
      </c>
      <c r="C6279" s="3">
        <v>5</v>
      </c>
      <c r="D6279" s="3" t="s">
        <v>453</v>
      </c>
      <c r="E6279" s="3" t="s">
        <v>103</v>
      </c>
      <c r="F6279" s="3" t="s">
        <v>103</v>
      </c>
      <c r="G6279" s="3" t="s">
        <v>103</v>
      </c>
      <c r="H6279" s="3" t="s">
        <v>103</v>
      </c>
      <c r="I6279" s="3" t="s">
        <v>103</v>
      </c>
      <c r="J6279" s="3" t="s">
        <v>103</v>
      </c>
      <c r="K6279" s="3" t="s">
        <v>103</v>
      </c>
      <c r="L6279" s="3" t="s">
        <v>1071</v>
      </c>
      <c r="M6279" s="3" t="s">
        <v>103</v>
      </c>
      <c r="N6279" s="3" t="s">
        <v>103</v>
      </c>
      <c r="O6279" s="3" t="s">
        <v>103</v>
      </c>
      <c r="P6279" s="3" t="s">
        <v>103</v>
      </c>
      <c r="Q6279" s="3" t="s">
        <v>103</v>
      </c>
      <c r="R6279" s="3" t="s">
        <v>103</v>
      </c>
    </row>
    <row r="6280" spans="1:18" s="3" customFormat="1" x14ac:dyDescent="0.3">
      <c r="A6280" s="3" t="s">
        <v>27</v>
      </c>
      <c r="B6280" s="3" t="s">
        <v>2175</v>
      </c>
      <c r="C6280" s="3">
        <v>5</v>
      </c>
      <c r="D6280" s="3" t="s">
        <v>103</v>
      </c>
      <c r="E6280" s="3" t="s">
        <v>513</v>
      </c>
      <c r="F6280" s="3" t="s">
        <v>103</v>
      </c>
      <c r="G6280" s="3" t="s">
        <v>734</v>
      </c>
      <c r="H6280" s="3" t="s">
        <v>103</v>
      </c>
      <c r="I6280" s="3" t="s">
        <v>734</v>
      </c>
      <c r="J6280" s="3" t="s">
        <v>103</v>
      </c>
      <c r="K6280" s="3" t="s">
        <v>789</v>
      </c>
      <c r="L6280" s="3" t="s">
        <v>103</v>
      </c>
      <c r="M6280" s="3" t="s">
        <v>103</v>
      </c>
      <c r="N6280" s="3" t="s">
        <v>103</v>
      </c>
      <c r="O6280" s="3" t="s">
        <v>103</v>
      </c>
      <c r="P6280" s="3" t="s">
        <v>506</v>
      </c>
      <c r="Q6280" s="3" t="s">
        <v>103</v>
      </c>
      <c r="R6280" s="3" t="s">
        <v>103</v>
      </c>
    </row>
    <row r="6281" spans="1:18" x14ac:dyDescent="0.3">
      <c r="A6281" t="s">
        <v>27</v>
      </c>
      <c r="B6281" t="s">
        <v>2176</v>
      </c>
      <c r="C6281">
        <v>32</v>
      </c>
      <c r="D6281" t="s">
        <v>918</v>
      </c>
      <c r="E6281" t="s">
        <v>1029</v>
      </c>
      <c r="F6281" t="s">
        <v>467</v>
      </c>
      <c r="G6281" t="s">
        <v>164</v>
      </c>
      <c r="H6281" t="s">
        <v>128</v>
      </c>
      <c r="I6281" t="s">
        <v>467</v>
      </c>
      <c r="J6281" t="s">
        <v>262</v>
      </c>
      <c r="K6281" t="s">
        <v>507</v>
      </c>
      <c r="L6281" t="s">
        <v>103</v>
      </c>
      <c r="M6281" t="s">
        <v>918</v>
      </c>
      <c r="N6281" t="s">
        <v>490</v>
      </c>
      <c r="O6281" t="s">
        <v>514</v>
      </c>
      <c r="P6281" t="s">
        <v>103</v>
      </c>
      <c r="Q6281" t="s">
        <v>103</v>
      </c>
      <c r="R6281" t="s">
        <v>68</v>
      </c>
    </row>
    <row r="6282" spans="1:18" x14ac:dyDescent="0.3">
      <c r="A6282" t="s">
        <v>27</v>
      </c>
      <c r="B6282" t="s">
        <v>2177</v>
      </c>
      <c r="C6282">
        <v>47</v>
      </c>
      <c r="D6282" t="s">
        <v>900</v>
      </c>
      <c r="E6282" t="s">
        <v>775</v>
      </c>
      <c r="F6282" t="s">
        <v>103</v>
      </c>
      <c r="G6282" t="s">
        <v>459</v>
      </c>
      <c r="H6282" t="s">
        <v>103</v>
      </c>
      <c r="I6282" t="s">
        <v>208</v>
      </c>
      <c r="J6282" t="s">
        <v>518</v>
      </c>
      <c r="K6282" t="s">
        <v>461</v>
      </c>
      <c r="L6282" t="s">
        <v>103</v>
      </c>
      <c r="M6282" t="s">
        <v>103</v>
      </c>
      <c r="N6282" t="s">
        <v>858</v>
      </c>
      <c r="O6282" t="s">
        <v>136</v>
      </c>
      <c r="P6282" t="s">
        <v>208</v>
      </c>
      <c r="Q6282" t="s">
        <v>103</v>
      </c>
      <c r="R6282" t="s">
        <v>103</v>
      </c>
    </row>
    <row r="6283" spans="1:18" x14ac:dyDescent="0.3">
      <c r="A6283" t="s">
        <v>27</v>
      </c>
      <c r="B6283" t="s">
        <v>2178</v>
      </c>
      <c r="C6283">
        <v>87</v>
      </c>
      <c r="D6283" t="s">
        <v>123</v>
      </c>
      <c r="E6283" t="s">
        <v>753</v>
      </c>
      <c r="F6283" t="s">
        <v>345</v>
      </c>
      <c r="G6283" t="s">
        <v>113</v>
      </c>
      <c r="H6283" t="s">
        <v>103</v>
      </c>
      <c r="I6283" t="s">
        <v>607</v>
      </c>
      <c r="J6283" t="s">
        <v>146</v>
      </c>
      <c r="K6283" t="s">
        <v>261</v>
      </c>
      <c r="L6283" t="s">
        <v>103</v>
      </c>
      <c r="M6283" t="s">
        <v>103</v>
      </c>
      <c r="N6283" t="s">
        <v>1028</v>
      </c>
      <c r="O6283" t="s">
        <v>607</v>
      </c>
      <c r="P6283" t="s">
        <v>493</v>
      </c>
      <c r="Q6283" t="s">
        <v>468</v>
      </c>
      <c r="R6283" t="s">
        <v>103</v>
      </c>
    </row>
    <row r="6284" spans="1:18" s="3" customFormat="1" x14ac:dyDescent="0.3">
      <c r="A6284" s="3" t="s">
        <v>27</v>
      </c>
      <c r="B6284" s="3" t="s">
        <v>846</v>
      </c>
      <c r="C6284" s="3">
        <v>13</v>
      </c>
      <c r="D6284" s="3" t="s">
        <v>499</v>
      </c>
      <c r="E6284" s="3" t="s">
        <v>506</v>
      </c>
      <c r="F6284" s="3" t="s">
        <v>103</v>
      </c>
      <c r="G6284" s="3" t="s">
        <v>135</v>
      </c>
      <c r="H6284" s="3" t="s">
        <v>103</v>
      </c>
      <c r="I6284" s="3" t="s">
        <v>103</v>
      </c>
      <c r="J6284" s="3" t="s">
        <v>133</v>
      </c>
      <c r="K6284" s="3" t="s">
        <v>119</v>
      </c>
      <c r="L6284" s="3" t="s">
        <v>686</v>
      </c>
      <c r="M6284" s="3" t="s">
        <v>103</v>
      </c>
      <c r="N6284" s="3" t="s">
        <v>554</v>
      </c>
      <c r="O6284" s="3" t="s">
        <v>517</v>
      </c>
      <c r="P6284" s="3" t="s">
        <v>103</v>
      </c>
      <c r="Q6284" s="3" t="s">
        <v>103</v>
      </c>
      <c r="R6284" s="3" t="s">
        <v>103</v>
      </c>
    </row>
    <row r="6285" spans="1:18" s="3" customFormat="1" x14ac:dyDescent="0.3">
      <c r="A6285" s="3" t="s">
        <v>27</v>
      </c>
      <c r="B6285" s="3" t="s">
        <v>2179</v>
      </c>
      <c r="C6285" s="3">
        <v>6</v>
      </c>
      <c r="D6285" s="3" t="s">
        <v>1216</v>
      </c>
      <c r="E6285" s="3" t="s">
        <v>30</v>
      </c>
      <c r="F6285" s="3" t="s">
        <v>103</v>
      </c>
      <c r="G6285" s="3" t="s">
        <v>103</v>
      </c>
      <c r="H6285" s="3" t="s">
        <v>103</v>
      </c>
      <c r="I6285" s="3" t="s">
        <v>103</v>
      </c>
      <c r="J6285" s="3" t="s">
        <v>103</v>
      </c>
      <c r="K6285" s="3" t="s">
        <v>30</v>
      </c>
      <c r="L6285" s="3" t="s">
        <v>30</v>
      </c>
      <c r="M6285" s="3" t="s">
        <v>103</v>
      </c>
      <c r="N6285" s="3" t="s">
        <v>46</v>
      </c>
      <c r="O6285" s="3" t="s">
        <v>573</v>
      </c>
      <c r="P6285" s="3" t="s">
        <v>103</v>
      </c>
      <c r="Q6285" s="3" t="s">
        <v>103</v>
      </c>
      <c r="R6285" s="3" t="s">
        <v>103</v>
      </c>
    </row>
    <row r="6286" spans="1:18" s="3" customFormat="1" x14ac:dyDescent="0.3">
      <c r="A6286" s="3" t="s">
        <v>27</v>
      </c>
      <c r="B6286" s="3" t="s">
        <v>2180</v>
      </c>
      <c r="C6286" s="3">
        <v>6</v>
      </c>
      <c r="D6286" s="3" t="s">
        <v>1328</v>
      </c>
      <c r="E6286" s="3" t="s">
        <v>754</v>
      </c>
      <c r="F6286" s="3" t="s">
        <v>103</v>
      </c>
      <c r="G6286" s="3" t="s">
        <v>103</v>
      </c>
      <c r="H6286" s="3" t="s">
        <v>103</v>
      </c>
      <c r="I6286" s="3" t="s">
        <v>103</v>
      </c>
      <c r="J6286" s="3" t="s">
        <v>754</v>
      </c>
      <c r="K6286" s="3" t="s">
        <v>103</v>
      </c>
      <c r="L6286" s="3" t="s">
        <v>397</v>
      </c>
      <c r="M6286" s="3" t="s">
        <v>103</v>
      </c>
      <c r="N6286" s="3" t="s">
        <v>103</v>
      </c>
      <c r="O6286" s="3" t="s">
        <v>103</v>
      </c>
      <c r="P6286" s="3" t="s">
        <v>103</v>
      </c>
      <c r="Q6286" s="3" t="s">
        <v>103</v>
      </c>
      <c r="R6286" s="3" t="s">
        <v>103</v>
      </c>
    </row>
    <row r="6287" spans="1:18" s="3" customFormat="1" x14ac:dyDescent="0.3">
      <c r="A6287" s="3" t="s">
        <v>27</v>
      </c>
      <c r="B6287" s="3" t="s">
        <v>2181</v>
      </c>
      <c r="C6287" s="3">
        <v>2</v>
      </c>
      <c r="D6287" s="3" t="s">
        <v>368</v>
      </c>
      <c r="E6287" s="3" t="s">
        <v>368</v>
      </c>
      <c r="F6287" s="3" t="s">
        <v>103</v>
      </c>
      <c r="G6287" s="3" t="s">
        <v>369</v>
      </c>
      <c r="H6287" s="3" t="s">
        <v>103</v>
      </c>
      <c r="I6287" s="3" t="s">
        <v>103</v>
      </c>
      <c r="J6287" s="3" t="s">
        <v>103</v>
      </c>
      <c r="K6287" s="3" t="s">
        <v>368</v>
      </c>
      <c r="L6287" s="3" t="s">
        <v>103</v>
      </c>
      <c r="M6287" s="3" t="s">
        <v>103</v>
      </c>
      <c r="N6287" s="3" t="s">
        <v>103</v>
      </c>
      <c r="O6287" s="3" t="s">
        <v>103</v>
      </c>
      <c r="P6287" s="3" t="s">
        <v>103</v>
      </c>
      <c r="Q6287" s="3" t="s">
        <v>103</v>
      </c>
      <c r="R6287" s="3" t="s">
        <v>103</v>
      </c>
    </row>
    <row r="6288" spans="1:18" s="3" customFormat="1" x14ac:dyDescent="0.3">
      <c r="A6288" s="3" t="s">
        <v>27</v>
      </c>
      <c r="B6288" s="3" t="s">
        <v>2182</v>
      </c>
      <c r="C6288" s="3">
        <v>15</v>
      </c>
      <c r="D6288" s="3" t="s">
        <v>94</v>
      </c>
      <c r="E6288" s="3" t="s">
        <v>1048</v>
      </c>
      <c r="F6288" s="3" t="s">
        <v>269</v>
      </c>
      <c r="G6288" s="3" t="s">
        <v>103</v>
      </c>
      <c r="H6288" s="3" t="s">
        <v>103</v>
      </c>
      <c r="I6288" s="3" t="s">
        <v>1223</v>
      </c>
      <c r="J6288" s="3" t="s">
        <v>140</v>
      </c>
      <c r="K6288" s="3" t="s">
        <v>331</v>
      </c>
      <c r="L6288" s="3" t="s">
        <v>103</v>
      </c>
      <c r="M6288" s="3" t="s">
        <v>103</v>
      </c>
      <c r="N6288" s="3" t="s">
        <v>1007</v>
      </c>
      <c r="O6288" s="3" t="s">
        <v>140</v>
      </c>
      <c r="P6288" s="3" t="s">
        <v>103</v>
      </c>
      <c r="Q6288" s="3" t="s">
        <v>103</v>
      </c>
      <c r="R6288" s="3" t="s">
        <v>103</v>
      </c>
    </row>
    <row r="6289" spans="1:18" s="3" customFormat="1" x14ac:dyDescent="0.3">
      <c r="A6289" s="3" t="s">
        <v>27</v>
      </c>
      <c r="B6289" s="3" t="s">
        <v>2183</v>
      </c>
      <c r="C6289" s="3">
        <v>20</v>
      </c>
      <c r="D6289" s="3" t="s">
        <v>56</v>
      </c>
      <c r="E6289" s="3" t="s">
        <v>377</v>
      </c>
      <c r="F6289" s="3" t="s">
        <v>103</v>
      </c>
      <c r="G6289" s="3" t="s">
        <v>33</v>
      </c>
      <c r="H6289" s="3" t="s">
        <v>103</v>
      </c>
      <c r="I6289" s="3" t="s">
        <v>488</v>
      </c>
      <c r="J6289" s="3" t="s">
        <v>137</v>
      </c>
      <c r="K6289" s="3" t="s">
        <v>578</v>
      </c>
      <c r="L6289" s="3" t="s">
        <v>103</v>
      </c>
      <c r="M6289" s="3" t="s">
        <v>103</v>
      </c>
      <c r="N6289" s="3" t="s">
        <v>559</v>
      </c>
      <c r="O6289" s="3" t="s">
        <v>547</v>
      </c>
      <c r="P6289" s="3" t="s">
        <v>103</v>
      </c>
      <c r="Q6289" s="3" t="s">
        <v>103</v>
      </c>
      <c r="R6289" s="3" t="s">
        <v>33</v>
      </c>
    </row>
    <row r="6290" spans="1:18" x14ac:dyDescent="0.3">
      <c r="A6290" t="s">
        <v>27</v>
      </c>
      <c r="B6290" t="s">
        <v>2184</v>
      </c>
      <c r="C6290">
        <v>37</v>
      </c>
      <c r="D6290" t="s">
        <v>1023</v>
      </c>
      <c r="E6290" t="s">
        <v>2108</v>
      </c>
      <c r="F6290" t="s">
        <v>103</v>
      </c>
      <c r="G6290" t="s">
        <v>494</v>
      </c>
      <c r="H6290" t="s">
        <v>103</v>
      </c>
      <c r="I6290" t="s">
        <v>105</v>
      </c>
      <c r="J6290" t="s">
        <v>1083</v>
      </c>
      <c r="K6290" t="s">
        <v>1098</v>
      </c>
      <c r="L6290" t="s">
        <v>103</v>
      </c>
      <c r="M6290" t="s">
        <v>103</v>
      </c>
      <c r="N6290" t="s">
        <v>1049</v>
      </c>
      <c r="O6290" t="s">
        <v>251</v>
      </c>
      <c r="P6290" t="s">
        <v>103</v>
      </c>
      <c r="Q6290" t="s">
        <v>438</v>
      </c>
      <c r="R6290" t="s">
        <v>103</v>
      </c>
    </row>
    <row r="6291" spans="1:18" x14ac:dyDescent="0.3">
      <c r="A6291" t="s">
        <v>41</v>
      </c>
      <c r="B6291" t="s">
        <v>844</v>
      </c>
      <c r="C6291">
        <v>72</v>
      </c>
      <c r="D6291" t="s">
        <v>530</v>
      </c>
      <c r="E6291" t="s">
        <v>695</v>
      </c>
      <c r="F6291" t="s">
        <v>103</v>
      </c>
      <c r="G6291" t="s">
        <v>266</v>
      </c>
      <c r="H6291" t="s">
        <v>103</v>
      </c>
      <c r="I6291" t="s">
        <v>266</v>
      </c>
      <c r="J6291" t="s">
        <v>224</v>
      </c>
      <c r="K6291" t="s">
        <v>536</v>
      </c>
      <c r="L6291" t="s">
        <v>479</v>
      </c>
      <c r="M6291" t="s">
        <v>103</v>
      </c>
      <c r="N6291" t="s">
        <v>805</v>
      </c>
      <c r="O6291" t="s">
        <v>50</v>
      </c>
      <c r="P6291" t="s">
        <v>103</v>
      </c>
      <c r="Q6291" t="s">
        <v>103</v>
      </c>
      <c r="R6291" t="s">
        <v>103</v>
      </c>
    </row>
    <row r="6292" spans="1:18" x14ac:dyDescent="0.3">
      <c r="A6292" t="s">
        <v>41</v>
      </c>
      <c r="B6292" t="s">
        <v>2173</v>
      </c>
      <c r="C6292">
        <v>110</v>
      </c>
      <c r="D6292" t="s">
        <v>661</v>
      </c>
      <c r="E6292" t="s">
        <v>918</v>
      </c>
      <c r="F6292" t="s">
        <v>103</v>
      </c>
      <c r="G6292" t="s">
        <v>466</v>
      </c>
      <c r="H6292" t="s">
        <v>103</v>
      </c>
      <c r="I6292" t="s">
        <v>103</v>
      </c>
      <c r="J6292" t="s">
        <v>33</v>
      </c>
      <c r="K6292" t="s">
        <v>890</v>
      </c>
      <c r="L6292" t="s">
        <v>50</v>
      </c>
      <c r="M6292" t="s">
        <v>103</v>
      </c>
      <c r="N6292" t="s">
        <v>275</v>
      </c>
      <c r="O6292" t="s">
        <v>925</v>
      </c>
      <c r="P6292" t="s">
        <v>95</v>
      </c>
      <c r="Q6292" t="s">
        <v>103</v>
      </c>
      <c r="R6292" t="s">
        <v>103</v>
      </c>
    </row>
    <row r="6293" spans="1:18" x14ac:dyDescent="0.3">
      <c r="A6293" t="s">
        <v>41</v>
      </c>
      <c r="B6293" t="s">
        <v>2174</v>
      </c>
      <c r="C6293">
        <v>74</v>
      </c>
      <c r="D6293" t="s">
        <v>410</v>
      </c>
      <c r="E6293" t="s">
        <v>467</v>
      </c>
      <c r="F6293" t="s">
        <v>98</v>
      </c>
      <c r="G6293" t="s">
        <v>282</v>
      </c>
      <c r="H6293" t="s">
        <v>103</v>
      </c>
      <c r="I6293" t="s">
        <v>103</v>
      </c>
      <c r="J6293" t="s">
        <v>125</v>
      </c>
      <c r="K6293" t="s">
        <v>245</v>
      </c>
      <c r="L6293" t="s">
        <v>367</v>
      </c>
      <c r="M6293" t="s">
        <v>103</v>
      </c>
      <c r="N6293" t="s">
        <v>206</v>
      </c>
      <c r="O6293" t="s">
        <v>125</v>
      </c>
      <c r="P6293" t="s">
        <v>217</v>
      </c>
      <c r="Q6293" t="s">
        <v>103</v>
      </c>
      <c r="R6293" t="s">
        <v>103</v>
      </c>
    </row>
    <row r="6294" spans="1:18" x14ac:dyDescent="0.3">
      <c r="A6294" t="s">
        <v>41</v>
      </c>
      <c r="B6294" t="s">
        <v>2175</v>
      </c>
      <c r="C6294">
        <v>47</v>
      </c>
      <c r="D6294" t="s">
        <v>31</v>
      </c>
      <c r="E6294" t="s">
        <v>491</v>
      </c>
      <c r="F6294" t="s">
        <v>103</v>
      </c>
      <c r="G6294" t="s">
        <v>544</v>
      </c>
      <c r="H6294" t="s">
        <v>103</v>
      </c>
      <c r="I6294" t="s">
        <v>97</v>
      </c>
      <c r="J6294" t="s">
        <v>97</v>
      </c>
      <c r="K6294" t="s">
        <v>32</v>
      </c>
      <c r="L6294" t="s">
        <v>103</v>
      </c>
      <c r="M6294" t="s">
        <v>807</v>
      </c>
      <c r="N6294" t="s">
        <v>1090</v>
      </c>
      <c r="O6294" t="s">
        <v>256</v>
      </c>
      <c r="P6294" t="s">
        <v>95</v>
      </c>
      <c r="Q6294" t="s">
        <v>103</v>
      </c>
      <c r="R6294" t="s">
        <v>103</v>
      </c>
    </row>
    <row r="6295" spans="1:18" x14ac:dyDescent="0.3">
      <c r="A6295" t="s">
        <v>41</v>
      </c>
      <c r="B6295" t="s">
        <v>2176</v>
      </c>
      <c r="C6295">
        <v>349</v>
      </c>
      <c r="D6295" t="s">
        <v>1083</v>
      </c>
      <c r="E6295" t="s">
        <v>373</v>
      </c>
      <c r="F6295" t="s">
        <v>270</v>
      </c>
      <c r="G6295" t="s">
        <v>70</v>
      </c>
      <c r="H6295" t="s">
        <v>91</v>
      </c>
      <c r="I6295" t="s">
        <v>120</v>
      </c>
      <c r="J6295" t="s">
        <v>137</v>
      </c>
      <c r="K6295" t="s">
        <v>511</v>
      </c>
      <c r="L6295" t="s">
        <v>103</v>
      </c>
      <c r="M6295" t="s">
        <v>171</v>
      </c>
      <c r="N6295" t="s">
        <v>574</v>
      </c>
      <c r="O6295" t="s">
        <v>167</v>
      </c>
      <c r="P6295" t="s">
        <v>93</v>
      </c>
      <c r="Q6295" t="s">
        <v>91</v>
      </c>
      <c r="R6295" t="s">
        <v>91</v>
      </c>
    </row>
    <row r="6296" spans="1:18" x14ac:dyDescent="0.3">
      <c r="A6296" t="s">
        <v>41</v>
      </c>
      <c r="B6296" t="s">
        <v>2177</v>
      </c>
      <c r="C6296">
        <v>340</v>
      </c>
      <c r="D6296" t="s">
        <v>152</v>
      </c>
      <c r="E6296" t="s">
        <v>439</v>
      </c>
      <c r="F6296" t="s">
        <v>118</v>
      </c>
      <c r="G6296" t="s">
        <v>64</v>
      </c>
      <c r="H6296" t="s">
        <v>103</v>
      </c>
      <c r="I6296" t="s">
        <v>122</v>
      </c>
      <c r="J6296" t="s">
        <v>601</v>
      </c>
      <c r="K6296" t="s">
        <v>130</v>
      </c>
      <c r="L6296" t="s">
        <v>103</v>
      </c>
      <c r="M6296" t="s">
        <v>64</v>
      </c>
      <c r="N6296" t="s">
        <v>815</v>
      </c>
      <c r="O6296" t="s">
        <v>146</v>
      </c>
      <c r="P6296" t="s">
        <v>95</v>
      </c>
      <c r="Q6296" t="s">
        <v>91</v>
      </c>
      <c r="R6296" t="s">
        <v>122</v>
      </c>
    </row>
    <row r="6297" spans="1:18" x14ac:dyDescent="0.3">
      <c r="A6297" t="s">
        <v>41</v>
      </c>
      <c r="B6297" t="s">
        <v>2178</v>
      </c>
      <c r="C6297">
        <v>430</v>
      </c>
      <c r="D6297" t="s">
        <v>164</v>
      </c>
      <c r="E6297" t="s">
        <v>1136</v>
      </c>
      <c r="F6297" t="s">
        <v>110</v>
      </c>
      <c r="G6297" t="s">
        <v>282</v>
      </c>
      <c r="H6297" t="s">
        <v>103</v>
      </c>
      <c r="I6297" t="s">
        <v>97</v>
      </c>
      <c r="J6297" t="s">
        <v>652</v>
      </c>
      <c r="K6297" t="s">
        <v>652</v>
      </c>
      <c r="L6297" t="s">
        <v>103</v>
      </c>
      <c r="M6297" t="s">
        <v>91</v>
      </c>
      <c r="N6297" t="s">
        <v>674</v>
      </c>
      <c r="O6297" t="s">
        <v>466</v>
      </c>
      <c r="P6297" t="s">
        <v>120</v>
      </c>
      <c r="Q6297" t="s">
        <v>91</v>
      </c>
      <c r="R6297" t="s">
        <v>103</v>
      </c>
    </row>
    <row r="6298" spans="1:18" x14ac:dyDescent="0.3">
      <c r="A6298" t="s">
        <v>41</v>
      </c>
      <c r="B6298" t="s">
        <v>846</v>
      </c>
      <c r="C6298">
        <v>88</v>
      </c>
      <c r="D6298" t="s">
        <v>553</v>
      </c>
      <c r="E6298" t="s">
        <v>927</v>
      </c>
      <c r="F6298" t="s">
        <v>103</v>
      </c>
      <c r="G6298" t="s">
        <v>649</v>
      </c>
      <c r="H6298" t="s">
        <v>103</v>
      </c>
      <c r="I6298" t="s">
        <v>103</v>
      </c>
      <c r="J6298" t="s">
        <v>146</v>
      </c>
      <c r="K6298" t="s">
        <v>32</v>
      </c>
      <c r="L6298" t="s">
        <v>268</v>
      </c>
      <c r="M6298" t="s">
        <v>245</v>
      </c>
      <c r="N6298" t="s">
        <v>160</v>
      </c>
      <c r="O6298" t="s">
        <v>581</v>
      </c>
      <c r="P6298" t="s">
        <v>103</v>
      </c>
      <c r="Q6298" t="s">
        <v>103</v>
      </c>
      <c r="R6298" t="s">
        <v>103</v>
      </c>
    </row>
    <row r="6299" spans="1:18" x14ac:dyDescent="0.3">
      <c r="A6299" t="s">
        <v>41</v>
      </c>
      <c r="B6299" t="s">
        <v>2179</v>
      </c>
      <c r="C6299">
        <v>80</v>
      </c>
      <c r="D6299" t="s">
        <v>405</v>
      </c>
      <c r="E6299" t="s">
        <v>127</v>
      </c>
      <c r="F6299" t="s">
        <v>103</v>
      </c>
      <c r="G6299" t="s">
        <v>103</v>
      </c>
      <c r="H6299" t="s">
        <v>103</v>
      </c>
      <c r="I6299" t="s">
        <v>103</v>
      </c>
      <c r="J6299" t="s">
        <v>890</v>
      </c>
      <c r="K6299" t="s">
        <v>113</v>
      </c>
      <c r="L6299" t="s">
        <v>552</v>
      </c>
      <c r="M6299" t="s">
        <v>103</v>
      </c>
      <c r="N6299" t="s">
        <v>544</v>
      </c>
      <c r="O6299" t="s">
        <v>579</v>
      </c>
      <c r="P6299" t="s">
        <v>194</v>
      </c>
      <c r="Q6299" t="s">
        <v>103</v>
      </c>
      <c r="R6299" t="s">
        <v>103</v>
      </c>
    </row>
    <row r="6300" spans="1:18" x14ac:dyDescent="0.3">
      <c r="A6300" t="s">
        <v>41</v>
      </c>
      <c r="B6300" t="s">
        <v>2180</v>
      </c>
      <c r="C6300">
        <v>61</v>
      </c>
      <c r="D6300" t="s">
        <v>1251</v>
      </c>
      <c r="E6300" t="s">
        <v>629</v>
      </c>
      <c r="F6300" t="s">
        <v>103</v>
      </c>
      <c r="G6300" t="s">
        <v>103</v>
      </c>
      <c r="H6300" t="s">
        <v>103</v>
      </c>
      <c r="I6300" t="s">
        <v>103</v>
      </c>
      <c r="J6300" t="s">
        <v>272</v>
      </c>
      <c r="K6300" t="s">
        <v>438</v>
      </c>
      <c r="L6300" t="s">
        <v>647</v>
      </c>
      <c r="M6300" t="s">
        <v>103</v>
      </c>
      <c r="N6300" t="s">
        <v>262</v>
      </c>
      <c r="O6300" t="s">
        <v>493</v>
      </c>
      <c r="P6300" t="s">
        <v>266</v>
      </c>
      <c r="Q6300" t="s">
        <v>103</v>
      </c>
      <c r="R6300" t="s">
        <v>103</v>
      </c>
    </row>
    <row r="6301" spans="1:18" x14ac:dyDescent="0.3">
      <c r="A6301" t="s">
        <v>41</v>
      </c>
      <c r="B6301" t="s">
        <v>2181</v>
      </c>
      <c r="C6301">
        <v>33</v>
      </c>
      <c r="D6301" t="s">
        <v>547</v>
      </c>
      <c r="E6301" t="s">
        <v>938</v>
      </c>
      <c r="F6301" t="s">
        <v>103</v>
      </c>
      <c r="G6301" t="s">
        <v>516</v>
      </c>
      <c r="H6301" t="s">
        <v>103</v>
      </c>
      <c r="I6301" t="s">
        <v>278</v>
      </c>
      <c r="J6301" t="s">
        <v>266</v>
      </c>
      <c r="K6301" t="s">
        <v>549</v>
      </c>
      <c r="L6301" t="s">
        <v>103</v>
      </c>
      <c r="M6301" t="s">
        <v>139</v>
      </c>
      <c r="N6301" t="s">
        <v>1219</v>
      </c>
      <c r="O6301" t="s">
        <v>517</v>
      </c>
      <c r="P6301" t="s">
        <v>103</v>
      </c>
      <c r="Q6301" t="s">
        <v>103</v>
      </c>
      <c r="R6301" t="s">
        <v>103</v>
      </c>
    </row>
    <row r="6302" spans="1:18" x14ac:dyDescent="0.3">
      <c r="A6302" t="s">
        <v>41</v>
      </c>
      <c r="B6302" t="s">
        <v>2182</v>
      </c>
      <c r="C6302">
        <v>169</v>
      </c>
      <c r="D6302" t="s">
        <v>117</v>
      </c>
      <c r="E6302" t="s">
        <v>1212</v>
      </c>
      <c r="F6302" t="s">
        <v>345</v>
      </c>
      <c r="G6302" t="s">
        <v>629</v>
      </c>
      <c r="H6302" t="s">
        <v>103</v>
      </c>
      <c r="I6302" t="s">
        <v>341</v>
      </c>
      <c r="J6302" t="s">
        <v>1219</v>
      </c>
      <c r="K6302" t="s">
        <v>123</v>
      </c>
      <c r="L6302" t="s">
        <v>103</v>
      </c>
      <c r="M6302" t="s">
        <v>468</v>
      </c>
      <c r="N6302" t="s">
        <v>547</v>
      </c>
      <c r="O6302" t="s">
        <v>104</v>
      </c>
      <c r="P6302" t="s">
        <v>266</v>
      </c>
      <c r="Q6302" t="s">
        <v>103</v>
      </c>
      <c r="R6302" t="s">
        <v>98</v>
      </c>
    </row>
    <row r="6303" spans="1:18" x14ac:dyDescent="0.3">
      <c r="A6303" t="s">
        <v>41</v>
      </c>
      <c r="B6303" t="s">
        <v>2183</v>
      </c>
      <c r="C6303">
        <v>154</v>
      </c>
      <c r="D6303" t="s">
        <v>62</v>
      </c>
      <c r="E6303" t="s">
        <v>235</v>
      </c>
      <c r="F6303" t="s">
        <v>341</v>
      </c>
      <c r="G6303" t="s">
        <v>70</v>
      </c>
      <c r="H6303" t="s">
        <v>103</v>
      </c>
      <c r="I6303" t="s">
        <v>93</v>
      </c>
      <c r="J6303" t="s">
        <v>90</v>
      </c>
      <c r="K6303" t="s">
        <v>123</v>
      </c>
      <c r="L6303" t="s">
        <v>103</v>
      </c>
      <c r="M6303" t="s">
        <v>103</v>
      </c>
      <c r="N6303" t="s">
        <v>648</v>
      </c>
      <c r="O6303" t="s">
        <v>452</v>
      </c>
      <c r="P6303" t="s">
        <v>438</v>
      </c>
      <c r="Q6303" t="s">
        <v>103</v>
      </c>
      <c r="R6303" t="s">
        <v>66</v>
      </c>
    </row>
    <row r="6304" spans="1:18" x14ac:dyDescent="0.3">
      <c r="A6304" t="s">
        <v>41</v>
      </c>
      <c r="B6304" t="s">
        <v>2184</v>
      </c>
      <c r="C6304">
        <v>145</v>
      </c>
      <c r="D6304" t="s">
        <v>48</v>
      </c>
      <c r="E6304" t="s">
        <v>1013</v>
      </c>
      <c r="F6304" t="s">
        <v>329</v>
      </c>
      <c r="G6304" t="s">
        <v>110</v>
      </c>
      <c r="H6304" t="s">
        <v>103</v>
      </c>
      <c r="I6304" t="s">
        <v>91</v>
      </c>
      <c r="J6304" t="s">
        <v>133</v>
      </c>
      <c r="K6304" t="s">
        <v>60</v>
      </c>
      <c r="L6304" t="s">
        <v>103</v>
      </c>
      <c r="M6304" t="s">
        <v>103</v>
      </c>
      <c r="N6304" t="s">
        <v>236</v>
      </c>
      <c r="O6304" t="s">
        <v>60</v>
      </c>
      <c r="P6304" t="s">
        <v>438</v>
      </c>
      <c r="Q6304" t="s">
        <v>116</v>
      </c>
      <c r="R6304" t="s">
        <v>103</v>
      </c>
    </row>
    <row r="6306" spans="1:18" x14ac:dyDescent="0.3">
      <c r="A6306" t="s">
        <v>2211</v>
      </c>
    </row>
    <row r="6307" spans="1:18" x14ac:dyDescent="0.3">
      <c r="A6307" t="s">
        <v>36</v>
      </c>
      <c r="B6307" t="s">
        <v>2187</v>
      </c>
      <c r="C6307" t="s">
        <v>24</v>
      </c>
      <c r="D6307" t="s">
        <v>2198</v>
      </c>
      <c r="E6307" t="s">
        <v>2199</v>
      </c>
      <c r="F6307" t="s">
        <v>2200</v>
      </c>
      <c r="G6307" t="s">
        <v>2201</v>
      </c>
      <c r="H6307" t="s">
        <v>2202</v>
      </c>
      <c r="I6307" t="s">
        <v>2203</v>
      </c>
      <c r="J6307" t="s">
        <v>2204</v>
      </c>
      <c r="K6307" t="s">
        <v>2205</v>
      </c>
      <c r="L6307" t="s">
        <v>2206</v>
      </c>
      <c r="M6307" t="s">
        <v>2207</v>
      </c>
      <c r="N6307" t="s">
        <v>2208</v>
      </c>
      <c r="O6307" t="s">
        <v>2209</v>
      </c>
      <c r="P6307" t="s">
        <v>89</v>
      </c>
      <c r="Q6307" t="s">
        <v>87</v>
      </c>
      <c r="R6307" t="s">
        <v>181</v>
      </c>
    </row>
    <row r="6308" spans="1:18" x14ac:dyDescent="0.3">
      <c r="A6308" t="s">
        <v>25</v>
      </c>
      <c r="B6308" t="s">
        <v>2188</v>
      </c>
      <c r="C6308">
        <v>133</v>
      </c>
      <c r="D6308" t="s">
        <v>549</v>
      </c>
      <c r="E6308" t="s">
        <v>1031</v>
      </c>
      <c r="F6308" t="s">
        <v>103</v>
      </c>
      <c r="G6308" t="s">
        <v>278</v>
      </c>
      <c r="H6308" t="s">
        <v>103</v>
      </c>
      <c r="I6308" t="s">
        <v>95</v>
      </c>
      <c r="J6308" t="s">
        <v>99</v>
      </c>
      <c r="K6308" t="s">
        <v>746</v>
      </c>
      <c r="L6308" t="s">
        <v>266</v>
      </c>
      <c r="M6308" t="s">
        <v>103</v>
      </c>
      <c r="N6308" t="s">
        <v>109</v>
      </c>
      <c r="O6308" t="s">
        <v>494</v>
      </c>
      <c r="P6308" t="s">
        <v>116</v>
      </c>
      <c r="Q6308" t="s">
        <v>103</v>
      </c>
      <c r="R6308" t="s">
        <v>103</v>
      </c>
    </row>
    <row r="6309" spans="1:18" x14ac:dyDescent="0.3">
      <c r="A6309" t="s">
        <v>25</v>
      </c>
      <c r="B6309" t="s">
        <v>2189</v>
      </c>
      <c r="C6309">
        <v>336</v>
      </c>
      <c r="D6309" t="s">
        <v>525</v>
      </c>
      <c r="E6309" t="s">
        <v>1054</v>
      </c>
      <c r="F6309" t="s">
        <v>95</v>
      </c>
      <c r="G6309" t="s">
        <v>270</v>
      </c>
      <c r="H6309" t="s">
        <v>103</v>
      </c>
      <c r="I6309" t="s">
        <v>98</v>
      </c>
      <c r="J6309" t="s">
        <v>102</v>
      </c>
      <c r="K6309" t="s">
        <v>242</v>
      </c>
      <c r="L6309" t="s">
        <v>615</v>
      </c>
      <c r="M6309" t="s">
        <v>558</v>
      </c>
      <c r="N6309" t="s">
        <v>650</v>
      </c>
      <c r="O6309" t="s">
        <v>536</v>
      </c>
      <c r="P6309" t="s">
        <v>266</v>
      </c>
      <c r="Q6309" t="s">
        <v>103</v>
      </c>
      <c r="R6309" t="s">
        <v>282</v>
      </c>
    </row>
    <row r="6310" spans="1:18" x14ac:dyDescent="0.3">
      <c r="A6310" t="s">
        <v>25</v>
      </c>
      <c r="B6310" t="s">
        <v>308</v>
      </c>
      <c r="C6310">
        <v>28</v>
      </c>
      <c r="D6310" t="s">
        <v>1251</v>
      </c>
      <c r="E6310" t="s">
        <v>890</v>
      </c>
      <c r="F6310" t="s">
        <v>103</v>
      </c>
      <c r="G6310" t="s">
        <v>468</v>
      </c>
      <c r="H6310" t="s">
        <v>103</v>
      </c>
      <c r="I6310" t="s">
        <v>103</v>
      </c>
      <c r="J6310" t="s">
        <v>186</v>
      </c>
      <c r="K6310" t="s">
        <v>103</v>
      </c>
      <c r="L6310" t="s">
        <v>702</v>
      </c>
      <c r="M6310" t="s">
        <v>103</v>
      </c>
      <c r="N6310" t="s">
        <v>103</v>
      </c>
      <c r="O6310" t="s">
        <v>54</v>
      </c>
      <c r="P6310" t="s">
        <v>103</v>
      </c>
      <c r="Q6310" t="s">
        <v>103</v>
      </c>
      <c r="R6310" t="s">
        <v>103</v>
      </c>
    </row>
    <row r="6311" spans="1:18" x14ac:dyDescent="0.3">
      <c r="A6311" t="s">
        <v>26</v>
      </c>
      <c r="B6311" t="s">
        <v>2188</v>
      </c>
      <c r="C6311">
        <v>84</v>
      </c>
      <c r="D6311" t="s">
        <v>750</v>
      </c>
      <c r="E6311" t="s">
        <v>1140</v>
      </c>
      <c r="F6311" t="s">
        <v>201</v>
      </c>
      <c r="G6311" t="s">
        <v>452</v>
      </c>
      <c r="H6311" t="s">
        <v>103</v>
      </c>
      <c r="I6311" t="s">
        <v>103</v>
      </c>
      <c r="J6311" t="s">
        <v>515</v>
      </c>
      <c r="K6311" t="s">
        <v>548</v>
      </c>
      <c r="L6311" t="s">
        <v>438</v>
      </c>
      <c r="M6311" t="s">
        <v>468</v>
      </c>
      <c r="N6311" t="s">
        <v>1293</v>
      </c>
      <c r="O6311" t="s">
        <v>191</v>
      </c>
      <c r="P6311" t="s">
        <v>194</v>
      </c>
      <c r="Q6311" t="s">
        <v>103</v>
      </c>
      <c r="R6311" t="s">
        <v>103</v>
      </c>
    </row>
    <row r="6312" spans="1:18" x14ac:dyDescent="0.3">
      <c r="A6312" t="s">
        <v>26</v>
      </c>
      <c r="B6312" t="s">
        <v>2189</v>
      </c>
      <c r="C6312">
        <v>340</v>
      </c>
      <c r="D6312" t="s">
        <v>521</v>
      </c>
      <c r="E6312" t="s">
        <v>1556</v>
      </c>
      <c r="F6312" t="s">
        <v>105</v>
      </c>
      <c r="G6312" t="s">
        <v>128</v>
      </c>
      <c r="H6312" t="s">
        <v>103</v>
      </c>
      <c r="I6312" t="s">
        <v>116</v>
      </c>
      <c r="J6312" t="s">
        <v>452</v>
      </c>
      <c r="K6312" t="s">
        <v>532</v>
      </c>
      <c r="L6312" t="s">
        <v>102</v>
      </c>
      <c r="M6312" t="s">
        <v>201</v>
      </c>
      <c r="N6312" t="s">
        <v>1219</v>
      </c>
      <c r="O6312" t="s">
        <v>488</v>
      </c>
      <c r="P6312" t="s">
        <v>194</v>
      </c>
      <c r="Q6312" t="s">
        <v>103</v>
      </c>
      <c r="R6312" t="s">
        <v>103</v>
      </c>
    </row>
    <row r="6313" spans="1:18" x14ac:dyDescent="0.3">
      <c r="A6313" t="s">
        <v>26</v>
      </c>
      <c r="B6313" t="s">
        <v>308</v>
      </c>
      <c r="C6313">
        <v>21</v>
      </c>
      <c r="D6313" t="s">
        <v>378</v>
      </c>
      <c r="E6313" t="s">
        <v>205</v>
      </c>
      <c r="F6313" t="s">
        <v>64</v>
      </c>
      <c r="G6313" t="s">
        <v>103</v>
      </c>
      <c r="H6313" t="s">
        <v>103</v>
      </c>
      <c r="I6313" t="s">
        <v>103</v>
      </c>
      <c r="J6313" t="s">
        <v>103</v>
      </c>
      <c r="K6313" t="s">
        <v>103</v>
      </c>
      <c r="L6313" t="s">
        <v>268</v>
      </c>
      <c r="M6313" t="s">
        <v>103</v>
      </c>
      <c r="N6313" t="s">
        <v>918</v>
      </c>
      <c r="O6313" t="s">
        <v>195</v>
      </c>
      <c r="P6313" t="s">
        <v>103</v>
      </c>
      <c r="Q6313" t="s">
        <v>103</v>
      </c>
      <c r="R6313" t="s">
        <v>103</v>
      </c>
    </row>
    <row r="6314" spans="1:18" x14ac:dyDescent="0.3">
      <c r="A6314" t="s">
        <v>29</v>
      </c>
      <c r="B6314" t="s">
        <v>2188</v>
      </c>
      <c r="C6314">
        <v>177</v>
      </c>
      <c r="D6314" t="s">
        <v>242</v>
      </c>
      <c r="E6314" t="s">
        <v>231</v>
      </c>
      <c r="F6314" t="s">
        <v>270</v>
      </c>
      <c r="G6314" t="s">
        <v>649</v>
      </c>
      <c r="H6314" t="s">
        <v>103</v>
      </c>
      <c r="I6314" t="s">
        <v>122</v>
      </c>
      <c r="J6314" t="s">
        <v>524</v>
      </c>
      <c r="K6314" t="s">
        <v>160</v>
      </c>
      <c r="L6314" t="s">
        <v>128</v>
      </c>
      <c r="M6314" t="s">
        <v>110</v>
      </c>
      <c r="N6314" t="s">
        <v>1093</v>
      </c>
      <c r="O6314" t="s">
        <v>232</v>
      </c>
      <c r="P6314" t="s">
        <v>341</v>
      </c>
      <c r="Q6314" t="s">
        <v>103</v>
      </c>
      <c r="R6314" t="s">
        <v>103</v>
      </c>
    </row>
    <row r="6315" spans="1:18" x14ac:dyDescent="0.3">
      <c r="A6315" t="s">
        <v>29</v>
      </c>
      <c r="B6315" t="s">
        <v>2189</v>
      </c>
      <c r="C6315">
        <v>454</v>
      </c>
      <c r="D6315" t="s">
        <v>1227</v>
      </c>
      <c r="E6315" t="s">
        <v>361</v>
      </c>
      <c r="F6315" t="s">
        <v>194</v>
      </c>
      <c r="G6315" t="s">
        <v>467</v>
      </c>
      <c r="H6315" t="s">
        <v>103</v>
      </c>
      <c r="I6315" t="s">
        <v>95</v>
      </c>
      <c r="J6315" t="s">
        <v>169</v>
      </c>
      <c r="K6315" t="s">
        <v>438</v>
      </c>
      <c r="L6315" t="s">
        <v>133</v>
      </c>
      <c r="M6315" t="s">
        <v>615</v>
      </c>
      <c r="N6315" t="s">
        <v>706</v>
      </c>
      <c r="O6315" t="s">
        <v>167</v>
      </c>
      <c r="P6315" t="s">
        <v>194</v>
      </c>
      <c r="Q6315" t="s">
        <v>103</v>
      </c>
      <c r="R6315" t="s">
        <v>103</v>
      </c>
    </row>
    <row r="6316" spans="1:18" x14ac:dyDescent="0.3">
      <c r="A6316" t="s">
        <v>29</v>
      </c>
      <c r="B6316" t="s">
        <v>308</v>
      </c>
      <c r="C6316">
        <v>52</v>
      </c>
      <c r="D6316" t="s">
        <v>791</v>
      </c>
      <c r="E6316" t="s">
        <v>272</v>
      </c>
      <c r="F6316" t="s">
        <v>103</v>
      </c>
      <c r="G6316" t="s">
        <v>103</v>
      </c>
      <c r="H6316" t="s">
        <v>103</v>
      </c>
      <c r="I6316" t="s">
        <v>103</v>
      </c>
      <c r="J6316" t="s">
        <v>188</v>
      </c>
      <c r="K6316" t="s">
        <v>615</v>
      </c>
      <c r="L6316" t="s">
        <v>1015</v>
      </c>
      <c r="M6316" t="s">
        <v>103</v>
      </c>
      <c r="N6316" t="s">
        <v>467</v>
      </c>
      <c r="O6316" t="s">
        <v>217</v>
      </c>
      <c r="P6316" t="s">
        <v>329</v>
      </c>
      <c r="Q6316" t="s">
        <v>103</v>
      </c>
      <c r="R6316" t="s">
        <v>103</v>
      </c>
    </row>
    <row r="6317" spans="1:18" x14ac:dyDescent="0.3">
      <c r="A6317" t="s">
        <v>28</v>
      </c>
      <c r="B6317" t="s">
        <v>2188</v>
      </c>
      <c r="C6317">
        <v>86</v>
      </c>
      <c r="D6317" t="s">
        <v>244</v>
      </c>
      <c r="E6317" t="s">
        <v>1260</v>
      </c>
      <c r="F6317" t="s">
        <v>266</v>
      </c>
      <c r="G6317" t="s">
        <v>341</v>
      </c>
      <c r="H6317" t="s">
        <v>103</v>
      </c>
      <c r="I6317" t="s">
        <v>103</v>
      </c>
      <c r="J6317" t="s">
        <v>275</v>
      </c>
      <c r="K6317" t="s">
        <v>680</v>
      </c>
      <c r="L6317" t="s">
        <v>103</v>
      </c>
      <c r="M6317" t="s">
        <v>103</v>
      </c>
      <c r="N6317" t="s">
        <v>129</v>
      </c>
      <c r="O6317" t="s">
        <v>224</v>
      </c>
      <c r="P6317" t="s">
        <v>120</v>
      </c>
      <c r="Q6317" t="s">
        <v>95</v>
      </c>
      <c r="R6317" t="s">
        <v>103</v>
      </c>
    </row>
    <row r="6318" spans="1:18" x14ac:dyDescent="0.3">
      <c r="A6318" t="s">
        <v>28</v>
      </c>
      <c r="B6318" t="s">
        <v>2189</v>
      </c>
      <c r="C6318">
        <v>140</v>
      </c>
      <c r="D6318" t="s">
        <v>142</v>
      </c>
      <c r="E6318" t="s">
        <v>560</v>
      </c>
      <c r="F6318" t="s">
        <v>97</v>
      </c>
      <c r="G6318" t="s">
        <v>272</v>
      </c>
      <c r="H6318" t="s">
        <v>103</v>
      </c>
      <c r="I6318" t="s">
        <v>103</v>
      </c>
      <c r="J6318" t="s">
        <v>284</v>
      </c>
      <c r="K6318" t="s">
        <v>531</v>
      </c>
      <c r="L6318" t="s">
        <v>217</v>
      </c>
      <c r="M6318" t="s">
        <v>272</v>
      </c>
      <c r="N6318" t="s">
        <v>297</v>
      </c>
      <c r="O6318" t="s">
        <v>62</v>
      </c>
      <c r="P6318" t="s">
        <v>103</v>
      </c>
      <c r="Q6318" t="s">
        <v>97</v>
      </c>
      <c r="R6318" t="s">
        <v>103</v>
      </c>
    </row>
    <row r="6319" spans="1:18" x14ac:dyDescent="0.3">
      <c r="A6319" t="s">
        <v>28</v>
      </c>
      <c r="B6319" t="s">
        <v>308</v>
      </c>
      <c r="C6319">
        <v>16</v>
      </c>
      <c r="D6319" t="s">
        <v>399</v>
      </c>
      <c r="E6319" t="s">
        <v>94</v>
      </c>
      <c r="F6319" t="s">
        <v>103</v>
      </c>
      <c r="G6319" t="s">
        <v>103</v>
      </c>
      <c r="H6319" t="s">
        <v>103</v>
      </c>
      <c r="I6319" t="s">
        <v>103</v>
      </c>
      <c r="J6319" t="s">
        <v>103</v>
      </c>
      <c r="K6319" t="s">
        <v>125</v>
      </c>
      <c r="L6319" t="s">
        <v>654</v>
      </c>
      <c r="M6319" t="s">
        <v>103</v>
      </c>
      <c r="N6319" t="s">
        <v>536</v>
      </c>
      <c r="O6319" t="s">
        <v>133</v>
      </c>
      <c r="P6319" t="s">
        <v>469</v>
      </c>
      <c r="Q6319" t="s">
        <v>103</v>
      </c>
      <c r="R6319" t="s">
        <v>103</v>
      </c>
    </row>
    <row r="6320" spans="1:18" x14ac:dyDescent="0.3">
      <c r="A6320" t="s">
        <v>27</v>
      </c>
      <c r="B6320" t="s">
        <v>2188</v>
      </c>
      <c r="C6320">
        <v>86</v>
      </c>
      <c r="D6320" t="s">
        <v>119</v>
      </c>
      <c r="E6320" t="s">
        <v>1316</v>
      </c>
      <c r="F6320" t="s">
        <v>329</v>
      </c>
      <c r="G6320" t="s">
        <v>511</v>
      </c>
      <c r="H6320" t="s">
        <v>282</v>
      </c>
      <c r="I6320" t="s">
        <v>890</v>
      </c>
      <c r="J6320" t="s">
        <v>228</v>
      </c>
      <c r="K6320" t="s">
        <v>686</v>
      </c>
      <c r="L6320" t="s">
        <v>110</v>
      </c>
      <c r="M6320" t="s">
        <v>103</v>
      </c>
      <c r="N6320" t="s">
        <v>694</v>
      </c>
      <c r="O6320" t="s">
        <v>284</v>
      </c>
      <c r="P6320" t="s">
        <v>270</v>
      </c>
      <c r="Q6320" t="s">
        <v>194</v>
      </c>
      <c r="R6320" t="s">
        <v>103</v>
      </c>
    </row>
    <row r="6321" spans="1:18" x14ac:dyDescent="0.3">
      <c r="A6321" t="s">
        <v>27</v>
      </c>
      <c r="B6321" t="s">
        <v>2189</v>
      </c>
      <c r="C6321">
        <v>185</v>
      </c>
      <c r="D6321" t="s">
        <v>732</v>
      </c>
      <c r="E6321" t="s">
        <v>1243</v>
      </c>
      <c r="F6321" t="s">
        <v>282</v>
      </c>
      <c r="G6321" t="s">
        <v>262</v>
      </c>
      <c r="H6321" t="s">
        <v>103</v>
      </c>
      <c r="I6321" t="s">
        <v>113</v>
      </c>
      <c r="J6321" t="s">
        <v>90</v>
      </c>
      <c r="K6321" t="s">
        <v>457</v>
      </c>
      <c r="L6321" t="s">
        <v>329</v>
      </c>
      <c r="M6321" t="s">
        <v>208</v>
      </c>
      <c r="N6321" t="s">
        <v>561</v>
      </c>
      <c r="O6321" t="s">
        <v>148</v>
      </c>
      <c r="P6321" t="s">
        <v>239</v>
      </c>
      <c r="Q6321" t="s">
        <v>97</v>
      </c>
      <c r="R6321" t="s">
        <v>282</v>
      </c>
    </row>
    <row r="6322" spans="1:18" x14ac:dyDescent="0.3">
      <c r="A6322" t="s">
        <v>27</v>
      </c>
      <c r="B6322" t="s">
        <v>308</v>
      </c>
      <c r="C6322">
        <v>14</v>
      </c>
      <c r="D6322" t="s">
        <v>1028</v>
      </c>
      <c r="E6322" t="s">
        <v>409</v>
      </c>
      <c r="F6322" t="s">
        <v>103</v>
      </c>
      <c r="G6322" t="s">
        <v>103</v>
      </c>
      <c r="H6322" t="s">
        <v>103</v>
      </c>
      <c r="I6322" t="s">
        <v>103</v>
      </c>
      <c r="J6322" t="s">
        <v>205</v>
      </c>
      <c r="K6322" t="s">
        <v>695</v>
      </c>
      <c r="L6322" t="s">
        <v>1321</v>
      </c>
      <c r="M6322" t="s">
        <v>103</v>
      </c>
      <c r="N6322" t="s">
        <v>234</v>
      </c>
      <c r="O6322" t="s">
        <v>103</v>
      </c>
      <c r="P6322" t="s">
        <v>103</v>
      </c>
      <c r="Q6322" t="s">
        <v>103</v>
      </c>
      <c r="R6322" t="s">
        <v>103</v>
      </c>
    </row>
    <row r="6323" spans="1:18" x14ac:dyDescent="0.3">
      <c r="A6323" t="s">
        <v>41</v>
      </c>
      <c r="B6323" t="s">
        <v>2188</v>
      </c>
      <c r="C6323">
        <v>566</v>
      </c>
      <c r="D6323" t="s">
        <v>629</v>
      </c>
      <c r="E6323" t="s">
        <v>1379</v>
      </c>
      <c r="F6323" t="s">
        <v>118</v>
      </c>
      <c r="G6323" t="s">
        <v>575</v>
      </c>
      <c r="H6323" t="s">
        <v>103</v>
      </c>
      <c r="I6323" t="s">
        <v>139</v>
      </c>
      <c r="J6323" t="s">
        <v>488</v>
      </c>
      <c r="K6323" t="s">
        <v>48</v>
      </c>
      <c r="L6323" t="s">
        <v>118</v>
      </c>
      <c r="M6323" t="s">
        <v>98</v>
      </c>
      <c r="N6323" t="s">
        <v>455</v>
      </c>
      <c r="O6323" t="s">
        <v>607</v>
      </c>
      <c r="P6323" t="s">
        <v>239</v>
      </c>
      <c r="Q6323" t="s">
        <v>91</v>
      </c>
      <c r="R6323" t="s">
        <v>103</v>
      </c>
    </row>
    <row r="6324" spans="1:18" x14ac:dyDescent="0.3">
      <c r="A6324" t="s">
        <v>41</v>
      </c>
      <c r="B6324" t="s">
        <v>2189</v>
      </c>
      <c r="C6324">
        <v>1455</v>
      </c>
      <c r="D6324" t="s">
        <v>569</v>
      </c>
      <c r="E6324" t="s">
        <v>1210</v>
      </c>
      <c r="F6324" t="s">
        <v>194</v>
      </c>
      <c r="G6324" t="s">
        <v>272</v>
      </c>
      <c r="H6324" t="s">
        <v>103</v>
      </c>
      <c r="I6324" t="s">
        <v>139</v>
      </c>
      <c r="J6324" t="s">
        <v>108</v>
      </c>
      <c r="K6324" t="s">
        <v>662</v>
      </c>
      <c r="L6324" t="s">
        <v>615</v>
      </c>
      <c r="M6324" t="s">
        <v>615</v>
      </c>
      <c r="N6324" t="s">
        <v>754</v>
      </c>
      <c r="O6324" t="s">
        <v>813</v>
      </c>
      <c r="P6324" t="s">
        <v>239</v>
      </c>
      <c r="Q6324" t="s">
        <v>103</v>
      </c>
      <c r="R6324" t="s">
        <v>66</v>
      </c>
    </row>
    <row r="6325" spans="1:18" x14ac:dyDescent="0.3">
      <c r="A6325" t="s">
        <v>41</v>
      </c>
      <c r="B6325" t="s">
        <v>308</v>
      </c>
      <c r="C6325">
        <v>131</v>
      </c>
      <c r="D6325" t="s">
        <v>1549</v>
      </c>
      <c r="E6325" t="s">
        <v>452</v>
      </c>
      <c r="F6325" t="s">
        <v>120</v>
      </c>
      <c r="G6325" t="s">
        <v>66</v>
      </c>
      <c r="H6325" t="s">
        <v>103</v>
      </c>
      <c r="I6325" t="s">
        <v>103</v>
      </c>
      <c r="J6325" t="s">
        <v>68</v>
      </c>
      <c r="K6325" t="s">
        <v>467</v>
      </c>
      <c r="L6325" t="s">
        <v>440</v>
      </c>
      <c r="M6325" t="s">
        <v>103</v>
      </c>
      <c r="N6325" t="s">
        <v>133</v>
      </c>
      <c r="O6325" t="s">
        <v>33</v>
      </c>
      <c r="P6325" t="s">
        <v>245</v>
      </c>
      <c r="Q6325" t="s">
        <v>103</v>
      </c>
      <c r="R6325" t="s">
        <v>103</v>
      </c>
    </row>
    <row r="6327" spans="1:18" x14ac:dyDescent="0.3">
      <c r="A6327" t="s">
        <v>2212</v>
      </c>
    </row>
    <row r="6328" spans="1:18" x14ac:dyDescent="0.3">
      <c r="A6328" t="s">
        <v>36</v>
      </c>
      <c r="B6328" t="s">
        <v>197</v>
      </c>
      <c r="C6328" t="s">
        <v>24</v>
      </c>
      <c r="D6328" t="s">
        <v>2198</v>
      </c>
      <c r="E6328" t="s">
        <v>2199</v>
      </c>
      <c r="F6328" t="s">
        <v>2200</v>
      </c>
      <c r="G6328" t="s">
        <v>2201</v>
      </c>
      <c r="H6328" t="s">
        <v>2202</v>
      </c>
      <c r="I6328" t="s">
        <v>2203</v>
      </c>
      <c r="J6328" t="s">
        <v>2204</v>
      </c>
      <c r="K6328" t="s">
        <v>2205</v>
      </c>
      <c r="L6328" t="s">
        <v>2206</v>
      </c>
      <c r="M6328" t="s">
        <v>2207</v>
      </c>
      <c r="N6328" t="s">
        <v>2208</v>
      </c>
      <c r="O6328" t="s">
        <v>2209</v>
      </c>
      <c r="P6328" t="s">
        <v>89</v>
      </c>
      <c r="Q6328" t="s">
        <v>87</v>
      </c>
      <c r="R6328" t="s">
        <v>181</v>
      </c>
    </row>
    <row r="6329" spans="1:18" x14ac:dyDescent="0.3">
      <c r="A6329" t="s">
        <v>25</v>
      </c>
      <c r="B6329" t="s">
        <v>198</v>
      </c>
      <c r="C6329">
        <v>87</v>
      </c>
      <c r="D6329" t="s">
        <v>697</v>
      </c>
      <c r="E6329" t="s">
        <v>510</v>
      </c>
      <c r="F6329" t="s">
        <v>103</v>
      </c>
      <c r="G6329" t="s">
        <v>128</v>
      </c>
      <c r="H6329" t="s">
        <v>103</v>
      </c>
      <c r="I6329" t="s">
        <v>216</v>
      </c>
      <c r="J6329" t="s">
        <v>195</v>
      </c>
      <c r="K6329" t="s">
        <v>99</v>
      </c>
      <c r="L6329" t="s">
        <v>118</v>
      </c>
      <c r="M6329" t="s">
        <v>257</v>
      </c>
      <c r="N6329" t="s">
        <v>429</v>
      </c>
      <c r="O6329" t="s">
        <v>106</v>
      </c>
      <c r="P6329" t="s">
        <v>120</v>
      </c>
      <c r="Q6329" t="s">
        <v>103</v>
      </c>
      <c r="R6329" t="s">
        <v>103</v>
      </c>
    </row>
    <row r="6330" spans="1:18" x14ac:dyDescent="0.3">
      <c r="A6330" t="s">
        <v>25</v>
      </c>
      <c r="B6330" t="s">
        <v>199</v>
      </c>
      <c r="C6330">
        <v>410</v>
      </c>
      <c r="D6330" t="s">
        <v>264</v>
      </c>
      <c r="E6330" t="s">
        <v>1260</v>
      </c>
      <c r="F6330" t="s">
        <v>97</v>
      </c>
      <c r="G6330" t="s">
        <v>125</v>
      </c>
      <c r="H6330" t="s">
        <v>103</v>
      </c>
      <c r="I6330" t="s">
        <v>120</v>
      </c>
      <c r="J6330" t="s">
        <v>112</v>
      </c>
      <c r="K6330" t="s">
        <v>152</v>
      </c>
      <c r="L6330" t="s">
        <v>662</v>
      </c>
      <c r="M6330" t="s">
        <v>186</v>
      </c>
      <c r="N6330" t="s">
        <v>565</v>
      </c>
      <c r="O6330" t="s">
        <v>652</v>
      </c>
      <c r="P6330" t="s">
        <v>329</v>
      </c>
      <c r="Q6330" t="s">
        <v>103</v>
      </c>
      <c r="R6330" t="s">
        <v>139</v>
      </c>
    </row>
    <row r="6331" spans="1:18" x14ac:dyDescent="0.3">
      <c r="A6331" t="s">
        <v>26</v>
      </c>
      <c r="B6331" t="s">
        <v>198</v>
      </c>
      <c r="C6331">
        <v>37</v>
      </c>
      <c r="D6331" t="s">
        <v>50</v>
      </c>
      <c r="E6331" t="s">
        <v>830</v>
      </c>
      <c r="F6331" t="s">
        <v>247</v>
      </c>
      <c r="G6331" t="s">
        <v>103</v>
      </c>
      <c r="H6331" t="s">
        <v>103</v>
      </c>
      <c r="I6331" t="s">
        <v>103</v>
      </c>
      <c r="J6331" t="s">
        <v>460</v>
      </c>
      <c r="K6331" t="s">
        <v>470</v>
      </c>
      <c r="L6331" t="s">
        <v>467</v>
      </c>
      <c r="M6331" t="s">
        <v>558</v>
      </c>
      <c r="N6331" t="s">
        <v>256</v>
      </c>
      <c r="O6331" t="s">
        <v>649</v>
      </c>
      <c r="P6331" t="s">
        <v>103</v>
      </c>
      <c r="Q6331" t="s">
        <v>103</v>
      </c>
      <c r="R6331" t="s">
        <v>103</v>
      </c>
    </row>
    <row r="6332" spans="1:18" x14ac:dyDescent="0.3">
      <c r="A6332" t="s">
        <v>26</v>
      </c>
      <c r="B6332" t="s">
        <v>199</v>
      </c>
      <c r="C6332">
        <v>408</v>
      </c>
      <c r="D6332" t="s">
        <v>30</v>
      </c>
      <c r="E6332" t="s">
        <v>349</v>
      </c>
      <c r="F6332" t="s">
        <v>208</v>
      </c>
      <c r="G6332" t="s">
        <v>270</v>
      </c>
      <c r="H6332" t="s">
        <v>103</v>
      </c>
      <c r="I6332" t="s">
        <v>116</v>
      </c>
      <c r="J6332" t="s">
        <v>494</v>
      </c>
      <c r="K6332" t="s">
        <v>94</v>
      </c>
      <c r="L6332" t="s">
        <v>201</v>
      </c>
      <c r="M6332" t="s">
        <v>102</v>
      </c>
      <c r="N6332" t="s">
        <v>746</v>
      </c>
      <c r="O6332" t="s">
        <v>271</v>
      </c>
      <c r="P6332" t="s">
        <v>194</v>
      </c>
      <c r="Q6332" t="s">
        <v>103</v>
      </c>
      <c r="R6332" t="s">
        <v>103</v>
      </c>
    </row>
    <row r="6333" spans="1:18" x14ac:dyDescent="0.3">
      <c r="A6333" t="s">
        <v>29</v>
      </c>
      <c r="B6333" t="s">
        <v>198</v>
      </c>
      <c r="C6333">
        <v>227</v>
      </c>
      <c r="D6333" t="s">
        <v>1082</v>
      </c>
      <c r="E6333" t="s">
        <v>462</v>
      </c>
      <c r="F6333" t="s">
        <v>122</v>
      </c>
      <c r="G6333" t="s">
        <v>558</v>
      </c>
      <c r="H6333" t="s">
        <v>103</v>
      </c>
      <c r="I6333" t="s">
        <v>122</v>
      </c>
      <c r="J6333" t="s">
        <v>601</v>
      </c>
      <c r="K6333" t="s">
        <v>118</v>
      </c>
      <c r="L6333" t="s">
        <v>890</v>
      </c>
      <c r="M6333" t="s">
        <v>195</v>
      </c>
      <c r="N6333" t="s">
        <v>268</v>
      </c>
      <c r="O6333" t="s">
        <v>269</v>
      </c>
      <c r="P6333" t="s">
        <v>239</v>
      </c>
      <c r="Q6333" t="s">
        <v>103</v>
      </c>
      <c r="R6333" t="s">
        <v>103</v>
      </c>
    </row>
    <row r="6334" spans="1:18" x14ac:dyDescent="0.3">
      <c r="A6334" t="s">
        <v>29</v>
      </c>
      <c r="B6334" t="s">
        <v>199</v>
      </c>
      <c r="C6334">
        <v>456</v>
      </c>
      <c r="D6334" t="s">
        <v>671</v>
      </c>
      <c r="E6334" t="s">
        <v>573</v>
      </c>
      <c r="F6334" t="s">
        <v>93</v>
      </c>
      <c r="G6334" t="s">
        <v>113</v>
      </c>
      <c r="H6334" t="s">
        <v>103</v>
      </c>
      <c r="I6334" t="s">
        <v>120</v>
      </c>
      <c r="J6334" t="s">
        <v>918</v>
      </c>
      <c r="K6334" t="s">
        <v>262</v>
      </c>
      <c r="L6334" t="s">
        <v>206</v>
      </c>
      <c r="M6334" t="s">
        <v>125</v>
      </c>
      <c r="N6334" t="s">
        <v>484</v>
      </c>
      <c r="O6334" t="s">
        <v>543</v>
      </c>
      <c r="P6334" t="s">
        <v>239</v>
      </c>
      <c r="Q6334" t="s">
        <v>103</v>
      </c>
      <c r="R6334" t="s">
        <v>103</v>
      </c>
    </row>
    <row r="6335" spans="1:18" x14ac:dyDescent="0.3">
      <c r="A6335" t="s">
        <v>28</v>
      </c>
      <c r="B6335" t="s">
        <v>198</v>
      </c>
      <c r="C6335">
        <v>59</v>
      </c>
      <c r="D6335" t="s">
        <v>900</v>
      </c>
      <c r="E6335" t="s">
        <v>1097</v>
      </c>
      <c r="F6335" t="s">
        <v>103</v>
      </c>
      <c r="G6335" t="s">
        <v>103</v>
      </c>
      <c r="H6335" t="s">
        <v>103</v>
      </c>
      <c r="I6335" t="s">
        <v>103</v>
      </c>
      <c r="J6335" t="s">
        <v>136</v>
      </c>
      <c r="K6335" t="s">
        <v>549</v>
      </c>
      <c r="L6335" t="s">
        <v>284</v>
      </c>
      <c r="M6335" t="s">
        <v>103</v>
      </c>
      <c r="N6335" t="s">
        <v>927</v>
      </c>
      <c r="O6335" t="s">
        <v>543</v>
      </c>
      <c r="P6335" t="s">
        <v>103</v>
      </c>
      <c r="Q6335" t="s">
        <v>103</v>
      </c>
      <c r="R6335" t="s">
        <v>103</v>
      </c>
    </row>
    <row r="6336" spans="1:18" x14ac:dyDescent="0.3">
      <c r="A6336" t="s">
        <v>28</v>
      </c>
      <c r="B6336" t="s">
        <v>199</v>
      </c>
      <c r="C6336">
        <v>183</v>
      </c>
      <c r="D6336" t="s">
        <v>275</v>
      </c>
      <c r="E6336" t="s">
        <v>453</v>
      </c>
      <c r="F6336" t="s">
        <v>105</v>
      </c>
      <c r="G6336" t="s">
        <v>438</v>
      </c>
      <c r="H6336" t="s">
        <v>103</v>
      </c>
      <c r="I6336" t="s">
        <v>103</v>
      </c>
      <c r="J6336" t="s">
        <v>126</v>
      </c>
      <c r="K6336" t="s">
        <v>111</v>
      </c>
      <c r="L6336" t="s">
        <v>208</v>
      </c>
      <c r="M6336" t="s">
        <v>118</v>
      </c>
      <c r="N6336" t="s">
        <v>293</v>
      </c>
      <c r="O6336" t="s">
        <v>601</v>
      </c>
      <c r="P6336" t="s">
        <v>216</v>
      </c>
      <c r="Q6336" t="s">
        <v>139</v>
      </c>
      <c r="R6336" t="s">
        <v>103</v>
      </c>
    </row>
    <row r="6337" spans="1:18" x14ac:dyDescent="0.3">
      <c r="A6337" t="s">
        <v>27</v>
      </c>
      <c r="B6337" t="s">
        <v>198</v>
      </c>
      <c r="C6337">
        <v>119</v>
      </c>
      <c r="D6337" t="s">
        <v>672</v>
      </c>
      <c r="E6337" t="s">
        <v>1058</v>
      </c>
      <c r="F6337" t="s">
        <v>195</v>
      </c>
      <c r="G6337" t="s">
        <v>190</v>
      </c>
      <c r="H6337" t="s">
        <v>120</v>
      </c>
      <c r="I6337" t="s">
        <v>531</v>
      </c>
      <c r="J6337" t="s">
        <v>244</v>
      </c>
      <c r="K6337" t="s">
        <v>264</v>
      </c>
      <c r="L6337" t="s">
        <v>107</v>
      </c>
      <c r="M6337" t="s">
        <v>139</v>
      </c>
      <c r="N6337" t="s">
        <v>1200</v>
      </c>
      <c r="O6337" t="s">
        <v>594</v>
      </c>
      <c r="P6337" t="s">
        <v>438</v>
      </c>
      <c r="Q6337" t="s">
        <v>216</v>
      </c>
      <c r="R6337" t="s">
        <v>103</v>
      </c>
    </row>
    <row r="6338" spans="1:18" x14ac:dyDescent="0.3">
      <c r="A6338" t="s">
        <v>27</v>
      </c>
      <c r="B6338" t="s">
        <v>199</v>
      </c>
      <c r="C6338">
        <v>166</v>
      </c>
      <c r="D6338" t="s">
        <v>142</v>
      </c>
      <c r="E6338" t="s">
        <v>736</v>
      </c>
      <c r="F6338" t="s">
        <v>103</v>
      </c>
      <c r="G6338" t="s">
        <v>549</v>
      </c>
      <c r="H6338" t="s">
        <v>103</v>
      </c>
      <c r="I6338" t="s">
        <v>112</v>
      </c>
      <c r="J6338" t="s">
        <v>135</v>
      </c>
      <c r="K6338" t="s">
        <v>1038</v>
      </c>
      <c r="L6338" t="s">
        <v>70</v>
      </c>
      <c r="M6338" t="s">
        <v>105</v>
      </c>
      <c r="N6338" t="s">
        <v>380</v>
      </c>
      <c r="O6338" t="s">
        <v>164</v>
      </c>
      <c r="P6338" t="s">
        <v>120</v>
      </c>
      <c r="Q6338" t="s">
        <v>103</v>
      </c>
      <c r="R6338" t="s">
        <v>468</v>
      </c>
    </row>
    <row r="6339" spans="1:18" x14ac:dyDescent="0.3">
      <c r="A6339" t="s">
        <v>41</v>
      </c>
      <c r="B6339" t="s">
        <v>198</v>
      </c>
      <c r="C6339">
        <v>529</v>
      </c>
      <c r="D6339" t="s">
        <v>651</v>
      </c>
      <c r="E6339" t="s">
        <v>413</v>
      </c>
      <c r="F6339" t="s">
        <v>98</v>
      </c>
      <c r="G6339" t="s">
        <v>33</v>
      </c>
      <c r="H6339" t="s">
        <v>103</v>
      </c>
      <c r="I6339" t="s">
        <v>282</v>
      </c>
      <c r="J6339" t="s">
        <v>737</v>
      </c>
      <c r="K6339" t="s">
        <v>112</v>
      </c>
      <c r="L6339" t="s">
        <v>571</v>
      </c>
      <c r="M6339" t="s">
        <v>64</v>
      </c>
      <c r="N6339" t="s">
        <v>756</v>
      </c>
      <c r="O6339" t="s">
        <v>123</v>
      </c>
      <c r="P6339" t="s">
        <v>110</v>
      </c>
      <c r="Q6339" t="s">
        <v>91</v>
      </c>
      <c r="R6339" t="s">
        <v>103</v>
      </c>
    </row>
    <row r="6340" spans="1:18" x14ac:dyDescent="0.3">
      <c r="A6340" t="s">
        <v>41</v>
      </c>
      <c r="B6340" t="s">
        <v>199</v>
      </c>
      <c r="C6340">
        <v>1623</v>
      </c>
      <c r="D6340" t="s">
        <v>654</v>
      </c>
      <c r="E6340" t="s">
        <v>1579</v>
      </c>
      <c r="F6340" t="s">
        <v>245</v>
      </c>
      <c r="G6340" t="s">
        <v>114</v>
      </c>
      <c r="H6340" t="s">
        <v>103</v>
      </c>
      <c r="I6340" t="s">
        <v>95</v>
      </c>
      <c r="J6340" t="s">
        <v>629</v>
      </c>
      <c r="K6340" t="s">
        <v>649</v>
      </c>
      <c r="L6340" t="s">
        <v>70</v>
      </c>
      <c r="M6340" t="s">
        <v>125</v>
      </c>
      <c r="N6340" t="s">
        <v>461</v>
      </c>
      <c r="O6340" t="s">
        <v>123</v>
      </c>
      <c r="P6340" t="s">
        <v>216</v>
      </c>
      <c r="Q6340" t="s">
        <v>103</v>
      </c>
      <c r="R6340" t="s">
        <v>66</v>
      </c>
    </row>
    <row r="6342" spans="1:18" x14ac:dyDescent="0.3">
      <c r="A6342" t="s">
        <v>2213</v>
      </c>
    </row>
    <row r="6343" spans="1:18" x14ac:dyDescent="0.3">
      <c r="A6343" t="s">
        <v>36</v>
      </c>
      <c r="B6343" t="s">
        <v>763</v>
      </c>
      <c r="C6343" t="s">
        <v>24</v>
      </c>
      <c r="D6343" t="s">
        <v>2198</v>
      </c>
      <c r="E6343" t="s">
        <v>2199</v>
      </c>
      <c r="F6343" t="s">
        <v>2200</v>
      </c>
      <c r="G6343" t="s">
        <v>2201</v>
      </c>
      <c r="H6343" t="s">
        <v>2202</v>
      </c>
      <c r="I6343" t="s">
        <v>2203</v>
      </c>
      <c r="J6343" t="s">
        <v>2204</v>
      </c>
      <c r="K6343" t="s">
        <v>2205</v>
      </c>
      <c r="L6343" t="s">
        <v>2206</v>
      </c>
      <c r="M6343" t="s">
        <v>2207</v>
      </c>
      <c r="N6343" t="s">
        <v>2208</v>
      </c>
      <c r="O6343" t="s">
        <v>2209</v>
      </c>
      <c r="P6343" t="s">
        <v>89</v>
      </c>
      <c r="Q6343" t="s">
        <v>87</v>
      </c>
      <c r="R6343" t="s">
        <v>181</v>
      </c>
    </row>
    <row r="6344" spans="1:18" s="3" customFormat="1" x14ac:dyDescent="0.3">
      <c r="A6344" s="3" t="s">
        <v>25</v>
      </c>
      <c r="B6344" s="3" t="s">
        <v>764</v>
      </c>
      <c r="C6344" s="3">
        <v>22</v>
      </c>
      <c r="D6344" s="3" t="s">
        <v>521</v>
      </c>
      <c r="E6344" s="3" t="s">
        <v>366</v>
      </c>
      <c r="F6344" s="3" t="s">
        <v>103</v>
      </c>
      <c r="G6344" s="3" t="s">
        <v>103</v>
      </c>
      <c r="H6344" s="3" t="s">
        <v>103</v>
      </c>
      <c r="I6344" s="3" t="s">
        <v>135</v>
      </c>
      <c r="J6344" s="3" t="s">
        <v>186</v>
      </c>
      <c r="K6344" s="3" t="s">
        <v>120</v>
      </c>
      <c r="L6344" s="3" t="s">
        <v>103</v>
      </c>
      <c r="M6344" s="3" t="s">
        <v>120</v>
      </c>
      <c r="N6344" s="3" t="s">
        <v>756</v>
      </c>
      <c r="O6344" s="3" t="s">
        <v>531</v>
      </c>
      <c r="P6344" s="3" t="s">
        <v>103</v>
      </c>
      <c r="Q6344" s="3" t="s">
        <v>103</v>
      </c>
      <c r="R6344" s="3" t="s">
        <v>103</v>
      </c>
    </row>
    <row r="6345" spans="1:18" x14ac:dyDescent="0.3">
      <c r="A6345" t="s">
        <v>25</v>
      </c>
      <c r="B6345" t="s">
        <v>765</v>
      </c>
      <c r="C6345">
        <v>308</v>
      </c>
      <c r="D6345" t="s">
        <v>515</v>
      </c>
      <c r="E6345" t="s">
        <v>368</v>
      </c>
      <c r="F6345" t="s">
        <v>95</v>
      </c>
      <c r="G6345" t="s">
        <v>214</v>
      </c>
      <c r="H6345" t="s">
        <v>103</v>
      </c>
      <c r="I6345" t="s">
        <v>95</v>
      </c>
      <c r="J6345" t="s">
        <v>251</v>
      </c>
      <c r="K6345" t="s">
        <v>516</v>
      </c>
      <c r="L6345" t="s">
        <v>113</v>
      </c>
      <c r="M6345" t="s">
        <v>125</v>
      </c>
      <c r="N6345" t="s">
        <v>261</v>
      </c>
      <c r="O6345" t="s">
        <v>649</v>
      </c>
      <c r="P6345" t="s">
        <v>93</v>
      </c>
      <c r="Q6345" t="s">
        <v>103</v>
      </c>
      <c r="R6345" t="s">
        <v>97</v>
      </c>
    </row>
    <row r="6346" spans="1:18" x14ac:dyDescent="0.3">
      <c r="A6346" t="s">
        <v>25</v>
      </c>
      <c r="B6346" t="s">
        <v>767</v>
      </c>
      <c r="C6346">
        <v>167</v>
      </c>
      <c r="D6346" t="s">
        <v>129</v>
      </c>
      <c r="E6346" t="s">
        <v>453</v>
      </c>
      <c r="F6346" t="s">
        <v>103</v>
      </c>
      <c r="G6346" t="s">
        <v>110</v>
      </c>
      <c r="H6346" t="s">
        <v>103</v>
      </c>
      <c r="I6346" t="s">
        <v>103</v>
      </c>
      <c r="J6346" t="s">
        <v>266</v>
      </c>
      <c r="K6346" t="s">
        <v>482</v>
      </c>
      <c r="L6346" t="s">
        <v>460</v>
      </c>
      <c r="M6346" t="s">
        <v>214</v>
      </c>
      <c r="N6346" t="s">
        <v>1084</v>
      </c>
      <c r="O6346" t="s">
        <v>164</v>
      </c>
      <c r="P6346" t="s">
        <v>245</v>
      </c>
      <c r="Q6346" t="s">
        <v>103</v>
      </c>
      <c r="R6346" t="s">
        <v>282</v>
      </c>
    </row>
    <row r="6347" spans="1:18" s="3" customFormat="1" x14ac:dyDescent="0.3">
      <c r="A6347" s="3" t="s">
        <v>26</v>
      </c>
      <c r="B6347" s="3" t="s">
        <v>764</v>
      </c>
      <c r="C6347" s="3">
        <v>20</v>
      </c>
      <c r="D6347" s="3" t="s">
        <v>131</v>
      </c>
      <c r="E6347" s="3" t="s">
        <v>1238</v>
      </c>
      <c r="F6347" s="3" t="s">
        <v>103</v>
      </c>
      <c r="G6347" s="3" t="s">
        <v>662</v>
      </c>
      <c r="H6347" s="3" t="s">
        <v>103</v>
      </c>
      <c r="I6347" s="3" t="s">
        <v>662</v>
      </c>
      <c r="J6347" s="3" t="s">
        <v>186</v>
      </c>
      <c r="K6347" s="3" t="s">
        <v>70</v>
      </c>
      <c r="L6347" s="3" t="s">
        <v>103</v>
      </c>
      <c r="M6347" s="3" t="s">
        <v>103</v>
      </c>
      <c r="N6347" s="3" t="s">
        <v>686</v>
      </c>
      <c r="O6347" s="3" t="s">
        <v>929</v>
      </c>
      <c r="P6347" s="3" t="s">
        <v>103</v>
      </c>
      <c r="Q6347" s="3" t="s">
        <v>103</v>
      </c>
      <c r="R6347" s="3" t="s">
        <v>103</v>
      </c>
    </row>
    <row r="6348" spans="1:18" x14ac:dyDescent="0.3">
      <c r="A6348" t="s">
        <v>26</v>
      </c>
      <c r="B6348" t="s">
        <v>765</v>
      </c>
      <c r="C6348">
        <v>261</v>
      </c>
      <c r="D6348" t="s">
        <v>658</v>
      </c>
      <c r="E6348" t="s">
        <v>793</v>
      </c>
      <c r="F6348" t="s">
        <v>64</v>
      </c>
      <c r="G6348" t="s">
        <v>245</v>
      </c>
      <c r="H6348" t="s">
        <v>103</v>
      </c>
      <c r="I6348" t="s">
        <v>103</v>
      </c>
      <c r="J6348" t="s">
        <v>575</v>
      </c>
      <c r="K6348" t="s">
        <v>101</v>
      </c>
      <c r="L6348" t="s">
        <v>105</v>
      </c>
      <c r="M6348" t="s">
        <v>118</v>
      </c>
      <c r="N6348" t="s">
        <v>900</v>
      </c>
      <c r="O6348" t="s">
        <v>146</v>
      </c>
      <c r="P6348" t="s">
        <v>139</v>
      </c>
      <c r="Q6348" t="s">
        <v>103</v>
      </c>
      <c r="R6348" t="s">
        <v>103</v>
      </c>
    </row>
    <row r="6349" spans="1:18" x14ac:dyDescent="0.3">
      <c r="A6349" t="s">
        <v>26</v>
      </c>
      <c r="B6349" t="s">
        <v>767</v>
      </c>
      <c r="C6349">
        <v>164</v>
      </c>
      <c r="D6349" t="s">
        <v>521</v>
      </c>
      <c r="E6349" t="s">
        <v>1065</v>
      </c>
      <c r="F6349" t="s">
        <v>105</v>
      </c>
      <c r="G6349" t="s">
        <v>113</v>
      </c>
      <c r="H6349" t="s">
        <v>103</v>
      </c>
      <c r="I6349" t="s">
        <v>103</v>
      </c>
      <c r="J6349" t="s">
        <v>460</v>
      </c>
      <c r="K6349" t="s">
        <v>190</v>
      </c>
      <c r="L6349" t="s">
        <v>482</v>
      </c>
      <c r="M6349" t="s">
        <v>206</v>
      </c>
      <c r="N6349" t="s">
        <v>1008</v>
      </c>
      <c r="O6349" t="s">
        <v>244</v>
      </c>
      <c r="P6349" t="s">
        <v>93</v>
      </c>
      <c r="Q6349" t="s">
        <v>103</v>
      </c>
      <c r="R6349" t="s">
        <v>103</v>
      </c>
    </row>
    <row r="6350" spans="1:18" s="3" customFormat="1" x14ac:dyDescent="0.3">
      <c r="A6350" s="3" t="s">
        <v>29</v>
      </c>
      <c r="B6350" s="3" t="s">
        <v>764</v>
      </c>
      <c r="C6350" s="3">
        <v>4</v>
      </c>
      <c r="D6350" s="3" t="s">
        <v>918</v>
      </c>
      <c r="E6350" s="3" t="s">
        <v>1443</v>
      </c>
      <c r="F6350" s="3" t="s">
        <v>103</v>
      </c>
      <c r="G6350" s="3" t="s">
        <v>103</v>
      </c>
      <c r="H6350" s="3" t="s">
        <v>103</v>
      </c>
      <c r="I6350" s="3" t="s">
        <v>103</v>
      </c>
      <c r="J6350" s="3" t="s">
        <v>1223</v>
      </c>
      <c r="K6350" s="3" t="s">
        <v>103</v>
      </c>
      <c r="L6350" s="3" t="s">
        <v>103</v>
      </c>
      <c r="M6350" s="3" t="s">
        <v>103</v>
      </c>
      <c r="N6350" s="3" t="s">
        <v>256</v>
      </c>
      <c r="O6350" s="3" t="s">
        <v>103</v>
      </c>
      <c r="P6350" s="3" t="s">
        <v>103</v>
      </c>
      <c r="Q6350" s="3" t="s">
        <v>103</v>
      </c>
      <c r="R6350" s="3" t="s">
        <v>103</v>
      </c>
    </row>
    <row r="6351" spans="1:18" x14ac:dyDescent="0.3">
      <c r="A6351" t="s">
        <v>29</v>
      </c>
      <c r="B6351" t="s">
        <v>765</v>
      </c>
      <c r="C6351">
        <v>457</v>
      </c>
      <c r="D6351" t="s">
        <v>525</v>
      </c>
      <c r="E6351" t="s">
        <v>432</v>
      </c>
      <c r="F6351" t="s">
        <v>208</v>
      </c>
      <c r="G6351" t="s">
        <v>232</v>
      </c>
      <c r="H6351" t="s">
        <v>103</v>
      </c>
      <c r="I6351" t="s">
        <v>97</v>
      </c>
      <c r="J6351" t="s">
        <v>157</v>
      </c>
      <c r="K6351" t="s">
        <v>482</v>
      </c>
      <c r="L6351" t="s">
        <v>284</v>
      </c>
      <c r="M6351" t="s">
        <v>217</v>
      </c>
      <c r="N6351" t="s">
        <v>691</v>
      </c>
      <c r="O6351" t="s">
        <v>62</v>
      </c>
      <c r="P6351" t="s">
        <v>110</v>
      </c>
      <c r="Q6351" t="s">
        <v>103</v>
      </c>
      <c r="R6351" t="s">
        <v>103</v>
      </c>
    </row>
    <row r="6352" spans="1:18" x14ac:dyDescent="0.3">
      <c r="A6352" t="s">
        <v>29</v>
      </c>
      <c r="B6352" t="s">
        <v>767</v>
      </c>
      <c r="C6352">
        <v>222</v>
      </c>
      <c r="D6352" t="s">
        <v>698</v>
      </c>
      <c r="E6352" t="s">
        <v>858</v>
      </c>
      <c r="F6352" t="s">
        <v>98</v>
      </c>
      <c r="G6352" t="s">
        <v>217</v>
      </c>
      <c r="H6352" t="s">
        <v>103</v>
      </c>
      <c r="I6352" t="s">
        <v>120</v>
      </c>
      <c r="J6352" t="s">
        <v>652</v>
      </c>
      <c r="K6352" t="s">
        <v>245</v>
      </c>
      <c r="L6352" t="s">
        <v>700</v>
      </c>
      <c r="M6352" t="s">
        <v>284</v>
      </c>
      <c r="N6352" t="s">
        <v>256</v>
      </c>
      <c r="O6352" t="s">
        <v>517</v>
      </c>
      <c r="P6352" t="s">
        <v>341</v>
      </c>
      <c r="Q6352" t="s">
        <v>103</v>
      </c>
      <c r="R6352" t="s">
        <v>103</v>
      </c>
    </row>
    <row r="6353" spans="1:18" s="3" customFormat="1" x14ac:dyDescent="0.3">
      <c r="A6353" s="3" t="s">
        <v>28</v>
      </c>
      <c r="B6353" s="3" t="s">
        <v>764</v>
      </c>
      <c r="C6353" s="3">
        <v>14</v>
      </c>
      <c r="D6353" s="3" t="s">
        <v>106</v>
      </c>
      <c r="E6353" s="3" t="s">
        <v>1081</v>
      </c>
      <c r="F6353" s="3" t="s">
        <v>103</v>
      </c>
      <c r="G6353" s="3" t="s">
        <v>615</v>
      </c>
      <c r="H6353" s="3" t="s">
        <v>103</v>
      </c>
      <c r="I6353" s="3" t="s">
        <v>103</v>
      </c>
      <c r="J6353" s="3" t="s">
        <v>103</v>
      </c>
      <c r="K6353" s="3" t="s">
        <v>438</v>
      </c>
      <c r="L6353" s="3" t="s">
        <v>103</v>
      </c>
      <c r="M6353" s="3" t="s">
        <v>468</v>
      </c>
      <c r="N6353" s="3" t="s">
        <v>396</v>
      </c>
      <c r="O6353" s="3" t="s">
        <v>468</v>
      </c>
      <c r="P6353" s="3" t="s">
        <v>103</v>
      </c>
      <c r="Q6353" s="3" t="s">
        <v>103</v>
      </c>
      <c r="R6353" s="3" t="s">
        <v>103</v>
      </c>
    </row>
    <row r="6354" spans="1:18" x14ac:dyDescent="0.3">
      <c r="A6354" t="s">
        <v>28</v>
      </c>
      <c r="B6354" t="s">
        <v>765</v>
      </c>
      <c r="C6354">
        <v>188</v>
      </c>
      <c r="D6354" t="s">
        <v>555</v>
      </c>
      <c r="E6354" t="s">
        <v>573</v>
      </c>
      <c r="F6354" t="s">
        <v>245</v>
      </c>
      <c r="G6354" t="s">
        <v>105</v>
      </c>
      <c r="H6354" t="s">
        <v>103</v>
      </c>
      <c r="I6354" t="s">
        <v>103</v>
      </c>
      <c r="J6354" t="s">
        <v>649</v>
      </c>
      <c r="K6354" t="s">
        <v>517</v>
      </c>
      <c r="L6354" t="s">
        <v>272</v>
      </c>
      <c r="M6354" t="s">
        <v>105</v>
      </c>
      <c r="N6354" t="s">
        <v>1207</v>
      </c>
      <c r="O6354" t="s">
        <v>269</v>
      </c>
      <c r="P6354" t="s">
        <v>239</v>
      </c>
      <c r="Q6354" t="s">
        <v>95</v>
      </c>
      <c r="R6354" t="s">
        <v>103</v>
      </c>
    </row>
    <row r="6355" spans="1:18" x14ac:dyDescent="0.3">
      <c r="A6355" t="s">
        <v>28</v>
      </c>
      <c r="B6355" t="s">
        <v>767</v>
      </c>
      <c r="C6355">
        <v>40</v>
      </c>
      <c r="D6355" t="s">
        <v>575</v>
      </c>
      <c r="E6355" t="s">
        <v>921</v>
      </c>
      <c r="F6355" t="s">
        <v>103</v>
      </c>
      <c r="G6355" t="s">
        <v>133</v>
      </c>
      <c r="H6355" t="s">
        <v>103</v>
      </c>
      <c r="I6355" t="s">
        <v>103</v>
      </c>
      <c r="J6355" t="s">
        <v>205</v>
      </c>
      <c r="K6355" t="s">
        <v>488</v>
      </c>
      <c r="L6355" t="s">
        <v>208</v>
      </c>
      <c r="M6355" t="s">
        <v>128</v>
      </c>
      <c r="N6355" t="s">
        <v>432</v>
      </c>
      <c r="O6355" t="s">
        <v>100</v>
      </c>
      <c r="P6355" t="s">
        <v>103</v>
      </c>
      <c r="Q6355" t="s">
        <v>103</v>
      </c>
      <c r="R6355" t="s">
        <v>103</v>
      </c>
    </row>
    <row r="6356" spans="1:18" s="3" customFormat="1" x14ac:dyDescent="0.3">
      <c r="A6356" s="3" t="s">
        <v>27</v>
      </c>
      <c r="B6356" s="3" t="s">
        <v>764</v>
      </c>
      <c r="C6356" s="3">
        <v>13</v>
      </c>
      <c r="D6356" s="3" t="s">
        <v>656</v>
      </c>
      <c r="E6356" s="3" t="s">
        <v>389</v>
      </c>
      <c r="F6356" s="3" t="s">
        <v>103</v>
      </c>
      <c r="G6356" s="3" t="s">
        <v>103</v>
      </c>
      <c r="H6356" s="3" t="s">
        <v>103</v>
      </c>
      <c r="I6356" s="3" t="s">
        <v>515</v>
      </c>
      <c r="J6356" s="3" t="s">
        <v>242</v>
      </c>
      <c r="K6356" s="3" t="s">
        <v>695</v>
      </c>
      <c r="L6356" s="3" t="s">
        <v>103</v>
      </c>
      <c r="M6356" s="3" t="s">
        <v>575</v>
      </c>
      <c r="N6356" s="3" t="s">
        <v>671</v>
      </c>
      <c r="O6356" s="3" t="s">
        <v>242</v>
      </c>
      <c r="P6356" s="3" t="s">
        <v>103</v>
      </c>
      <c r="Q6356" s="3" t="s">
        <v>103</v>
      </c>
      <c r="R6356" s="3" t="s">
        <v>103</v>
      </c>
    </row>
    <row r="6357" spans="1:18" x14ac:dyDescent="0.3">
      <c r="A6357" t="s">
        <v>27</v>
      </c>
      <c r="B6357" t="s">
        <v>765</v>
      </c>
      <c r="C6357">
        <v>207</v>
      </c>
      <c r="D6357" t="s">
        <v>275</v>
      </c>
      <c r="E6357" t="s">
        <v>1062</v>
      </c>
      <c r="F6357" t="s">
        <v>110</v>
      </c>
      <c r="G6357" t="s">
        <v>890</v>
      </c>
      <c r="H6357" t="s">
        <v>122</v>
      </c>
      <c r="I6357" t="s">
        <v>232</v>
      </c>
      <c r="J6357" t="s">
        <v>463</v>
      </c>
      <c r="K6357" t="s">
        <v>1213</v>
      </c>
      <c r="L6357" t="s">
        <v>33</v>
      </c>
      <c r="M6357" t="s">
        <v>239</v>
      </c>
      <c r="N6357" t="s">
        <v>1200</v>
      </c>
      <c r="O6357" t="s">
        <v>517</v>
      </c>
      <c r="P6357" t="s">
        <v>217</v>
      </c>
      <c r="Q6357" t="s">
        <v>282</v>
      </c>
      <c r="R6357" t="s">
        <v>97</v>
      </c>
    </row>
    <row r="6358" spans="1:18" x14ac:dyDescent="0.3">
      <c r="A6358" t="s">
        <v>27</v>
      </c>
      <c r="B6358" t="s">
        <v>767</v>
      </c>
      <c r="C6358">
        <v>65</v>
      </c>
      <c r="D6358" t="s">
        <v>461</v>
      </c>
      <c r="E6358" t="s">
        <v>1401</v>
      </c>
      <c r="F6358" t="s">
        <v>468</v>
      </c>
      <c r="G6358" t="s">
        <v>257</v>
      </c>
      <c r="H6358" t="s">
        <v>103</v>
      </c>
      <c r="I6358" t="s">
        <v>186</v>
      </c>
      <c r="J6358" t="s">
        <v>693</v>
      </c>
      <c r="K6358" t="s">
        <v>927</v>
      </c>
      <c r="L6358" t="s">
        <v>662</v>
      </c>
      <c r="M6358" t="s">
        <v>103</v>
      </c>
      <c r="N6358" t="s">
        <v>418</v>
      </c>
      <c r="O6358" t="s">
        <v>205</v>
      </c>
      <c r="P6358" t="s">
        <v>103</v>
      </c>
      <c r="Q6358" t="s">
        <v>103</v>
      </c>
      <c r="R6358" t="s">
        <v>194</v>
      </c>
    </row>
    <row r="6359" spans="1:18" x14ac:dyDescent="0.3">
      <c r="A6359" t="s">
        <v>41</v>
      </c>
      <c r="B6359" t="s">
        <v>764</v>
      </c>
      <c r="C6359">
        <v>73</v>
      </c>
      <c r="D6359" t="s">
        <v>550</v>
      </c>
      <c r="E6359" t="s">
        <v>1059</v>
      </c>
      <c r="F6359" t="s">
        <v>103</v>
      </c>
      <c r="G6359" t="s">
        <v>217</v>
      </c>
      <c r="H6359" t="s">
        <v>103</v>
      </c>
      <c r="I6359" t="s">
        <v>251</v>
      </c>
      <c r="J6359" t="s">
        <v>140</v>
      </c>
      <c r="K6359" t="s">
        <v>107</v>
      </c>
      <c r="L6359" t="s">
        <v>103</v>
      </c>
      <c r="M6359" t="s">
        <v>98</v>
      </c>
      <c r="N6359" t="s">
        <v>484</v>
      </c>
      <c r="O6359" t="s">
        <v>727</v>
      </c>
      <c r="P6359" t="s">
        <v>103</v>
      </c>
      <c r="Q6359" t="s">
        <v>103</v>
      </c>
      <c r="R6359" t="s">
        <v>103</v>
      </c>
    </row>
    <row r="6360" spans="1:18" x14ac:dyDescent="0.3">
      <c r="A6360" t="s">
        <v>41</v>
      </c>
      <c r="B6360" t="s">
        <v>765</v>
      </c>
      <c r="C6360">
        <v>1421</v>
      </c>
      <c r="D6360" t="s">
        <v>506</v>
      </c>
      <c r="E6360" t="s">
        <v>1236</v>
      </c>
      <c r="F6360" t="s">
        <v>341</v>
      </c>
      <c r="G6360" t="s">
        <v>33</v>
      </c>
      <c r="H6360" t="s">
        <v>103</v>
      </c>
      <c r="I6360" t="s">
        <v>95</v>
      </c>
      <c r="J6360" t="s">
        <v>135</v>
      </c>
      <c r="K6360" t="s">
        <v>117</v>
      </c>
      <c r="L6360" t="s">
        <v>107</v>
      </c>
      <c r="M6360" t="s">
        <v>266</v>
      </c>
      <c r="N6360" t="s">
        <v>565</v>
      </c>
      <c r="O6360" t="s">
        <v>146</v>
      </c>
      <c r="P6360" t="s">
        <v>239</v>
      </c>
      <c r="Q6360" t="s">
        <v>91</v>
      </c>
      <c r="R6360" t="s">
        <v>91</v>
      </c>
    </row>
    <row r="6361" spans="1:18" x14ac:dyDescent="0.3">
      <c r="A6361" t="s">
        <v>41</v>
      </c>
      <c r="B6361" t="s">
        <v>767</v>
      </c>
      <c r="C6361">
        <v>658</v>
      </c>
      <c r="D6361" t="s">
        <v>503</v>
      </c>
      <c r="E6361" t="s">
        <v>420</v>
      </c>
      <c r="F6361" t="s">
        <v>98</v>
      </c>
      <c r="G6361" t="s">
        <v>266</v>
      </c>
      <c r="H6361" t="s">
        <v>103</v>
      </c>
      <c r="I6361" t="s">
        <v>122</v>
      </c>
      <c r="J6361" t="s">
        <v>126</v>
      </c>
      <c r="K6361" t="s">
        <v>281</v>
      </c>
      <c r="L6361" t="s">
        <v>146</v>
      </c>
      <c r="M6361" t="s">
        <v>33</v>
      </c>
      <c r="N6361" t="s">
        <v>581</v>
      </c>
      <c r="O6361" t="s">
        <v>157</v>
      </c>
      <c r="P6361" t="s">
        <v>105</v>
      </c>
      <c r="Q6361" t="s">
        <v>103</v>
      </c>
      <c r="R6361" t="s">
        <v>116</v>
      </c>
    </row>
    <row r="6363" spans="1:18" x14ac:dyDescent="0.3">
      <c r="A6363" t="s">
        <v>2214</v>
      </c>
    </row>
    <row r="6364" spans="1:18" x14ac:dyDescent="0.3">
      <c r="A6364" t="s">
        <v>36</v>
      </c>
      <c r="B6364" t="s">
        <v>1106</v>
      </c>
      <c r="C6364" t="s">
        <v>24</v>
      </c>
      <c r="D6364" t="s">
        <v>2198</v>
      </c>
      <c r="E6364" t="s">
        <v>2199</v>
      </c>
      <c r="F6364" t="s">
        <v>2200</v>
      </c>
      <c r="G6364" t="s">
        <v>2201</v>
      </c>
      <c r="H6364" t="s">
        <v>2202</v>
      </c>
      <c r="I6364" t="s">
        <v>2203</v>
      </c>
      <c r="J6364" t="s">
        <v>2204</v>
      </c>
      <c r="K6364" t="s">
        <v>2205</v>
      </c>
      <c r="L6364" t="s">
        <v>2206</v>
      </c>
      <c r="M6364" t="s">
        <v>2207</v>
      </c>
      <c r="N6364" t="s">
        <v>2208</v>
      </c>
      <c r="O6364" t="s">
        <v>2209</v>
      </c>
      <c r="P6364" t="s">
        <v>89</v>
      </c>
      <c r="Q6364" t="s">
        <v>87</v>
      </c>
      <c r="R6364" t="s">
        <v>181</v>
      </c>
    </row>
    <row r="6365" spans="1:18" x14ac:dyDescent="0.3">
      <c r="A6365" t="s">
        <v>25</v>
      </c>
      <c r="B6365" t="s">
        <v>1107</v>
      </c>
      <c r="C6365">
        <v>497</v>
      </c>
      <c r="D6365" t="s">
        <v>264</v>
      </c>
      <c r="E6365" t="s">
        <v>1284</v>
      </c>
      <c r="F6365" t="s">
        <v>122</v>
      </c>
      <c r="G6365" t="s">
        <v>438</v>
      </c>
      <c r="H6365" t="s">
        <v>103</v>
      </c>
      <c r="I6365" t="s">
        <v>139</v>
      </c>
      <c r="J6365" t="s">
        <v>278</v>
      </c>
      <c r="K6365" t="s">
        <v>544</v>
      </c>
      <c r="L6365" t="s">
        <v>278</v>
      </c>
      <c r="M6365" t="s">
        <v>188</v>
      </c>
      <c r="N6365" t="s">
        <v>461</v>
      </c>
      <c r="O6365" t="s">
        <v>117</v>
      </c>
      <c r="P6365" t="s">
        <v>341</v>
      </c>
      <c r="Q6365" t="s">
        <v>103</v>
      </c>
      <c r="R6365" t="s">
        <v>120</v>
      </c>
    </row>
    <row r="6366" spans="1:18" x14ac:dyDescent="0.3">
      <c r="A6366" t="s">
        <v>26</v>
      </c>
      <c r="B6366" t="s">
        <v>1107</v>
      </c>
      <c r="C6366">
        <v>444</v>
      </c>
      <c r="D6366" t="s">
        <v>155</v>
      </c>
      <c r="E6366" t="s">
        <v>1032</v>
      </c>
      <c r="F6366" t="s">
        <v>128</v>
      </c>
      <c r="G6366" t="s">
        <v>64</v>
      </c>
      <c r="H6366" t="s">
        <v>103</v>
      </c>
      <c r="I6366" t="s">
        <v>66</v>
      </c>
      <c r="J6366" t="s">
        <v>494</v>
      </c>
      <c r="K6366" t="s">
        <v>511</v>
      </c>
      <c r="L6366" t="s">
        <v>201</v>
      </c>
      <c r="M6366" t="s">
        <v>125</v>
      </c>
      <c r="N6366" t="s">
        <v>569</v>
      </c>
      <c r="O6366" t="s">
        <v>700</v>
      </c>
      <c r="P6366" t="s">
        <v>468</v>
      </c>
      <c r="Q6366" t="s">
        <v>103</v>
      </c>
      <c r="R6366" t="s">
        <v>103</v>
      </c>
    </row>
    <row r="6367" spans="1:18" s="3" customFormat="1" x14ac:dyDescent="0.3">
      <c r="A6367" s="3" t="s">
        <v>26</v>
      </c>
      <c r="B6367" s="3" t="s">
        <v>1108</v>
      </c>
      <c r="C6367" s="3">
        <v>1</v>
      </c>
      <c r="D6367" s="3" t="s">
        <v>192</v>
      </c>
      <c r="E6367" s="3" t="s">
        <v>103</v>
      </c>
      <c r="F6367" s="3" t="s">
        <v>103</v>
      </c>
      <c r="G6367" s="3" t="s">
        <v>103</v>
      </c>
      <c r="H6367" s="3" t="s">
        <v>103</v>
      </c>
      <c r="I6367" s="3" t="s">
        <v>103</v>
      </c>
      <c r="J6367" s="3" t="s">
        <v>103</v>
      </c>
      <c r="K6367" s="3" t="s">
        <v>103</v>
      </c>
      <c r="L6367" s="3" t="s">
        <v>103</v>
      </c>
      <c r="M6367" s="3" t="s">
        <v>103</v>
      </c>
      <c r="N6367" s="3" t="s">
        <v>192</v>
      </c>
      <c r="O6367" s="3" t="s">
        <v>103</v>
      </c>
      <c r="P6367" s="3" t="s">
        <v>103</v>
      </c>
      <c r="Q6367" s="3" t="s">
        <v>103</v>
      </c>
      <c r="R6367" s="3" t="s">
        <v>103</v>
      </c>
    </row>
    <row r="6368" spans="1:18" x14ac:dyDescent="0.3">
      <c r="A6368" t="s">
        <v>29</v>
      </c>
      <c r="B6368" t="s">
        <v>1107</v>
      </c>
      <c r="C6368">
        <v>681</v>
      </c>
      <c r="D6368" t="s">
        <v>484</v>
      </c>
      <c r="E6368" t="s">
        <v>370</v>
      </c>
      <c r="F6368" t="s">
        <v>239</v>
      </c>
      <c r="G6368" t="s">
        <v>214</v>
      </c>
      <c r="H6368" t="s">
        <v>103</v>
      </c>
      <c r="I6368" t="s">
        <v>120</v>
      </c>
      <c r="J6368" t="s">
        <v>119</v>
      </c>
      <c r="K6368" t="s">
        <v>190</v>
      </c>
      <c r="L6368" t="s">
        <v>124</v>
      </c>
      <c r="M6368" t="s">
        <v>438</v>
      </c>
      <c r="N6368" t="s">
        <v>525</v>
      </c>
      <c r="O6368" t="s">
        <v>890</v>
      </c>
      <c r="P6368" t="s">
        <v>239</v>
      </c>
      <c r="Q6368" t="s">
        <v>103</v>
      </c>
      <c r="R6368" t="s">
        <v>103</v>
      </c>
    </row>
    <row r="6369" spans="1:18" s="3" customFormat="1" x14ac:dyDescent="0.3">
      <c r="A6369" s="3" t="s">
        <v>29</v>
      </c>
      <c r="B6369" s="3" t="s">
        <v>1109</v>
      </c>
      <c r="C6369" s="3">
        <v>1</v>
      </c>
      <c r="D6369" s="3" t="s">
        <v>103</v>
      </c>
      <c r="E6369" s="3" t="s">
        <v>192</v>
      </c>
      <c r="F6369" s="3" t="s">
        <v>103</v>
      </c>
      <c r="G6369" s="3" t="s">
        <v>103</v>
      </c>
      <c r="H6369" s="3" t="s">
        <v>103</v>
      </c>
      <c r="I6369" s="3" t="s">
        <v>103</v>
      </c>
      <c r="J6369" s="3" t="s">
        <v>103</v>
      </c>
      <c r="K6369" s="3" t="s">
        <v>103</v>
      </c>
      <c r="L6369" s="3" t="s">
        <v>103</v>
      </c>
      <c r="M6369" s="3" t="s">
        <v>103</v>
      </c>
      <c r="N6369" s="3" t="s">
        <v>192</v>
      </c>
      <c r="O6369" s="3" t="s">
        <v>103</v>
      </c>
      <c r="P6369" s="3" t="s">
        <v>103</v>
      </c>
      <c r="Q6369" s="3" t="s">
        <v>103</v>
      </c>
      <c r="R6369" s="3" t="s">
        <v>103</v>
      </c>
    </row>
    <row r="6370" spans="1:18" s="3" customFormat="1" x14ac:dyDescent="0.3">
      <c r="A6370" s="3" t="s">
        <v>29</v>
      </c>
      <c r="B6370" s="3" t="s">
        <v>1108</v>
      </c>
      <c r="C6370" s="3">
        <v>1</v>
      </c>
      <c r="D6370" s="3" t="s">
        <v>103</v>
      </c>
      <c r="E6370" s="3" t="s">
        <v>103</v>
      </c>
      <c r="F6370" s="3" t="s">
        <v>192</v>
      </c>
      <c r="G6370" s="3" t="s">
        <v>103</v>
      </c>
      <c r="H6370" s="3" t="s">
        <v>103</v>
      </c>
      <c r="I6370" s="3" t="s">
        <v>103</v>
      </c>
      <c r="J6370" s="3" t="s">
        <v>103</v>
      </c>
      <c r="K6370" s="3" t="s">
        <v>103</v>
      </c>
      <c r="L6370" s="3" t="s">
        <v>103</v>
      </c>
      <c r="M6370" s="3" t="s">
        <v>103</v>
      </c>
      <c r="N6370" s="3" t="s">
        <v>103</v>
      </c>
      <c r="O6370" s="3" t="s">
        <v>103</v>
      </c>
      <c r="P6370" s="3" t="s">
        <v>103</v>
      </c>
      <c r="Q6370" s="3" t="s">
        <v>103</v>
      </c>
      <c r="R6370" s="3" t="s">
        <v>103</v>
      </c>
    </row>
    <row r="6371" spans="1:18" x14ac:dyDescent="0.3">
      <c r="A6371" t="s">
        <v>28</v>
      </c>
      <c r="B6371" t="s">
        <v>1107</v>
      </c>
      <c r="C6371">
        <v>242</v>
      </c>
      <c r="D6371" t="s">
        <v>46</v>
      </c>
      <c r="E6371" t="s">
        <v>421</v>
      </c>
      <c r="F6371" t="s">
        <v>194</v>
      </c>
      <c r="G6371" t="s">
        <v>257</v>
      </c>
      <c r="H6371" t="s">
        <v>103</v>
      </c>
      <c r="I6371" t="s">
        <v>103</v>
      </c>
      <c r="J6371" t="s">
        <v>549</v>
      </c>
      <c r="K6371" t="s">
        <v>117</v>
      </c>
      <c r="L6371" t="s">
        <v>64</v>
      </c>
      <c r="M6371" t="s">
        <v>105</v>
      </c>
      <c r="N6371" t="s">
        <v>1014</v>
      </c>
      <c r="O6371" t="s">
        <v>629</v>
      </c>
      <c r="P6371" t="s">
        <v>345</v>
      </c>
      <c r="Q6371" t="s">
        <v>120</v>
      </c>
      <c r="R6371" t="s">
        <v>103</v>
      </c>
    </row>
    <row r="6372" spans="1:18" x14ac:dyDescent="0.3">
      <c r="A6372" t="s">
        <v>27</v>
      </c>
      <c r="B6372" t="s">
        <v>1107</v>
      </c>
      <c r="C6372">
        <v>273</v>
      </c>
      <c r="D6372" t="s">
        <v>132</v>
      </c>
      <c r="E6372" t="s">
        <v>1374</v>
      </c>
      <c r="F6372" t="s">
        <v>95</v>
      </c>
      <c r="G6372" t="s">
        <v>90</v>
      </c>
      <c r="H6372" t="s">
        <v>116</v>
      </c>
      <c r="I6372" t="s">
        <v>278</v>
      </c>
      <c r="J6372" t="s">
        <v>104</v>
      </c>
      <c r="K6372" t="s">
        <v>1082</v>
      </c>
      <c r="L6372" t="s">
        <v>32</v>
      </c>
      <c r="M6372" t="s">
        <v>239</v>
      </c>
      <c r="N6372" t="s">
        <v>1014</v>
      </c>
      <c r="O6372" t="s">
        <v>99</v>
      </c>
      <c r="P6372" t="s">
        <v>341</v>
      </c>
      <c r="Q6372" t="s">
        <v>95</v>
      </c>
      <c r="R6372" t="s">
        <v>95</v>
      </c>
    </row>
    <row r="6373" spans="1:18" s="3" customFormat="1" x14ac:dyDescent="0.3">
      <c r="A6373" s="3" t="s">
        <v>27</v>
      </c>
      <c r="B6373" s="3" t="s">
        <v>1109</v>
      </c>
      <c r="C6373" s="3">
        <v>5</v>
      </c>
      <c r="D6373" s="3" t="s">
        <v>103</v>
      </c>
      <c r="E6373" s="3" t="s">
        <v>1017</v>
      </c>
      <c r="F6373" s="3" t="s">
        <v>461</v>
      </c>
      <c r="G6373" s="3" t="s">
        <v>103</v>
      </c>
      <c r="H6373" s="3" t="s">
        <v>103</v>
      </c>
      <c r="I6373" s="3" t="s">
        <v>461</v>
      </c>
      <c r="J6373" s="3" t="s">
        <v>103</v>
      </c>
      <c r="K6373" s="3" t="s">
        <v>103</v>
      </c>
      <c r="L6373" s="3" t="s">
        <v>103</v>
      </c>
      <c r="M6373" s="3" t="s">
        <v>103</v>
      </c>
      <c r="N6373" s="3" t="s">
        <v>226</v>
      </c>
      <c r="O6373" s="3" t="s">
        <v>103</v>
      </c>
      <c r="P6373" s="3" t="s">
        <v>103</v>
      </c>
      <c r="Q6373" s="3" t="s">
        <v>103</v>
      </c>
      <c r="R6373" s="3" t="s">
        <v>103</v>
      </c>
    </row>
    <row r="6374" spans="1:18" s="3" customFormat="1" x14ac:dyDescent="0.3">
      <c r="A6374" s="3" t="s">
        <v>27</v>
      </c>
      <c r="B6374" s="3" t="s">
        <v>1108</v>
      </c>
      <c r="C6374" s="3">
        <v>5</v>
      </c>
      <c r="D6374" s="3" t="s">
        <v>421</v>
      </c>
      <c r="E6374" s="3" t="s">
        <v>351</v>
      </c>
      <c r="F6374" s="3" t="s">
        <v>103</v>
      </c>
      <c r="G6374" s="3" t="s">
        <v>103</v>
      </c>
      <c r="H6374" s="3" t="s">
        <v>103</v>
      </c>
      <c r="I6374" s="3" t="s">
        <v>516</v>
      </c>
      <c r="J6374" s="3" t="s">
        <v>103</v>
      </c>
      <c r="K6374" s="3" t="s">
        <v>1228</v>
      </c>
      <c r="L6374" s="3" t="s">
        <v>103</v>
      </c>
      <c r="M6374" s="3" t="s">
        <v>103</v>
      </c>
      <c r="N6374" s="3" t="s">
        <v>766</v>
      </c>
      <c r="O6374" s="3" t="s">
        <v>1228</v>
      </c>
      <c r="P6374" s="3" t="s">
        <v>103</v>
      </c>
      <c r="Q6374" s="3" t="s">
        <v>103</v>
      </c>
      <c r="R6374" s="3" t="s">
        <v>103</v>
      </c>
    </row>
    <row r="6375" spans="1:18" x14ac:dyDescent="0.3">
      <c r="A6375" t="s">
        <v>27</v>
      </c>
      <c r="B6375" t="s">
        <v>308</v>
      </c>
      <c r="C6375">
        <v>2</v>
      </c>
      <c r="D6375" t="s">
        <v>993</v>
      </c>
      <c r="E6375" t="s">
        <v>993</v>
      </c>
      <c r="F6375" t="s">
        <v>103</v>
      </c>
      <c r="G6375" t="s">
        <v>103</v>
      </c>
      <c r="H6375" t="s">
        <v>103</v>
      </c>
      <c r="I6375" t="s">
        <v>103</v>
      </c>
      <c r="J6375" t="s">
        <v>103</v>
      </c>
      <c r="K6375" t="s">
        <v>103</v>
      </c>
      <c r="L6375" t="s">
        <v>993</v>
      </c>
      <c r="M6375" t="s">
        <v>103</v>
      </c>
      <c r="N6375" t="s">
        <v>103</v>
      </c>
      <c r="O6375" t="s">
        <v>103</v>
      </c>
      <c r="P6375" t="s">
        <v>103</v>
      </c>
      <c r="Q6375" t="s">
        <v>103</v>
      </c>
      <c r="R6375" t="s">
        <v>103</v>
      </c>
    </row>
    <row r="6376" spans="1:18" x14ac:dyDescent="0.3">
      <c r="A6376" t="s">
        <v>41</v>
      </c>
      <c r="B6376" t="s">
        <v>1107</v>
      </c>
      <c r="C6376">
        <v>2137</v>
      </c>
      <c r="D6376" t="s">
        <v>646</v>
      </c>
      <c r="E6376" t="s">
        <v>538</v>
      </c>
      <c r="F6376" t="s">
        <v>110</v>
      </c>
      <c r="G6376" t="s">
        <v>186</v>
      </c>
      <c r="H6376" t="s">
        <v>103</v>
      </c>
      <c r="I6376" t="s">
        <v>95</v>
      </c>
      <c r="J6376" t="s">
        <v>482</v>
      </c>
      <c r="K6376" t="s">
        <v>262</v>
      </c>
      <c r="L6376" t="s">
        <v>452</v>
      </c>
      <c r="M6376" t="s">
        <v>438</v>
      </c>
      <c r="N6376" t="s">
        <v>520</v>
      </c>
      <c r="O6376" t="s">
        <v>123</v>
      </c>
      <c r="P6376" t="s">
        <v>239</v>
      </c>
      <c r="Q6376" t="s">
        <v>103</v>
      </c>
      <c r="R6376" t="s">
        <v>66</v>
      </c>
    </row>
    <row r="6377" spans="1:18" s="3" customFormat="1" x14ac:dyDescent="0.3">
      <c r="A6377" s="3" t="s">
        <v>41</v>
      </c>
      <c r="B6377" s="3" t="s">
        <v>1109</v>
      </c>
      <c r="C6377" s="3">
        <v>6</v>
      </c>
      <c r="D6377" s="3" t="s">
        <v>103</v>
      </c>
      <c r="E6377" s="3" t="s">
        <v>274</v>
      </c>
      <c r="F6377" s="3" t="s">
        <v>474</v>
      </c>
      <c r="G6377" s="3" t="s">
        <v>103</v>
      </c>
      <c r="H6377" s="3" t="s">
        <v>103</v>
      </c>
      <c r="I6377" s="3" t="s">
        <v>474</v>
      </c>
      <c r="J6377" s="3" t="s">
        <v>103</v>
      </c>
      <c r="K6377" s="3" t="s">
        <v>103</v>
      </c>
      <c r="L6377" s="3" t="s">
        <v>103</v>
      </c>
      <c r="M6377" s="3" t="s">
        <v>103</v>
      </c>
      <c r="N6377" s="3" t="s">
        <v>258</v>
      </c>
      <c r="O6377" s="3" t="s">
        <v>103</v>
      </c>
      <c r="P6377" s="3" t="s">
        <v>103</v>
      </c>
      <c r="Q6377" s="3" t="s">
        <v>103</v>
      </c>
      <c r="R6377" s="3" t="s">
        <v>103</v>
      </c>
    </row>
    <row r="6378" spans="1:18" s="3" customFormat="1" x14ac:dyDescent="0.3">
      <c r="A6378" s="3" t="s">
        <v>41</v>
      </c>
      <c r="B6378" s="3" t="s">
        <v>1108</v>
      </c>
      <c r="C6378" s="3">
        <v>7</v>
      </c>
      <c r="D6378" s="3" t="s">
        <v>138</v>
      </c>
      <c r="E6378" s="3" t="s">
        <v>477</v>
      </c>
      <c r="F6378" s="3" t="s">
        <v>663</v>
      </c>
      <c r="G6378" s="3" t="s">
        <v>103</v>
      </c>
      <c r="H6378" s="3" t="s">
        <v>103</v>
      </c>
      <c r="I6378" s="3" t="s">
        <v>594</v>
      </c>
      <c r="J6378" s="3" t="s">
        <v>103</v>
      </c>
      <c r="K6378" s="3" t="s">
        <v>1198</v>
      </c>
      <c r="L6378" s="3" t="s">
        <v>103</v>
      </c>
      <c r="M6378" s="3" t="s">
        <v>103</v>
      </c>
      <c r="N6378" s="3" t="s">
        <v>696</v>
      </c>
      <c r="O6378" s="3" t="s">
        <v>1198</v>
      </c>
      <c r="P6378" s="3" t="s">
        <v>103</v>
      </c>
      <c r="Q6378" s="3" t="s">
        <v>103</v>
      </c>
      <c r="R6378" s="3" t="s">
        <v>103</v>
      </c>
    </row>
    <row r="6379" spans="1:18" x14ac:dyDescent="0.3">
      <c r="A6379" t="s">
        <v>41</v>
      </c>
      <c r="B6379" t="s">
        <v>308</v>
      </c>
      <c r="C6379">
        <v>2</v>
      </c>
      <c r="D6379" t="s">
        <v>993</v>
      </c>
      <c r="E6379" t="s">
        <v>993</v>
      </c>
      <c r="F6379" t="s">
        <v>103</v>
      </c>
      <c r="G6379" t="s">
        <v>103</v>
      </c>
      <c r="H6379" t="s">
        <v>103</v>
      </c>
      <c r="I6379" t="s">
        <v>103</v>
      </c>
      <c r="J6379" t="s">
        <v>103</v>
      </c>
      <c r="K6379" t="s">
        <v>103</v>
      </c>
      <c r="L6379" t="s">
        <v>993</v>
      </c>
      <c r="M6379" t="s">
        <v>103</v>
      </c>
      <c r="N6379" t="s">
        <v>103</v>
      </c>
      <c r="O6379" t="s">
        <v>103</v>
      </c>
      <c r="P6379" t="s">
        <v>103</v>
      </c>
      <c r="Q6379" t="s">
        <v>103</v>
      </c>
      <c r="R6379" t="s">
        <v>103</v>
      </c>
    </row>
    <row r="6381" spans="1:18" x14ac:dyDescent="0.3">
      <c r="A6381" t="s">
        <v>2215</v>
      </c>
    </row>
    <row r="6382" spans="1:18" x14ac:dyDescent="0.3">
      <c r="A6382" t="s">
        <v>36</v>
      </c>
      <c r="B6382" t="s">
        <v>2157</v>
      </c>
      <c r="C6382" t="s">
        <v>24</v>
      </c>
      <c r="D6382" t="s">
        <v>2198</v>
      </c>
      <c r="E6382" t="s">
        <v>2199</v>
      </c>
      <c r="F6382" t="s">
        <v>2200</v>
      </c>
      <c r="G6382" t="s">
        <v>2201</v>
      </c>
      <c r="H6382" t="s">
        <v>2202</v>
      </c>
      <c r="I6382" t="s">
        <v>2203</v>
      </c>
      <c r="J6382" t="s">
        <v>2204</v>
      </c>
      <c r="K6382" t="s">
        <v>2205</v>
      </c>
      <c r="L6382" t="s">
        <v>2206</v>
      </c>
      <c r="M6382" t="s">
        <v>2207</v>
      </c>
      <c r="N6382" t="s">
        <v>2208</v>
      </c>
      <c r="O6382" t="s">
        <v>2209</v>
      </c>
      <c r="P6382" t="s">
        <v>89</v>
      </c>
      <c r="Q6382" t="s">
        <v>87</v>
      </c>
      <c r="R6382" t="s">
        <v>181</v>
      </c>
    </row>
    <row r="6383" spans="1:18" x14ac:dyDescent="0.3">
      <c r="A6383" t="s">
        <v>25</v>
      </c>
      <c r="B6383" t="s">
        <v>2158</v>
      </c>
      <c r="C6383">
        <v>292</v>
      </c>
      <c r="D6383" t="s">
        <v>275</v>
      </c>
      <c r="E6383" t="s">
        <v>294</v>
      </c>
      <c r="F6383" t="s">
        <v>97</v>
      </c>
      <c r="G6383" t="s">
        <v>239</v>
      </c>
      <c r="H6383" t="s">
        <v>103</v>
      </c>
      <c r="I6383" t="s">
        <v>95</v>
      </c>
      <c r="J6383" t="s">
        <v>113</v>
      </c>
      <c r="K6383" t="s">
        <v>743</v>
      </c>
      <c r="L6383" t="s">
        <v>128</v>
      </c>
      <c r="M6383" t="s">
        <v>239</v>
      </c>
      <c r="N6383" t="s">
        <v>582</v>
      </c>
      <c r="O6383" t="s">
        <v>459</v>
      </c>
      <c r="P6383" t="s">
        <v>329</v>
      </c>
      <c r="Q6383" t="s">
        <v>103</v>
      </c>
      <c r="R6383" t="s">
        <v>345</v>
      </c>
    </row>
    <row r="6384" spans="1:18" x14ac:dyDescent="0.3">
      <c r="A6384" t="s">
        <v>25</v>
      </c>
      <c r="B6384" t="s">
        <v>2159</v>
      </c>
      <c r="C6384">
        <v>205</v>
      </c>
      <c r="D6384" t="s">
        <v>1227</v>
      </c>
      <c r="E6384" t="s">
        <v>1038</v>
      </c>
      <c r="F6384" t="s">
        <v>122</v>
      </c>
      <c r="G6384" t="s">
        <v>466</v>
      </c>
      <c r="H6384" t="s">
        <v>103</v>
      </c>
      <c r="I6384" t="s">
        <v>98</v>
      </c>
      <c r="J6384" t="s">
        <v>94</v>
      </c>
      <c r="K6384" t="s">
        <v>144</v>
      </c>
      <c r="L6384" t="s">
        <v>247</v>
      </c>
      <c r="M6384" t="s">
        <v>124</v>
      </c>
      <c r="N6384" t="s">
        <v>505</v>
      </c>
      <c r="O6384" t="s">
        <v>743</v>
      </c>
      <c r="P6384" t="s">
        <v>216</v>
      </c>
      <c r="Q6384" t="s">
        <v>103</v>
      </c>
      <c r="R6384" t="s">
        <v>103</v>
      </c>
    </row>
    <row r="6385" spans="1:18" x14ac:dyDescent="0.3">
      <c r="A6385" t="s">
        <v>26</v>
      </c>
      <c r="B6385" t="s">
        <v>2158</v>
      </c>
      <c r="C6385">
        <v>207</v>
      </c>
      <c r="D6385" t="s">
        <v>925</v>
      </c>
      <c r="E6385" t="s">
        <v>1679</v>
      </c>
      <c r="F6385" t="s">
        <v>467</v>
      </c>
      <c r="G6385" t="s">
        <v>105</v>
      </c>
      <c r="H6385" t="s">
        <v>103</v>
      </c>
      <c r="I6385" t="s">
        <v>103</v>
      </c>
      <c r="J6385" t="s">
        <v>124</v>
      </c>
      <c r="K6385" t="s">
        <v>558</v>
      </c>
      <c r="L6385" t="s">
        <v>122</v>
      </c>
      <c r="M6385" t="s">
        <v>98</v>
      </c>
      <c r="N6385" t="s">
        <v>264</v>
      </c>
      <c r="O6385" t="s">
        <v>649</v>
      </c>
      <c r="P6385" t="s">
        <v>97</v>
      </c>
      <c r="Q6385" t="s">
        <v>103</v>
      </c>
      <c r="R6385" t="s">
        <v>103</v>
      </c>
    </row>
    <row r="6386" spans="1:18" x14ac:dyDescent="0.3">
      <c r="A6386" t="s">
        <v>26</v>
      </c>
      <c r="B6386" t="s">
        <v>2159</v>
      </c>
      <c r="C6386">
        <v>238</v>
      </c>
      <c r="D6386" t="s">
        <v>875</v>
      </c>
      <c r="E6386" t="s">
        <v>1202</v>
      </c>
      <c r="F6386" t="s">
        <v>216</v>
      </c>
      <c r="G6386" t="s">
        <v>493</v>
      </c>
      <c r="H6386" t="s">
        <v>103</v>
      </c>
      <c r="I6386" t="s">
        <v>122</v>
      </c>
      <c r="J6386" t="s">
        <v>494</v>
      </c>
      <c r="K6386" t="s">
        <v>126</v>
      </c>
      <c r="L6386" t="s">
        <v>575</v>
      </c>
      <c r="M6386" t="s">
        <v>232</v>
      </c>
      <c r="N6386" t="s">
        <v>477</v>
      </c>
      <c r="O6386" t="s">
        <v>524</v>
      </c>
      <c r="P6386" t="s">
        <v>341</v>
      </c>
      <c r="Q6386" t="s">
        <v>103</v>
      </c>
      <c r="R6386" t="s">
        <v>103</v>
      </c>
    </row>
    <row r="6387" spans="1:18" x14ac:dyDescent="0.3">
      <c r="A6387" t="s">
        <v>29</v>
      </c>
      <c r="B6387" t="s">
        <v>2158</v>
      </c>
      <c r="C6387">
        <v>331</v>
      </c>
      <c r="D6387" t="s">
        <v>578</v>
      </c>
      <c r="E6387" t="s">
        <v>2185</v>
      </c>
      <c r="F6387" t="s">
        <v>341</v>
      </c>
      <c r="G6387" t="s">
        <v>60</v>
      </c>
      <c r="H6387" t="s">
        <v>103</v>
      </c>
      <c r="I6387" t="s">
        <v>116</v>
      </c>
      <c r="J6387" t="s">
        <v>191</v>
      </c>
      <c r="K6387" t="s">
        <v>511</v>
      </c>
      <c r="L6387" t="s">
        <v>195</v>
      </c>
      <c r="M6387" t="s">
        <v>216</v>
      </c>
      <c r="N6387" t="s">
        <v>398</v>
      </c>
      <c r="O6387" t="s">
        <v>693</v>
      </c>
      <c r="P6387" t="s">
        <v>139</v>
      </c>
      <c r="Q6387" t="s">
        <v>103</v>
      </c>
      <c r="R6387" t="s">
        <v>103</v>
      </c>
    </row>
    <row r="6388" spans="1:18" x14ac:dyDescent="0.3">
      <c r="A6388" t="s">
        <v>29</v>
      </c>
      <c r="B6388" t="s">
        <v>2159</v>
      </c>
      <c r="C6388">
        <v>351</v>
      </c>
      <c r="D6388" t="s">
        <v>529</v>
      </c>
      <c r="E6388" t="s">
        <v>234</v>
      </c>
      <c r="F6388" t="s">
        <v>110</v>
      </c>
      <c r="G6388" t="s">
        <v>217</v>
      </c>
      <c r="H6388" t="s">
        <v>103</v>
      </c>
      <c r="I6388" t="s">
        <v>139</v>
      </c>
      <c r="J6388" t="s">
        <v>152</v>
      </c>
      <c r="K6388" t="s">
        <v>466</v>
      </c>
      <c r="L6388" t="s">
        <v>517</v>
      </c>
      <c r="M6388" t="s">
        <v>278</v>
      </c>
      <c r="N6388" t="s">
        <v>552</v>
      </c>
      <c r="O6388" t="s">
        <v>463</v>
      </c>
      <c r="P6388" t="s">
        <v>93</v>
      </c>
      <c r="Q6388" t="s">
        <v>103</v>
      </c>
      <c r="R6388" t="s">
        <v>103</v>
      </c>
    </row>
    <row r="6389" spans="1:18" x14ac:dyDescent="0.3">
      <c r="A6389" t="s">
        <v>29</v>
      </c>
      <c r="B6389" t="s">
        <v>308</v>
      </c>
      <c r="C6389">
        <v>1</v>
      </c>
      <c r="D6389" t="s">
        <v>103</v>
      </c>
      <c r="E6389" t="s">
        <v>103</v>
      </c>
      <c r="F6389" t="s">
        <v>103</v>
      </c>
      <c r="G6389" t="s">
        <v>103</v>
      </c>
      <c r="H6389" t="s">
        <v>103</v>
      </c>
      <c r="I6389" t="s">
        <v>103</v>
      </c>
      <c r="J6389" t="s">
        <v>103</v>
      </c>
      <c r="K6389" t="s">
        <v>192</v>
      </c>
      <c r="L6389" t="s">
        <v>192</v>
      </c>
      <c r="M6389" t="s">
        <v>103</v>
      </c>
      <c r="N6389" t="s">
        <v>192</v>
      </c>
      <c r="O6389" t="s">
        <v>103</v>
      </c>
      <c r="P6389" t="s">
        <v>103</v>
      </c>
      <c r="Q6389" t="s">
        <v>103</v>
      </c>
      <c r="R6389" t="s">
        <v>103</v>
      </c>
    </row>
    <row r="6390" spans="1:18" x14ac:dyDescent="0.3">
      <c r="A6390" t="s">
        <v>28</v>
      </c>
      <c r="B6390" t="s">
        <v>2158</v>
      </c>
      <c r="C6390">
        <v>105</v>
      </c>
      <c r="D6390" t="s">
        <v>271</v>
      </c>
      <c r="E6390" t="s">
        <v>1220</v>
      </c>
      <c r="F6390" t="s">
        <v>266</v>
      </c>
      <c r="G6390" t="s">
        <v>270</v>
      </c>
      <c r="H6390" t="s">
        <v>103</v>
      </c>
      <c r="I6390" t="s">
        <v>103</v>
      </c>
      <c r="J6390" t="s">
        <v>108</v>
      </c>
      <c r="K6390" t="s">
        <v>152</v>
      </c>
      <c r="L6390" t="s">
        <v>120</v>
      </c>
      <c r="M6390" t="s">
        <v>103</v>
      </c>
      <c r="N6390" t="s">
        <v>1218</v>
      </c>
      <c r="O6390" t="s">
        <v>460</v>
      </c>
      <c r="P6390" t="s">
        <v>97</v>
      </c>
      <c r="Q6390" t="s">
        <v>103</v>
      </c>
      <c r="R6390" t="s">
        <v>103</v>
      </c>
    </row>
    <row r="6391" spans="1:18" x14ac:dyDescent="0.3">
      <c r="A6391" t="s">
        <v>28</v>
      </c>
      <c r="B6391" t="s">
        <v>2159</v>
      </c>
      <c r="C6391">
        <v>137</v>
      </c>
      <c r="D6391" t="s">
        <v>478</v>
      </c>
      <c r="E6391" t="s">
        <v>52</v>
      </c>
      <c r="F6391" t="s">
        <v>103</v>
      </c>
      <c r="G6391" t="s">
        <v>329</v>
      </c>
      <c r="H6391" t="s">
        <v>103</v>
      </c>
      <c r="I6391" t="s">
        <v>103</v>
      </c>
      <c r="J6391" t="s">
        <v>693</v>
      </c>
      <c r="K6391" t="s">
        <v>137</v>
      </c>
      <c r="L6391" t="s">
        <v>32</v>
      </c>
      <c r="M6391" t="s">
        <v>102</v>
      </c>
      <c r="N6391" t="s">
        <v>440</v>
      </c>
      <c r="O6391" t="s">
        <v>463</v>
      </c>
      <c r="P6391" t="s">
        <v>105</v>
      </c>
      <c r="Q6391" t="s">
        <v>345</v>
      </c>
      <c r="R6391" t="s">
        <v>103</v>
      </c>
    </row>
    <row r="6392" spans="1:18" x14ac:dyDescent="0.3">
      <c r="A6392" t="s">
        <v>27</v>
      </c>
      <c r="B6392" t="s">
        <v>2158</v>
      </c>
      <c r="C6392">
        <v>187</v>
      </c>
      <c r="D6392" t="s">
        <v>750</v>
      </c>
      <c r="E6392" t="s">
        <v>1239</v>
      </c>
      <c r="F6392" t="s">
        <v>110</v>
      </c>
      <c r="G6392" t="s">
        <v>607</v>
      </c>
      <c r="H6392" t="s">
        <v>103</v>
      </c>
      <c r="I6392" t="s">
        <v>251</v>
      </c>
      <c r="J6392" t="s">
        <v>152</v>
      </c>
      <c r="K6392" t="s">
        <v>236</v>
      </c>
      <c r="L6392" t="s">
        <v>468</v>
      </c>
      <c r="M6392" t="s">
        <v>103</v>
      </c>
      <c r="N6392" t="s">
        <v>1028</v>
      </c>
      <c r="O6392" t="s">
        <v>693</v>
      </c>
      <c r="P6392" t="s">
        <v>128</v>
      </c>
      <c r="Q6392" t="s">
        <v>345</v>
      </c>
      <c r="R6392" t="s">
        <v>120</v>
      </c>
    </row>
    <row r="6393" spans="1:18" x14ac:dyDescent="0.3">
      <c r="A6393" t="s">
        <v>27</v>
      </c>
      <c r="B6393" t="s">
        <v>2159</v>
      </c>
      <c r="C6393">
        <v>98</v>
      </c>
      <c r="D6393" t="s">
        <v>52</v>
      </c>
      <c r="E6393" t="s">
        <v>692</v>
      </c>
      <c r="F6393" t="s">
        <v>282</v>
      </c>
      <c r="G6393" t="s">
        <v>693</v>
      </c>
      <c r="H6393" t="s">
        <v>95</v>
      </c>
      <c r="I6393" t="s">
        <v>532</v>
      </c>
      <c r="J6393" t="s">
        <v>127</v>
      </c>
      <c r="K6393" t="s">
        <v>409</v>
      </c>
      <c r="L6393" t="s">
        <v>123</v>
      </c>
      <c r="M6393" t="s">
        <v>493</v>
      </c>
      <c r="N6393" t="s">
        <v>556</v>
      </c>
      <c r="O6393" t="s">
        <v>111</v>
      </c>
      <c r="P6393" t="s">
        <v>98</v>
      </c>
      <c r="Q6393" t="s">
        <v>103</v>
      </c>
      <c r="R6393" t="s">
        <v>98</v>
      </c>
    </row>
    <row r="6394" spans="1:18" x14ac:dyDescent="0.3">
      <c r="A6394" t="s">
        <v>41</v>
      </c>
      <c r="B6394" t="s">
        <v>2158</v>
      </c>
      <c r="C6394">
        <v>1122</v>
      </c>
      <c r="D6394" t="s">
        <v>160</v>
      </c>
      <c r="E6394" t="s">
        <v>372</v>
      </c>
      <c r="F6394" t="s">
        <v>105</v>
      </c>
      <c r="G6394" t="s">
        <v>615</v>
      </c>
      <c r="H6394" t="s">
        <v>103</v>
      </c>
      <c r="I6394" t="s">
        <v>120</v>
      </c>
      <c r="J6394" t="s">
        <v>242</v>
      </c>
      <c r="K6394" t="s">
        <v>482</v>
      </c>
      <c r="L6394" t="s">
        <v>93</v>
      </c>
      <c r="M6394" t="s">
        <v>194</v>
      </c>
      <c r="N6394" t="s">
        <v>461</v>
      </c>
      <c r="O6394" t="s">
        <v>99</v>
      </c>
      <c r="P6394" t="s">
        <v>345</v>
      </c>
      <c r="Q6394" t="s">
        <v>91</v>
      </c>
      <c r="R6394" t="s">
        <v>116</v>
      </c>
    </row>
    <row r="6395" spans="1:18" x14ac:dyDescent="0.3">
      <c r="A6395" t="s">
        <v>41</v>
      </c>
      <c r="B6395" t="s">
        <v>2159</v>
      </c>
      <c r="C6395">
        <v>1029</v>
      </c>
      <c r="D6395" t="s">
        <v>683</v>
      </c>
      <c r="E6395" t="s">
        <v>626</v>
      </c>
      <c r="F6395" t="s">
        <v>468</v>
      </c>
      <c r="G6395" t="s">
        <v>125</v>
      </c>
      <c r="H6395" t="s">
        <v>103</v>
      </c>
      <c r="I6395" t="s">
        <v>139</v>
      </c>
      <c r="J6395" t="s">
        <v>146</v>
      </c>
      <c r="K6395" t="s">
        <v>90</v>
      </c>
      <c r="L6395" t="s">
        <v>135</v>
      </c>
      <c r="M6395" t="s">
        <v>112</v>
      </c>
      <c r="N6395" t="s">
        <v>702</v>
      </c>
      <c r="O6395" t="s">
        <v>918</v>
      </c>
      <c r="P6395" t="s">
        <v>341</v>
      </c>
      <c r="Q6395" t="s">
        <v>103</v>
      </c>
      <c r="R6395" t="s">
        <v>103</v>
      </c>
    </row>
    <row r="6396" spans="1:18" x14ac:dyDescent="0.3">
      <c r="A6396" t="s">
        <v>41</v>
      </c>
      <c r="B6396" t="s">
        <v>308</v>
      </c>
      <c r="C6396">
        <v>1</v>
      </c>
      <c r="D6396" t="s">
        <v>103</v>
      </c>
      <c r="E6396" t="s">
        <v>103</v>
      </c>
      <c r="F6396" t="s">
        <v>103</v>
      </c>
      <c r="G6396" t="s">
        <v>103</v>
      </c>
      <c r="H6396" t="s">
        <v>103</v>
      </c>
      <c r="I6396" t="s">
        <v>103</v>
      </c>
      <c r="J6396" t="s">
        <v>103</v>
      </c>
      <c r="K6396" t="s">
        <v>192</v>
      </c>
      <c r="L6396" t="s">
        <v>192</v>
      </c>
      <c r="M6396" t="s">
        <v>103</v>
      </c>
      <c r="N6396" t="s">
        <v>192</v>
      </c>
      <c r="O6396" t="s">
        <v>103</v>
      </c>
      <c r="P6396" t="s">
        <v>103</v>
      </c>
      <c r="Q6396" t="s">
        <v>103</v>
      </c>
      <c r="R6396" t="s">
        <v>103</v>
      </c>
    </row>
    <row r="6398" spans="1:18" x14ac:dyDescent="0.3">
      <c r="A6398" t="s">
        <v>2216</v>
      </c>
    </row>
    <row r="6399" spans="1:18" x14ac:dyDescent="0.3">
      <c r="A6399" t="s">
        <v>36</v>
      </c>
      <c r="B6399" t="s">
        <v>307</v>
      </c>
      <c r="C6399" t="s">
        <v>24</v>
      </c>
      <c r="D6399" t="s">
        <v>2198</v>
      </c>
      <c r="E6399" t="s">
        <v>2199</v>
      </c>
      <c r="F6399" t="s">
        <v>2200</v>
      </c>
      <c r="G6399" t="s">
        <v>2201</v>
      </c>
      <c r="H6399" t="s">
        <v>2202</v>
      </c>
      <c r="I6399" t="s">
        <v>2203</v>
      </c>
      <c r="J6399" t="s">
        <v>2204</v>
      </c>
      <c r="K6399" t="s">
        <v>2205</v>
      </c>
      <c r="L6399" t="s">
        <v>2206</v>
      </c>
      <c r="M6399" t="s">
        <v>2207</v>
      </c>
      <c r="N6399" t="s">
        <v>2208</v>
      </c>
      <c r="O6399" t="s">
        <v>2209</v>
      </c>
      <c r="P6399" t="s">
        <v>89</v>
      </c>
      <c r="Q6399" t="s">
        <v>87</v>
      </c>
      <c r="R6399" t="s">
        <v>181</v>
      </c>
    </row>
    <row r="6400" spans="1:18" x14ac:dyDescent="0.3">
      <c r="A6400" t="s">
        <v>25</v>
      </c>
      <c r="B6400" t="s">
        <v>291</v>
      </c>
      <c r="C6400">
        <v>233</v>
      </c>
      <c r="D6400" t="s">
        <v>475</v>
      </c>
      <c r="E6400" t="s">
        <v>1068</v>
      </c>
      <c r="F6400" t="s">
        <v>97</v>
      </c>
      <c r="G6400" t="s">
        <v>493</v>
      </c>
      <c r="H6400" t="s">
        <v>103</v>
      </c>
      <c r="I6400" t="s">
        <v>468</v>
      </c>
      <c r="J6400" t="s">
        <v>575</v>
      </c>
      <c r="K6400" t="s">
        <v>680</v>
      </c>
      <c r="L6400" t="s">
        <v>591</v>
      </c>
      <c r="M6400" t="s">
        <v>125</v>
      </c>
      <c r="N6400" t="s">
        <v>683</v>
      </c>
      <c r="O6400" t="s">
        <v>100</v>
      </c>
      <c r="P6400" t="s">
        <v>122</v>
      </c>
      <c r="Q6400" t="s">
        <v>103</v>
      </c>
      <c r="R6400" t="s">
        <v>139</v>
      </c>
    </row>
    <row r="6401" spans="1:18" x14ac:dyDescent="0.3">
      <c r="A6401" t="s">
        <v>25</v>
      </c>
      <c r="B6401" t="s">
        <v>292</v>
      </c>
      <c r="C6401">
        <v>253</v>
      </c>
      <c r="D6401" t="s">
        <v>31</v>
      </c>
      <c r="E6401" t="s">
        <v>1081</v>
      </c>
      <c r="F6401" t="s">
        <v>122</v>
      </c>
      <c r="G6401" t="s">
        <v>68</v>
      </c>
      <c r="H6401" t="s">
        <v>103</v>
      </c>
      <c r="I6401" t="s">
        <v>97</v>
      </c>
      <c r="J6401" t="s">
        <v>217</v>
      </c>
      <c r="K6401" t="s">
        <v>140</v>
      </c>
      <c r="L6401" t="s">
        <v>94</v>
      </c>
      <c r="M6401" t="s">
        <v>493</v>
      </c>
      <c r="N6401" t="s">
        <v>702</v>
      </c>
      <c r="O6401" t="s">
        <v>566</v>
      </c>
      <c r="P6401" t="s">
        <v>438</v>
      </c>
      <c r="Q6401" t="s">
        <v>103</v>
      </c>
      <c r="R6401" t="s">
        <v>120</v>
      </c>
    </row>
    <row r="6402" spans="1:18" x14ac:dyDescent="0.3">
      <c r="A6402" t="s">
        <v>25</v>
      </c>
      <c r="B6402" t="s">
        <v>308</v>
      </c>
      <c r="C6402">
        <v>11</v>
      </c>
      <c r="D6402" t="s">
        <v>1222</v>
      </c>
      <c r="E6402" t="s">
        <v>132</v>
      </c>
      <c r="F6402" t="s">
        <v>103</v>
      </c>
      <c r="G6402" t="s">
        <v>195</v>
      </c>
      <c r="H6402" t="s">
        <v>103</v>
      </c>
      <c r="I6402" t="s">
        <v>103</v>
      </c>
      <c r="J6402" t="s">
        <v>890</v>
      </c>
      <c r="K6402" t="s">
        <v>103</v>
      </c>
      <c r="L6402" t="s">
        <v>103</v>
      </c>
      <c r="M6402" t="s">
        <v>890</v>
      </c>
      <c r="N6402" t="s">
        <v>103</v>
      </c>
      <c r="O6402" t="s">
        <v>482</v>
      </c>
      <c r="P6402" t="s">
        <v>103</v>
      </c>
      <c r="Q6402" t="s">
        <v>103</v>
      </c>
      <c r="R6402" t="s">
        <v>103</v>
      </c>
    </row>
    <row r="6403" spans="1:18" x14ac:dyDescent="0.3">
      <c r="A6403" t="s">
        <v>26</v>
      </c>
      <c r="B6403" t="s">
        <v>291</v>
      </c>
      <c r="C6403">
        <v>146</v>
      </c>
      <c r="D6403" t="s">
        <v>62</v>
      </c>
      <c r="E6403" t="s">
        <v>741</v>
      </c>
      <c r="F6403" t="s">
        <v>118</v>
      </c>
      <c r="G6403" t="s">
        <v>232</v>
      </c>
      <c r="H6403" t="s">
        <v>103</v>
      </c>
      <c r="I6403" t="s">
        <v>95</v>
      </c>
      <c r="J6403" t="s">
        <v>543</v>
      </c>
      <c r="K6403" t="s">
        <v>544</v>
      </c>
      <c r="L6403" t="s">
        <v>531</v>
      </c>
      <c r="M6403" t="s">
        <v>493</v>
      </c>
      <c r="N6403" t="s">
        <v>1218</v>
      </c>
      <c r="O6403" t="s">
        <v>157</v>
      </c>
      <c r="P6403" t="s">
        <v>95</v>
      </c>
      <c r="Q6403" t="s">
        <v>103</v>
      </c>
      <c r="R6403" t="s">
        <v>103</v>
      </c>
    </row>
    <row r="6404" spans="1:18" x14ac:dyDescent="0.3">
      <c r="A6404" t="s">
        <v>26</v>
      </c>
      <c r="B6404" t="s">
        <v>292</v>
      </c>
      <c r="C6404">
        <v>294</v>
      </c>
      <c r="D6404" t="s">
        <v>825</v>
      </c>
      <c r="E6404" t="s">
        <v>770</v>
      </c>
      <c r="F6404" t="s">
        <v>128</v>
      </c>
      <c r="G6404" t="s">
        <v>110</v>
      </c>
      <c r="H6404" t="s">
        <v>103</v>
      </c>
      <c r="I6404" t="s">
        <v>103</v>
      </c>
      <c r="J6404" t="s">
        <v>531</v>
      </c>
      <c r="K6404" t="s">
        <v>532</v>
      </c>
      <c r="L6404" t="s">
        <v>125</v>
      </c>
      <c r="M6404" t="s">
        <v>270</v>
      </c>
      <c r="N6404" t="s">
        <v>30</v>
      </c>
      <c r="O6404" t="s">
        <v>148</v>
      </c>
      <c r="P6404" t="s">
        <v>239</v>
      </c>
      <c r="Q6404" t="s">
        <v>103</v>
      </c>
      <c r="R6404" t="s">
        <v>103</v>
      </c>
    </row>
    <row r="6405" spans="1:18" x14ac:dyDescent="0.3">
      <c r="A6405" t="s">
        <v>26</v>
      </c>
      <c r="B6405" t="s">
        <v>308</v>
      </c>
      <c r="C6405">
        <v>5</v>
      </c>
      <c r="D6405" t="s">
        <v>295</v>
      </c>
      <c r="E6405" t="s">
        <v>570</v>
      </c>
      <c r="F6405" t="s">
        <v>103</v>
      </c>
      <c r="G6405" t="s">
        <v>103</v>
      </c>
      <c r="H6405" t="s">
        <v>103</v>
      </c>
      <c r="I6405" t="s">
        <v>103</v>
      </c>
      <c r="J6405" t="s">
        <v>103</v>
      </c>
      <c r="K6405" t="s">
        <v>103</v>
      </c>
      <c r="L6405" t="s">
        <v>103</v>
      </c>
      <c r="M6405" t="s">
        <v>1043</v>
      </c>
      <c r="N6405" t="s">
        <v>455</v>
      </c>
      <c r="O6405" t="s">
        <v>103</v>
      </c>
      <c r="P6405" t="s">
        <v>103</v>
      </c>
      <c r="Q6405" t="s">
        <v>103</v>
      </c>
      <c r="R6405" t="s">
        <v>103</v>
      </c>
    </row>
    <row r="6406" spans="1:18" x14ac:dyDescent="0.3">
      <c r="A6406" t="s">
        <v>29</v>
      </c>
      <c r="B6406" t="s">
        <v>291</v>
      </c>
      <c r="C6406">
        <v>298</v>
      </c>
      <c r="D6406" t="s">
        <v>519</v>
      </c>
      <c r="E6406" t="s">
        <v>2010</v>
      </c>
      <c r="F6406" t="s">
        <v>329</v>
      </c>
      <c r="G6406" t="s">
        <v>205</v>
      </c>
      <c r="H6406" t="s">
        <v>103</v>
      </c>
      <c r="I6406" t="s">
        <v>97</v>
      </c>
      <c r="J6406" t="s">
        <v>271</v>
      </c>
      <c r="K6406" t="s">
        <v>244</v>
      </c>
      <c r="L6406" t="s">
        <v>64</v>
      </c>
      <c r="M6406" t="s">
        <v>467</v>
      </c>
      <c r="N6406" t="s">
        <v>684</v>
      </c>
      <c r="O6406" t="s">
        <v>137</v>
      </c>
      <c r="P6406" t="s">
        <v>217</v>
      </c>
      <c r="Q6406" t="s">
        <v>103</v>
      </c>
      <c r="R6406" t="s">
        <v>103</v>
      </c>
    </row>
    <row r="6407" spans="1:18" x14ac:dyDescent="0.3">
      <c r="A6407" t="s">
        <v>29</v>
      </c>
      <c r="B6407" t="s">
        <v>292</v>
      </c>
      <c r="C6407">
        <v>385</v>
      </c>
      <c r="D6407" t="s">
        <v>938</v>
      </c>
      <c r="E6407" t="s">
        <v>1211</v>
      </c>
      <c r="F6407" t="s">
        <v>194</v>
      </c>
      <c r="G6407" t="s">
        <v>208</v>
      </c>
      <c r="H6407" t="s">
        <v>103</v>
      </c>
      <c r="I6407" t="s">
        <v>120</v>
      </c>
      <c r="J6407" t="s">
        <v>146</v>
      </c>
      <c r="K6407" t="s">
        <v>118</v>
      </c>
      <c r="L6407" t="s">
        <v>517</v>
      </c>
      <c r="M6407" t="s">
        <v>102</v>
      </c>
      <c r="N6407" t="s">
        <v>672</v>
      </c>
      <c r="O6407" t="s">
        <v>157</v>
      </c>
      <c r="P6407" t="s">
        <v>120</v>
      </c>
      <c r="Q6407" t="s">
        <v>103</v>
      </c>
      <c r="R6407" t="s">
        <v>103</v>
      </c>
    </row>
    <row r="6408" spans="1:18" x14ac:dyDescent="0.3">
      <c r="A6408" t="s">
        <v>28</v>
      </c>
      <c r="B6408" t="s">
        <v>291</v>
      </c>
      <c r="C6408">
        <v>118</v>
      </c>
      <c r="D6408" t="s">
        <v>536</v>
      </c>
      <c r="E6408" t="s">
        <v>391</v>
      </c>
      <c r="F6408" t="s">
        <v>329</v>
      </c>
      <c r="G6408" t="s">
        <v>208</v>
      </c>
      <c r="H6408" t="s">
        <v>103</v>
      </c>
      <c r="I6408" t="s">
        <v>103</v>
      </c>
      <c r="J6408" t="s">
        <v>152</v>
      </c>
      <c r="K6408" t="s">
        <v>474</v>
      </c>
      <c r="L6408" t="s">
        <v>120</v>
      </c>
      <c r="M6408" t="s">
        <v>103</v>
      </c>
      <c r="N6408" t="s">
        <v>529</v>
      </c>
      <c r="O6408" t="s">
        <v>890</v>
      </c>
      <c r="P6408" t="s">
        <v>139</v>
      </c>
      <c r="Q6408" t="s">
        <v>97</v>
      </c>
      <c r="R6408" t="s">
        <v>103</v>
      </c>
    </row>
    <row r="6409" spans="1:18" x14ac:dyDescent="0.3">
      <c r="A6409" t="s">
        <v>28</v>
      </c>
      <c r="B6409" t="s">
        <v>292</v>
      </c>
      <c r="C6409">
        <v>112</v>
      </c>
      <c r="D6409" t="s">
        <v>580</v>
      </c>
      <c r="E6409" t="s">
        <v>656</v>
      </c>
      <c r="F6409" t="s">
        <v>120</v>
      </c>
      <c r="G6409" t="s">
        <v>438</v>
      </c>
      <c r="H6409" t="s">
        <v>103</v>
      </c>
      <c r="I6409" t="s">
        <v>103</v>
      </c>
      <c r="J6409" t="s">
        <v>532</v>
      </c>
      <c r="K6409" t="s">
        <v>107</v>
      </c>
      <c r="L6409" t="s">
        <v>217</v>
      </c>
      <c r="M6409" t="s">
        <v>591</v>
      </c>
      <c r="N6409" t="s">
        <v>1576</v>
      </c>
      <c r="O6409" t="s">
        <v>482</v>
      </c>
      <c r="P6409" t="s">
        <v>216</v>
      </c>
      <c r="Q6409" t="s">
        <v>95</v>
      </c>
      <c r="R6409" t="s">
        <v>103</v>
      </c>
    </row>
    <row r="6410" spans="1:18" x14ac:dyDescent="0.3">
      <c r="A6410" t="s">
        <v>28</v>
      </c>
      <c r="B6410" t="s">
        <v>308</v>
      </c>
      <c r="C6410">
        <v>12</v>
      </c>
      <c r="D6410" t="s">
        <v>1284</v>
      </c>
      <c r="E6410" t="s">
        <v>455</v>
      </c>
      <c r="F6410" t="s">
        <v>103</v>
      </c>
      <c r="G6410" t="s">
        <v>103</v>
      </c>
      <c r="H6410" t="s">
        <v>103</v>
      </c>
      <c r="I6410" t="s">
        <v>103</v>
      </c>
      <c r="J6410" t="s">
        <v>100</v>
      </c>
      <c r="K6410" t="s">
        <v>103</v>
      </c>
      <c r="L6410" t="s">
        <v>259</v>
      </c>
      <c r="M6410" t="s">
        <v>103</v>
      </c>
      <c r="N6410" t="s">
        <v>103</v>
      </c>
      <c r="O6410" t="s">
        <v>103</v>
      </c>
      <c r="P6410" t="s">
        <v>103</v>
      </c>
      <c r="Q6410" t="s">
        <v>103</v>
      </c>
      <c r="R6410" t="s">
        <v>103</v>
      </c>
    </row>
    <row r="6411" spans="1:18" x14ac:dyDescent="0.3">
      <c r="A6411" t="s">
        <v>27</v>
      </c>
      <c r="B6411" t="s">
        <v>291</v>
      </c>
      <c r="C6411">
        <v>113</v>
      </c>
      <c r="D6411" t="s">
        <v>271</v>
      </c>
      <c r="E6411" t="s">
        <v>1136</v>
      </c>
      <c r="F6411" t="s">
        <v>239</v>
      </c>
      <c r="G6411" t="s">
        <v>90</v>
      </c>
      <c r="H6411" t="s">
        <v>95</v>
      </c>
      <c r="I6411" t="s">
        <v>100</v>
      </c>
      <c r="J6411" t="s">
        <v>807</v>
      </c>
      <c r="K6411" t="s">
        <v>539</v>
      </c>
      <c r="L6411" t="s">
        <v>68</v>
      </c>
      <c r="M6411" t="s">
        <v>103</v>
      </c>
      <c r="N6411" t="s">
        <v>1055</v>
      </c>
      <c r="O6411" t="s">
        <v>460</v>
      </c>
      <c r="P6411" t="s">
        <v>329</v>
      </c>
      <c r="Q6411" t="s">
        <v>105</v>
      </c>
      <c r="R6411" t="s">
        <v>103</v>
      </c>
    </row>
    <row r="6412" spans="1:18" x14ac:dyDescent="0.3">
      <c r="A6412" t="s">
        <v>27</v>
      </c>
      <c r="B6412" t="s">
        <v>292</v>
      </c>
      <c r="C6412">
        <v>167</v>
      </c>
      <c r="D6412" t="s">
        <v>646</v>
      </c>
      <c r="E6412" t="s">
        <v>1230</v>
      </c>
      <c r="F6412" t="s">
        <v>468</v>
      </c>
      <c r="G6412" t="s">
        <v>126</v>
      </c>
      <c r="H6412" t="s">
        <v>103</v>
      </c>
      <c r="I6412" t="s">
        <v>33</v>
      </c>
      <c r="J6412" t="s">
        <v>127</v>
      </c>
      <c r="K6412" t="s">
        <v>556</v>
      </c>
      <c r="L6412" t="s">
        <v>32</v>
      </c>
      <c r="M6412" t="s">
        <v>128</v>
      </c>
      <c r="N6412" t="s">
        <v>670</v>
      </c>
      <c r="O6412" t="s">
        <v>144</v>
      </c>
      <c r="P6412" t="s">
        <v>216</v>
      </c>
      <c r="Q6412" t="s">
        <v>103</v>
      </c>
      <c r="R6412" t="s">
        <v>120</v>
      </c>
    </row>
    <row r="6413" spans="1:18" x14ac:dyDescent="0.3">
      <c r="A6413" t="s">
        <v>27</v>
      </c>
      <c r="B6413" t="s">
        <v>308</v>
      </c>
      <c r="C6413">
        <v>5</v>
      </c>
      <c r="D6413" t="s">
        <v>506</v>
      </c>
      <c r="E6413" t="s">
        <v>1058</v>
      </c>
      <c r="F6413" t="s">
        <v>103</v>
      </c>
      <c r="G6413" t="s">
        <v>103</v>
      </c>
      <c r="H6413" t="s">
        <v>103</v>
      </c>
      <c r="I6413" t="s">
        <v>103</v>
      </c>
      <c r="J6413" t="s">
        <v>103</v>
      </c>
      <c r="K6413" t="s">
        <v>1058</v>
      </c>
      <c r="L6413" t="s">
        <v>96</v>
      </c>
      <c r="M6413" t="s">
        <v>103</v>
      </c>
      <c r="N6413" t="s">
        <v>506</v>
      </c>
      <c r="O6413" t="s">
        <v>103</v>
      </c>
      <c r="P6413" t="s">
        <v>103</v>
      </c>
      <c r="Q6413" t="s">
        <v>103</v>
      </c>
      <c r="R6413" t="s">
        <v>471</v>
      </c>
    </row>
    <row r="6414" spans="1:18" x14ac:dyDescent="0.3">
      <c r="A6414" t="s">
        <v>41</v>
      </c>
      <c r="B6414" t="s">
        <v>291</v>
      </c>
      <c r="C6414">
        <v>908</v>
      </c>
      <c r="D6414" t="s">
        <v>92</v>
      </c>
      <c r="E6414" t="s">
        <v>2185</v>
      </c>
      <c r="F6414" t="s">
        <v>105</v>
      </c>
      <c r="G6414" t="s">
        <v>251</v>
      </c>
      <c r="H6414" t="s">
        <v>103</v>
      </c>
      <c r="I6414" t="s">
        <v>98</v>
      </c>
      <c r="J6414" t="s">
        <v>119</v>
      </c>
      <c r="K6414" t="s">
        <v>162</v>
      </c>
      <c r="L6414" t="s">
        <v>102</v>
      </c>
      <c r="M6414" t="s">
        <v>272</v>
      </c>
      <c r="N6414" t="s">
        <v>1227</v>
      </c>
      <c r="O6414" t="s">
        <v>482</v>
      </c>
      <c r="P6414" t="s">
        <v>245</v>
      </c>
      <c r="Q6414" t="s">
        <v>91</v>
      </c>
      <c r="R6414" t="s">
        <v>66</v>
      </c>
    </row>
    <row r="6415" spans="1:18" x14ac:dyDescent="0.3">
      <c r="A6415" t="s">
        <v>41</v>
      </c>
      <c r="B6415" t="s">
        <v>292</v>
      </c>
      <c r="C6415">
        <v>1211</v>
      </c>
      <c r="D6415" t="s">
        <v>429</v>
      </c>
      <c r="E6415" t="s">
        <v>96</v>
      </c>
      <c r="F6415" t="s">
        <v>194</v>
      </c>
      <c r="G6415" t="s">
        <v>128</v>
      </c>
      <c r="H6415" t="s">
        <v>103</v>
      </c>
      <c r="I6415" t="s">
        <v>120</v>
      </c>
      <c r="J6415" t="s">
        <v>100</v>
      </c>
      <c r="K6415" t="s">
        <v>32</v>
      </c>
      <c r="L6415" t="s">
        <v>108</v>
      </c>
      <c r="M6415" t="s">
        <v>438</v>
      </c>
      <c r="N6415" t="s">
        <v>927</v>
      </c>
      <c r="O6415" t="s">
        <v>144</v>
      </c>
      <c r="P6415" t="s">
        <v>110</v>
      </c>
      <c r="Q6415" t="s">
        <v>103</v>
      </c>
      <c r="R6415" t="s">
        <v>91</v>
      </c>
    </row>
    <row r="6416" spans="1:18" x14ac:dyDescent="0.3">
      <c r="A6416" t="s">
        <v>41</v>
      </c>
      <c r="B6416" t="s">
        <v>308</v>
      </c>
      <c r="C6416">
        <v>33</v>
      </c>
      <c r="D6416" t="s">
        <v>1260</v>
      </c>
      <c r="E6416" t="s">
        <v>31</v>
      </c>
      <c r="F6416" t="s">
        <v>103</v>
      </c>
      <c r="G6416" t="s">
        <v>239</v>
      </c>
      <c r="H6416" t="s">
        <v>103</v>
      </c>
      <c r="I6416" t="s">
        <v>103</v>
      </c>
      <c r="J6416" t="s">
        <v>140</v>
      </c>
      <c r="K6416" t="s">
        <v>278</v>
      </c>
      <c r="L6416" t="s">
        <v>126</v>
      </c>
      <c r="M6416" t="s">
        <v>54</v>
      </c>
      <c r="N6416" t="s">
        <v>693</v>
      </c>
      <c r="O6416" t="s">
        <v>615</v>
      </c>
      <c r="P6416" t="s">
        <v>103</v>
      </c>
      <c r="Q6416" t="s">
        <v>103</v>
      </c>
      <c r="R6416" t="s">
        <v>239</v>
      </c>
    </row>
    <row r="6418" spans="1:18" x14ac:dyDescent="0.3">
      <c r="A6418" t="s">
        <v>2217</v>
      </c>
    </row>
    <row r="6419" spans="1:18" x14ac:dyDescent="0.3">
      <c r="A6419" t="s">
        <v>36</v>
      </c>
      <c r="B6419" t="s">
        <v>210</v>
      </c>
      <c r="C6419" t="s">
        <v>24</v>
      </c>
      <c r="D6419" t="s">
        <v>2198</v>
      </c>
      <c r="E6419" t="s">
        <v>2199</v>
      </c>
      <c r="F6419" t="s">
        <v>2200</v>
      </c>
      <c r="G6419" t="s">
        <v>2201</v>
      </c>
      <c r="H6419" t="s">
        <v>2202</v>
      </c>
      <c r="I6419" t="s">
        <v>2203</v>
      </c>
      <c r="J6419" t="s">
        <v>2204</v>
      </c>
      <c r="K6419" t="s">
        <v>2205</v>
      </c>
      <c r="L6419" t="s">
        <v>2206</v>
      </c>
      <c r="M6419" t="s">
        <v>2207</v>
      </c>
      <c r="N6419" t="s">
        <v>2208</v>
      </c>
      <c r="O6419" t="s">
        <v>2209</v>
      </c>
      <c r="P6419" t="s">
        <v>89</v>
      </c>
      <c r="Q6419" t="s">
        <v>87</v>
      </c>
      <c r="R6419" t="s">
        <v>181</v>
      </c>
    </row>
    <row r="6420" spans="1:18" x14ac:dyDescent="0.3">
      <c r="A6420" t="s">
        <v>25</v>
      </c>
      <c r="B6420" t="s">
        <v>211</v>
      </c>
      <c r="C6420">
        <v>497</v>
      </c>
      <c r="D6420" t="s">
        <v>264</v>
      </c>
      <c r="E6420" t="s">
        <v>1284</v>
      </c>
      <c r="F6420" t="s">
        <v>122</v>
      </c>
      <c r="G6420" t="s">
        <v>438</v>
      </c>
      <c r="H6420" t="s">
        <v>103</v>
      </c>
      <c r="I6420" t="s">
        <v>139</v>
      </c>
      <c r="J6420" t="s">
        <v>278</v>
      </c>
      <c r="K6420" t="s">
        <v>544</v>
      </c>
      <c r="L6420" t="s">
        <v>278</v>
      </c>
      <c r="M6420" t="s">
        <v>188</v>
      </c>
      <c r="N6420" t="s">
        <v>461</v>
      </c>
      <c r="O6420" t="s">
        <v>117</v>
      </c>
      <c r="P6420" t="s">
        <v>341</v>
      </c>
      <c r="Q6420" t="s">
        <v>103</v>
      </c>
      <c r="R6420" t="s">
        <v>120</v>
      </c>
    </row>
    <row r="6421" spans="1:18" x14ac:dyDescent="0.3">
      <c r="A6421" t="s">
        <v>26</v>
      </c>
      <c r="B6421" t="s">
        <v>211</v>
      </c>
      <c r="C6421">
        <v>173</v>
      </c>
      <c r="D6421" t="s">
        <v>550</v>
      </c>
      <c r="E6421" t="s">
        <v>986</v>
      </c>
      <c r="F6421" t="s">
        <v>128</v>
      </c>
      <c r="G6421" t="s">
        <v>591</v>
      </c>
      <c r="H6421" t="s">
        <v>103</v>
      </c>
      <c r="I6421" t="s">
        <v>103</v>
      </c>
      <c r="J6421" t="s">
        <v>531</v>
      </c>
      <c r="K6421" t="s">
        <v>169</v>
      </c>
      <c r="L6421" t="s">
        <v>266</v>
      </c>
      <c r="M6421" t="s">
        <v>120</v>
      </c>
      <c r="N6421" t="s">
        <v>244</v>
      </c>
      <c r="O6421" t="s">
        <v>607</v>
      </c>
      <c r="P6421" t="s">
        <v>95</v>
      </c>
      <c r="Q6421" t="s">
        <v>103</v>
      </c>
      <c r="R6421" t="s">
        <v>103</v>
      </c>
    </row>
    <row r="6422" spans="1:18" x14ac:dyDescent="0.3">
      <c r="A6422" t="s">
        <v>26</v>
      </c>
      <c r="B6422" t="s">
        <v>212</v>
      </c>
      <c r="C6422">
        <v>272</v>
      </c>
      <c r="D6422" t="s">
        <v>707</v>
      </c>
      <c r="E6422" t="s">
        <v>1098</v>
      </c>
      <c r="F6422" t="s">
        <v>128</v>
      </c>
      <c r="G6422" t="s">
        <v>329</v>
      </c>
      <c r="H6422" t="s">
        <v>103</v>
      </c>
      <c r="I6422" t="s">
        <v>122</v>
      </c>
      <c r="J6422" t="s">
        <v>205</v>
      </c>
      <c r="K6422" t="s">
        <v>615</v>
      </c>
      <c r="L6422" t="s">
        <v>133</v>
      </c>
      <c r="M6422" t="s">
        <v>70</v>
      </c>
      <c r="N6422" t="s">
        <v>402</v>
      </c>
      <c r="O6422" t="s">
        <v>469</v>
      </c>
      <c r="P6422" t="s">
        <v>216</v>
      </c>
      <c r="Q6422" t="s">
        <v>103</v>
      </c>
      <c r="R6422" t="s">
        <v>103</v>
      </c>
    </row>
    <row r="6423" spans="1:18" x14ac:dyDescent="0.3">
      <c r="A6423" t="s">
        <v>29</v>
      </c>
      <c r="B6423" t="s">
        <v>211</v>
      </c>
      <c r="C6423">
        <v>683</v>
      </c>
      <c r="D6423" t="s">
        <v>565</v>
      </c>
      <c r="E6423" t="s">
        <v>370</v>
      </c>
      <c r="F6423" t="s">
        <v>216</v>
      </c>
      <c r="G6423" t="s">
        <v>214</v>
      </c>
      <c r="H6423" t="s">
        <v>103</v>
      </c>
      <c r="I6423" t="s">
        <v>120</v>
      </c>
      <c r="J6423" t="s">
        <v>119</v>
      </c>
      <c r="K6423" t="s">
        <v>190</v>
      </c>
      <c r="L6423" t="s">
        <v>124</v>
      </c>
      <c r="M6423" t="s">
        <v>438</v>
      </c>
      <c r="N6423" t="s">
        <v>646</v>
      </c>
      <c r="O6423" t="s">
        <v>890</v>
      </c>
      <c r="P6423" t="s">
        <v>239</v>
      </c>
      <c r="Q6423" t="s">
        <v>103</v>
      </c>
      <c r="R6423" t="s">
        <v>103</v>
      </c>
    </row>
    <row r="6424" spans="1:18" x14ac:dyDescent="0.3">
      <c r="A6424" t="s">
        <v>28</v>
      </c>
      <c r="B6424" t="s">
        <v>211</v>
      </c>
      <c r="C6424">
        <v>226</v>
      </c>
      <c r="D6424" t="s">
        <v>275</v>
      </c>
      <c r="E6424" t="s">
        <v>373</v>
      </c>
      <c r="F6424" t="s">
        <v>110</v>
      </c>
      <c r="G6424" t="s">
        <v>118</v>
      </c>
      <c r="H6424" t="s">
        <v>103</v>
      </c>
      <c r="I6424" t="s">
        <v>103</v>
      </c>
      <c r="J6424" t="s">
        <v>262</v>
      </c>
      <c r="K6424" t="s">
        <v>123</v>
      </c>
      <c r="L6424" t="s">
        <v>270</v>
      </c>
      <c r="M6424" t="s">
        <v>341</v>
      </c>
      <c r="N6424" t="s">
        <v>537</v>
      </c>
      <c r="O6424" t="s">
        <v>629</v>
      </c>
      <c r="P6424" t="s">
        <v>282</v>
      </c>
      <c r="Q6424" t="s">
        <v>120</v>
      </c>
      <c r="R6424" t="s">
        <v>103</v>
      </c>
    </row>
    <row r="6425" spans="1:18" s="3" customFormat="1" x14ac:dyDescent="0.3">
      <c r="A6425" s="3" t="s">
        <v>28</v>
      </c>
      <c r="B6425" s="3" t="s">
        <v>212</v>
      </c>
      <c r="C6425" s="3">
        <v>16</v>
      </c>
      <c r="D6425" s="3" t="s">
        <v>1215</v>
      </c>
      <c r="E6425" s="3" t="s">
        <v>685</v>
      </c>
      <c r="F6425" s="3" t="s">
        <v>103</v>
      </c>
      <c r="G6425" s="3" t="s">
        <v>284</v>
      </c>
      <c r="H6425" s="3" t="s">
        <v>103</v>
      </c>
      <c r="I6425" s="3" t="s">
        <v>103</v>
      </c>
      <c r="J6425" s="3" t="s">
        <v>737</v>
      </c>
      <c r="K6425" s="3" t="s">
        <v>737</v>
      </c>
      <c r="L6425" s="3" t="s">
        <v>103</v>
      </c>
      <c r="M6425" s="3" t="s">
        <v>103</v>
      </c>
      <c r="N6425" s="3" t="s">
        <v>737</v>
      </c>
      <c r="O6425" s="3" t="s">
        <v>737</v>
      </c>
      <c r="P6425" s="3" t="s">
        <v>186</v>
      </c>
      <c r="Q6425" s="3" t="s">
        <v>103</v>
      </c>
      <c r="R6425" s="3" t="s">
        <v>103</v>
      </c>
    </row>
    <row r="6426" spans="1:18" x14ac:dyDescent="0.3">
      <c r="A6426" t="s">
        <v>27</v>
      </c>
      <c r="B6426" t="s">
        <v>211</v>
      </c>
      <c r="C6426">
        <v>265</v>
      </c>
      <c r="D6426" t="s">
        <v>132</v>
      </c>
      <c r="E6426" t="s">
        <v>1133</v>
      </c>
      <c r="F6426" t="s">
        <v>194</v>
      </c>
      <c r="G6426" t="s">
        <v>205</v>
      </c>
      <c r="H6426" t="s">
        <v>116</v>
      </c>
      <c r="I6426" t="s">
        <v>452</v>
      </c>
      <c r="J6426" t="s">
        <v>119</v>
      </c>
      <c r="K6426" t="s">
        <v>261</v>
      </c>
      <c r="L6426" t="s">
        <v>615</v>
      </c>
      <c r="M6426" t="s">
        <v>468</v>
      </c>
      <c r="N6426" t="s">
        <v>545</v>
      </c>
      <c r="O6426" t="s">
        <v>269</v>
      </c>
      <c r="P6426" t="s">
        <v>105</v>
      </c>
      <c r="Q6426" t="s">
        <v>95</v>
      </c>
      <c r="R6426" t="s">
        <v>95</v>
      </c>
    </row>
    <row r="6427" spans="1:18" s="3" customFormat="1" x14ac:dyDescent="0.3">
      <c r="A6427" s="3" t="s">
        <v>27</v>
      </c>
      <c r="B6427" s="3" t="s">
        <v>212</v>
      </c>
      <c r="C6427" s="3">
        <v>20</v>
      </c>
      <c r="D6427" s="3" t="s">
        <v>746</v>
      </c>
      <c r="E6427" s="3" t="s">
        <v>527</v>
      </c>
      <c r="F6427" s="3" t="s">
        <v>103</v>
      </c>
      <c r="G6427" s="3" t="s">
        <v>103</v>
      </c>
      <c r="H6427" s="3" t="s">
        <v>103</v>
      </c>
      <c r="I6427" s="3" t="s">
        <v>103</v>
      </c>
      <c r="J6427" s="3" t="s">
        <v>103</v>
      </c>
      <c r="K6427" s="3" t="s">
        <v>205</v>
      </c>
      <c r="L6427" s="3" t="s">
        <v>123</v>
      </c>
      <c r="M6427" s="3" t="s">
        <v>607</v>
      </c>
      <c r="N6427" s="3" t="s">
        <v>103</v>
      </c>
      <c r="O6427" s="3" t="s">
        <v>103</v>
      </c>
      <c r="P6427" s="3" t="s">
        <v>103</v>
      </c>
      <c r="Q6427" s="3" t="s">
        <v>103</v>
      </c>
      <c r="R6427" s="3" t="s">
        <v>103</v>
      </c>
    </row>
    <row r="6428" spans="1:18" x14ac:dyDescent="0.3">
      <c r="A6428" t="s">
        <v>41</v>
      </c>
      <c r="B6428" t="s">
        <v>211</v>
      </c>
      <c r="C6428">
        <v>1844</v>
      </c>
      <c r="D6428" t="s">
        <v>547</v>
      </c>
      <c r="E6428" t="s">
        <v>34</v>
      </c>
      <c r="F6428" t="s">
        <v>110</v>
      </c>
      <c r="G6428" t="s">
        <v>201</v>
      </c>
      <c r="H6428" t="s">
        <v>103</v>
      </c>
      <c r="I6428" t="s">
        <v>139</v>
      </c>
      <c r="J6428" t="s">
        <v>247</v>
      </c>
      <c r="K6428" t="s">
        <v>629</v>
      </c>
      <c r="L6428" t="s">
        <v>531</v>
      </c>
      <c r="M6428" t="s">
        <v>68</v>
      </c>
      <c r="N6428" t="s">
        <v>754</v>
      </c>
      <c r="O6428" t="s">
        <v>146</v>
      </c>
      <c r="P6428" t="s">
        <v>239</v>
      </c>
      <c r="Q6428" t="s">
        <v>91</v>
      </c>
      <c r="R6428" t="s">
        <v>66</v>
      </c>
    </row>
    <row r="6429" spans="1:18" x14ac:dyDescent="0.3">
      <c r="A6429" t="s">
        <v>41</v>
      </c>
      <c r="B6429" t="s">
        <v>212</v>
      </c>
      <c r="C6429">
        <v>308</v>
      </c>
      <c r="D6429" t="s">
        <v>654</v>
      </c>
      <c r="E6429" t="s">
        <v>462</v>
      </c>
      <c r="F6429" t="s">
        <v>128</v>
      </c>
      <c r="G6429" t="s">
        <v>329</v>
      </c>
      <c r="H6429" t="s">
        <v>103</v>
      </c>
      <c r="I6429" t="s">
        <v>122</v>
      </c>
      <c r="J6429" t="s">
        <v>242</v>
      </c>
      <c r="K6429" t="s">
        <v>214</v>
      </c>
      <c r="L6429" t="s">
        <v>70</v>
      </c>
      <c r="M6429" t="s">
        <v>70</v>
      </c>
      <c r="N6429" t="s">
        <v>542</v>
      </c>
      <c r="O6429" t="s">
        <v>106</v>
      </c>
      <c r="P6429" t="s">
        <v>216</v>
      </c>
      <c r="Q6429" t="s">
        <v>103</v>
      </c>
      <c r="R6429" t="s">
        <v>103</v>
      </c>
    </row>
    <row r="6431" spans="1:18" x14ac:dyDescent="0.3">
      <c r="A6431" t="s">
        <v>2218</v>
      </c>
    </row>
    <row r="6432" spans="1:18" x14ac:dyDescent="0.3">
      <c r="A6432" t="s">
        <v>36</v>
      </c>
      <c r="B6432" t="s">
        <v>1517</v>
      </c>
      <c r="C6432" t="s">
        <v>24</v>
      </c>
      <c r="D6432" t="s">
        <v>2198</v>
      </c>
      <c r="E6432" t="s">
        <v>2199</v>
      </c>
      <c r="F6432" t="s">
        <v>2200</v>
      </c>
      <c r="G6432" t="s">
        <v>2201</v>
      </c>
      <c r="H6432" t="s">
        <v>2202</v>
      </c>
      <c r="I6432" t="s">
        <v>2203</v>
      </c>
      <c r="J6432" t="s">
        <v>2204</v>
      </c>
      <c r="K6432" t="s">
        <v>2205</v>
      </c>
      <c r="L6432" t="s">
        <v>2206</v>
      </c>
      <c r="M6432" t="s">
        <v>2207</v>
      </c>
      <c r="N6432" t="s">
        <v>2208</v>
      </c>
      <c r="O6432" t="s">
        <v>2209</v>
      </c>
      <c r="P6432" t="s">
        <v>89</v>
      </c>
      <c r="Q6432" t="s">
        <v>87</v>
      </c>
      <c r="R6432" t="s">
        <v>181</v>
      </c>
    </row>
    <row r="6433" spans="1:18" x14ac:dyDescent="0.3">
      <c r="A6433" t="s">
        <v>25</v>
      </c>
      <c r="B6433" t="s">
        <v>1518</v>
      </c>
      <c r="C6433">
        <v>309</v>
      </c>
      <c r="D6433" t="s">
        <v>672</v>
      </c>
      <c r="E6433" t="s">
        <v>1295</v>
      </c>
      <c r="F6433" t="s">
        <v>95</v>
      </c>
      <c r="G6433" t="s">
        <v>257</v>
      </c>
      <c r="H6433" t="s">
        <v>103</v>
      </c>
      <c r="I6433" t="s">
        <v>282</v>
      </c>
      <c r="J6433" t="s">
        <v>201</v>
      </c>
      <c r="K6433" t="s">
        <v>488</v>
      </c>
      <c r="L6433" t="s">
        <v>466</v>
      </c>
      <c r="M6433" t="s">
        <v>201</v>
      </c>
      <c r="N6433" t="s">
        <v>520</v>
      </c>
      <c r="O6433" t="s">
        <v>119</v>
      </c>
      <c r="P6433" t="s">
        <v>194</v>
      </c>
      <c r="Q6433" t="s">
        <v>103</v>
      </c>
      <c r="R6433" t="s">
        <v>282</v>
      </c>
    </row>
    <row r="6434" spans="1:18" x14ac:dyDescent="0.3">
      <c r="A6434" t="s">
        <v>25</v>
      </c>
      <c r="B6434" t="s">
        <v>1519</v>
      </c>
      <c r="C6434">
        <v>188</v>
      </c>
      <c r="D6434" t="s">
        <v>522</v>
      </c>
      <c r="E6434" t="s">
        <v>770</v>
      </c>
      <c r="F6434" t="s">
        <v>103</v>
      </c>
      <c r="G6434" t="s">
        <v>32</v>
      </c>
      <c r="H6434" t="s">
        <v>103</v>
      </c>
      <c r="I6434" t="s">
        <v>97</v>
      </c>
      <c r="J6434" t="s">
        <v>94</v>
      </c>
      <c r="K6434" t="s">
        <v>247</v>
      </c>
      <c r="L6434" t="s">
        <v>438</v>
      </c>
      <c r="M6434" t="s">
        <v>270</v>
      </c>
      <c r="N6434" t="s">
        <v>523</v>
      </c>
      <c r="O6434" t="s">
        <v>62</v>
      </c>
      <c r="P6434" t="s">
        <v>64</v>
      </c>
      <c r="Q6434" t="s">
        <v>103</v>
      </c>
      <c r="R6434" t="s">
        <v>103</v>
      </c>
    </row>
    <row r="6435" spans="1:18" x14ac:dyDescent="0.3">
      <c r="A6435" t="s">
        <v>26</v>
      </c>
      <c r="B6435" t="s">
        <v>1518</v>
      </c>
      <c r="C6435">
        <v>260</v>
      </c>
      <c r="D6435" t="s">
        <v>470</v>
      </c>
      <c r="E6435" t="s">
        <v>1067</v>
      </c>
      <c r="F6435" t="s">
        <v>118</v>
      </c>
      <c r="G6435" t="s">
        <v>107</v>
      </c>
      <c r="H6435" t="s">
        <v>103</v>
      </c>
      <c r="I6435" t="s">
        <v>122</v>
      </c>
      <c r="J6435" t="s">
        <v>117</v>
      </c>
      <c r="K6435" t="s">
        <v>100</v>
      </c>
      <c r="L6435" t="s">
        <v>662</v>
      </c>
      <c r="M6435" t="s">
        <v>532</v>
      </c>
      <c r="N6435" t="s">
        <v>507</v>
      </c>
      <c r="O6435" t="s">
        <v>173</v>
      </c>
      <c r="P6435" t="s">
        <v>105</v>
      </c>
      <c r="Q6435" t="s">
        <v>103</v>
      </c>
      <c r="R6435" t="s">
        <v>103</v>
      </c>
    </row>
    <row r="6436" spans="1:18" x14ac:dyDescent="0.3">
      <c r="A6436" t="s">
        <v>26</v>
      </c>
      <c r="B6436" t="s">
        <v>1519</v>
      </c>
      <c r="C6436">
        <v>181</v>
      </c>
      <c r="D6436" t="s">
        <v>875</v>
      </c>
      <c r="E6436" t="s">
        <v>675</v>
      </c>
      <c r="F6436" t="s">
        <v>245</v>
      </c>
      <c r="G6436" t="s">
        <v>98</v>
      </c>
      <c r="H6436" t="s">
        <v>103</v>
      </c>
      <c r="I6436" t="s">
        <v>103</v>
      </c>
      <c r="J6436" t="s">
        <v>217</v>
      </c>
      <c r="K6436" t="s">
        <v>112</v>
      </c>
      <c r="L6436" t="s">
        <v>64</v>
      </c>
      <c r="M6436" t="s">
        <v>118</v>
      </c>
      <c r="N6436" t="s">
        <v>50</v>
      </c>
      <c r="O6436" t="s">
        <v>629</v>
      </c>
      <c r="P6436" t="s">
        <v>120</v>
      </c>
      <c r="Q6436" t="s">
        <v>103</v>
      </c>
      <c r="R6436" t="s">
        <v>103</v>
      </c>
    </row>
    <row r="6437" spans="1:18" x14ac:dyDescent="0.3">
      <c r="A6437" t="s">
        <v>26</v>
      </c>
      <c r="B6437" t="s">
        <v>308</v>
      </c>
      <c r="C6437">
        <v>4</v>
      </c>
      <c r="D6437" t="s">
        <v>103</v>
      </c>
      <c r="E6437" t="s">
        <v>761</v>
      </c>
      <c r="F6437" t="s">
        <v>815</v>
      </c>
      <c r="G6437" t="s">
        <v>103</v>
      </c>
      <c r="H6437" t="s">
        <v>103</v>
      </c>
      <c r="I6437" t="s">
        <v>103</v>
      </c>
      <c r="J6437" t="s">
        <v>695</v>
      </c>
      <c r="K6437" t="s">
        <v>815</v>
      </c>
      <c r="L6437" t="s">
        <v>103</v>
      </c>
      <c r="M6437" t="s">
        <v>103</v>
      </c>
      <c r="N6437" t="s">
        <v>815</v>
      </c>
      <c r="O6437" t="s">
        <v>103</v>
      </c>
      <c r="P6437" t="s">
        <v>103</v>
      </c>
      <c r="Q6437" t="s">
        <v>103</v>
      </c>
      <c r="R6437" t="s">
        <v>103</v>
      </c>
    </row>
    <row r="6438" spans="1:18" x14ac:dyDescent="0.3">
      <c r="A6438" t="s">
        <v>29</v>
      </c>
      <c r="B6438" t="s">
        <v>1518</v>
      </c>
      <c r="C6438">
        <v>471</v>
      </c>
      <c r="D6438" t="s">
        <v>688</v>
      </c>
      <c r="E6438" t="s">
        <v>96</v>
      </c>
      <c r="F6438" t="s">
        <v>216</v>
      </c>
      <c r="G6438" t="s">
        <v>281</v>
      </c>
      <c r="H6438" t="s">
        <v>103</v>
      </c>
      <c r="I6438" t="s">
        <v>97</v>
      </c>
      <c r="J6438" t="s">
        <v>488</v>
      </c>
      <c r="K6438" t="s">
        <v>108</v>
      </c>
      <c r="L6438" t="s">
        <v>494</v>
      </c>
      <c r="M6438" t="s">
        <v>107</v>
      </c>
      <c r="N6438" t="s">
        <v>569</v>
      </c>
      <c r="O6438" t="s">
        <v>108</v>
      </c>
      <c r="P6438" t="s">
        <v>194</v>
      </c>
      <c r="Q6438" t="s">
        <v>103</v>
      </c>
      <c r="R6438" t="s">
        <v>103</v>
      </c>
    </row>
    <row r="6439" spans="1:18" x14ac:dyDescent="0.3">
      <c r="A6439" t="s">
        <v>29</v>
      </c>
      <c r="B6439" t="s">
        <v>1519</v>
      </c>
      <c r="C6439">
        <v>205</v>
      </c>
      <c r="D6439" t="s">
        <v>1023</v>
      </c>
      <c r="E6439" t="s">
        <v>1396</v>
      </c>
      <c r="F6439" t="s">
        <v>105</v>
      </c>
      <c r="G6439" t="s">
        <v>125</v>
      </c>
      <c r="H6439" t="s">
        <v>103</v>
      </c>
      <c r="I6439" t="s">
        <v>95</v>
      </c>
      <c r="J6439" t="s">
        <v>201</v>
      </c>
      <c r="K6439" t="s">
        <v>188</v>
      </c>
      <c r="L6439" t="s">
        <v>124</v>
      </c>
      <c r="M6439" t="s">
        <v>239</v>
      </c>
      <c r="N6439" t="s">
        <v>56</v>
      </c>
      <c r="O6439" t="s">
        <v>550</v>
      </c>
      <c r="P6439" t="s">
        <v>208</v>
      </c>
      <c r="Q6439" t="s">
        <v>103</v>
      </c>
      <c r="R6439" t="s">
        <v>103</v>
      </c>
    </row>
    <row r="6440" spans="1:18" x14ac:dyDescent="0.3">
      <c r="A6440" t="s">
        <v>29</v>
      </c>
      <c r="B6440" t="s">
        <v>308</v>
      </c>
      <c r="C6440">
        <v>7</v>
      </c>
      <c r="D6440" t="s">
        <v>472</v>
      </c>
      <c r="E6440" t="s">
        <v>513</v>
      </c>
      <c r="F6440" t="s">
        <v>103</v>
      </c>
      <c r="G6440" t="s">
        <v>103</v>
      </c>
      <c r="H6440" t="s">
        <v>103</v>
      </c>
      <c r="I6440" t="s">
        <v>103</v>
      </c>
      <c r="J6440" t="s">
        <v>471</v>
      </c>
      <c r="K6440" t="s">
        <v>103</v>
      </c>
      <c r="L6440" t="s">
        <v>103</v>
      </c>
      <c r="M6440" t="s">
        <v>103</v>
      </c>
      <c r="N6440" t="s">
        <v>175</v>
      </c>
      <c r="O6440" t="s">
        <v>658</v>
      </c>
      <c r="P6440" t="s">
        <v>103</v>
      </c>
      <c r="Q6440" t="s">
        <v>103</v>
      </c>
      <c r="R6440" t="s">
        <v>103</v>
      </c>
    </row>
    <row r="6441" spans="1:18" x14ac:dyDescent="0.3">
      <c r="A6441" t="s">
        <v>28</v>
      </c>
      <c r="B6441" t="s">
        <v>1518</v>
      </c>
      <c r="C6441">
        <v>132</v>
      </c>
      <c r="D6441" t="s">
        <v>687</v>
      </c>
      <c r="E6441" t="s">
        <v>462</v>
      </c>
      <c r="F6441" t="s">
        <v>110</v>
      </c>
      <c r="G6441" t="s">
        <v>103</v>
      </c>
      <c r="H6441" t="s">
        <v>103</v>
      </c>
      <c r="I6441" t="s">
        <v>103</v>
      </c>
      <c r="J6441" t="s">
        <v>104</v>
      </c>
      <c r="K6441" t="s">
        <v>244</v>
      </c>
      <c r="L6441" t="s">
        <v>64</v>
      </c>
      <c r="M6441" t="s">
        <v>245</v>
      </c>
      <c r="N6441" t="s">
        <v>562</v>
      </c>
      <c r="O6441" t="s">
        <v>459</v>
      </c>
      <c r="P6441" t="s">
        <v>194</v>
      </c>
      <c r="Q6441" t="s">
        <v>103</v>
      </c>
      <c r="R6441" t="s">
        <v>103</v>
      </c>
    </row>
    <row r="6442" spans="1:18" x14ac:dyDescent="0.3">
      <c r="A6442" t="s">
        <v>28</v>
      </c>
      <c r="B6442" t="s">
        <v>1519</v>
      </c>
      <c r="C6442">
        <v>109</v>
      </c>
      <c r="D6442" t="s">
        <v>681</v>
      </c>
      <c r="E6442" t="s">
        <v>109</v>
      </c>
      <c r="F6442" t="s">
        <v>468</v>
      </c>
      <c r="G6442" t="s">
        <v>558</v>
      </c>
      <c r="H6442" t="s">
        <v>103</v>
      </c>
      <c r="I6442" t="s">
        <v>103</v>
      </c>
      <c r="J6442" t="s">
        <v>112</v>
      </c>
      <c r="K6442" t="s">
        <v>693</v>
      </c>
      <c r="L6442" t="s">
        <v>266</v>
      </c>
      <c r="M6442" t="s">
        <v>208</v>
      </c>
      <c r="N6442" t="s">
        <v>461</v>
      </c>
      <c r="O6442" t="s">
        <v>127</v>
      </c>
      <c r="P6442" t="s">
        <v>98</v>
      </c>
      <c r="Q6442" t="s">
        <v>194</v>
      </c>
      <c r="R6442" t="s">
        <v>103</v>
      </c>
    </row>
    <row r="6443" spans="1:18" x14ac:dyDescent="0.3">
      <c r="A6443" t="s">
        <v>28</v>
      </c>
      <c r="B6443" t="s">
        <v>308</v>
      </c>
      <c r="C6443">
        <v>1</v>
      </c>
      <c r="D6443" t="s">
        <v>103</v>
      </c>
      <c r="E6443" t="s">
        <v>103</v>
      </c>
      <c r="F6443" t="s">
        <v>103</v>
      </c>
      <c r="G6443" t="s">
        <v>103</v>
      </c>
      <c r="H6443" t="s">
        <v>103</v>
      </c>
      <c r="I6443" t="s">
        <v>103</v>
      </c>
      <c r="J6443" t="s">
        <v>103</v>
      </c>
      <c r="K6443" t="s">
        <v>103</v>
      </c>
      <c r="L6443" t="s">
        <v>103</v>
      </c>
      <c r="M6443" t="s">
        <v>103</v>
      </c>
      <c r="N6443" t="s">
        <v>192</v>
      </c>
      <c r="O6443" t="s">
        <v>192</v>
      </c>
      <c r="P6443" t="s">
        <v>103</v>
      </c>
      <c r="Q6443" t="s">
        <v>103</v>
      </c>
      <c r="R6443" t="s">
        <v>103</v>
      </c>
    </row>
    <row r="6444" spans="1:18" x14ac:dyDescent="0.3">
      <c r="A6444" t="s">
        <v>27</v>
      </c>
      <c r="B6444" t="s">
        <v>1518</v>
      </c>
      <c r="C6444">
        <v>181</v>
      </c>
      <c r="D6444" t="s">
        <v>264</v>
      </c>
      <c r="E6444" t="s">
        <v>730</v>
      </c>
      <c r="F6444" t="s">
        <v>110</v>
      </c>
      <c r="G6444" t="s">
        <v>242</v>
      </c>
      <c r="H6444" t="s">
        <v>122</v>
      </c>
      <c r="I6444" t="s">
        <v>100</v>
      </c>
      <c r="J6444" t="s">
        <v>890</v>
      </c>
      <c r="K6444" t="s">
        <v>645</v>
      </c>
      <c r="L6444" t="s">
        <v>591</v>
      </c>
      <c r="M6444" t="s">
        <v>98</v>
      </c>
      <c r="N6444" t="s">
        <v>1057</v>
      </c>
      <c r="O6444" t="s">
        <v>144</v>
      </c>
      <c r="P6444" t="s">
        <v>216</v>
      </c>
      <c r="Q6444" t="s">
        <v>103</v>
      </c>
      <c r="R6444" t="s">
        <v>97</v>
      </c>
    </row>
    <row r="6445" spans="1:18" x14ac:dyDescent="0.3">
      <c r="A6445" t="s">
        <v>27</v>
      </c>
      <c r="B6445" t="s">
        <v>1519</v>
      </c>
      <c r="C6445">
        <v>98</v>
      </c>
      <c r="D6445" t="s">
        <v>750</v>
      </c>
      <c r="E6445" t="s">
        <v>1438</v>
      </c>
      <c r="F6445" t="s">
        <v>345</v>
      </c>
      <c r="G6445" t="s">
        <v>140</v>
      </c>
      <c r="H6445" t="s">
        <v>103</v>
      </c>
      <c r="I6445" t="s">
        <v>93</v>
      </c>
      <c r="J6445" t="s">
        <v>693</v>
      </c>
      <c r="K6445" t="s">
        <v>155</v>
      </c>
      <c r="L6445" t="s">
        <v>101</v>
      </c>
      <c r="M6445" t="s">
        <v>217</v>
      </c>
      <c r="N6445" t="s">
        <v>1050</v>
      </c>
      <c r="O6445" t="s">
        <v>33</v>
      </c>
      <c r="P6445" t="s">
        <v>329</v>
      </c>
      <c r="Q6445" t="s">
        <v>93</v>
      </c>
      <c r="R6445" t="s">
        <v>345</v>
      </c>
    </row>
    <row r="6446" spans="1:18" x14ac:dyDescent="0.3">
      <c r="A6446" t="s">
        <v>27</v>
      </c>
      <c r="B6446" t="s">
        <v>308</v>
      </c>
      <c r="C6446">
        <v>6</v>
      </c>
      <c r="D6446" t="s">
        <v>547</v>
      </c>
      <c r="E6446" t="s">
        <v>939</v>
      </c>
      <c r="F6446" t="s">
        <v>103</v>
      </c>
      <c r="G6446" t="s">
        <v>547</v>
      </c>
      <c r="H6446" t="s">
        <v>103</v>
      </c>
      <c r="I6446" t="s">
        <v>103</v>
      </c>
      <c r="J6446" t="s">
        <v>500</v>
      </c>
      <c r="K6446" t="s">
        <v>547</v>
      </c>
      <c r="L6446" t="s">
        <v>103</v>
      </c>
      <c r="M6446" t="s">
        <v>103</v>
      </c>
      <c r="N6446" t="s">
        <v>547</v>
      </c>
      <c r="O6446" t="s">
        <v>547</v>
      </c>
      <c r="P6446" t="s">
        <v>103</v>
      </c>
      <c r="Q6446" t="s">
        <v>103</v>
      </c>
      <c r="R6446" t="s">
        <v>103</v>
      </c>
    </row>
    <row r="6447" spans="1:18" x14ac:dyDescent="0.3">
      <c r="A6447" t="s">
        <v>41</v>
      </c>
      <c r="B6447" t="s">
        <v>1518</v>
      </c>
      <c r="C6447">
        <v>1353</v>
      </c>
      <c r="D6447" t="s">
        <v>646</v>
      </c>
      <c r="E6447" t="s">
        <v>436</v>
      </c>
      <c r="F6447" t="s">
        <v>239</v>
      </c>
      <c r="G6447" t="s">
        <v>532</v>
      </c>
      <c r="H6447" t="s">
        <v>103</v>
      </c>
      <c r="I6447" t="s">
        <v>98</v>
      </c>
      <c r="J6447" t="s">
        <v>119</v>
      </c>
      <c r="K6447" t="s">
        <v>652</v>
      </c>
      <c r="L6447" t="s">
        <v>140</v>
      </c>
      <c r="M6447" t="s">
        <v>186</v>
      </c>
      <c r="N6447" t="s">
        <v>577</v>
      </c>
      <c r="O6447" t="s">
        <v>459</v>
      </c>
      <c r="P6447" t="s">
        <v>110</v>
      </c>
      <c r="Q6447" t="s">
        <v>103</v>
      </c>
      <c r="R6447" t="s">
        <v>66</v>
      </c>
    </row>
    <row r="6448" spans="1:18" x14ac:dyDescent="0.3">
      <c r="A6448" t="s">
        <v>41</v>
      </c>
      <c r="B6448" t="s">
        <v>1519</v>
      </c>
      <c r="C6448">
        <v>781</v>
      </c>
      <c r="D6448" t="s">
        <v>557</v>
      </c>
      <c r="E6448" t="s">
        <v>930</v>
      </c>
      <c r="F6448" t="s">
        <v>194</v>
      </c>
      <c r="G6448" t="s">
        <v>438</v>
      </c>
      <c r="H6448" t="s">
        <v>103</v>
      </c>
      <c r="I6448" t="s">
        <v>97</v>
      </c>
      <c r="J6448" t="s">
        <v>615</v>
      </c>
      <c r="K6448" t="s">
        <v>594</v>
      </c>
      <c r="L6448" t="s">
        <v>278</v>
      </c>
      <c r="M6448" t="s">
        <v>329</v>
      </c>
      <c r="N6448" t="s">
        <v>478</v>
      </c>
      <c r="O6448" t="s">
        <v>700</v>
      </c>
      <c r="P6448" t="s">
        <v>105</v>
      </c>
      <c r="Q6448" t="s">
        <v>91</v>
      </c>
      <c r="R6448" t="s">
        <v>103</v>
      </c>
    </row>
    <row r="6449" spans="1:18" x14ac:dyDescent="0.3">
      <c r="A6449" t="s">
        <v>41</v>
      </c>
      <c r="B6449" t="s">
        <v>308</v>
      </c>
      <c r="C6449">
        <v>18</v>
      </c>
      <c r="D6449" t="s">
        <v>566</v>
      </c>
      <c r="E6449" t="s">
        <v>839</v>
      </c>
      <c r="F6449" t="s">
        <v>460</v>
      </c>
      <c r="G6449" t="s">
        <v>208</v>
      </c>
      <c r="H6449" t="s">
        <v>103</v>
      </c>
      <c r="I6449" t="s">
        <v>103</v>
      </c>
      <c r="J6449" t="s">
        <v>697</v>
      </c>
      <c r="K6449" t="s">
        <v>247</v>
      </c>
      <c r="L6449" t="s">
        <v>103</v>
      </c>
      <c r="M6449" t="s">
        <v>103</v>
      </c>
      <c r="N6449" t="s">
        <v>479</v>
      </c>
      <c r="O6449" t="s">
        <v>486</v>
      </c>
      <c r="P6449" t="s">
        <v>103</v>
      </c>
      <c r="Q6449" t="s">
        <v>103</v>
      </c>
      <c r="R6449" t="s">
        <v>103</v>
      </c>
    </row>
    <row r="6451" spans="1:18" x14ac:dyDescent="0.3">
      <c r="A6451" t="s">
        <v>2219</v>
      </c>
    </row>
    <row r="6452" spans="1:18" x14ac:dyDescent="0.3">
      <c r="A6452" t="s">
        <v>36</v>
      </c>
      <c r="B6452" t="s">
        <v>24</v>
      </c>
      <c r="C6452" t="s">
        <v>58</v>
      </c>
      <c r="D6452" t="s">
        <v>181</v>
      </c>
      <c r="E6452" t="s">
        <v>59</v>
      </c>
    </row>
    <row r="6453" spans="1:18" x14ac:dyDescent="0.3">
      <c r="A6453" t="s">
        <v>25</v>
      </c>
      <c r="B6453">
        <v>497</v>
      </c>
      <c r="C6453" t="s">
        <v>117</v>
      </c>
      <c r="D6453" t="s">
        <v>122</v>
      </c>
      <c r="E6453" t="s">
        <v>974</v>
      </c>
    </row>
    <row r="6454" spans="1:18" x14ac:dyDescent="0.3">
      <c r="A6454" t="s">
        <v>26</v>
      </c>
      <c r="B6454">
        <v>445</v>
      </c>
      <c r="C6454" t="s">
        <v>693</v>
      </c>
      <c r="D6454" t="s">
        <v>103</v>
      </c>
      <c r="E6454" t="s">
        <v>240</v>
      </c>
    </row>
    <row r="6455" spans="1:18" x14ac:dyDescent="0.3">
      <c r="A6455" t="s">
        <v>29</v>
      </c>
      <c r="B6455">
        <v>683</v>
      </c>
      <c r="C6455" t="s">
        <v>232</v>
      </c>
      <c r="D6455" t="s">
        <v>103</v>
      </c>
      <c r="E6455" t="s">
        <v>864</v>
      </c>
    </row>
    <row r="6456" spans="1:18" x14ac:dyDescent="0.3">
      <c r="A6456" t="s">
        <v>28</v>
      </c>
      <c r="B6456">
        <v>242</v>
      </c>
      <c r="C6456" t="s">
        <v>270</v>
      </c>
      <c r="D6456" t="s">
        <v>103</v>
      </c>
      <c r="E6456" t="s">
        <v>332</v>
      </c>
    </row>
    <row r="6457" spans="1:18" x14ac:dyDescent="0.3">
      <c r="A6457" t="s">
        <v>27</v>
      </c>
      <c r="B6457">
        <v>285</v>
      </c>
      <c r="C6457" t="s">
        <v>1143</v>
      </c>
      <c r="D6457" t="s">
        <v>103</v>
      </c>
      <c r="E6457" t="s">
        <v>1281</v>
      </c>
    </row>
    <row r="6458" spans="1:18" x14ac:dyDescent="0.3">
      <c r="A6458" t="s">
        <v>41</v>
      </c>
      <c r="B6458">
        <v>2152</v>
      </c>
      <c r="C6458" t="s">
        <v>90</v>
      </c>
      <c r="D6458" t="s">
        <v>91</v>
      </c>
      <c r="E6458" t="s">
        <v>738</v>
      </c>
    </row>
    <row r="6460" spans="1:18" x14ac:dyDescent="0.3">
      <c r="A6460" t="s">
        <v>2220</v>
      </c>
    </row>
    <row r="6461" spans="1:18" x14ac:dyDescent="0.3">
      <c r="A6461" t="s">
        <v>36</v>
      </c>
      <c r="B6461" t="s">
        <v>2172</v>
      </c>
      <c r="C6461" t="s">
        <v>24</v>
      </c>
      <c r="D6461" t="s">
        <v>58</v>
      </c>
      <c r="E6461" t="s">
        <v>59</v>
      </c>
      <c r="F6461" t="s">
        <v>181</v>
      </c>
    </row>
    <row r="6462" spans="1:18" s="3" customFormat="1" x14ac:dyDescent="0.3">
      <c r="A6462" s="3" t="s">
        <v>25</v>
      </c>
      <c r="B6462" s="3" t="s">
        <v>844</v>
      </c>
      <c r="C6462" s="3">
        <v>16</v>
      </c>
      <c r="D6462" s="3" t="s">
        <v>652</v>
      </c>
      <c r="E6462" s="3" t="s">
        <v>606</v>
      </c>
      <c r="F6462" s="3" t="s">
        <v>103</v>
      </c>
    </row>
    <row r="6463" spans="1:18" s="3" customFormat="1" x14ac:dyDescent="0.3">
      <c r="A6463" s="3" t="s">
        <v>25</v>
      </c>
      <c r="B6463" s="3" t="s">
        <v>2173</v>
      </c>
      <c r="C6463" s="3">
        <v>23</v>
      </c>
      <c r="D6463" s="3" t="s">
        <v>518</v>
      </c>
      <c r="E6463" s="3" t="s">
        <v>870</v>
      </c>
      <c r="F6463" s="3" t="s">
        <v>103</v>
      </c>
    </row>
    <row r="6464" spans="1:18" s="3" customFormat="1" x14ac:dyDescent="0.3">
      <c r="A6464" s="3" t="s">
        <v>25</v>
      </c>
      <c r="B6464" s="3" t="s">
        <v>2174</v>
      </c>
      <c r="C6464" s="3">
        <v>13</v>
      </c>
      <c r="D6464" s="3" t="s">
        <v>30</v>
      </c>
      <c r="E6464" s="3" t="s">
        <v>1381</v>
      </c>
      <c r="F6464" s="3" t="s">
        <v>103</v>
      </c>
    </row>
    <row r="6465" spans="1:6" s="3" customFormat="1" x14ac:dyDescent="0.3">
      <c r="A6465" s="3" t="s">
        <v>25</v>
      </c>
      <c r="B6465" s="3" t="s">
        <v>2175</v>
      </c>
      <c r="C6465" s="3">
        <v>11</v>
      </c>
      <c r="D6465" s="3" t="s">
        <v>520</v>
      </c>
      <c r="E6465" s="3" t="s">
        <v>408</v>
      </c>
      <c r="F6465" s="3" t="s">
        <v>103</v>
      </c>
    </row>
    <row r="6466" spans="1:6" x14ac:dyDescent="0.3">
      <c r="A6466" t="s">
        <v>25</v>
      </c>
      <c r="B6466" t="s">
        <v>2176</v>
      </c>
      <c r="C6466">
        <v>79</v>
      </c>
      <c r="D6466" t="s">
        <v>100</v>
      </c>
      <c r="E6466" t="s">
        <v>624</v>
      </c>
      <c r="F6466" t="s">
        <v>103</v>
      </c>
    </row>
    <row r="6467" spans="1:6" x14ac:dyDescent="0.3">
      <c r="A6467" t="s">
        <v>25</v>
      </c>
      <c r="B6467" t="s">
        <v>2177</v>
      </c>
      <c r="C6467">
        <v>81</v>
      </c>
      <c r="D6467" t="s">
        <v>543</v>
      </c>
      <c r="E6467" t="s">
        <v>759</v>
      </c>
      <c r="F6467" t="s">
        <v>103</v>
      </c>
    </row>
    <row r="6468" spans="1:6" x14ac:dyDescent="0.3">
      <c r="A6468" t="s">
        <v>25</v>
      </c>
      <c r="B6468" t="s">
        <v>2178</v>
      </c>
      <c r="C6468">
        <v>100</v>
      </c>
      <c r="D6468" t="s">
        <v>247</v>
      </c>
      <c r="E6468" t="s">
        <v>1310</v>
      </c>
      <c r="F6468" t="s">
        <v>103</v>
      </c>
    </row>
    <row r="6469" spans="1:6" s="3" customFormat="1" x14ac:dyDescent="0.3">
      <c r="A6469" s="3" t="s">
        <v>25</v>
      </c>
      <c r="B6469" s="3" t="s">
        <v>846</v>
      </c>
      <c r="C6469" s="3">
        <v>17</v>
      </c>
      <c r="D6469" s="3" t="s">
        <v>629</v>
      </c>
      <c r="E6469" s="3" t="s">
        <v>885</v>
      </c>
      <c r="F6469" s="3" t="s">
        <v>103</v>
      </c>
    </row>
    <row r="6470" spans="1:6" s="3" customFormat="1" x14ac:dyDescent="0.3">
      <c r="A6470" s="3" t="s">
        <v>25</v>
      </c>
      <c r="B6470" s="3" t="s">
        <v>2179</v>
      </c>
      <c r="C6470" s="3">
        <v>20</v>
      </c>
      <c r="D6470" s="3" t="s">
        <v>140</v>
      </c>
      <c r="E6470" s="3" t="s">
        <v>1027</v>
      </c>
      <c r="F6470" s="3" t="s">
        <v>103</v>
      </c>
    </row>
    <row r="6471" spans="1:6" s="3" customFormat="1" x14ac:dyDescent="0.3">
      <c r="A6471" s="3" t="s">
        <v>25</v>
      </c>
      <c r="B6471" s="3" t="s">
        <v>2180</v>
      </c>
      <c r="C6471" s="3">
        <v>15</v>
      </c>
      <c r="D6471" s="3" t="s">
        <v>531</v>
      </c>
      <c r="E6471" s="3" t="s">
        <v>862</v>
      </c>
      <c r="F6471" s="3" t="s">
        <v>103</v>
      </c>
    </row>
    <row r="6472" spans="1:6" s="3" customFormat="1" x14ac:dyDescent="0.3">
      <c r="A6472" s="3" t="s">
        <v>25</v>
      </c>
      <c r="B6472" s="3" t="s">
        <v>2181</v>
      </c>
      <c r="C6472" s="3">
        <v>7</v>
      </c>
      <c r="D6472" s="3" t="s">
        <v>103</v>
      </c>
      <c r="E6472" s="3" t="s">
        <v>192</v>
      </c>
      <c r="F6472" s="3" t="s">
        <v>103</v>
      </c>
    </row>
    <row r="6473" spans="1:6" x14ac:dyDescent="0.3">
      <c r="A6473" t="s">
        <v>25</v>
      </c>
      <c r="B6473" t="s">
        <v>2182</v>
      </c>
      <c r="C6473">
        <v>40</v>
      </c>
      <c r="D6473" t="s">
        <v>488</v>
      </c>
      <c r="E6473" t="s">
        <v>1135</v>
      </c>
      <c r="F6473" t="s">
        <v>615</v>
      </c>
    </row>
    <row r="6474" spans="1:6" x14ac:dyDescent="0.3">
      <c r="A6474" t="s">
        <v>25</v>
      </c>
      <c r="B6474" t="s">
        <v>2183</v>
      </c>
      <c r="C6474">
        <v>37</v>
      </c>
      <c r="D6474" t="s">
        <v>734</v>
      </c>
      <c r="E6474" t="s">
        <v>735</v>
      </c>
      <c r="F6474" t="s">
        <v>103</v>
      </c>
    </row>
    <row r="6475" spans="1:6" x14ac:dyDescent="0.3">
      <c r="A6475" t="s">
        <v>25</v>
      </c>
      <c r="B6475" t="s">
        <v>2184</v>
      </c>
      <c r="C6475">
        <v>38</v>
      </c>
      <c r="D6475" t="s">
        <v>536</v>
      </c>
      <c r="E6475" t="s">
        <v>749</v>
      </c>
      <c r="F6475" t="s">
        <v>103</v>
      </c>
    </row>
    <row r="6476" spans="1:6" s="3" customFormat="1" x14ac:dyDescent="0.3">
      <c r="A6476" s="3" t="s">
        <v>26</v>
      </c>
      <c r="B6476" s="3" t="s">
        <v>844</v>
      </c>
      <c r="C6476" s="3">
        <v>15</v>
      </c>
      <c r="D6476" s="3" t="s">
        <v>111</v>
      </c>
      <c r="E6476" s="3" t="s">
        <v>742</v>
      </c>
      <c r="F6476" s="3" t="s">
        <v>103</v>
      </c>
    </row>
    <row r="6477" spans="1:6" s="3" customFormat="1" x14ac:dyDescent="0.3">
      <c r="A6477" s="3" t="s">
        <v>26</v>
      </c>
      <c r="B6477" s="3" t="s">
        <v>2173</v>
      </c>
      <c r="C6477" s="3">
        <v>26</v>
      </c>
      <c r="D6477" s="3" t="s">
        <v>594</v>
      </c>
      <c r="E6477" s="3" t="s">
        <v>633</v>
      </c>
      <c r="F6477" s="3" t="s">
        <v>103</v>
      </c>
    </row>
    <row r="6478" spans="1:6" s="3" customFormat="1" x14ac:dyDescent="0.3">
      <c r="A6478" s="3" t="s">
        <v>26</v>
      </c>
      <c r="B6478" s="3" t="s">
        <v>2174</v>
      </c>
      <c r="C6478" s="3">
        <v>16</v>
      </c>
      <c r="D6478" s="3" t="s">
        <v>186</v>
      </c>
      <c r="E6478" s="3" t="s">
        <v>185</v>
      </c>
      <c r="F6478" s="3" t="s">
        <v>103</v>
      </c>
    </row>
    <row r="6479" spans="1:6" s="3" customFormat="1" x14ac:dyDescent="0.3">
      <c r="A6479" s="3" t="s">
        <v>26</v>
      </c>
      <c r="B6479" s="3" t="s">
        <v>2175</v>
      </c>
      <c r="C6479" s="3">
        <v>8</v>
      </c>
      <c r="D6479" s="3" t="s">
        <v>103</v>
      </c>
      <c r="E6479" s="3" t="s">
        <v>192</v>
      </c>
      <c r="F6479" s="3" t="s">
        <v>103</v>
      </c>
    </row>
    <row r="6480" spans="1:6" x14ac:dyDescent="0.3">
      <c r="A6480" t="s">
        <v>26</v>
      </c>
      <c r="B6480" t="s">
        <v>2176</v>
      </c>
      <c r="C6480">
        <v>67</v>
      </c>
      <c r="D6480" t="s">
        <v>144</v>
      </c>
      <c r="E6480" t="s">
        <v>145</v>
      </c>
      <c r="F6480" t="s">
        <v>103</v>
      </c>
    </row>
    <row r="6481" spans="1:6" x14ac:dyDescent="0.3">
      <c r="A6481" t="s">
        <v>26</v>
      </c>
      <c r="B6481" t="s">
        <v>2177</v>
      </c>
      <c r="C6481">
        <v>74</v>
      </c>
      <c r="D6481" t="s">
        <v>50</v>
      </c>
      <c r="E6481" t="s">
        <v>49</v>
      </c>
      <c r="F6481" t="s">
        <v>103</v>
      </c>
    </row>
    <row r="6482" spans="1:6" x14ac:dyDescent="0.3">
      <c r="A6482" t="s">
        <v>26</v>
      </c>
      <c r="B6482" t="s">
        <v>2178</v>
      </c>
      <c r="C6482">
        <v>79</v>
      </c>
      <c r="D6482" t="s">
        <v>124</v>
      </c>
      <c r="E6482" t="s">
        <v>207</v>
      </c>
      <c r="F6482" t="s">
        <v>103</v>
      </c>
    </row>
    <row r="6483" spans="1:6" s="3" customFormat="1" x14ac:dyDescent="0.3">
      <c r="A6483" s="3" t="s">
        <v>26</v>
      </c>
      <c r="B6483" s="3" t="s">
        <v>846</v>
      </c>
      <c r="C6483" s="3">
        <v>14</v>
      </c>
      <c r="D6483" s="3" t="s">
        <v>103</v>
      </c>
      <c r="E6483" s="3" t="s">
        <v>192</v>
      </c>
      <c r="F6483" s="3" t="s">
        <v>103</v>
      </c>
    </row>
    <row r="6484" spans="1:6" s="3" customFormat="1" x14ac:dyDescent="0.3">
      <c r="A6484" s="3" t="s">
        <v>26</v>
      </c>
      <c r="B6484" s="3" t="s">
        <v>2179</v>
      </c>
      <c r="C6484" s="3">
        <v>18</v>
      </c>
      <c r="D6484" s="3" t="s">
        <v>188</v>
      </c>
      <c r="E6484" s="3" t="s">
        <v>833</v>
      </c>
      <c r="F6484" s="3" t="s">
        <v>103</v>
      </c>
    </row>
    <row r="6485" spans="1:6" s="3" customFormat="1" x14ac:dyDescent="0.3">
      <c r="A6485" s="3" t="s">
        <v>26</v>
      </c>
      <c r="B6485" s="3" t="s">
        <v>2180</v>
      </c>
      <c r="C6485" s="3">
        <v>13</v>
      </c>
      <c r="D6485" s="3" t="s">
        <v>278</v>
      </c>
      <c r="E6485" s="3" t="s">
        <v>597</v>
      </c>
      <c r="F6485" s="3" t="s">
        <v>103</v>
      </c>
    </row>
    <row r="6486" spans="1:6" s="3" customFormat="1" x14ac:dyDescent="0.3">
      <c r="A6486" s="3" t="s">
        <v>26</v>
      </c>
      <c r="B6486" s="3" t="s">
        <v>2181</v>
      </c>
      <c r="C6486" s="3">
        <v>10</v>
      </c>
      <c r="D6486" s="3" t="s">
        <v>103</v>
      </c>
      <c r="E6486" s="3" t="s">
        <v>192</v>
      </c>
      <c r="F6486" s="3" t="s">
        <v>103</v>
      </c>
    </row>
    <row r="6487" spans="1:6" x14ac:dyDescent="0.3">
      <c r="A6487" t="s">
        <v>26</v>
      </c>
      <c r="B6487" t="s">
        <v>2182</v>
      </c>
      <c r="C6487">
        <v>48</v>
      </c>
      <c r="D6487" t="s">
        <v>205</v>
      </c>
      <c r="E6487" t="s">
        <v>1509</v>
      </c>
      <c r="F6487" t="s">
        <v>103</v>
      </c>
    </row>
    <row r="6488" spans="1:6" x14ac:dyDescent="0.3">
      <c r="A6488" t="s">
        <v>26</v>
      </c>
      <c r="B6488" t="s">
        <v>2183</v>
      </c>
      <c r="C6488">
        <v>34</v>
      </c>
      <c r="D6488" t="s">
        <v>700</v>
      </c>
      <c r="E6488" t="s">
        <v>772</v>
      </c>
      <c r="F6488" t="s">
        <v>103</v>
      </c>
    </row>
    <row r="6489" spans="1:6" s="3" customFormat="1" x14ac:dyDescent="0.3">
      <c r="A6489" s="3" t="s">
        <v>26</v>
      </c>
      <c r="B6489" s="3" t="s">
        <v>2184</v>
      </c>
      <c r="C6489" s="3">
        <v>23</v>
      </c>
      <c r="D6489" s="3" t="s">
        <v>32</v>
      </c>
      <c r="E6489" s="3" t="s">
        <v>279</v>
      </c>
      <c r="F6489" s="3" t="s">
        <v>103</v>
      </c>
    </row>
    <row r="6490" spans="1:6" s="3" customFormat="1" x14ac:dyDescent="0.3">
      <c r="A6490" s="3" t="s">
        <v>29</v>
      </c>
      <c r="B6490" s="3" t="s">
        <v>844</v>
      </c>
      <c r="C6490" s="3">
        <v>27</v>
      </c>
      <c r="D6490" s="3" t="s">
        <v>97</v>
      </c>
      <c r="E6490" s="3" t="s">
        <v>321</v>
      </c>
      <c r="F6490" s="3" t="s">
        <v>103</v>
      </c>
    </row>
    <row r="6491" spans="1:6" x14ac:dyDescent="0.3">
      <c r="A6491" t="s">
        <v>29</v>
      </c>
      <c r="B6491" t="s">
        <v>2173</v>
      </c>
      <c r="C6491">
        <v>48</v>
      </c>
      <c r="D6491" t="s">
        <v>607</v>
      </c>
      <c r="E6491" t="s">
        <v>1355</v>
      </c>
      <c r="F6491" t="s">
        <v>103</v>
      </c>
    </row>
    <row r="6492" spans="1:6" x14ac:dyDescent="0.3">
      <c r="A6492" t="s">
        <v>29</v>
      </c>
      <c r="B6492" t="s">
        <v>2174</v>
      </c>
      <c r="C6492">
        <v>35</v>
      </c>
      <c r="D6492" t="s">
        <v>217</v>
      </c>
      <c r="E6492" t="s">
        <v>768</v>
      </c>
      <c r="F6492" t="s">
        <v>103</v>
      </c>
    </row>
    <row r="6493" spans="1:6" s="3" customFormat="1" x14ac:dyDescent="0.3">
      <c r="A6493" s="3" t="s">
        <v>29</v>
      </c>
      <c r="B6493" s="3" t="s">
        <v>2175</v>
      </c>
      <c r="C6493" s="3">
        <v>12</v>
      </c>
      <c r="D6493" s="3" t="s">
        <v>693</v>
      </c>
      <c r="E6493" s="3" t="s">
        <v>240</v>
      </c>
      <c r="F6493" s="3" t="s">
        <v>103</v>
      </c>
    </row>
    <row r="6494" spans="1:6" x14ac:dyDescent="0.3">
      <c r="A6494" t="s">
        <v>29</v>
      </c>
      <c r="B6494" t="s">
        <v>2176</v>
      </c>
      <c r="C6494">
        <v>132</v>
      </c>
      <c r="D6494" t="s">
        <v>217</v>
      </c>
      <c r="E6494" t="s">
        <v>768</v>
      </c>
      <c r="F6494" t="s">
        <v>103</v>
      </c>
    </row>
    <row r="6495" spans="1:6" x14ac:dyDescent="0.3">
      <c r="A6495" t="s">
        <v>29</v>
      </c>
      <c r="B6495" t="s">
        <v>2177</v>
      </c>
      <c r="C6495">
        <v>98</v>
      </c>
      <c r="D6495" t="s">
        <v>281</v>
      </c>
      <c r="E6495" t="s">
        <v>289</v>
      </c>
      <c r="F6495" t="s">
        <v>103</v>
      </c>
    </row>
    <row r="6496" spans="1:6" x14ac:dyDescent="0.3">
      <c r="A6496" t="s">
        <v>29</v>
      </c>
      <c r="B6496" t="s">
        <v>2178</v>
      </c>
      <c r="C6496">
        <v>112</v>
      </c>
      <c r="D6496" t="s">
        <v>117</v>
      </c>
      <c r="E6496" t="s">
        <v>159</v>
      </c>
      <c r="F6496" t="s">
        <v>103</v>
      </c>
    </row>
    <row r="6497" spans="1:6" x14ac:dyDescent="0.3">
      <c r="A6497" t="s">
        <v>29</v>
      </c>
      <c r="B6497" t="s">
        <v>846</v>
      </c>
      <c r="C6497">
        <v>35</v>
      </c>
      <c r="D6497" t="s">
        <v>103</v>
      </c>
      <c r="E6497" t="s">
        <v>192</v>
      </c>
      <c r="F6497" t="s">
        <v>103</v>
      </c>
    </row>
    <row r="6498" spans="1:6" s="3" customFormat="1" x14ac:dyDescent="0.3">
      <c r="A6498" s="3" t="s">
        <v>29</v>
      </c>
      <c r="B6498" s="3" t="s">
        <v>2179</v>
      </c>
      <c r="C6498" s="3">
        <v>25</v>
      </c>
      <c r="D6498" s="3" t="s">
        <v>128</v>
      </c>
      <c r="E6498" s="3" t="s">
        <v>852</v>
      </c>
      <c r="F6498" s="3" t="s">
        <v>103</v>
      </c>
    </row>
    <row r="6499" spans="1:6" s="3" customFormat="1" x14ac:dyDescent="0.3">
      <c r="A6499" s="3" t="s">
        <v>29</v>
      </c>
      <c r="B6499" s="3" t="s">
        <v>2180</v>
      </c>
      <c r="C6499" s="3">
        <v>21</v>
      </c>
      <c r="D6499" s="3" t="s">
        <v>123</v>
      </c>
      <c r="E6499" s="3" t="s">
        <v>616</v>
      </c>
      <c r="F6499" s="3" t="s">
        <v>103</v>
      </c>
    </row>
    <row r="6500" spans="1:6" s="3" customFormat="1" x14ac:dyDescent="0.3">
      <c r="A6500" s="3" t="s">
        <v>29</v>
      </c>
      <c r="B6500" s="3" t="s">
        <v>2181</v>
      </c>
      <c r="C6500" s="3">
        <v>7</v>
      </c>
      <c r="D6500" s="3" t="s">
        <v>463</v>
      </c>
      <c r="E6500" s="3" t="s">
        <v>241</v>
      </c>
      <c r="F6500" s="3" t="s">
        <v>103</v>
      </c>
    </row>
    <row r="6501" spans="1:6" x14ac:dyDescent="0.3">
      <c r="A6501" t="s">
        <v>29</v>
      </c>
      <c r="B6501" t="s">
        <v>2182</v>
      </c>
      <c r="C6501">
        <v>50</v>
      </c>
      <c r="D6501" t="s">
        <v>126</v>
      </c>
      <c r="E6501" t="s">
        <v>590</v>
      </c>
      <c r="F6501" t="s">
        <v>103</v>
      </c>
    </row>
    <row r="6502" spans="1:6" x14ac:dyDescent="0.3">
      <c r="A6502" t="s">
        <v>29</v>
      </c>
      <c r="B6502" t="s">
        <v>2183</v>
      </c>
      <c r="C6502">
        <v>46</v>
      </c>
      <c r="D6502" t="s">
        <v>251</v>
      </c>
      <c r="E6502" t="s">
        <v>991</v>
      </c>
      <c r="F6502" t="s">
        <v>103</v>
      </c>
    </row>
    <row r="6503" spans="1:6" x14ac:dyDescent="0.3">
      <c r="A6503" t="s">
        <v>29</v>
      </c>
      <c r="B6503" t="s">
        <v>2184</v>
      </c>
      <c r="C6503">
        <v>35</v>
      </c>
      <c r="D6503" t="s">
        <v>481</v>
      </c>
      <c r="E6503" t="s">
        <v>783</v>
      </c>
      <c r="F6503" t="s">
        <v>103</v>
      </c>
    </row>
    <row r="6504" spans="1:6" s="3" customFormat="1" x14ac:dyDescent="0.3">
      <c r="A6504" s="3" t="s">
        <v>28</v>
      </c>
      <c r="B6504" s="3" t="s">
        <v>844</v>
      </c>
      <c r="C6504" s="3">
        <v>10</v>
      </c>
      <c r="D6504" s="3" t="s">
        <v>103</v>
      </c>
      <c r="E6504" s="3" t="s">
        <v>192</v>
      </c>
      <c r="F6504" s="3" t="s">
        <v>103</v>
      </c>
    </row>
    <row r="6505" spans="1:6" s="3" customFormat="1" x14ac:dyDescent="0.3">
      <c r="A6505" s="3" t="s">
        <v>28</v>
      </c>
      <c r="B6505" s="3" t="s">
        <v>2173</v>
      </c>
      <c r="C6505" s="3">
        <v>7</v>
      </c>
      <c r="D6505" s="3" t="s">
        <v>103</v>
      </c>
      <c r="E6505" s="3" t="s">
        <v>192</v>
      </c>
      <c r="F6505" s="3" t="s">
        <v>103</v>
      </c>
    </row>
    <row r="6506" spans="1:6" s="3" customFormat="1" x14ac:dyDescent="0.3">
      <c r="A6506" s="3" t="s">
        <v>28</v>
      </c>
      <c r="B6506" s="3" t="s">
        <v>2174</v>
      </c>
      <c r="C6506" s="3">
        <v>5</v>
      </c>
      <c r="D6506" s="3" t="s">
        <v>103</v>
      </c>
      <c r="E6506" s="3" t="s">
        <v>192</v>
      </c>
      <c r="F6506" s="3" t="s">
        <v>103</v>
      </c>
    </row>
    <row r="6507" spans="1:6" s="3" customFormat="1" x14ac:dyDescent="0.3">
      <c r="A6507" s="3" t="s">
        <v>28</v>
      </c>
      <c r="B6507" s="3" t="s">
        <v>2175</v>
      </c>
      <c r="C6507" s="3">
        <v>11</v>
      </c>
      <c r="D6507" s="3" t="s">
        <v>693</v>
      </c>
      <c r="E6507" s="3" t="s">
        <v>240</v>
      </c>
      <c r="F6507" s="3" t="s">
        <v>103</v>
      </c>
    </row>
    <row r="6508" spans="1:6" x14ac:dyDescent="0.3">
      <c r="A6508" t="s">
        <v>28</v>
      </c>
      <c r="B6508" t="s">
        <v>2176</v>
      </c>
      <c r="C6508">
        <v>39</v>
      </c>
      <c r="D6508" t="s">
        <v>124</v>
      </c>
      <c r="E6508" t="s">
        <v>207</v>
      </c>
      <c r="F6508" t="s">
        <v>103</v>
      </c>
    </row>
    <row r="6509" spans="1:6" x14ac:dyDescent="0.3">
      <c r="A6509" t="s">
        <v>28</v>
      </c>
      <c r="B6509" t="s">
        <v>2177</v>
      </c>
      <c r="C6509">
        <v>40</v>
      </c>
      <c r="D6509" t="s">
        <v>103</v>
      </c>
      <c r="E6509" t="s">
        <v>192</v>
      </c>
      <c r="F6509" t="s">
        <v>103</v>
      </c>
    </row>
    <row r="6510" spans="1:6" x14ac:dyDescent="0.3">
      <c r="A6510" t="s">
        <v>28</v>
      </c>
      <c r="B6510" t="s">
        <v>2178</v>
      </c>
      <c r="C6510">
        <v>52</v>
      </c>
      <c r="D6510" t="s">
        <v>33</v>
      </c>
      <c r="E6510" t="s">
        <v>850</v>
      </c>
      <c r="F6510" t="s">
        <v>103</v>
      </c>
    </row>
    <row r="6511" spans="1:6" s="3" customFormat="1" x14ac:dyDescent="0.3">
      <c r="A6511" s="3" t="s">
        <v>28</v>
      </c>
      <c r="B6511" s="3" t="s">
        <v>846</v>
      </c>
      <c r="C6511" s="3">
        <v>9</v>
      </c>
      <c r="D6511" s="3" t="s">
        <v>103</v>
      </c>
      <c r="E6511" s="3" t="s">
        <v>192</v>
      </c>
      <c r="F6511" s="3" t="s">
        <v>103</v>
      </c>
    </row>
    <row r="6512" spans="1:6" s="3" customFormat="1" x14ac:dyDescent="0.3">
      <c r="A6512" s="3" t="s">
        <v>28</v>
      </c>
      <c r="B6512" s="3" t="s">
        <v>2179</v>
      </c>
      <c r="C6512" s="3">
        <v>11</v>
      </c>
      <c r="D6512" s="3" t="s">
        <v>103</v>
      </c>
      <c r="E6512" s="3" t="s">
        <v>192</v>
      </c>
      <c r="F6512" s="3" t="s">
        <v>103</v>
      </c>
    </row>
    <row r="6513" spans="1:6" s="3" customFormat="1" x14ac:dyDescent="0.3">
      <c r="A6513" s="3" t="s">
        <v>28</v>
      </c>
      <c r="B6513" s="3" t="s">
        <v>2180</v>
      </c>
      <c r="C6513" s="3">
        <v>6</v>
      </c>
      <c r="D6513" s="3" t="s">
        <v>103</v>
      </c>
      <c r="E6513" s="3" t="s">
        <v>192</v>
      </c>
      <c r="F6513" s="3" t="s">
        <v>103</v>
      </c>
    </row>
    <row r="6514" spans="1:6" s="3" customFormat="1" x14ac:dyDescent="0.3">
      <c r="A6514" s="3" t="s">
        <v>28</v>
      </c>
      <c r="B6514" s="3" t="s">
        <v>2181</v>
      </c>
      <c r="C6514" s="3">
        <v>7</v>
      </c>
      <c r="D6514" s="3" t="s">
        <v>103</v>
      </c>
      <c r="E6514" s="3" t="s">
        <v>192</v>
      </c>
      <c r="F6514" s="3" t="s">
        <v>103</v>
      </c>
    </row>
    <row r="6515" spans="1:6" s="3" customFormat="1" x14ac:dyDescent="0.3">
      <c r="A6515" s="3" t="s">
        <v>28</v>
      </c>
      <c r="B6515" s="3" t="s">
        <v>2182</v>
      </c>
      <c r="C6515" s="3">
        <v>16</v>
      </c>
      <c r="D6515" s="3" t="s">
        <v>103</v>
      </c>
      <c r="E6515" s="3" t="s">
        <v>192</v>
      </c>
      <c r="F6515" s="3" t="s">
        <v>103</v>
      </c>
    </row>
    <row r="6516" spans="1:6" s="3" customFormat="1" x14ac:dyDescent="0.3">
      <c r="A6516" s="3" t="s">
        <v>28</v>
      </c>
      <c r="B6516" s="3" t="s">
        <v>2183</v>
      </c>
      <c r="C6516" s="3">
        <v>17</v>
      </c>
      <c r="D6516" s="3" t="s">
        <v>107</v>
      </c>
      <c r="E6516" s="3" t="s">
        <v>1173</v>
      </c>
      <c r="F6516" s="3" t="s">
        <v>103</v>
      </c>
    </row>
    <row r="6517" spans="1:6" s="3" customFormat="1" x14ac:dyDescent="0.3">
      <c r="A6517" s="3" t="s">
        <v>28</v>
      </c>
      <c r="B6517" s="3" t="s">
        <v>2184</v>
      </c>
      <c r="C6517" s="3">
        <v>12</v>
      </c>
      <c r="D6517" s="3" t="s">
        <v>103</v>
      </c>
      <c r="E6517" s="3" t="s">
        <v>192</v>
      </c>
      <c r="F6517" s="3" t="s">
        <v>103</v>
      </c>
    </row>
    <row r="6518" spans="1:6" s="3" customFormat="1" x14ac:dyDescent="0.3">
      <c r="A6518" s="3" t="s">
        <v>27</v>
      </c>
      <c r="B6518" s="3" t="s">
        <v>844</v>
      </c>
      <c r="C6518" s="3">
        <v>4</v>
      </c>
      <c r="D6518" s="3" t="s">
        <v>103</v>
      </c>
      <c r="E6518" s="3" t="s">
        <v>192</v>
      </c>
      <c r="F6518" s="3" t="s">
        <v>103</v>
      </c>
    </row>
    <row r="6519" spans="1:6" s="3" customFormat="1" x14ac:dyDescent="0.3">
      <c r="A6519" s="3" t="s">
        <v>27</v>
      </c>
      <c r="B6519" s="3" t="s">
        <v>2173</v>
      </c>
      <c r="C6519" s="3">
        <v>6</v>
      </c>
      <c r="D6519" s="3" t="s">
        <v>103</v>
      </c>
      <c r="E6519" s="3" t="s">
        <v>192</v>
      </c>
      <c r="F6519" s="3" t="s">
        <v>103</v>
      </c>
    </row>
    <row r="6520" spans="1:6" s="3" customFormat="1" x14ac:dyDescent="0.3">
      <c r="A6520" s="3" t="s">
        <v>27</v>
      </c>
      <c r="B6520" s="3" t="s">
        <v>2174</v>
      </c>
      <c r="C6520" s="3">
        <v>5</v>
      </c>
      <c r="D6520" s="3" t="s">
        <v>103</v>
      </c>
      <c r="E6520" s="3" t="s">
        <v>192</v>
      </c>
      <c r="F6520" s="3" t="s">
        <v>103</v>
      </c>
    </row>
    <row r="6521" spans="1:6" s="3" customFormat="1" x14ac:dyDescent="0.3">
      <c r="A6521" s="3" t="s">
        <v>27</v>
      </c>
      <c r="B6521" s="3" t="s">
        <v>2175</v>
      </c>
      <c r="C6521" s="3">
        <v>5</v>
      </c>
      <c r="D6521" s="3" t="s">
        <v>103</v>
      </c>
      <c r="E6521" s="3" t="s">
        <v>192</v>
      </c>
      <c r="F6521" s="3" t="s">
        <v>103</v>
      </c>
    </row>
    <row r="6522" spans="1:6" x14ac:dyDescent="0.3">
      <c r="A6522" t="s">
        <v>27</v>
      </c>
      <c r="B6522" t="s">
        <v>2176</v>
      </c>
      <c r="C6522">
        <v>32</v>
      </c>
      <c r="D6522" t="s">
        <v>534</v>
      </c>
      <c r="E6522" t="s">
        <v>1438</v>
      </c>
      <c r="F6522" t="s">
        <v>103</v>
      </c>
    </row>
    <row r="6523" spans="1:6" x14ac:dyDescent="0.3">
      <c r="A6523" t="s">
        <v>27</v>
      </c>
      <c r="B6523" t="s">
        <v>2177</v>
      </c>
      <c r="C6523">
        <v>47</v>
      </c>
      <c r="D6523" t="s">
        <v>1088</v>
      </c>
      <c r="E6523" t="s">
        <v>704</v>
      </c>
      <c r="F6523" t="s">
        <v>103</v>
      </c>
    </row>
    <row r="6524" spans="1:6" x14ac:dyDescent="0.3">
      <c r="A6524" t="s">
        <v>27</v>
      </c>
      <c r="B6524" t="s">
        <v>2178</v>
      </c>
      <c r="C6524">
        <v>87</v>
      </c>
      <c r="D6524" t="s">
        <v>557</v>
      </c>
      <c r="E6524" t="s">
        <v>1316</v>
      </c>
      <c r="F6524" t="s">
        <v>103</v>
      </c>
    </row>
    <row r="6525" spans="1:6" s="3" customFormat="1" x14ac:dyDescent="0.3">
      <c r="A6525" s="3" t="s">
        <v>27</v>
      </c>
      <c r="B6525" s="3" t="s">
        <v>846</v>
      </c>
      <c r="C6525" s="3">
        <v>13</v>
      </c>
      <c r="D6525" s="3" t="s">
        <v>117</v>
      </c>
      <c r="E6525" s="3" t="s">
        <v>159</v>
      </c>
      <c r="F6525" s="3" t="s">
        <v>103</v>
      </c>
    </row>
    <row r="6526" spans="1:6" s="3" customFormat="1" x14ac:dyDescent="0.3">
      <c r="A6526" s="3" t="s">
        <v>27</v>
      </c>
      <c r="B6526" s="3" t="s">
        <v>2179</v>
      </c>
      <c r="C6526" s="3">
        <v>6</v>
      </c>
      <c r="D6526" s="3" t="s">
        <v>573</v>
      </c>
      <c r="E6526" s="3" t="s">
        <v>372</v>
      </c>
      <c r="F6526" s="3" t="s">
        <v>103</v>
      </c>
    </row>
    <row r="6527" spans="1:6" s="3" customFormat="1" x14ac:dyDescent="0.3">
      <c r="A6527" s="3" t="s">
        <v>27</v>
      </c>
      <c r="B6527" s="3" t="s">
        <v>2180</v>
      </c>
      <c r="C6527" s="3">
        <v>6</v>
      </c>
      <c r="D6527" s="3" t="s">
        <v>754</v>
      </c>
      <c r="E6527" s="3" t="s">
        <v>755</v>
      </c>
      <c r="F6527" s="3" t="s">
        <v>103</v>
      </c>
    </row>
    <row r="6528" spans="1:6" s="3" customFormat="1" x14ac:dyDescent="0.3">
      <c r="A6528" s="3" t="s">
        <v>27</v>
      </c>
      <c r="B6528" s="3" t="s">
        <v>2181</v>
      </c>
      <c r="C6528" s="3">
        <v>2</v>
      </c>
      <c r="D6528" s="3" t="s">
        <v>368</v>
      </c>
      <c r="E6528" s="3" t="s">
        <v>369</v>
      </c>
      <c r="F6528" s="3" t="s">
        <v>103</v>
      </c>
    </row>
    <row r="6529" spans="1:6" s="3" customFormat="1" x14ac:dyDescent="0.3">
      <c r="A6529" s="3" t="s">
        <v>27</v>
      </c>
      <c r="B6529" s="3" t="s">
        <v>2182</v>
      </c>
      <c r="C6529" s="3">
        <v>15</v>
      </c>
      <c r="D6529" s="3" t="s">
        <v>293</v>
      </c>
      <c r="E6529" s="3" t="s">
        <v>294</v>
      </c>
      <c r="F6529" s="3" t="s">
        <v>103</v>
      </c>
    </row>
    <row r="6530" spans="1:6" s="3" customFormat="1" x14ac:dyDescent="0.3">
      <c r="A6530" s="3" t="s">
        <v>27</v>
      </c>
      <c r="B6530" s="3" t="s">
        <v>2183</v>
      </c>
      <c r="C6530" s="3">
        <v>20</v>
      </c>
      <c r="D6530" s="3" t="s">
        <v>583</v>
      </c>
      <c r="E6530" s="3" t="s">
        <v>1420</v>
      </c>
      <c r="F6530" s="3" t="s">
        <v>103</v>
      </c>
    </row>
    <row r="6531" spans="1:6" x14ac:dyDescent="0.3">
      <c r="A6531" t="s">
        <v>27</v>
      </c>
      <c r="B6531" t="s">
        <v>2184</v>
      </c>
      <c r="C6531">
        <v>37</v>
      </c>
      <c r="D6531" t="s">
        <v>1218</v>
      </c>
      <c r="E6531" t="s">
        <v>1175</v>
      </c>
      <c r="F6531" t="s">
        <v>103</v>
      </c>
    </row>
    <row r="6532" spans="1:6" x14ac:dyDescent="0.3">
      <c r="A6532" t="s">
        <v>41</v>
      </c>
      <c r="B6532" t="s">
        <v>844</v>
      </c>
      <c r="C6532">
        <v>72</v>
      </c>
      <c r="D6532" t="s">
        <v>107</v>
      </c>
      <c r="E6532" t="s">
        <v>1173</v>
      </c>
      <c r="F6532" t="s">
        <v>103</v>
      </c>
    </row>
    <row r="6533" spans="1:6" x14ac:dyDescent="0.3">
      <c r="A6533" t="s">
        <v>41</v>
      </c>
      <c r="B6533" t="s">
        <v>2173</v>
      </c>
      <c r="C6533">
        <v>110</v>
      </c>
      <c r="D6533" t="s">
        <v>127</v>
      </c>
      <c r="E6533" t="s">
        <v>203</v>
      </c>
      <c r="F6533" t="s">
        <v>103</v>
      </c>
    </row>
    <row r="6534" spans="1:6" x14ac:dyDescent="0.3">
      <c r="A6534" t="s">
        <v>41</v>
      </c>
      <c r="B6534" t="s">
        <v>2174</v>
      </c>
      <c r="C6534">
        <v>74</v>
      </c>
      <c r="D6534" t="s">
        <v>33</v>
      </c>
      <c r="E6534" t="s">
        <v>850</v>
      </c>
      <c r="F6534" t="s">
        <v>103</v>
      </c>
    </row>
    <row r="6535" spans="1:6" x14ac:dyDescent="0.3">
      <c r="A6535" t="s">
        <v>41</v>
      </c>
      <c r="B6535" t="s">
        <v>2175</v>
      </c>
      <c r="C6535">
        <v>47</v>
      </c>
      <c r="D6535" t="s">
        <v>117</v>
      </c>
      <c r="E6535" t="s">
        <v>159</v>
      </c>
      <c r="F6535" t="s">
        <v>103</v>
      </c>
    </row>
    <row r="6536" spans="1:6" x14ac:dyDescent="0.3">
      <c r="A6536" t="s">
        <v>41</v>
      </c>
      <c r="B6536" t="s">
        <v>2176</v>
      </c>
      <c r="C6536">
        <v>349</v>
      </c>
      <c r="D6536" t="s">
        <v>206</v>
      </c>
      <c r="E6536" t="s">
        <v>849</v>
      </c>
      <c r="F6536" t="s">
        <v>103</v>
      </c>
    </row>
    <row r="6537" spans="1:6" x14ac:dyDescent="0.3">
      <c r="A6537" t="s">
        <v>41</v>
      </c>
      <c r="B6537" t="s">
        <v>2177</v>
      </c>
      <c r="C6537">
        <v>340</v>
      </c>
      <c r="D6537" t="s">
        <v>146</v>
      </c>
      <c r="E6537" t="s">
        <v>147</v>
      </c>
      <c r="F6537" t="s">
        <v>103</v>
      </c>
    </row>
    <row r="6538" spans="1:6" x14ac:dyDescent="0.3">
      <c r="A6538" t="s">
        <v>41</v>
      </c>
      <c r="B6538" t="s">
        <v>2178</v>
      </c>
      <c r="C6538">
        <v>430</v>
      </c>
      <c r="D6538" t="s">
        <v>543</v>
      </c>
      <c r="E6538" t="s">
        <v>759</v>
      </c>
      <c r="F6538" t="s">
        <v>103</v>
      </c>
    </row>
    <row r="6539" spans="1:6" x14ac:dyDescent="0.3">
      <c r="A6539" t="s">
        <v>41</v>
      </c>
      <c r="B6539" t="s">
        <v>846</v>
      </c>
      <c r="C6539">
        <v>88</v>
      </c>
      <c r="D6539" t="s">
        <v>128</v>
      </c>
      <c r="E6539" t="s">
        <v>852</v>
      </c>
      <c r="F6539" t="s">
        <v>103</v>
      </c>
    </row>
    <row r="6540" spans="1:6" x14ac:dyDescent="0.3">
      <c r="A6540" t="s">
        <v>41</v>
      </c>
      <c r="B6540" t="s">
        <v>2179</v>
      </c>
      <c r="C6540">
        <v>80</v>
      </c>
      <c r="D6540" t="s">
        <v>201</v>
      </c>
      <c r="E6540" t="s">
        <v>200</v>
      </c>
      <c r="F6540" t="s">
        <v>103</v>
      </c>
    </row>
    <row r="6541" spans="1:6" x14ac:dyDescent="0.3">
      <c r="A6541" t="s">
        <v>41</v>
      </c>
      <c r="B6541" t="s">
        <v>2180</v>
      </c>
      <c r="C6541">
        <v>61</v>
      </c>
      <c r="D6541" t="s">
        <v>224</v>
      </c>
      <c r="E6541" t="s">
        <v>871</v>
      </c>
      <c r="F6541" t="s">
        <v>103</v>
      </c>
    </row>
    <row r="6542" spans="1:6" x14ac:dyDescent="0.3">
      <c r="A6542" t="s">
        <v>41</v>
      </c>
      <c r="B6542" t="s">
        <v>2181</v>
      </c>
      <c r="C6542">
        <v>33</v>
      </c>
      <c r="D6542" t="s">
        <v>133</v>
      </c>
      <c r="E6542" t="s">
        <v>896</v>
      </c>
      <c r="F6542" t="s">
        <v>103</v>
      </c>
    </row>
    <row r="6543" spans="1:6" x14ac:dyDescent="0.3">
      <c r="A6543" t="s">
        <v>41</v>
      </c>
      <c r="B6543" t="s">
        <v>2182</v>
      </c>
      <c r="C6543">
        <v>169</v>
      </c>
      <c r="D6543" t="s">
        <v>191</v>
      </c>
      <c r="E6543" t="s">
        <v>889</v>
      </c>
      <c r="F6543" t="s">
        <v>98</v>
      </c>
    </row>
    <row r="6544" spans="1:6" x14ac:dyDescent="0.3">
      <c r="A6544" t="s">
        <v>41</v>
      </c>
      <c r="B6544" t="s">
        <v>2183</v>
      </c>
      <c r="C6544">
        <v>154</v>
      </c>
      <c r="D6544" t="s">
        <v>123</v>
      </c>
      <c r="E6544" t="s">
        <v>616</v>
      </c>
      <c r="F6544" t="s">
        <v>103</v>
      </c>
    </row>
    <row r="6545" spans="1:6" x14ac:dyDescent="0.3">
      <c r="A6545" t="s">
        <v>41</v>
      </c>
      <c r="B6545" t="s">
        <v>2184</v>
      </c>
      <c r="C6545">
        <v>145</v>
      </c>
      <c r="D6545" t="s">
        <v>536</v>
      </c>
      <c r="E6545" t="s">
        <v>749</v>
      </c>
      <c r="F6545" t="s">
        <v>103</v>
      </c>
    </row>
    <row r="6547" spans="1:6" x14ac:dyDescent="0.3">
      <c r="A6547" t="s">
        <v>2221</v>
      </c>
    </row>
    <row r="6548" spans="1:6" x14ac:dyDescent="0.3">
      <c r="A6548" t="s">
        <v>36</v>
      </c>
      <c r="B6548" t="s">
        <v>2187</v>
      </c>
      <c r="C6548" t="s">
        <v>24</v>
      </c>
      <c r="D6548" t="s">
        <v>58</v>
      </c>
      <c r="E6548" t="s">
        <v>59</v>
      </c>
      <c r="F6548" t="s">
        <v>181</v>
      </c>
    </row>
    <row r="6549" spans="1:6" x14ac:dyDescent="0.3">
      <c r="A6549" t="s">
        <v>25</v>
      </c>
      <c r="B6549" t="s">
        <v>2188</v>
      </c>
      <c r="C6549">
        <v>133</v>
      </c>
      <c r="D6549" t="s">
        <v>459</v>
      </c>
      <c r="E6549" t="s">
        <v>818</v>
      </c>
      <c r="F6549" t="s">
        <v>103</v>
      </c>
    </row>
    <row r="6550" spans="1:6" x14ac:dyDescent="0.3">
      <c r="A6550" t="s">
        <v>25</v>
      </c>
      <c r="B6550" t="s">
        <v>2189</v>
      </c>
      <c r="C6550">
        <v>336</v>
      </c>
      <c r="D6550" t="s">
        <v>104</v>
      </c>
      <c r="E6550" t="s">
        <v>749</v>
      </c>
      <c r="F6550" t="s">
        <v>97</v>
      </c>
    </row>
    <row r="6551" spans="1:6" x14ac:dyDescent="0.3">
      <c r="A6551" t="s">
        <v>25</v>
      </c>
      <c r="B6551" t="s">
        <v>308</v>
      </c>
      <c r="C6551">
        <v>28</v>
      </c>
      <c r="D6551" t="s">
        <v>693</v>
      </c>
      <c r="E6551" t="s">
        <v>240</v>
      </c>
      <c r="F6551" t="s">
        <v>103</v>
      </c>
    </row>
    <row r="6552" spans="1:6" x14ac:dyDescent="0.3">
      <c r="A6552" t="s">
        <v>26</v>
      </c>
      <c r="B6552" t="s">
        <v>2188</v>
      </c>
      <c r="C6552">
        <v>84</v>
      </c>
      <c r="D6552" t="s">
        <v>284</v>
      </c>
      <c r="E6552" t="s">
        <v>781</v>
      </c>
      <c r="F6552" t="s">
        <v>103</v>
      </c>
    </row>
    <row r="6553" spans="1:6" x14ac:dyDescent="0.3">
      <c r="A6553" t="s">
        <v>26</v>
      </c>
      <c r="B6553" t="s">
        <v>2189</v>
      </c>
      <c r="C6553">
        <v>340</v>
      </c>
      <c r="D6553" t="s">
        <v>517</v>
      </c>
      <c r="E6553" t="s">
        <v>776</v>
      </c>
      <c r="F6553" t="s">
        <v>103</v>
      </c>
    </row>
    <row r="6554" spans="1:6" x14ac:dyDescent="0.3">
      <c r="A6554" t="s">
        <v>26</v>
      </c>
      <c r="B6554" t="s">
        <v>308</v>
      </c>
      <c r="C6554">
        <v>21</v>
      </c>
      <c r="D6554" t="s">
        <v>217</v>
      </c>
      <c r="E6554" t="s">
        <v>768</v>
      </c>
      <c r="F6554" t="s">
        <v>103</v>
      </c>
    </row>
    <row r="6555" spans="1:6" x14ac:dyDescent="0.3">
      <c r="A6555" t="s">
        <v>29</v>
      </c>
      <c r="B6555" t="s">
        <v>2188</v>
      </c>
      <c r="C6555">
        <v>177</v>
      </c>
      <c r="D6555" t="s">
        <v>531</v>
      </c>
      <c r="E6555" t="s">
        <v>862</v>
      </c>
      <c r="F6555" t="s">
        <v>103</v>
      </c>
    </row>
    <row r="6556" spans="1:6" x14ac:dyDescent="0.3">
      <c r="A6556" t="s">
        <v>29</v>
      </c>
      <c r="B6556" t="s">
        <v>2189</v>
      </c>
      <c r="C6556">
        <v>454</v>
      </c>
      <c r="D6556" t="s">
        <v>206</v>
      </c>
      <c r="E6556" t="s">
        <v>849</v>
      </c>
      <c r="F6556" t="s">
        <v>103</v>
      </c>
    </row>
    <row r="6557" spans="1:6" x14ac:dyDescent="0.3">
      <c r="A6557" t="s">
        <v>29</v>
      </c>
      <c r="B6557" t="s">
        <v>308</v>
      </c>
      <c r="C6557">
        <v>52</v>
      </c>
      <c r="D6557" t="s">
        <v>114</v>
      </c>
      <c r="E6557" t="s">
        <v>803</v>
      </c>
      <c r="F6557" t="s">
        <v>103</v>
      </c>
    </row>
    <row r="6558" spans="1:6" x14ac:dyDescent="0.3">
      <c r="A6558" t="s">
        <v>28</v>
      </c>
      <c r="B6558" t="s">
        <v>2188</v>
      </c>
      <c r="C6558">
        <v>86</v>
      </c>
      <c r="D6558" t="s">
        <v>532</v>
      </c>
      <c r="E6558" t="s">
        <v>981</v>
      </c>
      <c r="F6558" t="s">
        <v>103</v>
      </c>
    </row>
    <row r="6559" spans="1:6" x14ac:dyDescent="0.3">
      <c r="A6559" t="s">
        <v>28</v>
      </c>
      <c r="B6559" t="s">
        <v>2189</v>
      </c>
      <c r="C6559">
        <v>140</v>
      </c>
      <c r="D6559" t="s">
        <v>329</v>
      </c>
      <c r="E6559" t="s">
        <v>328</v>
      </c>
      <c r="F6559" t="s">
        <v>103</v>
      </c>
    </row>
    <row r="6560" spans="1:6" x14ac:dyDescent="0.3">
      <c r="A6560" t="s">
        <v>28</v>
      </c>
      <c r="B6560" t="s">
        <v>308</v>
      </c>
      <c r="C6560">
        <v>16</v>
      </c>
      <c r="D6560" t="s">
        <v>103</v>
      </c>
      <c r="E6560" t="s">
        <v>192</v>
      </c>
      <c r="F6560" t="s">
        <v>103</v>
      </c>
    </row>
    <row r="6561" spans="1:6" x14ac:dyDescent="0.3">
      <c r="A6561" t="s">
        <v>27</v>
      </c>
      <c r="B6561" t="s">
        <v>2188</v>
      </c>
      <c r="C6561">
        <v>86</v>
      </c>
      <c r="D6561" t="s">
        <v>1023</v>
      </c>
      <c r="E6561" t="s">
        <v>1052</v>
      </c>
      <c r="F6561" t="s">
        <v>103</v>
      </c>
    </row>
    <row r="6562" spans="1:6" x14ac:dyDescent="0.3">
      <c r="A6562" t="s">
        <v>27</v>
      </c>
      <c r="B6562" t="s">
        <v>2189</v>
      </c>
      <c r="C6562">
        <v>185</v>
      </c>
      <c r="D6562" t="s">
        <v>650</v>
      </c>
      <c r="E6562" t="s">
        <v>1013</v>
      </c>
      <c r="F6562" t="s">
        <v>103</v>
      </c>
    </row>
    <row r="6563" spans="1:6" x14ac:dyDescent="0.3">
      <c r="A6563" t="s">
        <v>27</v>
      </c>
      <c r="B6563" t="s">
        <v>308</v>
      </c>
      <c r="C6563">
        <v>14</v>
      </c>
      <c r="D6563" t="s">
        <v>464</v>
      </c>
      <c r="E6563" t="s">
        <v>1044</v>
      </c>
      <c r="F6563" t="s">
        <v>103</v>
      </c>
    </row>
    <row r="6564" spans="1:6" x14ac:dyDescent="0.3">
      <c r="A6564" t="s">
        <v>41</v>
      </c>
      <c r="B6564" t="s">
        <v>2188</v>
      </c>
      <c r="C6564">
        <v>566</v>
      </c>
      <c r="D6564" t="s">
        <v>494</v>
      </c>
      <c r="E6564" t="s">
        <v>869</v>
      </c>
      <c r="F6564" t="s">
        <v>103</v>
      </c>
    </row>
    <row r="6565" spans="1:6" x14ac:dyDescent="0.3">
      <c r="A6565" t="s">
        <v>41</v>
      </c>
      <c r="B6565" t="s">
        <v>2189</v>
      </c>
      <c r="C6565">
        <v>1455</v>
      </c>
      <c r="D6565" t="s">
        <v>254</v>
      </c>
      <c r="E6565" t="s">
        <v>280</v>
      </c>
      <c r="F6565" t="s">
        <v>91</v>
      </c>
    </row>
    <row r="6566" spans="1:6" x14ac:dyDescent="0.3">
      <c r="A6566" t="s">
        <v>41</v>
      </c>
      <c r="B6566" t="s">
        <v>308</v>
      </c>
      <c r="C6566">
        <v>131</v>
      </c>
      <c r="D6566" t="s">
        <v>133</v>
      </c>
      <c r="E6566" t="s">
        <v>896</v>
      </c>
      <c r="F6566" t="s">
        <v>103</v>
      </c>
    </row>
    <row r="6568" spans="1:6" x14ac:dyDescent="0.3">
      <c r="A6568" t="s">
        <v>2222</v>
      </c>
    </row>
    <row r="6569" spans="1:6" x14ac:dyDescent="0.3">
      <c r="A6569" t="s">
        <v>36</v>
      </c>
      <c r="B6569" t="s">
        <v>197</v>
      </c>
      <c r="C6569" t="s">
        <v>24</v>
      </c>
      <c r="D6569" t="s">
        <v>58</v>
      </c>
      <c r="E6569" t="s">
        <v>59</v>
      </c>
      <c r="F6569" t="s">
        <v>181</v>
      </c>
    </row>
    <row r="6570" spans="1:6" x14ac:dyDescent="0.3">
      <c r="A6570" t="s">
        <v>25</v>
      </c>
      <c r="B6570" t="s">
        <v>198</v>
      </c>
      <c r="C6570">
        <v>87</v>
      </c>
      <c r="D6570" t="s">
        <v>136</v>
      </c>
      <c r="E6570" t="s">
        <v>771</v>
      </c>
      <c r="F6570" t="s">
        <v>103</v>
      </c>
    </row>
    <row r="6571" spans="1:6" x14ac:dyDescent="0.3">
      <c r="A6571" t="s">
        <v>25</v>
      </c>
      <c r="B6571" t="s">
        <v>199</v>
      </c>
      <c r="C6571">
        <v>410</v>
      </c>
      <c r="D6571" t="s">
        <v>117</v>
      </c>
      <c r="E6571" t="s">
        <v>974</v>
      </c>
      <c r="F6571" t="s">
        <v>122</v>
      </c>
    </row>
    <row r="6572" spans="1:6" x14ac:dyDescent="0.3">
      <c r="A6572" t="s">
        <v>26</v>
      </c>
      <c r="B6572" t="s">
        <v>198</v>
      </c>
      <c r="C6572">
        <v>37</v>
      </c>
      <c r="D6572" t="s">
        <v>558</v>
      </c>
      <c r="E6572" t="s">
        <v>752</v>
      </c>
      <c r="F6572" t="s">
        <v>103</v>
      </c>
    </row>
    <row r="6573" spans="1:6" x14ac:dyDescent="0.3">
      <c r="A6573" t="s">
        <v>26</v>
      </c>
      <c r="B6573" t="s">
        <v>199</v>
      </c>
      <c r="C6573">
        <v>408</v>
      </c>
      <c r="D6573" t="s">
        <v>99</v>
      </c>
      <c r="E6573" t="s">
        <v>632</v>
      </c>
      <c r="F6573" t="s">
        <v>103</v>
      </c>
    </row>
    <row r="6574" spans="1:6" x14ac:dyDescent="0.3">
      <c r="A6574" t="s">
        <v>29</v>
      </c>
      <c r="B6574" t="s">
        <v>198</v>
      </c>
      <c r="C6574">
        <v>227</v>
      </c>
      <c r="D6574" t="s">
        <v>140</v>
      </c>
      <c r="E6574" t="s">
        <v>1027</v>
      </c>
      <c r="F6574" t="s">
        <v>103</v>
      </c>
    </row>
    <row r="6575" spans="1:6" x14ac:dyDescent="0.3">
      <c r="A6575" t="s">
        <v>29</v>
      </c>
      <c r="B6575" t="s">
        <v>199</v>
      </c>
      <c r="C6575">
        <v>456</v>
      </c>
      <c r="D6575" t="s">
        <v>133</v>
      </c>
      <c r="E6575" t="s">
        <v>896</v>
      </c>
      <c r="F6575" t="s">
        <v>103</v>
      </c>
    </row>
    <row r="6576" spans="1:6" x14ac:dyDescent="0.3">
      <c r="A6576" t="s">
        <v>28</v>
      </c>
      <c r="B6576" t="s">
        <v>198</v>
      </c>
      <c r="C6576">
        <v>59</v>
      </c>
      <c r="D6576" t="s">
        <v>270</v>
      </c>
      <c r="E6576" t="s">
        <v>332</v>
      </c>
      <c r="F6576" t="s">
        <v>103</v>
      </c>
    </row>
    <row r="6577" spans="1:6" x14ac:dyDescent="0.3">
      <c r="A6577" t="s">
        <v>28</v>
      </c>
      <c r="B6577" t="s">
        <v>199</v>
      </c>
      <c r="C6577">
        <v>183</v>
      </c>
      <c r="D6577" t="s">
        <v>64</v>
      </c>
      <c r="E6577" t="s">
        <v>65</v>
      </c>
      <c r="F6577" t="s">
        <v>103</v>
      </c>
    </row>
    <row r="6578" spans="1:6" x14ac:dyDescent="0.3">
      <c r="A6578" t="s">
        <v>27</v>
      </c>
      <c r="B6578" t="s">
        <v>198</v>
      </c>
      <c r="C6578">
        <v>119</v>
      </c>
      <c r="D6578" t="s">
        <v>479</v>
      </c>
      <c r="E6578" t="s">
        <v>634</v>
      </c>
      <c r="F6578" t="s">
        <v>103</v>
      </c>
    </row>
    <row r="6579" spans="1:6" x14ac:dyDescent="0.3">
      <c r="A6579" t="s">
        <v>27</v>
      </c>
      <c r="B6579" t="s">
        <v>199</v>
      </c>
      <c r="C6579">
        <v>166</v>
      </c>
      <c r="D6579" t="s">
        <v>1093</v>
      </c>
      <c r="E6579" t="s">
        <v>823</v>
      </c>
      <c r="F6579" t="s">
        <v>103</v>
      </c>
    </row>
    <row r="6580" spans="1:6" x14ac:dyDescent="0.3">
      <c r="A6580" t="s">
        <v>41</v>
      </c>
      <c r="B6580" t="s">
        <v>198</v>
      </c>
      <c r="C6580">
        <v>529</v>
      </c>
      <c r="D6580" t="s">
        <v>242</v>
      </c>
      <c r="E6580" t="s">
        <v>710</v>
      </c>
      <c r="F6580" t="s">
        <v>103</v>
      </c>
    </row>
    <row r="6581" spans="1:6" x14ac:dyDescent="0.3">
      <c r="A6581" t="s">
        <v>41</v>
      </c>
      <c r="B6581" t="s">
        <v>199</v>
      </c>
      <c r="C6581">
        <v>1623</v>
      </c>
      <c r="D6581" t="s">
        <v>737</v>
      </c>
      <c r="E6581" t="s">
        <v>851</v>
      </c>
      <c r="F6581" t="s">
        <v>91</v>
      </c>
    </row>
    <row r="6583" spans="1:6" x14ac:dyDescent="0.3">
      <c r="A6583" t="s">
        <v>2223</v>
      </c>
    </row>
    <row r="6584" spans="1:6" x14ac:dyDescent="0.3">
      <c r="A6584" t="s">
        <v>36</v>
      </c>
      <c r="B6584" t="s">
        <v>763</v>
      </c>
      <c r="C6584" t="s">
        <v>24</v>
      </c>
      <c r="D6584" t="s">
        <v>58</v>
      </c>
      <c r="E6584" t="s">
        <v>59</v>
      </c>
      <c r="F6584" t="s">
        <v>181</v>
      </c>
    </row>
    <row r="6585" spans="1:6" s="3" customFormat="1" x14ac:dyDescent="0.3">
      <c r="A6585" s="3" t="s">
        <v>25</v>
      </c>
      <c r="B6585" s="3" t="s">
        <v>764</v>
      </c>
      <c r="C6585" s="3">
        <v>22</v>
      </c>
      <c r="D6585" s="3" t="s">
        <v>1084</v>
      </c>
      <c r="E6585" s="3" t="s">
        <v>1169</v>
      </c>
      <c r="F6585" s="3" t="s">
        <v>103</v>
      </c>
    </row>
    <row r="6586" spans="1:6" x14ac:dyDescent="0.3">
      <c r="A6586" t="s">
        <v>25</v>
      </c>
      <c r="B6586" t="s">
        <v>765</v>
      </c>
      <c r="C6586">
        <v>308</v>
      </c>
      <c r="D6586" t="s">
        <v>269</v>
      </c>
      <c r="E6586" t="s">
        <v>614</v>
      </c>
      <c r="F6586" t="s">
        <v>103</v>
      </c>
    </row>
    <row r="6587" spans="1:6" x14ac:dyDescent="0.3">
      <c r="A6587" t="s">
        <v>25</v>
      </c>
      <c r="B6587" t="s">
        <v>767</v>
      </c>
      <c r="C6587">
        <v>167</v>
      </c>
      <c r="D6587" t="s">
        <v>649</v>
      </c>
      <c r="E6587" t="s">
        <v>159</v>
      </c>
      <c r="F6587" t="s">
        <v>282</v>
      </c>
    </row>
    <row r="6588" spans="1:6" s="3" customFormat="1" x14ac:dyDescent="0.3">
      <c r="A6588" s="3" t="s">
        <v>26</v>
      </c>
      <c r="B6588" s="3" t="s">
        <v>764</v>
      </c>
      <c r="C6588" s="3">
        <v>20</v>
      </c>
      <c r="D6588" s="3" t="s">
        <v>124</v>
      </c>
      <c r="E6588" s="3" t="s">
        <v>207</v>
      </c>
      <c r="F6588" s="3" t="s">
        <v>103</v>
      </c>
    </row>
    <row r="6589" spans="1:6" x14ac:dyDescent="0.3">
      <c r="A6589" t="s">
        <v>26</v>
      </c>
      <c r="B6589" t="s">
        <v>765</v>
      </c>
      <c r="C6589">
        <v>261</v>
      </c>
      <c r="D6589" t="s">
        <v>135</v>
      </c>
      <c r="E6589" t="s">
        <v>193</v>
      </c>
      <c r="F6589" t="s">
        <v>103</v>
      </c>
    </row>
    <row r="6590" spans="1:6" x14ac:dyDescent="0.3">
      <c r="A6590" t="s">
        <v>26</v>
      </c>
      <c r="B6590" t="s">
        <v>767</v>
      </c>
      <c r="C6590">
        <v>164</v>
      </c>
      <c r="D6590" t="s">
        <v>254</v>
      </c>
      <c r="E6590" t="s">
        <v>598</v>
      </c>
      <c r="F6590" t="s">
        <v>103</v>
      </c>
    </row>
    <row r="6591" spans="1:6" s="3" customFormat="1" x14ac:dyDescent="0.3">
      <c r="A6591" s="3" t="s">
        <v>29</v>
      </c>
      <c r="B6591" s="3" t="s">
        <v>764</v>
      </c>
      <c r="C6591" s="3">
        <v>4</v>
      </c>
      <c r="D6591" s="3" t="s">
        <v>103</v>
      </c>
      <c r="E6591" s="3" t="s">
        <v>192</v>
      </c>
      <c r="F6591" s="3" t="s">
        <v>103</v>
      </c>
    </row>
    <row r="6592" spans="1:6" x14ac:dyDescent="0.3">
      <c r="A6592" t="s">
        <v>29</v>
      </c>
      <c r="B6592" t="s">
        <v>765</v>
      </c>
      <c r="C6592">
        <v>457</v>
      </c>
      <c r="D6592" t="s">
        <v>232</v>
      </c>
      <c r="E6592" t="s">
        <v>864</v>
      </c>
      <c r="F6592" t="s">
        <v>103</v>
      </c>
    </row>
    <row r="6593" spans="1:6" x14ac:dyDescent="0.3">
      <c r="A6593" t="s">
        <v>29</v>
      </c>
      <c r="B6593" t="s">
        <v>767</v>
      </c>
      <c r="C6593">
        <v>222</v>
      </c>
      <c r="D6593" t="s">
        <v>232</v>
      </c>
      <c r="E6593" t="s">
        <v>864</v>
      </c>
      <c r="F6593" t="s">
        <v>103</v>
      </c>
    </row>
    <row r="6594" spans="1:6" s="3" customFormat="1" x14ac:dyDescent="0.3">
      <c r="A6594" s="3" t="s">
        <v>28</v>
      </c>
      <c r="B6594" s="3" t="s">
        <v>764</v>
      </c>
      <c r="C6594" s="3">
        <v>14</v>
      </c>
      <c r="D6594" s="3" t="s">
        <v>438</v>
      </c>
      <c r="E6594" s="3" t="s">
        <v>840</v>
      </c>
      <c r="F6594" s="3" t="s">
        <v>103</v>
      </c>
    </row>
    <row r="6595" spans="1:6" x14ac:dyDescent="0.3">
      <c r="A6595" t="s">
        <v>28</v>
      </c>
      <c r="B6595" t="s">
        <v>765</v>
      </c>
      <c r="C6595">
        <v>188</v>
      </c>
      <c r="D6595" t="s">
        <v>266</v>
      </c>
      <c r="E6595" t="s">
        <v>879</v>
      </c>
      <c r="F6595" t="s">
        <v>103</v>
      </c>
    </row>
    <row r="6596" spans="1:6" x14ac:dyDescent="0.3">
      <c r="A6596" t="s">
        <v>28</v>
      </c>
      <c r="B6596" t="s">
        <v>767</v>
      </c>
      <c r="C6596">
        <v>40</v>
      </c>
      <c r="D6596" t="s">
        <v>467</v>
      </c>
      <c r="E6596" t="s">
        <v>988</v>
      </c>
      <c r="F6596" t="s">
        <v>103</v>
      </c>
    </row>
    <row r="6597" spans="1:6" s="3" customFormat="1" x14ac:dyDescent="0.3">
      <c r="A6597" s="3" t="s">
        <v>27</v>
      </c>
      <c r="B6597" s="3" t="s">
        <v>764</v>
      </c>
      <c r="C6597" s="3">
        <v>13</v>
      </c>
      <c r="D6597" s="3" t="s">
        <v>507</v>
      </c>
      <c r="E6597" s="3" t="s">
        <v>1373</v>
      </c>
      <c r="F6597" s="3" t="s">
        <v>103</v>
      </c>
    </row>
    <row r="6598" spans="1:6" x14ac:dyDescent="0.3">
      <c r="A6598" t="s">
        <v>27</v>
      </c>
      <c r="B6598" t="s">
        <v>765</v>
      </c>
      <c r="C6598">
        <v>207</v>
      </c>
      <c r="D6598" t="s">
        <v>935</v>
      </c>
      <c r="E6598" t="s">
        <v>2111</v>
      </c>
      <c r="F6598" t="s">
        <v>103</v>
      </c>
    </row>
    <row r="6599" spans="1:6" x14ac:dyDescent="0.3">
      <c r="A6599" t="s">
        <v>27</v>
      </c>
      <c r="B6599" t="s">
        <v>767</v>
      </c>
      <c r="C6599">
        <v>65</v>
      </c>
      <c r="D6599" t="s">
        <v>528</v>
      </c>
      <c r="E6599" t="s">
        <v>721</v>
      </c>
      <c r="F6599" t="s">
        <v>103</v>
      </c>
    </row>
    <row r="6600" spans="1:6" x14ac:dyDescent="0.3">
      <c r="A6600" t="s">
        <v>41</v>
      </c>
      <c r="B6600" t="s">
        <v>764</v>
      </c>
      <c r="C6600">
        <v>73</v>
      </c>
      <c r="D6600" t="s">
        <v>164</v>
      </c>
      <c r="E6600" t="s">
        <v>165</v>
      </c>
      <c r="F6600" t="s">
        <v>103</v>
      </c>
    </row>
    <row r="6601" spans="1:6" x14ac:dyDescent="0.3">
      <c r="A6601" t="s">
        <v>41</v>
      </c>
      <c r="B6601" t="s">
        <v>765</v>
      </c>
      <c r="C6601">
        <v>1421</v>
      </c>
      <c r="D6601" t="s">
        <v>737</v>
      </c>
      <c r="E6601" t="s">
        <v>738</v>
      </c>
      <c r="F6601" t="s">
        <v>103</v>
      </c>
    </row>
    <row r="6602" spans="1:6" x14ac:dyDescent="0.3">
      <c r="A6602" t="s">
        <v>41</v>
      </c>
      <c r="B6602" t="s">
        <v>767</v>
      </c>
      <c r="C6602">
        <v>658</v>
      </c>
      <c r="D6602" t="s">
        <v>127</v>
      </c>
      <c r="E6602" t="s">
        <v>590</v>
      </c>
      <c r="F6602" t="s">
        <v>66</v>
      </c>
    </row>
    <row r="6604" spans="1:6" x14ac:dyDescent="0.3">
      <c r="A6604" t="s">
        <v>2224</v>
      </c>
    </row>
    <row r="6605" spans="1:6" x14ac:dyDescent="0.3">
      <c r="A6605" t="s">
        <v>36</v>
      </c>
      <c r="B6605" t="s">
        <v>2157</v>
      </c>
      <c r="C6605" t="s">
        <v>24</v>
      </c>
      <c r="D6605" t="s">
        <v>58</v>
      </c>
      <c r="E6605" t="s">
        <v>181</v>
      </c>
      <c r="F6605" t="s">
        <v>59</v>
      </c>
    </row>
    <row r="6606" spans="1:6" x14ac:dyDescent="0.3">
      <c r="A6606" t="s">
        <v>25</v>
      </c>
      <c r="B6606" t="s">
        <v>2158</v>
      </c>
      <c r="C6606">
        <v>292</v>
      </c>
      <c r="D6606" t="s">
        <v>269</v>
      </c>
      <c r="E6606" t="s">
        <v>120</v>
      </c>
      <c r="F6606" t="s">
        <v>974</v>
      </c>
    </row>
    <row r="6607" spans="1:6" x14ac:dyDescent="0.3">
      <c r="A6607" t="s">
        <v>25</v>
      </c>
      <c r="B6607" t="s">
        <v>2159</v>
      </c>
      <c r="C6607">
        <v>205</v>
      </c>
      <c r="D6607" t="s">
        <v>119</v>
      </c>
      <c r="E6607" t="s">
        <v>103</v>
      </c>
      <c r="F6607" t="s">
        <v>974</v>
      </c>
    </row>
    <row r="6608" spans="1:6" x14ac:dyDescent="0.3">
      <c r="A6608" t="s">
        <v>26</v>
      </c>
      <c r="B6608" t="s">
        <v>2158</v>
      </c>
      <c r="C6608">
        <v>207</v>
      </c>
      <c r="D6608" t="s">
        <v>127</v>
      </c>
      <c r="E6608" t="s">
        <v>103</v>
      </c>
      <c r="F6608" t="s">
        <v>203</v>
      </c>
    </row>
    <row r="6609" spans="1:6" x14ac:dyDescent="0.3">
      <c r="A6609" t="s">
        <v>26</v>
      </c>
      <c r="B6609" t="s">
        <v>2159</v>
      </c>
      <c r="C6609">
        <v>238</v>
      </c>
      <c r="D6609" t="s">
        <v>123</v>
      </c>
      <c r="E6609" t="s">
        <v>103</v>
      </c>
      <c r="F6609" t="s">
        <v>616</v>
      </c>
    </row>
    <row r="6610" spans="1:6" x14ac:dyDescent="0.3">
      <c r="A6610" t="s">
        <v>29</v>
      </c>
      <c r="B6610" t="s">
        <v>2158</v>
      </c>
      <c r="C6610">
        <v>331</v>
      </c>
      <c r="D6610" t="s">
        <v>140</v>
      </c>
      <c r="E6610" t="s">
        <v>103</v>
      </c>
      <c r="F6610" t="s">
        <v>1027</v>
      </c>
    </row>
    <row r="6611" spans="1:6" x14ac:dyDescent="0.3">
      <c r="A6611" t="s">
        <v>29</v>
      </c>
      <c r="B6611" t="s">
        <v>2159</v>
      </c>
      <c r="C6611">
        <v>351</v>
      </c>
      <c r="D6611" t="s">
        <v>278</v>
      </c>
      <c r="E6611" t="s">
        <v>103</v>
      </c>
      <c r="F6611" t="s">
        <v>597</v>
      </c>
    </row>
    <row r="6612" spans="1:6" x14ac:dyDescent="0.3">
      <c r="A6612" t="s">
        <v>29</v>
      </c>
      <c r="B6612" t="s">
        <v>308</v>
      </c>
      <c r="C6612">
        <v>1</v>
      </c>
      <c r="D6612" t="s">
        <v>103</v>
      </c>
      <c r="E6612" t="s">
        <v>103</v>
      </c>
      <c r="F6612" t="s">
        <v>192</v>
      </c>
    </row>
    <row r="6613" spans="1:6" x14ac:dyDescent="0.3">
      <c r="A6613" t="s">
        <v>28</v>
      </c>
      <c r="B6613" t="s">
        <v>2158</v>
      </c>
      <c r="C6613">
        <v>105</v>
      </c>
      <c r="D6613" t="s">
        <v>257</v>
      </c>
      <c r="E6613" t="s">
        <v>103</v>
      </c>
      <c r="F6613" t="s">
        <v>880</v>
      </c>
    </row>
    <row r="6614" spans="1:6" x14ac:dyDescent="0.3">
      <c r="A6614" t="s">
        <v>28</v>
      </c>
      <c r="B6614" t="s">
        <v>2159</v>
      </c>
      <c r="C6614">
        <v>137</v>
      </c>
      <c r="D6614" t="s">
        <v>272</v>
      </c>
      <c r="E6614" t="s">
        <v>103</v>
      </c>
      <c r="F6614" t="s">
        <v>336</v>
      </c>
    </row>
    <row r="6615" spans="1:6" x14ac:dyDescent="0.3">
      <c r="A6615" t="s">
        <v>27</v>
      </c>
      <c r="B6615" t="s">
        <v>2158</v>
      </c>
      <c r="C6615">
        <v>187</v>
      </c>
      <c r="D6615" t="s">
        <v>648</v>
      </c>
      <c r="E6615" t="s">
        <v>103</v>
      </c>
      <c r="F6615" t="s">
        <v>1377</v>
      </c>
    </row>
    <row r="6616" spans="1:6" x14ac:dyDescent="0.3">
      <c r="A6616" t="s">
        <v>27</v>
      </c>
      <c r="B6616" t="s">
        <v>2159</v>
      </c>
      <c r="C6616">
        <v>98</v>
      </c>
      <c r="D6616" t="s">
        <v>975</v>
      </c>
      <c r="E6616" t="s">
        <v>103</v>
      </c>
      <c r="F6616" t="s">
        <v>976</v>
      </c>
    </row>
    <row r="6617" spans="1:6" x14ac:dyDescent="0.3">
      <c r="A6617" t="s">
        <v>41</v>
      </c>
      <c r="B6617" t="s">
        <v>2158</v>
      </c>
      <c r="C6617">
        <v>1122</v>
      </c>
      <c r="D6617" t="s">
        <v>549</v>
      </c>
      <c r="E6617" t="s">
        <v>91</v>
      </c>
      <c r="F6617" t="s">
        <v>827</v>
      </c>
    </row>
    <row r="6618" spans="1:6" x14ac:dyDescent="0.3">
      <c r="A6618" t="s">
        <v>41</v>
      </c>
      <c r="B6618" t="s">
        <v>2159</v>
      </c>
      <c r="C6618">
        <v>1029</v>
      </c>
      <c r="D6618" t="s">
        <v>108</v>
      </c>
      <c r="E6618" t="s">
        <v>103</v>
      </c>
      <c r="F6618" t="s">
        <v>283</v>
      </c>
    </row>
    <row r="6619" spans="1:6" x14ac:dyDescent="0.3">
      <c r="A6619" t="s">
        <v>41</v>
      </c>
      <c r="B6619" t="s">
        <v>308</v>
      </c>
      <c r="C6619">
        <v>1</v>
      </c>
      <c r="D6619" t="s">
        <v>103</v>
      </c>
      <c r="E6619" t="s">
        <v>103</v>
      </c>
      <c r="F6619" t="s">
        <v>192</v>
      </c>
    </row>
    <row r="6621" spans="1:6" x14ac:dyDescent="0.3">
      <c r="A6621" t="s">
        <v>2225</v>
      </c>
    </row>
    <row r="6622" spans="1:6" x14ac:dyDescent="0.3">
      <c r="A6622" t="s">
        <v>36</v>
      </c>
      <c r="B6622" t="s">
        <v>307</v>
      </c>
      <c r="C6622" t="s">
        <v>24</v>
      </c>
      <c r="D6622" t="s">
        <v>58</v>
      </c>
      <c r="E6622" t="s">
        <v>181</v>
      </c>
      <c r="F6622" t="s">
        <v>59</v>
      </c>
    </row>
    <row r="6623" spans="1:6" x14ac:dyDescent="0.3">
      <c r="A6623" t="s">
        <v>25</v>
      </c>
      <c r="B6623" t="s">
        <v>291</v>
      </c>
      <c r="C6623">
        <v>233</v>
      </c>
      <c r="D6623" t="s">
        <v>482</v>
      </c>
      <c r="E6623" t="s">
        <v>139</v>
      </c>
      <c r="F6623" t="s">
        <v>193</v>
      </c>
    </row>
    <row r="6624" spans="1:6" x14ac:dyDescent="0.3">
      <c r="A6624" t="s">
        <v>25</v>
      </c>
      <c r="B6624" t="s">
        <v>292</v>
      </c>
      <c r="C6624">
        <v>253</v>
      </c>
      <c r="D6624" t="s">
        <v>130</v>
      </c>
      <c r="E6624" t="s">
        <v>103</v>
      </c>
      <c r="F6624" t="s">
        <v>187</v>
      </c>
    </row>
    <row r="6625" spans="1:6" x14ac:dyDescent="0.3">
      <c r="A6625" t="s">
        <v>25</v>
      </c>
      <c r="B6625" t="s">
        <v>308</v>
      </c>
      <c r="C6625">
        <v>11</v>
      </c>
      <c r="D6625" t="s">
        <v>195</v>
      </c>
      <c r="E6625" t="s">
        <v>103</v>
      </c>
      <c r="F6625" t="s">
        <v>837</v>
      </c>
    </row>
    <row r="6626" spans="1:6" x14ac:dyDescent="0.3">
      <c r="A6626" t="s">
        <v>26</v>
      </c>
      <c r="B6626" t="s">
        <v>291</v>
      </c>
      <c r="C6626">
        <v>146</v>
      </c>
      <c r="D6626" t="s">
        <v>242</v>
      </c>
      <c r="E6626" t="s">
        <v>103</v>
      </c>
      <c r="F6626" t="s">
        <v>710</v>
      </c>
    </row>
    <row r="6627" spans="1:6" x14ac:dyDescent="0.3">
      <c r="A6627" t="s">
        <v>26</v>
      </c>
      <c r="B6627" t="s">
        <v>292</v>
      </c>
      <c r="C6627">
        <v>294</v>
      </c>
      <c r="D6627" t="s">
        <v>649</v>
      </c>
      <c r="E6627" t="s">
        <v>103</v>
      </c>
      <c r="F6627" t="s">
        <v>828</v>
      </c>
    </row>
    <row r="6628" spans="1:6" x14ac:dyDescent="0.3">
      <c r="A6628" t="s">
        <v>26</v>
      </c>
      <c r="B6628" t="s">
        <v>308</v>
      </c>
      <c r="C6628">
        <v>5</v>
      </c>
      <c r="D6628" t="s">
        <v>295</v>
      </c>
      <c r="E6628" t="s">
        <v>103</v>
      </c>
      <c r="F6628" t="s">
        <v>296</v>
      </c>
    </row>
    <row r="6629" spans="1:6" x14ac:dyDescent="0.3">
      <c r="A6629" t="s">
        <v>29</v>
      </c>
      <c r="B6629" t="s">
        <v>291</v>
      </c>
      <c r="C6629">
        <v>298</v>
      </c>
      <c r="D6629" t="s">
        <v>186</v>
      </c>
      <c r="E6629" t="s">
        <v>103</v>
      </c>
      <c r="F6629" t="s">
        <v>185</v>
      </c>
    </row>
    <row r="6630" spans="1:6" x14ac:dyDescent="0.3">
      <c r="A6630" t="s">
        <v>29</v>
      </c>
      <c r="B6630" t="s">
        <v>292</v>
      </c>
      <c r="C6630">
        <v>385</v>
      </c>
      <c r="D6630" t="s">
        <v>460</v>
      </c>
      <c r="E6630" t="s">
        <v>103</v>
      </c>
      <c r="F6630" t="s">
        <v>1501</v>
      </c>
    </row>
    <row r="6631" spans="1:6" x14ac:dyDescent="0.3">
      <c r="A6631" t="s">
        <v>28</v>
      </c>
      <c r="B6631" t="s">
        <v>291</v>
      </c>
      <c r="C6631">
        <v>118</v>
      </c>
      <c r="D6631" t="s">
        <v>113</v>
      </c>
      <c r="E6631" t="s">
        <v>103</v>
      </c>
      <c r="F6631" t="s">
        <v>861</v>
      </c>
    </row>
    <row r="6632" spans="1:6" x14ac:dyDescent="0.3">
      <c r="A6632" t="s">
        <v>28</v>
      </c>
      <c r="B6632" t="s">
        <v>292</v>
      </c>
      <c r="C6632">
        <v>112</v>
      </c>
      <c r="D6632" t="s">
        <v>216</v>
      </c>
      <c r="E6632" t="s">
        <v>103</v>
      </c>
      <c r="F6632" t="s">
        <v>340</v>
      </c>
    </row>
    <row r="6633" spans="1:6" x14ac:dyDescent="0.3">
      <c r="A6633" t="s">
        <v>28</v>
      </c>
      <c r="B6633" t="s">
        <v>308</v>
      </c>
      <c r="C6633">
        <v>12</v>
      </c>
      <c r="D6633" t="s">
        <v>103</v>
      </c>
      <c r="E6633" t="s">
        <v>103</v>
      </c>
      <c r="F6633" t="s">
        <v>192</v>
      </c>
    </row>
    <row r="6634" spans="1:6" x14ac:dyDescent="0.3">
      <c r="A6634" t="s">
        <v>27</v>
      </c>
      <c r="B6634" t="s">
        <v>291</v>
      </c>
      <c r="C6634">
        <v>113</v>
      </c>
      <c r="D6634" t="s">
        <v>650</v>
      </c>
      <c r="E6634" t="s">
        <v>103</v>
      </c>
      <c r="F6634" t="s">
        <v>1013</v>
      </c>
    </row>
    <row r="6635" spans="1:6" x14ac:dyDescent="0.3">
      <c r="A6635" t="s">
        <v>27</v>
      </c>
      <c r="B6635" t="s">
        <v>292</v>
      </c>
      <c r="C6635">
        <v>167</v>
      </c>
      <c r="D6635" t="s">
        <v>505</v>
      </c>
      <c r="E6635" t="s">
        <v>103</v>
      </c>
      <c r="F6635" t="s">
        <v>1368</v>
      </c>
    </row>
    <row r="6636" spans="1:6" x14ac:dyDescent="0.3">
      <c r="A6636" t="s">
        <v>27</v>
      </c>
      <c r="B6636" t="s">
        <v>308</v>
      </c>
      <c r="C6636">
        <v>5</v>
      </c>
      <c r="D6636" t="s">
        <v>1378</v>
      </c>
      <c r="E6636" t="s">
        <v>103</v>
      </c>
      <c r="F6636" t="s">
        <v>471</v>
      </c>
    </row>
    <row r="6637" spans="1:6" x14ac:dyDescent="0.3">
      <c r="A6637" t="s">
        <v>41</v>
      </c>
      <c r="B6637" t="s">
        <v>291</v>
      </c>
      <c r="C6637">
        <v>908</v>
      </c>
      <c r="D6637" t="s">
        <v>140</v>
      </c>
      <c r="E6637" t="s">
        <v>66</v>
      </c>
      <c r="F6637" t="s">
        <v>1355</v>
      </c>
    </row>
    <row r="6638" spans="1:6" x14ac:dyDescent="0.3">
      <c r="A6638" t="s">
        <v>41</v>
      </c>
      <c r="B6638" t="s">
        <v>292</v>
      </c>
      <c r="C6638">
        <v>1211</v>
      </c>
      <c r="D6638" t="s">
        <v>693</v>
      </c>
      <c r="E6638" t="s">
        <v>103</v>
      </c>
      <c r="F6638" t="s">
        <v>240</v>
      </c>
    </row>
    <row r="6639" spans="1:6" x14ac:dyDescent="0.3">
      <c r="A6639" t="s">
        <v>41</v>
      </c>
      <c r="B6639" t="s">
        <v>308</v>
      </c>
      <c r="C6639">
        <v>33</v>
      </c>
      <c r="D6639" t="s">
        <v>131</v>
      </c>
      <c r="E6639" t="s">
        <v>103</v>
      </c>
      <c r="F6639" t="s">
        <v>984</v>
      </c>
    </row>
    <row r="6641" spans="1:6" x14ac:dyDescent="0.3">
      <c r="A6641" t="s">
        <v>2226</v>
      </c>
    </row>
    <row r="6642" spans="1:6" x14ac:dyDescent="0.3">
      <c r="A6642" t="s">
        <v>36</v>
      </c>
      <c r="B6642" t="s">
        <v>210</v>
      </c>
      <c r="C6642" t="s">
        <v>24</v>
      </c>
      <c r="D6642" t="s">
        <v>58</v>
      </c>
      <c r="E6642" t="s">
        <v>181</v>
      </c>
      <c r="F6642" t="s">
        <v>59</v>
      </c>
    </row>
    <row r="6643" spans="1:6" x14ac:dyDescent="0.3">
      <c r="A6643" t="s">
        <v>25</v>
      </c>
      <c r="B6643" t="s">
        <v>211</v>
      </c>
      <c r="C6643">
        <v>497</v>
      </c>
      <c r="D6643" t="s">
        <v>117</v>
      </c>
      <c r="E6643" t="s">
        <v>122</v>
      </c>
      <c r="F6643" t="s">
        <v>974</v>
      </c>
    </row>
    <row r="6644" spans="1:6" x14ac:dyDescent="0.3">
      <c r="A6644" t="s">
        <v>26</v>
      </c>
      <c r="B6644" t="s">
        <v>211</v>
      </c>
      <c r="C6644">
        <v>173</v>
      </c>
      <c r="D6644" t="s">
        <v>244</v>
      </c>
      <c r="E6644" t="s">
        <v>103</v>
      </c>
      <c r="F6644" t="s">
        <v>712</v>
      </c>
    </row>
    <row r="6645" spans="1:6" x14ac:dyDescent="0.3">
      <c r="A6645" t="s">
        <v>26</v>
      </c>
      <c r="B6645" t="s">
        <v>212</v>
      </c>
      <c r="C6645">
        <v>272</v>
      </c>
      <c r="D6645" t="s">
        <v>108</v>
      </c>
      <c r="E6645" t="s">
        <v>103</v>
      </c>
      <c r="F6645" t="s">
        <v>283</v>
      </c>
    </row>
    <row r="6646" spans="1:6" x14ac:dyDescent="0.3">
      <c r="A6646" t="s">
        <v>29</v>
      </c>
      <c r="B6646" t="s">
        <v>211</v>
      </c>
      <c r="C6646">
        <v>683</v>
      </c>
      <c r="D6646" t="s">
        <v>232</v>
      </c>
      <c r="E6646" t="s">
        <v>103</v>
      </c>
      <c r="F6646" t="s">
        <v>864</v>
      </c>
    </row>
    <row r="6647" spans="1:6" x14ac:dyDescent="0.3">
      <c r="A6647" t="s">
        <v>28</v>
      </c>
      <c r="B6647" t="s">
        <v>211</v>
      </c>
      <c r="C6647">
        <v>226</v>
      </c>
      <c r="D6647" t="s">
        <v>195</v>
      </c>
      <c r="E6647" t="s">
        <v>103</v>
      </c>
      <c r="F6647" t="s">
        <v>837</v>
      </c>
    </row>
    <row r="6648" spans="1:6" s="3" customFormat="1" x14ac:dyDescent="0.3">
      <c r="A6648" s="3" t="s">
        <v>28</v>
      </c>
      <c r="B6648" s="3" t="s">
        <v>212</v>
      </c>
      <c r="C6648" s="3">
        <v>16</v>
      </c>
      <c r="D6648" s="3" t="s">
        <v>103</v>
      </c>
      <c r="E6648" s="3" t="s">
        <v>103</v>
      </c>
      <c r="F6648" s="3" t="s">
        <v>192</v>
      </c>
    </row>
    <row r="6649" spans="1:6" x14ac:dyDescent="0.3">
      <c r="A6649" t="s">
        <v>27</v>
      </c>
      <c r="B6649" t="s">
        <v>211</v>
      </c>
      <c r="C6649">
        <v>265</v>
      </c>
      <c r="D6649" t="s">
        <v>686</v>
      </c>
      <c r="E6649" t="s">
        <v>103</v>
      </c>
      <c r="F6649" t="s">
        <v>834</v>
      </c>
    </row>
    <row r="6650" spans="1:6" s="3" customFormat="1" x14ac:dyDescent="0.3">
      <c r="A6650" s="3" t="s">
        <v>27</v>
      </c>
      <c r="B6650" s="3" t="s">
        <v>212</v>
      </c>
      <c r="C6650" s="3">
        <v>20</v>
      </c>
      <c r="D6650" s="3" t="s">
        <v>103</v>
      </c>
      <c r="E6650" s="3" t="s">
        <v>103</v>
      </c>
      <c r="F6650" s="3" t="s">
        <v>192</v>
      </c>
    </row>
    <row r="6651" spans="1:6" x14ac:dyDescent="0.3">
      <c r="A6651" t="s">
        <v>41</v>
      </c>
      <c r="B6651" t="s">
        <v>211</v>
      </c>
      <c r="C6651">
        <v>1844</v>
      </c>
      <c r="D6651" t="s">
        <v>737</v>
      </c>
      <c r="E6651" t="s">
        <v>91</v>
      </c>
      <c r="F6651" t="s">
        <v>851</v>
      </c>
    </row>
    <row r="6652" spans="1:6" x14ac:dyDescent="0.3">
      <c r="A6652" t="s">
        <v>41</v>
      </c>
      <c r="B6652" t="s">
        <v>212</v>
      </c>
      <c r="C6652">
        <v>308</v>
      </c>
      <c r="D6652" t="s">
        <v>575</v>
      </c>
      <c r="E6652" t="s">
        <v>103</v>
      </c>
      <c r="F6652" t="s">
        <v>625</v>
      </c>
    </row>
    <row r="6654" spans="1:6" x14ac:dyDescent="0.3">
      <c r="A6654" t="s">
        <v>2227</v>
      </c>
    </row>
    <row r="6655" spans="1:6" x14ac:dyDescent="0.3">
      <c r="A6655" t="s">
        <v>36</v>
      </c>
      <c r="B6655" t="s">
        <v>1517</v>
      </c>
      <c r="C6655" t="s">
        <v>24</v>
      </c>
      <c r="D6655" t="s">
        <v>58</v>
      </c>
      <c r="E6655" t="s">
        <v>181</v>
      </c>
      <c r="F6655" t="s">
        <v>59</v>
      </c>
    </row>
    <row r="6656" spans="1:6" x14ac:dyDescent="0.3">
      <c r="A6656" t="s">
        <v>25</v>
      </c>
      <c r="B6656" t="s">
        <v>1518</v>
      </c>
      <c r="C6656">
        <v>309</v>
      </c>
      <c r="D6656" t="s">
        <v>137</v>
      </c>
      <c r="E6656" t="s">
        <v>120</v>
      </c>
      <c r="F6656" t="s">
        <v>863</v>
      </c>
    </row>
    <row r="6657" spans="1:6" x14ac:dyDescent="0.3">
      <c r="A6657" t="s">
        <v>25</v>
      </c>
      <c r="B6657" t="s">
        <v>1519</v>
      </c>
      <c r="C6657">
        <v>188</v>
      </c>
      <c r="D6657" t="s">
        <v>925</v>
      </c>
      <c r="E6657" t="s">
        <v>103</v>
      </c>
      <c r="F6657" t="s">
        <v>994</v>
      </c>
    </row>
    <row r="6658" spans="1:6" x14ac:dyDescent="0.3">
      <c r="A6658" t="s">
        <v>26</v>
      </c>
      <c r="B6658" t="s">
        <v>1518</v>
      </c>
      <c r="C6658">
        <v>260</v>
      </c>
      <c r="D6658" t="s">
        <v>890</v>
      </c>
      <c r="E6658" t="s">
        <v>103</v>
      </c>
      <c r="F6658" t="s">
        <v>889</v>
      </c>
    </row>
    <row r="6659" spans="1:6" x14ac:dyDescent="0.3">
      <c r="A6659" t="s">
        <v>26</v>
      </c>
      <c r="B6659" t="s">
        <v>1519</v>
      </c>
      <c r="C6659">
        <v>181</v>
      </c>
      <c r="D6659" t="s">
        <v>205</v>
      </c>
      <c r="E6659" t="s">
        <v>103</v>
      </c>
      <c r="F6659" t="s">
        <v>1509</v>
      </c>
    </row>
    <row r="6660" spans="1:6" x14ac:dyDescent="0.3">
      <c r="A6660" t="s">
        <v>26</v>
      </c>
      <c r="B6660" t="s">
        <v>308</v>
      </c>
      <c r="C6660">
        <v>4</v>
      </c>
      <c r="D6660" t="s">
        <v>103</v>
      </c>
      <c r="E6660" t="s">
        <v>103</v>
      </c>
      <c r="F6660" t="s">
        <v>192</v>
      </c>
    </row>
    <row r="6661" spans="1:6" x14ac:dyDescent="0.3">
      <c r="A6661" t="s">
        <v>29</v>
      </c>
      <c r="B6661" t="s">
        <v>1518</v>
      </c>
      <c r="C6661">
        <v>471</v>
      </c>
      <c r="D6661" t="s">
        <v>460</v>
      </c>
      <c r="E6661" t="s">
        <v>103</v>
      </c>
      <c r="F6661" t="s">
        <v>1501</v>
      </c>
    </row>
    <row r="6662" spans="1:6" x14ac:dyDescent="0.3">
      <c r="A6662" t="s">
        <v>29</v>
      </c>
      <c r="B6662" t="s">
        <v>1519</v>
      </c>
      <c r="C6662">
        <v>205</v>
      </c>
      <c r="D6662" t="s">
        <v>128</v>
      </c>
      <c r="E6662" t="s">
        <v>103</v>
      </c>
      <c r="F6662" t="s">
        <v>852</v>
      </c>
    </row>
    <row r="6663" spans="1:6" x14ac:dyDescent="0.3">
      <c r="A6663" t="s">
        <v>29</v>
      </c>
      <c r="B6663" t="s">
        <v>308</v>
      </c>
      <c r="C6663">
        <v>7</v>
      </c>
      <c r="D6663" t="s">
        <v>103</v>
      </c>
      <c r="E6663" t="s">
        <v>103</v>
      </c>
      <c r="F6663" t="s">
        <v>192</v>
      </c>
    </row>
    <row r="6664" spans="1:6" x14ac:dyDescent="0.3">
      <c r="A6664" t="s">
        <v>28</v>
      </c>
      <c r="B6664" t="s">
        <v>1518</v>
      </c>
      <c r="C6664">
        <v>132</v>
      </c>
      <c r="D6664" t="s">
        <v>68</v>
      </c>
      <c r="E6664" t="s">
        <v>103</v>
      </c>
      <c r="F6664" t="s">
        <v>69</v>
      </c>
    </row>
    <row r="6665" spans="1:6" x14ac:dyDescent="0.3">
      <c r="A6665" t="s">
        <v>28</v>
      </c>
      <c r="B6665" t="s">
        <v>1519</v>
      </c>
      <c r="C6665">
        <v>109</v>
      </c>
      <c r="D6665" t="s">
        <v>217</v>
      </c>
      <c r="E6665" t="s">
        <v>103</v>
      </c>
      <c r="F6665" t="s">
        <v>768</v>
      </c>
    </row>
    <row r="6666" spans="1:6" x14ac:dyDescent="0.3">
      <c r="A6666" t="s">
        <v>28</v>
      </c>
      <c r="B6666" t="s">
        <v>308</v>
      </c>
      <c r="C6666">
        <v>1</v>
      </c>
      <c r="D6666" t="s">
        <v>103</v>
      </c>
      <c r="E6666" t="s">
        <v>103</v>
      </c>
      <c r="F6666" t="s">
        <v>192</v>
      </c>
    </row>
    <row r="6667" spans="1:6" x14ac:dyDescent="0.3">
      <c r="A6667" t="s">
        <v>27</v>
      </c>
      <c r="B6667" t="s">
        <v>1518</v>
      </c>
      <c r="C6667">
        <v>181</v>
      </c>
      <c r="D6667" t="s">
        <v>1206</v>
      </c>
      <c r="E6667" t="s">
        <v>103</v>
      </c>
      <c r="F6667" t="s">
        <v>1369</v>
      </c>
    </row>
    <row r="6668" spans="1:6" x14ac:dyDescent="0.3">
      <c r="A6668" t="s">
        <v>27</v>
      </c>
      <c r="B6668" t="s">
        <v>1519</v>
      </c>
      <c r="C6668">
        <v>98</v>
      </c>
      <c r="D6668" t="s">
        <v>918</v>
      </c>
      <c r="E6668" t="s">
        <v>103</v>
      </c>
      <c r="F6668" t="s">
        <v>613</v>
      </c>
    </row>
    <row r="6669" spans="1:6" x14ac:dyDescent="0.3">
      <c r="A6669" t="s">
        <v>27</v>
      </c>
      <c r="B6669" t="s">
        <v>308</v>
      </c>
      <c r="C6669">
        <v>6</v>
      </c>
      <c r="D6669" t="s">
        <v>547</v>
      </c>
      <c r="E6669" t="s">
        <v>103</v>
      </c>
      <c r="F6669" t="s">
        <v>724</v>
      </c>
    </row>
    <row r="6670" spans="1:6" x14ac:dyDescent="0.3">
      <c r="A6670" t="s">
        <v>41</v>
      </c>
      <c r="B6670" t="s">
        <v>1518</v>
      </c>
      <c r="C6670">
        <v>1353</v>
      </c>
      <c r="D6670" t="s">
        <v>137</v>
      </c>
      <c r="E6670" t="s">
        <v>91</v>
      </c>
      <c r="F6670" t="s">
        <v>1134</v>
      </c>
    </row>
    <row r="6671" spans="1:6" x14ac:dyDescent="0.3">
      <c r="A6671" t="s">
        <v>41</v>
      </c>
      <c r="B6671" t="s">
        <v>1519</v>
      </c>
      <c r="C6671">
        <v>781</v>
      </c>
      <c r="D6671" t="s">
        <v>190</v>
      </c>
      <c r="E6671" t="s">
        <v>103</v>
      </c>
      <c r="F6671" t="s">
        <v>1167</v>
      </c>
    </row>
    <row r="6672" spans="1:6" x14ac:dyDescent="0.3">
      <c r="A6672" t="s">
        <v>41</v>
      </c>
      <c r="B6672" t="s">
        <v>308</v>
      </c>
      <c r="C6672">
        <v>18</v>
      </c>
      <c r="D6672" t="s">
        <v>208</v>
      </c>
      <c r="E6672" t="s">
        <v>103</v>
      </c>
      <c r="F6672" t="s">
        <v>1481</v>
      </c>
    </row>
    <row r="6674" spans="1:5" x14ac:dyDescent="0.3">
      <c r="A6674" t="s">
        <v>2228</v>
      </c>
    </row>
    <row r="6675" spans="1:5" x14ac:dyDescent="0.3">
      <c r="A6675" t="s">
        <v>36</v>
      </c>
      <c r="B6675" t="s">
        <v>24</v>
      </c>
      <c r="C6675" t="s">
        <v>58</v>
      </c>
      <c r="D6675" t="s">
        <v>59</v>
      </c>
    </row>
    <row r="6676" spans="1:5" x14ac:dyDescent="0.3">
      <c r="A6676" t="s">
        <v>25</v>
      </c>
      <c r="B6676">
        <v>440</v>
      </c>
      <c r="C6676" t="s">
        <v>266</v>
      </c>
      <c r="D6676" t="s">
        <v>879</v>
      </c>
    </row>
    <row r="6677" spans="1:5" x14ac:dyDescent="0.3">
      <c r="A6677" t="s">
        <v>26</v>
      </c>
      <c r="B6677">
        <v>404</v>
      </c>
      <c r="C6677" t="s">
        <v>438</v>
      </c>
      <c r="D6677" t="s">
        <v>840</v>
      </c>
    </row>
    <row r="6678" spans="1:5" x14ac:dyDescent="0.3">
      <c r="A6678" t="s">
        <v>29</v>
      </c>
      <c r="B6678">
        <v>634</v>
      </c>
      <c r="C6678" t="s">
        <v>438</v>
      </c>
      <c r="D6678" t="s">
        <v>840</v>
      </c>
    </row>
    <row r="6679" spans="1:5" x14ac:dyDescent="0.3">
      <c r="A6679" t="s">
        <v>28</v>
      </c>
      <c r="B6679">
        <v>234</v>
      </c>
      <c r="C6679" t="s">
        <v>186</v>
      </c>
      <c r="D6679" t="s">
        <v>185</v>
      </c>
    </row>
    <row r="6680" spans="1:5" x14ac:dyDescent="0.3">
      <c r="A6680" t="s">
        <v>27</v>
      </c>
      <c r="B6680">
        <v>216</v>
      </c>
      <c r="C6680" t="s">
        <v>217</v>
      </c>
      <c r="D6680" t="s">
        <v>768</v>
      </c>
    </row>
    <row r="6681" spans="1:5" x14ac:dyDescent="0.3">
      <c r="A6681" t="s">
        <v>41</v>
      </c>
      <c r="B6681">
        <v>1928</v>
      </c>
      <c r="C6681" t="s">
        <v>272</v>
      </c>
      <c r="D6681" t="s">
        <v>336</v>
      </c>
    </row>
    <row r="6683" spans="1:5" x14ac:dyDescent="0.3">
      <c r="A6683" t="s">
        <v>2229</v>
      </c>
    </row>
    <row r="6684" spans="1:5" x14ac:dyDescent="0.3">
      <c r="A6684" t="s">
        <v>36</v>
      </c>
      <c r="B6684" t="s">
        <v>2172</v>
      </c>
      <c r="C6684" t="s">
        <v>24</v>
      </c>
      <c r="D6684" t="s">
        <v>59</v>
      </c>
      <c r="E6684" t="s">
        <v>58</v>
      </c>
    </row>
    <row r="6685" spans="1:5" s="3" customFormat="1" x14ac:dyDescent="0.3">
      <c r="A6685" s="3" t="s">
        <v>25</v>
      </c>
      <c r="B6685" s="3" t="s">
        <v>844</v>
      </c>
      <c r="C6685" s="3">
        <v>14</v>
      </c>
      <c r="D6685" s="3" t="s">
        <v>192</v>
      </c>
      <c r="E6685" s="3" t="s">
        <v>103</v>
      </c>
    </row>
    <row r="6686" spans="1:5" s="3" customFormat="1" x14ac:dyDescent="0.3">
      <c r="A6686" s="3" t="s">
        <v>25</v>
      </c>
      <c r="B6686" s="3" t="s">
        <v>2173</v>
      </c>
      <c r="C6686" s="3">
        <v>20</v>
      </c>
      <c r="D6686" s="3" t="s">
        <v>192</v>
      </c>
      <c r="E6686" s="3" t="s">
        <v>103</v>
      </c>
    </row>
    <row r="6687" spans="1:5" s="3" customFormat="1" x14ac:dyDescent="0.3">
      <c r="A6687" s="3" t="s">
        <v>25</v>
      </c>
      <c r="B6687" s="3" t="s">
        <v>2174</v>
      </c>
      <c r="C6687" s="3">
        <v>11</v>
      </c>
      <c r="D6687" s="3" t="s">
        <v>192</v>
      </c>
      <c r="E6687" s="3" t="s">
        <v>103</v>
      </c>
    </row>
    <row r="6688" spans="1:5" s="3" customFormat="1" x14ac:dyDescent="0.3">
      <c r="A6688" s="3" t="s">
        <v>25</v>
      </c>
      <c r="B6688" s="3" t="s">
        <v>2175</v>
      </c>
      <c r="C6688" s="3">
        <v>9</v>
      </c>
      <c r="D6688" s="3" t="s">
        <v>192</v>
      </c>
      <c r="E6688" s="3" t="s">
        <v>103</v>
      </c>
    </row>
    <row r="6689" spans="1:5" x14ac:dyDescent="0.3">
      <c r="A6689" t="s">
        <v>25</v>
      </c>
      <c r="B6689" t="s">
        <v>2176</v>
      </c>
      <c r="C6689">
        <v>72</v>
      </c>
      <c r="D6689" t="s">
        <v>861</v>
      </c>
      <c r="E6689" t="s">
        <v>113</v>
      </c>
    </row>
    <row r="6690" spans="1:5" x14ac:dyDescent="0.3">
      <c r="A6690" t="s">
        <v>25</v>
      </c>
      <c r="B6690" t="s">
        <v>2177</v>
      </c>
      <c r="C6690">
        <v>73</v>
      </c>
      <c r="D6690" t="s">
        <v>71</v>
      </c>
      <c r="E6690" t="s">
        <v>70</v>
      </c>
    </row>
    <row r="6691" spans="1:5" x14ac:dyDescent="0.3">
      <c r="A6691" t="s">
        <v>25</v>
      </c>
      <c r="B6691" t="s">
        <v>2178</v>
      </c>
      <c r="C6691">
        <v>89</v>
      </c>
      <c r="D6691" t="s">
        <v>876</v>
      </c>
      <c r="E6691" t="s">
        <v>282</v>
      </c>
    </row>
    <row r="6692" spans="1:5" s="3" customFormat="1" x14ac:dyDescent="0.3">
      <c r="A6692" s="3" t="s">
        <v>25</v>
      </c>
      <c r="B6692" s="3" t="s">
        <v>846</v>
      </c>
      <c r="C6692" s="3">
        <v>16</v>
      </c>
      <c r="D6692" s="3" t="s">
        <v>192</v>
      </c>
      <c r="E6692" s="3" t="s">
        <v>103</v>
      </c>
    </row>
    <row r="6693" spans="1:5" s="3" customFormat="1" x14ac:dyDescent="0.3">
      <c r="A6693" s="3" t="s">
        <v>25</v>
      </c>
      <c r="B6693" s="3" t="s">
        <v>2179</v>
      </c>
      <c r="C6693" s="3">
        <v>18</v>
      </c>
      <c r="D6693" s="3" t="s">
        <v>192</v>
      </c>
      <c r="E6693" s="3" t="s">
        <v>103</v>
      </c>
    </row>
    <row r="6694" spans="1:5" s="3" customFormat="1" x14ac:dyDescent="0.3">
      <c r="A6694" s="3" t="s">
        <v>25</v>
      </c>
      <c r="B6694" s="3" t="s">
        <v>2180</v>
      </c>
      <c r="C6694" s="3">
        <v>14</v>
      </c>
      <c r="D6694" s="3" t="s">
        <v>176</v>
      </c>
      <c r="E6694" s="3" t="s">
        <v>175</v>
      </c>
    </row>
    <row r="6695" spans="1:5" s="3" customFormat="1" x14ac:dyDescent="0.3">
      <c r="A6695" s="3" t="s">
        <v>25</v>
      </c>
      <c r="B6695" s="3" t="s">
        <v>2181</v>
      </c>
      <c r="C6695" s="3">
        <v>7</v>
      </c>
      <c r="D6695" s="3" t="s">
        <v>192</v>
      </c>
      <c r="E6695" s="3" t="s">
        <v>103</v>
      </c>
    </row>
    <row r="6696" spans="1:5" x14ac:dyDescent="0.3">
      <c r="A6696" t="s">
        <v>25</v>
      </c>
      <c r="B6696" t="s">
        <v>2182</v>
      </c>
      <c r="C6696">
        <v>34</v>
      </c>
      <c r="D6696" t="s">
        <v>192</v>
      </c>
      <c r="E6696" t="s">
        <v>103</v>
      </c>
    </row>
    <row r="6697" spans="1:5" x14ac:dyDescent="0.3">
      <c r="A6697" t="s">
        <v>25</v>
      </c>
      <c r="B6697" t="s">
        <v>2183</v>
      </c>
      <c r="C6697">
        <v>31</v>
      </c>
      <c r="D6697" t="s">
        <v>636</v>
      </c>
      <c r="E6697" t="s">
        <v>466</v>
      </c>
    </row>
    <row r="6698" spans="1:5" x14ac:dyDescent="0.3">
      <c r="A6698" t="s">
        <v>25</v>
      </c>
      <c r="B6698" t="s">
        <v>2184</v>
      </c>
      <c r="C6698">
        <v>32</v>
      </c>
      <c r="D6698" t="s">
        <v>192</v>
      </c>
      <c r="E6698" t="s">
        <v>103</v>
      </c>
    </row>
    <row r="6699" spans="1:5" s="3" customFormat="1" x14ac:dyDescent="0.3">
      <c r="A6699" s="3" t="s">
        <v>26</v>
      </c>
      <c r="B6699" s="3" t="s">
        <v>844</v>
      </c>
      <c r="C6699" s="3">
        <v>13</v>
      </c>
      <c r="D6699" s="3" t="s">
        <v>192</v>
      </c>
      <c r="E6699" s="3" t="s">
        <v>103</v>
      </c>
    </row>
    <row r="6700" spans="1:5" s="3" customFormat="1" x14ac:dyDescent="0.3">
      <c r="A6700" s="3" t="s">
        <v>26</v>
      </c>
      <c r="B6700" s="3" t="s">
        <v>2173</v>
      </c>
      <c r="C6700" s="3">
        <v>24</v>
      </c>
      <c r="D6700" s="3" t="s">
        <v>332</v>
      </c>
      <c r="E6700" s="3" t="s">
        <v>270</v>
      </c>
    </row>
    <row r="6701" spans="1:5" s="3" customFormat="1" x14ac:dyDescent="0.3">
      <c r="A6701" s="3" t="s">
        <v>26</v>
      </c>
      <c r="B6701" s="3" t="s">
        <v>2174</v>
      </c>
      <c r="C6701" s="3">
        <v>15</v>
      </c>
      <c r="D6701" s="3" t="s">
        <v>192</v>
      </c>
      <c r="E6701" s="3" t="s">
        <v>103</v>
      </c>
    </row>
    <row r="6702" spans="1:5" s="3" customFormat="1" x14ac:dyDescent="0.3">
      <c r="A6702" s="3" t="s">
        <v>26</v>
      </c>
      <c r="B6702" s="3" t="s">
        <v>2175</v>
      </c>
      <c r="C6702" s="3">
        <v>8</v>
      </c>
      <c r="D6702" s="3" t="s">
        <v>192</v>
      </c>
      <c r="E6702" s="3" t="s">
        <v>103</v>
      </c>
    </row>
    <row r="6703" spans="1:5" x14ac:dyDescent="0.3">
      <c r="A6703" t="s">
        <v>26</v>
      </c>
      <c r="B6703" t="s">
        <v>2176</v>
      </c>
      <c r="C6703">
        <v>59</v>
      </c>
      <c r="D6703" t="s">
        <v>852</v>
      </c>
      <c r="E6703" t="s">
        <v>128</v>
      </c>
    </row>
    <row r="6704" spans="1:5" x14ac:dyDescent="0.3">
      <c r="A6704" t="s">
        <v>26</v>
      </c>
      <c r="B6704" t="s">
        <v>2177</v>
      </c>
      <c r="C6704">
        <v>64</v>
      </c>
      <c r="D6704" t="s">
        <v>759</v>
      </c>
      <c r="E6704" t="s">
        <v>543</v>
      </c>
    </row>
    <row r="6705" spans="1:5" x14ac:dyDescent="0.3">
      <c r="A6705" t="s">
        <v>26</v>
      </c>
      <c r="B6705" t="s">
        <v>2178</v>
      </c>
      <c r="C6705">
        <v>74</v>
      </c>
      <c r="D6705" t="s">
        <v>1471</v>
      </c>
      <c r="E6705" t="s">
        <v>245</v>
      </c>
    </row>
    <row r="6706" spans="1:5" s="3" customFormat="1" x14ac:dyDescent="0.3">
      <c r="A6706" s="3" t="s">
        <v>26</v>
      </c>
      <c r="B6706" s="3" t="s">
        <v>846</v>
      </c>
      <c r="C6706" s="3">
        <v>14</v>
      </c>
      <c r="D6706" s="3" t="s">
        <v>192</v>
      </c>
      <c r="E6706" s="3" t="s">
        <v>103</v>
      </c>
    </row>
    <row r="6707" spans="1:5" s="3" customFormat="1" x14ac:dyDescent="0.3">
      <c r="A6707" s="3" t="s">
        <v>26</v>
      </c>
      <c r="B6707" s="3" t="s">
        <v>2179</v>
      </c>
      <c r="C6707" s="3">
        <v>17</v>
      </c>
      <c r="D6707" s="3" t="s">
        <v>192</v>
      </c>
      <c r="E6707" s="3" t="s">
        <v>103</v>
      </c>
    </row>
    <row r="6708" spans="1:5" s="3" customFormat="1" x14ac:dyDescent="0.3">
      <c r="A6708" s="3" t="s">
        <v>26</v>
      </c>
      <c r="B6708" s="3" t="s">
        <v>2180</v>
      </c>
      <c r="C6708" s="3">
        <v>12</v>
      </c>
      <c r="D6708" s="3" t="s">
        <v>192</v>
      </c>
      <c r="E6708" s="3" t="s">
        <v>103</v>
      </c>
    </row>
    <row r="6709" spans="1:5" s="3" customFormat="1" x14ac:dyDescent="0.3">
      <c r="A6709" s="3" t="s">
        <v>26</v>
      </c>
      <c r="B6709" s="3" t="s">
        <v>2181</v>
      </c>
      <c r="C6709" s="3">
        <v>10</v>
      </c>
      <c r="D6709" s="3" t="s">
        <v>1307</v>
      </c>
      <c r="E6709" s="3" t="s">
        <v>549</v>
      </c>
    </row>
    <row r="6710" spans="1:5" x14ac:dyDescent="0.3">
      <c r="A6710" t="s">
        <v>26</v>
      </c>
      <c r="B6710" t="s">
        <v>2182</v>
      </c>
      <c r="C6710">
        <v>44</v>
      </c>
      <c r="D6710" t="s">
        <v>598</v>
      </c>
      <c r="E6710" t="s">
        <v>254</v>
      </c>
    </row>
    <row r="6711" spans="1:5" s="3" customFormat="1" x14ac:dyDescent="0.3">
      <c r="A6711" s="3" t="s">
        <v>26</v>
      </c>
      <c r="B6711" s="3" t="s">
        <v>2183</v>
      </c>
      <c r="C6711" s="3">
        <v>29</v>
      </c>
      <c r="D6711" s="3" t="s">
        <v>192</v>
      </c>
      <c r="E6711" s="3" t="s">
        <v>103</v>
      </c>
    </row>
    <row r="6712" spans="1:5" s="3" customFormat="1" x14ac:dyDescent="0.3">
      <c r="A6712" s="3" t="s">
        <v>26</v>
      </c>
      <c r="B6712" s="3" t="s">
        <v>2184</v>
      </c>
      <c r="C6712" s="3">
        <v>21</v>
      </c>
      <c r="D6712" s="3" t="s">
        <v>192</v>
      </c>
      <c r="E6712" s="3" t="s">
        <v>103</v>
      </c>
    </row>
    <row r="6713" spans="1:5" s="3" customFormat="1" x14ac:dyDescent="0.3">
      <c r="A6713" s="3" t="s">
        <v>29</v>
      </c>
      <c r="B6713" s="3" t="s">
        <v>844</v>
      </c>
      <c r="C6713" s="3">
        <v>26</v>
      </c>
      <c r="D6713" s="3" t="s">
        <v>1173</v>
      </c>
      <c r="E6713" s="3" t="s">
        <v>107</v>
      </c>
    </row>
    <row r="6714" spans="1:5" x14ac:dyDescent="0.3">
      <c r="A6714" t="s">
        <v>29</v>
      </c>
      <c r="B6714" t="s">
        <v>2173</v>
      </c>
      <c r="C6714">
        <v>43</v>
      </c>
      <c r="D6714" t="s">
        <v>192</v>
      </c>
      <c r="E6714" t="s">
        <v>103</v>
      </c>
    </row>
    <row r="6715" spans="1:5" x14ac:dyDescent="0.3">
      <c r="A6715" t="s">
        <v>29</v>
      </c>
      <c r="B6715" t="s">
        <v>2174</v>
      </c>
      <c r="C6715">
        <v>33</v>
      </c>
      <c r="D6715" t="s">
        <v>1478</v>
      </c>
      <c r="E6715" t="s">
        <v>110</v>
      </c>
    </row>
    <row r="6716" spans="1:5" s="3" customFormat="1" x14ac:dyDescent="0.3">
      <c r="A6716" s="3" t="s">
        <v>29</v>
      </c>
      <c r="B6716" s="3" t="s">
        <v>2175</v>
      </c>
      <c r="C6716" s="3">
        <v>11</v>
      </c>
      <c r="D6716" s="3" t="s">
        <v>192</v>
      </c>
      <c r="E6716" s="3" t="s">
        <v>103</v>
      </c>
    </row>
    <row r="6717" spans="1:5" x14ac:dyDescent="0.3">
      <c r="A6717" t="s">
        <v>29</v>
      </c>
      <c r="B6717" t="s">
        <v>2176</v>
      </c>
      <c r="C6717">
        <v>129</v>
      </c>
      <c r="D6717" t="s">
        <v>65</v>
      </c>
      <c r="E6717" t="s">
        <v>64</v>
      </c>
    </row>
    <row r="6718" spans="1:5" x14ac:dyDescent="0.3">
      <c r="A6718" t="s">
        <v>29</v>
      </c>
      <c r="B6718" t="s">
        <v>2177</v>
      </c>
      <c r="C6718">
        <v>93</v>
      </c>
      <c r="D6718" t="s">
        <v>1481</v>
      </c>
      <c r="E6718" t="s">
        <v>208</v>
      </c>
    </row>
    <row r="6719" spans="1:5" x14ac:dyDescent="0.3">
      <c r="A6719" t="s">
        <v>29</v>
      </c>
      <c r="B6719" t="s">
        <v>2178</v>
      </c>
      <c r="C6719">
        <v>98</v>
      </c>
      <c r="D6719" t="s">
        <v>738</v>
      </c>
      <c r="E6719" t="s">
        <v>737</v>
      </c>
    </row>
    <row r="6720" spans="1:5" x14ac:dyDescent="0.3">
      <c r="A6720" t="s">
        <v>29</v>
      </c>
      <c r="B6720" t="s">
        <v>846</v>
      </c>
      <c r="C6720">
        <v>35</v>
      </c>
      <c r="D6720" t="s">
        <v>339</v>
      </c>
      <c r="E6720" t="s">
        <v>118</v>
      </c>
    </row>
    <row r="6721" spans="1:5" s="3" customFormat="1" x14ac:dyDescent="0.3">
      <c r="A6721" s="3" t="s">
        <v>29</v>
      </c>
      <c r="B6721" s="3" t="s">
        <v>2179</v>
      </c>
      <c r="C6721" s="3">
        <v>24</v>
      </c>
      <c r="D6721" s="3" t="s">
        <v>192</v>
      </c>
      <c r="E6721" s="3" t="s">
        <v>103</v>
      </c>
    </row>
    <row r="6722" spans="1:5" s="3" customFormat="1" x14ac:dyDescent="0.3">
      <c r="A6722" s="3" t="s">
        <v>29</v>
      </c>
      <c r="B6722" s="3" t="s">
        <v>2180</v>
      </c>
      <c r="C6722" s="3">
        <v>19</v>
      </c>
      <c r="D6722" s="3" t="s">
        <v>325</v>
      </c>
      <c r="E6722" s="3" t="s">
        <v>139</v>
      </c>
    </row>
    <row r="6723" spans="1:5" s="3" customFormat="1" x14ac:dyDescent="0.3">
      <c r="A6723" s="3" t="s">
        <v>29</v>
      </c>
      <c r="B6723" s="3" t="s">
        <v>2181</v>
      </c>
      <c r="C6723" s="3">
        <v>6</v>
      </c>
      <c r="D6723" s="3" t="s">
        <v>192</v>
      </c>
      <c r="E6723" s="3" t="s">
        <v>103</v>
      </c>
    </row>
    <row r="6724" spans="1:5" x14ac:dyDescent="0.3">
      <c r="A6724" t="s">
        <v>29</v>
      </c>
      <c r="B6724" t="s">
        <v>2182</v>
      </c>
      <c r="C6724">
        <v>46</v>
      </c>
      <c r="D6724" t="s">
        <v>624</v>
      </c>
      <c r="E6724" t="s">
        <v>100</v>
      </c>
    </row>
    <row r="6725" spans="1:5" x14ac:dyDescent="0.3">
      <c r="A6725" t="s">
        <v>29</v>
      </c>
      <c r="B6725" t="s">
        <v>2183</v>
      </c>
      <c r="C6725">
        <v>42</v>
      </c>
      <c r="D6725" t="s">
        <v>289</v>
      </c>
      <c r="E6725" t="s">
        <v>281</v>
      </c>
    </row>
    <row r="6726" spans="1:5" s="3" customFormat="1" x14ac:dyDescent="0.3">
      <c r="A6726" s="3" t="s">
        <v>29</v>
      </c>
      <c r="B6726" s="3" t="s">
        <v>2184</v>
      </c>
      <c r="C6726" s="3">
        <v>29</v>
      </c>
      <c r="D6726" s="3" t="s">
        <v>192</v>
      </c>
      <c r="E6726" s="3" t="s">
        <v>103</v>
      </c>
    </row>
    <row r="6727" spans="1:5" s="3" customFormat="1" x14ac:dyDescent="0.3">
      <c r="A6727" s="3" t="s">
        <v>28</v>
      </c>
      <c r="B6727" s="3" t="s">
        <v>844</v>
      </c>
      <c r="C6727" s="3">
        <v>10</v>
      </c>
      <c r="D6727" s="3" t="s">
        <v>823</v>
      </c>
      <c r="E6727" s="3" t="s">
        <v>1093</v>
      </c>
    </row>
    <row r="6728" spans="1:5" s="3" customFormat="1" x14ac:dyDescent="0.3">
      <c r="A6728" s="3" t="s">
        <v>28</v>
      </c>
      <c r="B6728" s="3" t="s">
        <v>2173</v>
      </c>
      <c r="C6728" s="3">
        <v>7</v>
      </c>
      <c r="D6728" s="3" t="s">
        <v>192</v>
      </c>
      <c r="E6728" s="3" t="s">
        <v>103</v>
      </c>
    </row>
    <row r="6729" spans="1:5" s="3" customFormat="1" x14ac:dyDescent="0.3">
      <c r="A6729" s="3" t="s">
        <v>28</v>
      </c>
      <c r="B6729" s="3" t="s">
        <v>2174</v>
      </c>
      <c r="C6729" s="3">
        <v>5</v>
      </c>
      <c r="D6729" s="3" t="s">
        <v>192</v>
      </c>
      <c r="E6729" s="3" t="s">
        <v>103</v>
      </c>
    </row>
    <row r="6730" spans="1:5" s="3" customFormat="1" x14ac:dyDescent="0.3">
      <c r="A6730" s="3" t="s">
        <v>28</v>
      </c>
      <c r="B6730" s="3" t="s">
        <v>2175</v>
      </c>
      <c r="C6730" s="3">
        <v>10</v>
      </c>
      <c r="D6730" s="3" t="s">
        <v>192</v>
      </c>
      <c r="E6730" s="3" t="s">
        <v>103</v>
      </c>
    </row>
    <row r="6731" spans="1:5" x14ac:dyDescent="0.3">
      <c r="A6731" t="s">
        <v>28</v>
      </c>
      <c r="B6731" t="s">
        <v>2176</v>
      </c>
      <c r="C6731">
        <v>36</v>
      </c>
      <c r="D6731" t="s">
        <v>1173</v>
      </c>
      <c r="E6731" t="s">
        <v>107</v>
      </c>
    </row>
    <row r="6732" spans="1:5" x14ac:dyDescent="0.3">
      <c r="A6732" t="s">
        <v>28</v>
      </c>
      <c r="B6732" t="s">
        <v>2177</v>
      </c>
      <c r="C6732">
        <v>40</v>
      </c>
      <c r="D6732" t="s">
        <v>328</v>
      </c>
      <c r="E6732" t="s">
        <v>329</v>
      </c>
    </row>
    <row r="6733" spans="1:5" x14ac:dyDescent="0.3">
      <c r="A6733" t="s">
        <v>28</v>
      </c>
      <c r="B6733" t="s">
        <v>2178</v>
      </c>
      <c r="C6733">
        <v>49</v>
      </c>
      <c r="D6733" t="s">
        <v>69</v>
      </c>
      <c r="E6733" t="s">
        <v>68</v>
      </c>
    </row>
    <row r="6734" spans="1:5" s="3" customFormat="1" x14ac:dyDescent="0.3">
      <c r="A6734" s="3" t="s">
        <v>28</v>
      </c>
      <c r="B6734" s="3" t="s">
        <v>846</v>
      </c>
      <c r="C6734" s="3">
        <v>9</v>
      </c>
      <c r="D6734" s="3" t="s">
        <v>192</v>
      </c>
      <c r="E6734" s="3" t="s">
        <v>103</v>
      </c>
    </row>
    <row r="6735" spans="1:5" s="3" customFormat="1" x14ac:dyDescent="0.3">
      <c r="A6735" s="3" t="s">
        <v>28</v>
      </c>
      <c r="B6735" s="3" t="s">
        <v>2179</v>
      </c>
      <c r="C6735" s="3">
        <v>11</v>
      </c>
      <c r="D6735" s="3" t="s">
        <v>203</v>
      </c>
      <c r="E6735" s="3" t="s">
        <v>127</v>
      </c>
    </row>
    <row r="6736" spans="1:5" s="3" customFormat="1" x14ac:dyDescent="0.3">
      <c r="A6736" s="3" t="s">
        <v>28</v>
      </c>
      <c r="B6736" s="3" t="s">
        <v>2180</v>
      </c>
      <c r="C6736" s="3">
        <v>6</v>
      </c>
      <c r="D6736" s="3" t="s">
        <v>753</v>
      </c>
      <c r="E6736" s="3" t="s">
        <v>264</v>
      </c>
    </row>
    <row r="6737" spans="1:5" s="3" customFormat="1" x14ac:dyDescent="0.3">
      <c r="A6737" s="3" t="s">
        <v>28</v>
      </c>
      <c r="B6737" s="3" t="s">
        <v>2181</v>
      </c>
      <c r="C6737" s="3">
        <v>7</v>
      </c>
      <c r="D6737" s="3" t="s">
        <v>192</v>
      </c>
      <c r="E6737" s="3" t="s">
        <v>103</v>
      </c>
    </row>
    <row r="6738" spans="1:5" s="3" customFormat="1" x14ac:dyDescent="0.3">
      <c r="A6738" s="3" t="s">
        <v>28</v>
      </c>
      <c r="B6738" s="3" t="s">
        <v>2182</v>
      </c>
      <c r="C6738" s="3">
        <v>16</v>
      </c>
      <c r="D6738" s="3" t="s">
        <v>1633</v>
      </c>
      <c r="E6738" s="3" t="s">
        <v>125</v>
      </c>
    </row>
    <row r="6739" spans="1:5" s="3" customFormat="1" x14ac:dyDescent="0.3">
      <c r="A6739" s="3" t="s">
        <v>28</v>
      </c>
      <c r="B6739" s="3" t="s">
        <v>2183</v>
      </c>
      <c r="C6739" s="3">
        <v>16</v>
      </c>
      <c r="D6739" s="3" t="s">
        <v>192</v>
      </c>
      <c r="E6739" s="3" t="s">
        <v>103</v>
      </c>
    </row>
    <row r="6740" spans="1:5" s="3" customFormat="1" x14ac:dyDescent="0.3">
      <c r="A6740" s="3" t="s">
        <v>28</v>
      </c>
      <c r="B6740" s="3" t="s">
        <v>2184</v>
      </c>
      <c r="C6740" s="3">
        <v>12</v>
      </c>
      <c r="D6740" s="3" t="s">
        <v>192</v>
      </c>
      <c r="E6740" s="3" t="s">
        <v>103</v>
      </c>
    </row>
    <row r="6741" spans="1:5" s="3" customFormat="1" x14ac:dyDescent="0.3">
      <c r="A6741" s="3" t="s">
        <v>27</v>
      </c>
      <c r="B6741" s="3" t="s">
        <v>844</v>
      </c>
      <c r="C6741" s="3">
        <v>4</v>
      </c>
      <c r="D6741" s="3" t="s">
        <v>192</v>
      </c>
      <c r="E6741" s="3" t="s">
        <v>103</v>
      </c>
    </row>
    <row r="6742" spans="1:5" s="3" customFormat="1" x14ac:dyDescent="0.3">
      <c r="A6742" s="3" t="s">
        <v>27</v>
      </c>
      <c r="B6742" s="3" t="s">
        <v>2173</v>
      </c>
      <c r="C6742" s="3">
        <v>6</v>
      </c>
      <c r="D6742" s="3" t="s">
        <v>192</v>
      </c>
      <c r="E6742" s="3" t="s">
        <v>103</v>
      </c>
    </row>
    <row r="6743" spans="1:5" s="3" customFormat="1" x14ac:dyDescent="0.3">
      <c r="A6743" s="3" t="s">
        <v>27</v>
      </c>
      <c r="B6743" s="3" t="s">
        <v>2174</v>
      </c>
      <c r="C6743" s="3">
        <v>5</v>
      </c>
      <c r="D6743" s="3" t="s">
        <v>192</v>
      </c>
      <c r="E6743" s="3" t="s">
        <v>103</v>
      </c>
    </row>
    <row r="6744" spans="1:5" s="3" customFormat="1" x14ac:dyDescent="0.3">
      <c r="A6744" s="3" t="s">
        <v>27</v>
      </c>
      <c r="B6744" s="3" t="s">
        <v>2175</v>
      </c>
      <c r="C6744" s="3">
        <v>5</v>
      </c>
      <c r="D6744" s="3" t="s">
        <v>192</v>
      </c>
      <c r="E6744" s="3" t="s">
        <v>103</v>
      </c>
    </row>
    <row r="6745" spans="1:5" s="3" customFormat="1" x14ac:dyDescent="0.3">
      <c r="A6745" s="3" t="s">
        <v>27</v>
      </c>
      <c r="B6745" s="3" t="s">
        <v>2176</v>
      </c>
      <c r="C6745" s="3">
        <v>22</v>
      </c>
      <c r="D6745" s="3" t="s">
        <v>614</v>
      </c>
      <c r="E6745" s="3" t="s">
        <v>269</v>
      </c>
    </row>
    <row r="6746" spans="1:5" x14ac:dyDescent="0.3">
      <c r="A6746" t="s">
        <v>27</v>
      </c>
      <c r="B6746" t="s">
        <v>2177</v>
      </c>
      <c r="C6746">
        <v>33</v>
      </c>
      <c r="D6746" t="s">
        <v>192</v>
      </c>
      <c r="E6746" t="s">
        <v>103</v>
      </c>
    </row>
    <row r="6747" spans="1:5" x14ac:dyDescent="0.3">
      <c r="A6747" t="s">
        <v>27</v>
      </c>
      <c r="B6747" t="s">
        <v>2178</v>
      </c>
      <c r="C6747">
        <v>69</v>
      </c>
      <c r="D6747" t="s">
        <v>336</v>
      </c>
      <c r="E6747" t="s">
        <v>272</v>
      </c>
    </row>
    <row r="6748" spans="1:5" s="3" customFormat="1" x14ac:dyDescent="0.3">
      <c r="A6748" s="3" t="s">
        <v>27</v>
      </c>
      <c r="B6748" s="3" t="s">
        <v>846</v>
      </c>
      <c r="C6748" s="3">
        <v>11</v>
      </c>
      <c r="D6748" s="3" t="s">
        <v>192</v>
      </c>
      <c r="E6748" s="3" t="s">
        <v>103</v>
      </c>
    </row>
    <row r="6749" spans="1:5" s="3" customFormat="1" x14ac:dyDescent="0.3">
      <c r="A6749" s="3" t="s">
        <v>27</v>
      </c>
      <c r="B6749" s="3" t="s">
        <v>2179</v>
      </c>
      <c r="C6749" s="3">
        <v>4</v>
      </c>
      <c r="D6749" s="3" t="s">
        <v>192</v>
      </c>
      <c r="E6749" s="3" t="s">
        <v>103</v>
      </c>
    </row>
    <row r="6750" spans="1:5" s="3" customFormat="1" x14ac:dyDescent="0.3">
      <c r="A6750" s="3" t="s">
        <v>27</v>
      </c>
      <c r="B6750" s="3" t="s">
        <v>2180</v>
      </c>
      <c r="C6750" s="3">
        <v>5</v>
      </c>
      <c r="D6750" s="3" t="s">
        <v>192</v>
      </c>
      <c r="E6750" s="3" t="s">
        <v>103</v>
      </c>
    </row>
    <row r="6751" spans="1:5" s="3" customFormat="1" x14ac:dyDescent="0.3">
      <c r="A6751" s="3" t="s">
        <v>27</v>
      </c>
      <c r="B6751" s="3" t="s">
        <v>2181</v>
      </c>
      <c r="C6751" s="3">
        <v>1</v>
      </c>
      <c r="D6751" s="3" t="s">
        <v>192</v>
      </c>
      <c r="E6751" s="3" t="s">
        <v>103</v>
      </c>
    </row>
    <row r="6752" spans="1:5" s="3" customFormat="1" x14ac:dyDescent="0.3">
      <c r="A6752" s="3" t="s">
        <v>27</v>
      </c>
      <c r="B6752" s="3" t="s">
        <v>2182</v>
      </c>
      <c r="C6752" s="3">
        <v>10</v>
      </c>
      <c r="D6752" s="3" t="s">
        <v>192</v>
      </c>
      <c r="E6752" s="3" t="s">
        <v>103</v>
      </c>
    </row>
    <row r="6753" spans="1:5" s="3" customFormat="1" x14ac:dyDescent="0.3">
      <c r="A6753" s="3" t="s">
        <v>27</v>
      </c>
      <c r="B6753" s="3" t="s">
        <v>2183</v>
      </c>
      <c r="C6753" s="3">
        <v>14</v>
      </c>
      <c r="D6753" s="3" t="s">
        <v>192</v>
      </c>
      <c r="E6753" s="3" t="s">
        <v>103</v>
      </c>
    </row>
    <row r="6754" spans="1:5" s="3" customFormat="1" x14ac:dyDescent="0.3">
      <c r="A6754" s="3" t="s">
        <v>27</v>
      </c>
      <c r="B6754" s="3" t="s">
        <v>2184</v>
      </c>
      <c r="C6754" s="3">
        <v>27</v>
      </c>
      <c r="D6754" s="3" t="s">
        <v>289</v>
      </c>
      <c r="E6754" s="3" t="s">
        <v>281</v>
      </c>
    </row>
    <row r="6755" spans="1:5" x14ac:dyDescent="0.3">
      <c r="A6755" t="s">
        <v>41</v>
      </c>
      <c r="B6755" t="s">
        <v>844</v>
      </c>
      <c r="C6755">
        <v>67</v>
      </c>
      <c r="D6755" t="s">
        <v>833</v>
      </c>
      <c r="E6755" t="s">
        <v>188</v>
      </c>
    </row>
    <row r="6756" spans="1:5" x14ac:dyDescent="0.3">
      <c r="A6756" t="s">
        <v>41</v>
      </c>
      <c r="B6756" t="s">
        <v>2173</v>
      </c>
      <c r="C6756">
        <v>100</v>
      </c>
      <c r="D6756" t="s">
        <v>343</v>
      </c>
      <c r="E6756" t="s">
        <v>120</v>
      </c>
    </row>
    <row r="6757" spans="1:5" x14ac:dyDescent="0.3">
      <c r="A6757" t="s">
        <v>41</v>
      </c>
      <c r="B6757" t="s">
        <v>2174</v>
      </c>
      <c r="C6757">
        <v>69</v>
      </c>
      <c r="D6757" t="s">
        <v>950</v>
      </c>
      <c r="E6757" t="s">
        <v>98</v>
      </c>
    </row>
    <row r="6758" spans="1:5" x14ac:dyDescent="0.3">
      <c r="A6758" t="s">
        <v>41</v>
      </c>
      <c r="B6758" t="s">
        <v>2175</v>
      </c>
      <c r="C6758">
        <v>43</v>
      </c>
      <c r="D6758" t="s">
        <v>192</v>
      </c>
      <c r="E6758" t="s">
        <v>103</v>
      </c>
    </row>
    <row r="6759" spans="1:5" x14ac:dyDescent="0.3">
      <c r="A6759" t="s">
        <v>41</v>
      </c>
      <c r="B6759" t="s">
        <v>2176</v>
      </c>
      <c r="C6759">
        <v>318</v>
      </c>
      <c r="D6759" t="s">
        <v>336</v>
      </c>
      <c r="E6759" t="s">
        <v>272</v>
      </c>
    </row>
    <row r="6760" spans="1:5" x14ac:dyDescent="0.3">
      <c r="A6760" t="s">
        <v>41</v>
      </c>
      <c r="B6760" t="s">
        <v>2177</v>
      </c>
      <c r="C6760">
        <v>303</v>
      </c>
      <c r="D6760" t="s">
        <v>1173</v>
      </c>
      <c r="E6760" t="s">
        <v>107</v>
      </c>
    </row>
    <row r="6761" spans="1:5" x14ac:dyDescent="0.3">
      <c r="A6761" t="s">
        <v>41</v>
      </c>
      <c r="B6761" t="s">
        <v>2178</v>
      </c>
      <c r="C6761">
        <v>379</v>
      </c>
      <c r="D6761" t="s">
        <v>213</v>
      </c>
      <c r="E6761" t="s">
        <v>214</v>
      </c>
    </row>
    <row r="6762" spans="1:5" x14ac:dyDescent="0.3">
      <c r="A6762" t="s">
        <v>41</v>
      </c>
      <c r="B6762" t="s">
        <v>846</v>
      </c>
      <c r="C6762">
        <v>85</v>
      </c>
      <c r="D6762" t="s">
        <v>340</v>
      </c>
      <c r="E6762" t="s">
        <v>216</v>
      </c>
    </row>
    <row r="6763" spans="1:5" x14ac:dyDescent="0.3">
      <c r="A6763" t="s">
        <v>41</v>
      </c>
      <c r="B6763" t="s">
        <v>2179</v>
      </c>
      <c r="C6763">
        <v>74</v>
      </c>
      <c r="D6763" t="s">
        <v>67</v>
      </c>
      <c r="E6763" t="s">
        <v>66</v>
      </c>
    </row>
    <row r="6764" spans="1:5" x14ac:dyDescent="0.3">
      <c r="A6764" t="s">
        <v>41</v>
      </c>
      <c r="B6764" t="s">
        <v>2180</v>
      </c>
      <c r="C6764">
        <v>56</v>
      </c>
      <c r="D6764" t="s">
        <v>833</v>
      </c>
      <c r="E6764" t="s">
        <v>188</v>
      </c>
    </row>
    <row r="6765" spans="1:5" x14ac:dyDescent="0.3">
      <c r="A6765" t="s">
        <v>41</v>
      </c>
      <c r="B6765" t="s">
        <v>2181</v>
      </c>
      <c r="C6765">
        <v>31</v>
      </c>
      <c r="D6765" t="s">
        <v>837</v>
      </c>
      <c r="E6765" t="s">
        <v>195</v>
      </c>
    </row>
    <row r="6766" spans="1:5" x14ac:dyDescent="0.3">
      <c r="A6766" t="s">
        <v>41</v>
      </c>
      <c r="B6766" t="s">
        <v>2182</v>
      </c>
      <c r="C6766">
        <v>150</v>
      </c>
      <c r="D6766" t="s">
        <v>636</v>
      </c>
      <c r="E6766" t="s">
        <v>466</v>
      </c>
    </row>
    <row r="6767" spans="1:5" x14ac:dyDescent="0.3">
      <c r="A6767" t="s">
        <v>41</v>
      </c>
      <c r="B6767" t="s">
        <v>2183</v>
      </c>
      <c r="C6767">
        <v>132</v>
      </c>
      <c r="D6767" t="s">
        <v>287</v>
      </c>
      <c r="E6767" t="s">
        <v>591</v>
      </c>
    </row>
    <row r="6768" spans="1:5" x14ac:dyDescent="0.3">
      <c r="A6768" t="s">
        <v>41</v>
      </c>
      <c r="B6768" t="s">
        <v>2184</v>
      </c>
      <c r="C6768">
        <v>121</v>
      </c>
      <c r="D6768" t="s">
        <v>323</v>
      </c>
      <c r="E6768" t="s">
        <v>116</v>
      </c>
    </row>
    <row r="6770" spans="1:5" x14ac:dyDescent="0.3">
      <c r="A6770" t="s">
        <v>2230</v>
      </c>
    </row>
    <row r="6771" spans="1:5" x14ac:dyDescent="0.3">
      <c r="A6771" t="s">
        <v>36</v>
      </c>
      <c r="B6771" t="s">
        <v>2187</v>
      </c>
      <c r="C6771" t="s">
        <v>24</v>
      </c>
      <c r="D6771" t="s">
        <v>58</v>
      </c>
      <c r="E6771" t="s">
        <v>59</v>
      </c>
    </row>
    <row r="6772" spans="1:5" x14ac:dyDescent="0.3">
      <c r="A6772" t="s">
        <v>25</v>
      </c>
      <c r="B6772" t="s">
        <v>2188</v>
      </c>
      <c r="C6772">
        <v>119</v>
      </c>
      <c r="D6772" t="s">
        <v>122</v>
      </c>
      <c r="E6772" t="s">
        <v>327</v>
      </c>
    </row>
    <row r="6773" spans="1:5" x14ac:dyDescent="0.3">
      <c r="A6773" t="s">
        <v>25</v>
      </c>
      <c r="B6773" t="s">
        <v>2189</v>
      </c>
      <c r="C6773">
        <v>296</v>
      </c>
      <c r="D6773" t="s">
        <v>188</v>
      </c>
      <c r="E6773" t="s">
        <v>833</v>
      </c>
    </row>
    <row r="6774" spans="1:5" x14ac:dyDescent="0.3">
      <c r="A6774" t="s">
        <v>25</v>
      </c>
      <c r="B6774" t="s">
        <v>308</v>
      </c>
      <c r="C6774">
        <v>25</v>
      </c>
      <c r="D6774" t="s">
        <v>103</v>
      </c>
      <c r="E6774" t="s">
        <v>192</v>
      </c>
    </row>
    <row r="6775" spans="1:5" x14ac:dyDescent="0.3">
      <c r="A6775" t="s">
        <v>26</v>
      </c>
      <c r="B6775" t="s">
        <v>2188</v>
      </c>
      <c r="C6775">
        <v>80</v>
      </c>
      <c r="D6775" t="s">
        <v>205</v>
      </c>
      <c r="E6775" t="s">
        <v>1509</v>
      </c>
    </row>
    <row r="6776" spans="1:5" x14ac:dyDescent="0.3">
      <c r="A6776" t="s">
        <v>26</v>
      </c>
      <c r="B6776" t="s">
        <v>2189</v>
      </c>
      <c r="C6776">
        <v>304</v>
      </c>
      <c r="D6776" t="s">
        <v>257</v>
      </c>
      <c r="E6776" t="s">
        <v>880</v>
      </c>
    </row>
    <row r="6777" spans="1:5" x14ac:dyDescent="0.3">
      <c r="A6777" t="s">
        <v>26</v>
      </c>
      <c r="B6777" t="s">
        <v>308</v>
      </c>
      <c r="C6777">
        <v>20</v>
      </c>
      <c r="D6777" t="s">
        <v>103</v>
      </c>
      <c r="E6777" t="s">
        <v>192</v>
      </c>
    </row>
    <row r="6778" spans="1:5" x14ac:dyDescent="0.3">
      <c r="A6778" t="s">
        <v>29</v>
      </c>
      <c r="B6778" t="s">
        <v>2188</v>
      </c>
      <c r="C6778">
        <v>163</v>
      </c>
      <c r="D6778" t="s">
        <v>205</v>
      </c>
      <c r="E6778" t="s">
        <v>1509</v>
      </c>
    </row>
    <row r="6779" spans="1:5" x14ac:dyDescent="0.3">
      <c r="A6779" t="s">
        <v>29</v>
      </c>
      <c r="B6779" t="s">
        <v>2189</v>
      </c>
      <c r="C6779">
        <v>422</v>
      </c>
      <c r="D6779" t="s">
        <v>105</v>
      </c>
      <c r="E6779" t="s">
        <v>322</v>
      </c>
    </row>
    <row r="6780" spans="1:5" x14ac:dyDescent="0.3">
      <c r="A6780" t="s">
        <v>29</v>
      </c>
      <c r="B6780" t="s">
        <v>308</v>
      </c>
      <c r="C6780">
        <v>49</v>
      </c>
      <c r="D6780" t="s">
        <v>468</v>
      </c>
      <c r="E6780" t="s">
        <v>954</v>
      </c>
    </row>
    <row r="6781" spans="1:5" x14ac:dyDescent="0.3">
      <c r="A6781" t="s">
        <v>28</v>
      </c>
      <c r="B6781" t="s">
        <v>2188</v>
      </c>
      <c r="C6781">
        <v>81</v>
      </c>
      <c r="D6781" t="s">
        <v>113</v>
      </c>
      <c r="E6781" t="s">
        <v>861</v>
      </c>
    </row>
    <row r="6782" spans="1:5" x14ac:dyDescent="0.3">
      <c r="A6782" t="s">
        <v>28</v>
      </c>
      <c r="B6782" t="s">
        <v>2189</v>
      </c>
      <c r="C6782">
        <v>137</v>
      </c>
      <c r="D6782" t="s">
        <v>64</v>
      </c>
      <c r="E6782" t="s">
        <v>65</v>
      </c>
    </row>
    <row r="6783" spans="1:5" x14ac:dyDescent="0.3">
      <c r="A6783" t="s">
        <v>28</v>
      </c>
      <c r="B6783" t="s">
        <v>308</v>
      </c>
      <c r="C6783">
        <v>16</v>
      </c>
      <c r="D6783" t="s">
        <v>682</v>
      </c>
      <c r="E6783" t="s">
        <v>276</v>
      </c>
    </row>
    <row r="6784" spans="1:5" x14ac:dyDescent="0.3">
      <c r="A6784" t="s">
        <v>27</v>
      </c>
      <c r="B6784" t="s">
        <v>2188</v>
      </c>
      <c r="C6784">
        <v>70</v>
      </c>
      <c r="D6784" t="s">
        <v>125</v>
      </c>
      <c r="E6784" t="s">
        <v>1633</v>
      </c>
    </row>
    <row r="6785" spans="1:5" x14ac:dyDescent="0.3">
      <c r="A6785" t="s">
        <v>27</v>
      </c>
      <c r="B6785" t="s">
        <v>2189</v>
      </c>
      <c r="C6785">
        <v>136</v>
      </c>
      <c r="D6785" t="s">
        <v>118</v>
      </c>
      <c r="E6785" t="s">
        <v>339</v>
      </c>
    </row>
    <row r="6786" spans="1:5" x14ac:dyDescent="0.3">
      <c r="A6786" t="s">
        <v>27</v>
      </c>
      <c r="B6786" t="s">
        <v>308</v>
      </c>
      <c r="C6786">
        <v>10</v>
      </c>
      <c r="D6786" t="s">
        <v>103</v>
      </c>
      <c r="E6786" t="s">
        <v>192</v>
      </c>
    </row>
    <row r="6787" spans="1:5" x14ac:dyDescent="0.3">
      <c r="A6787" t="s">
        <v>41</v>
      </c>
      <c r="B6787" t="s">
        <v>2188</v>
      </c>
      <c r="C6787">
        <v>513</v>
      </c>
      <c r="D6787" t="s">
        <v>531</v>
      </c>
      <c r="E6787" t="s">
        <v>862</v>
      </c>
    </row>
    <row r="6788" spans="1:5" x14ac:dyDescent="0.3">
      <c r="A6788" t="s">
        <v>41</v>
      </c>
      <c r="B6788" t="s">
        <v>2189</v>
      </c>
      <c r="C6788">
        <v>1295</v>
      </c>
      <c r="D6788" t="s">
        <v>118</v>
      </c>
      <c r="E6788" t="s">
        <v>339</v>
      </c>
    </row>
    <row r="6789" spans="1:5" x14ac:dyDescent="0.3">
      <c r="A6789" t="s">
        <v>41</v>
      </c>
      <c r="B6789" t="s">
        <v>308</v>
      </c>
      <c r="C6789">
        <v>120</v>
      </c>
      <c r="D6789" t="s">
        <v>468</v>
      </c>
      <c r="E6789" t="s">
        <v>954</v>
      </c>
    </row>
    <row r="6791" spans="1:5" x14ac:dyDescent="0.3">
      <c r="A6791" t="s">
        <v>2231</v>
      </c>
    </row>
    <row r="6792" spans="1:5" x14ac:dyDescent="0.3">
      <c r="A6792" t="s">
        <v>36</v>
      </c>
      <c r="B6792" t="s">
        <v>197</v>
      </c>
      <c r="C6792" t="s">
        <v>24</v>
      </c>
      <c r="D6792" t="s">
        <v>58</v>
      </c>
      <c r="E6792" t="s">
        <v>59</v>
      </c>
    </row>
    <row r="6793" spans="1:5" x14ac:dyDescent="0.3">
      <c r="A6793" t="s">
        <v>25</v>
      </c>
      <c r="B6793" t="s">
        <v>198</v>
      </c>
      <c r="C6793">
        <v>74</v>
      </c>
      <c r="D6793" t="s">
        <v>54</v>
      </c>
      <c r="E6793" t="s">
        <v>53</v>
      </c>
    </row>
    <row r="6794" spans="1:5" x14ac:dyDescent="0.3">
      <c r="A6794" t="s">
        <v>25</v>
      </c>
      <c r="B6794" t="s">
        <v>199</v>
      </c>
      <c r="C6794">
        <v>366</v>
      </c>
      <c r="D6794" t="s">
        <v>97</v>
      </c>
      <c r="E6794" t="s">
        <v>321</v>
      </c>
    </row>
    <row r="6795" spans="1:5" x14ac:dyDescent="0.3">
      <c r="A6795" t="s">
        <v>26</v>
      </c>
      <c r="B6795" t="s">
        <v>198</v>
      </c>
      <c r="C6795">
        <v>35</v>
      </c>
      <c r="D6795" t="s">
        <v>549</v>
      </c>
      <c r="E6795" t="s">
        <v>1307</v>
      </c>
    </row>
    <row r="6796" spans="1:5" x14ac:dyDescent="0.3">
      <c r="A6796" t="s">
        <v>26</v>
      </c>
      <c r="B6796" t="s">
        <v>199</v>
      </c>
      <c r="C6796">
        <v>369</v>
      </c>
      <c r="D6796" t="s">
        <v>68</v>
      </c>
      <c r="E6796" t="s">
        <v>69</v>
      </c>
    </row>
    <row r="6797" spans="1:5" x14ac:dyDescent="0.3">
      <c r="A6797" t="s">
        <v>29</v>
      </c>
      <c r="B6797" t="s">
        <v>198</v>
      </c>
      <c r="C6797">
        <v>214</v>
      </c>
      <c r="D6797" t="s">
        <v>257</v>
      </c>
      <c r="E6797" t="s">
        <v>880</v>
      </c>
    </row>
    <row r="6798" spans="1:5" x14ac:dyDescent="0.3">
      <c r="A6798" t="s">
        <v>29</v>
      </c>
      <c r="B6798" t="s">
        <v>199</v>
      </c>
      <c r="C6798">
        <v>420</v>
      </c>
      <c r="D6798" t="s">
        <v>188</v>
      </c>
      <c r="E6798" t="s">
        <v>833</v>
      </c>
    </row>
    <row r="6799" spans="1:5" x14ac:dyDescent="0.3">
      <c r="A6799" t="s">
        <v>28</v>
      </c>
      <c r="B6799" t="s">
        <v>198</v>
      </c>
      <c r="C6799">
        <v>57</v>
      </c>
      <c r="D6799" t="s">
        <v>105</v>
      </c>
      <c r="E6799" t="s">
        <v>322</v>
      </c>
    </row>
    <row r="6800" spans="1:5" x14ac:dyDescent="0.3">
      <c r="A6800" t="s">
        <v>28</v>
      </c>
      <c r="B6800" t="s">
        <v>199</v>
      </c>
      <c r="C6800">
        <v>177</v>
      </c>
      <c r="D6800" t="s">
        <v>33</v>
      </c>
      <c r="E6800" t="s">
        <v>850</v>
      </c>
    </row>
    <row r="6801" spans="1:5" x14ac:dyDescent="0.3">
      <c r="A6801" t="s">
        <v>27</v>
      </c>
      <c r="B6801" t="s">
        <v>198</v>
      </c>
      <c r="C6801">
        <v>94</v>
      </c>
      <c r="D6801" t="s">
        <v>208</v>
      </c>
      <c r="E6801" t="s">
        <v>1481</v>
      </c>
    </row>
    <row r="6802" spans="1:5" x14ac:dyDescent="0.3">
      <c r="A6802" t="s">
        <v>27</v>
      </c>
      <c r="B6802" t="s">
        <v>199</v>
      </c>
      <c r="C6802">
        <v>122</v>
      </c>
      <c r="D6802" t="s">
        <v>68</v>
      </c>
      <c r="E6802" t="s">
        <v>69</v>
      </c>
    </row>
    <row r="6803" spans="1:5" x14ac:dyDescent="0.3">
      <c r="A6803" t="s">
        <v>41</v>
      </c>
      <c r="B6803" t="s">
        <v>198</v>
      </c>
      <c r="C6803">
        <v>474</v>
      </c>
      <c r="D6803" t="s">
        <v>113</v>
      </c>
      <c r="E6803" t="s">
        <v>861</v>
      </c>
    </row>
    <row r="6804" spans="1:5" x14ac:dyDescent="0.3">
      <c r="A6804" t="s">
        <v>41</v>
      </c>
      <c r="B6804" t="s">
        <v>199</v>
      </c>
      <c r="C6804">
        <v>1454</v>
      </c>
      <c r="D6804" t="s">
        <v>270</v>
      </c>
      <c r="E6804" t="s">
        <v>332</v>
      </c>
    </row>
    <row r="6806" spans="1:5" x14ac:dyDescent="0.3">
      <c r="A6806" t="s">
        <v>2232</v>
      </c>
    </row>
    <row r="6807" spans="1:5" x14ac:dyDescent="0.3">
      <c r="A6807" t="s">
        <v>36</v>
      </c>
      <c r="B6807" t="s">
        <v>763</v>
      </c>
      <c r="C6807" t="s">
        <v>24</v>
      </c>
      <c r="D6807" t="s">
        <v>59</v>
      </c>
      <c r="E6807" t="s">
        <v>58</v>
      </c>
    </row>
    <row r="6808" spans="1:5" s="3" customFormat="1" x14ac:dyDescent="0.3">
      <c r="A6808" s="3" t="s">
        <v>25</v>
      </c>
      <c r="B6808" s="3" t="s">
        <v>764</v>
      </c>
      <c r="C6808" s="3">
        <v>18</v>
      </c>
      <c r="D6808" s="3" t="s">
        <v>192</v>
      </c>
      <c r="E6808" s="3" t="s">
        <v>103</v>
      </c>
    </row>
    <row r="6809" spans="1:5" x14ac:dyDescent="0.3">
      <c r="A6809" t="s">
        <v>25</v>
      </c>
      <c r="B6809" t="s">
        <v>765</v>
      </c>
      <c r="C6809">
        <v>272</v>
      </c>
      <c r="D6809" t="s">
        <v>861</v>
      </c>
      <c r="E6809" t="s">
        <v>113</v>
      </c>
    </row>
    <row r="6810" spans="1:5" x14ac:dyDescent="0.3">
      <c r="A6810" t="s">
        <v>25</v>
      </c>
      <c r="B6810" t="s">
        <v>767</v>
      </c>
      <c r="C6810">
        <v>150</v>
      </c>
      <c r="D6810" t="s">
        <v>192</v>
      </c>
      <c r="E6810" t="s">
        <v>103</v>
      </c>
    </row>
    <row r="6811" spans="1:5" s="3" customFormat="1" x14ac:dyDescent="0.3">
      <c r="A6811" s="3" t="s">
        <v>26</v>
      </c>
      <c r="B6811" s="3" t="s">
        <v>764</v>
      </c>
      <c r="C6811" s="3">
        <v>18</v>
      </c>
      <c r="D6811" s="3" t="s">
        <v>213</v>
      </c>
      <c r="E6811" s="3" t="s">
        <v>214</v>
      </c>
    </row>
    <row r="6812" spans="1:5" x14ac:dyDescent="0.3">
      <c r="A6812" t="s">
        <v>26</v>
      </c>
      <c r="B6812" t="s">
        <v>765</v>
      </c>
      <c r="C6812">
        <v>236</v>
      </c>
      <c r="D6812" t="s">
        <v>861</v>
      </c>
      <c r="E6812" t="s">
        <v>113</v>
      </c>
    </row>
    <row r="6813" spans="1:5" x14ac:dyDescent="0.3">
      <c r="A6813" t="s">
        <v>26</v>
      </c>
      <c r="B6813" t="s">
        <v>767</v>
      </c>
      <c r="C6813">
        <v>150</v>
      </c>
      <c r="D6813" t="s">
        <v>340</v>
      </c>
      <c r="E6813" t="s">
        <v>216</v>
      </c>
    </row>
    <row r="6814" spans="1:5" s="3" customFormat="1" x14ac:dyDescent="0.3">
      <c r="A6814" s="3" t="s">
        <v>29</v>
      </c>
      <c r="B6814" s="3" t="s">
        <v>764</v>
      </c>
      <c r="C6814" s="3">
        <v>4</v>
      </c>
      <c r="D6814" s="3" t="s">
        <v>192</v>
      </c>
      <c r="E6814" s="3" t="s">
        <v>103</v>
      </c>
    </row>
    <row r="6815" spans="1:5" x14ac:dyDescent="0.3">
      <c r="A6815" t="s">
        <v>29</v>
      </c>
      <c r="B6815" t="s">
        <v>765</v>
      </c>
      <c r="C6815">
        <v>426</v>
      </c>
      <c r="D6815" t="s">
        <v>1173</v>
      </c>
      <c r="E6815" t="s">
        <v>107</v>
      </c>
    </row>
    <row r="6816" spans="1:5" x14ac:dyDescent="0.3">
      <c r="A6816" t="s">
        <v>29</v>
      </c>
      <c r="B6816" t="s">
        <v>767</v>
      </c>
      <c r="C6816">
        <v>204</v>
      </c>
      <c r="D6816" t="s">
        <v>322</v>
      </c>
      <c r="E6816" t="s">
        <v>105</v>
      </c>
    </row>
    <row r="6817" spans="1:5" s="3" customFormat="1" x14ac:dyDescent="0.3">
      <c r="A6817" s="3" t="s">
        <v>28</v>
      </c>
      <c r="B6817" s="3" t="s">
        <v>764</v>
      </c>
      <c r="C6817" s="3">
        <v>13</v>
      </c>
      <c r="D6817" s="3" t="s">
        <v>837</v>
      </c>
      <c r="E6817" s="3" t="s">
        <v>195</v>
      </c>
    </row>
    <row r="6818" spans="1:5" x14ac:dyDescent="0.3">
      <c r="A6818" t="s">
        <v>28</v>
      </c>
      <c r="B6818" t="s">
        <v>765</v>
      </c>
      <c r="C6818">
        <v>182</v>
      </c>
      <c r="D6818" t="s">
        <v>781</v>
      </c>
      <c r="E6818" t="s">
        <v>284</v>
      </c>
    </row>
    <row r="6819" spans="1:5" x14ac:dyDescent="0.3">
      <c r="A6819" t="s">
        <v>28</v>
      </c>
      <c r="B6819" t="s">
        <v>767</v>
      </c>
      <c r="C6819">
        <v>39</v>
      </c>
      <c r="D6819" t="s">
        <v>192</v>
      </c>
      <c r="E6819" t="s">
        <v>103</v>
      </c>
    </row>
    <row r="6820" spans="1:5" s="3" customFormat="1" x14ac:dyDescent="0.3">
      <c r="A6820" s="3" t="s">
        <v>27</v>
      </c>
      <c r="B6820" s="3" t="s">
        <v>764</v>
      </c>
      <c r="C6820" s="3">
        <v>9</v>
      </c>
      <c r="D6820" s="3" t="s">
        <v>192</v>
      </c>
      <c r="E6820" s="3" t="s">
        <v>103</v>
      </c>
    </row>
    <row r="6821" spans="1:5" x14ac:dyDescent="0.3">
      <c r="A6821" t="s">
        <v>27</v>
      </c>
      <c r="B6821" t="s">
        <v>765</v>
      </c>
      <c r="C6821">
        <v>153</v>
      </c>
      <c r="D6821" t="s">
        <v>287</v>
      </c>
      <c r="E6821" t="s">
        <v>591</v>
      </c>
    </row>
    <row r="6822" spans="1:5" x14ac:dyDescent="0.3">
      <c r="A6822" t="s">
        <v>27</v>
      </c>
      <c r="B6822" t="s">
        <v>767</v>
      </c>
      <c r="C6822">
        <v>54</v>
      </c>
      <c r="D6822" t="s">
        <v>192</v>
      </c>
      <c r="E6822" t="s">
        <v>103</v>
      </c>
    </row>
    <row r="6823" spans="1:5" x14ac:dyDescent="0.3">
      <c r="A6823" t="s">
        <v>41</v>
      </c>
      <c r="B6823" t="s">
        <v>764</v>
      </c>
      <c r="C6823">
        <v>62</v>
      </c>
      <c r="D6823" t="s">
        <v>1176</v>
      </c>
      <c r="E6823" t="s">
        <v>93</v>
      </c>
    </row>
    <row r="6824" spans="1:5" x14ac:dyDescent="0.3">
      <c r="A6824" t="s">
        <v>41</v>
      </c>
      <c r="B6824" t="s">
        <v>765</v>
      </c>
      <c r="C6824">
        <v>1269</v>
      </c>
      <c r="D6824" t="s">
        <v>861</v>
      </c>
      <c r="E6824" t="s">
        <v>113</v>
      </c>
    </row>
    <row r="6825" spans="1:5" x14ac:dyDescent="0.3">
      <c r="A6825" t="s">
        <v>41</v>
      </c>
      <c r="B6825" t="s">
        <v>767</v>
      </c>
      <c r="C6825">
        <v>597</v>
      </c>
      <c r="D6825" t="s">
        <v>326</v>
      </c>
      <c r="E6825" t="s">
        <v>194</v>
      </c>
    </row>
    <row r="6827" spans="1:5" x14ac:dyDescent="0.3">
      <c r="A6827" t="s">
        <v>2233</v>
      </c>
    </row>
    <row r="6828" spans="1:5" x14ac:dyDescent="0.3">
      <c r="A6828" t="s">
        <v>36</v>
      </c>
      <c r="B6828" t="s">
        <v>2157</v>
      </c>
      <c r="C6828" t="s">
        <v>24</v>
      </c>
      <c r="D6828" t="s">
        <v>58</v>
      </c>
      <c r="E6828" t="s">
        <v>59</v>
      </c>
    </row>
    <row r="6829" spans="1:5" x14ac:dyDescent="0.3">
      <c r="A6829" t="s">
        <v>25</v>
      </c>
      <c r="B6829" t="s">
        <v>2158</v>
      </c>
      <c r="C6829">
        <v>257</v>
      </c>
      <c r="D6829" t="s">
        <v>467</v>
      </c>
      <c r="E6829" t="s">
        <v>988</v>
      </c>
    </row>
    <row r="6830" spans="1:5" x14ac:dyDescent="0.3">
      <c r="A6830" t="s">
        <v>25</v>
      </c>
      <c r="B6830" t="s">
        <v>2159</v>
      </c>
      <c r="C6830">
        <v>183</v>
      </c>
      <c r="D6830" t="s">
        <v>245</v>
      </c>
      <c r="E6830" t="s">
        <v>1471</v>
      </c>
    </row>
    <row r="6831" spans="1:5" x14ac:dyDescent="0.3">
      <c r="A6831" t="s">
        <v>26</v>
      </c>
      <c r="B6831" t="s">
        <v>2158</v>
      </c>
      <c r="C6831">
        <v>193</v>
      </c>
      <c r="D6831" t="s">
        <v>105</v>
      </c>
      <c r="E6831" t="s">
        <v>322</v>
      </c>
    </row>
    <row r="6832" spans="1:5" x14ac:dyDescent="0.3">
      <c r="A6832" t="s">
        <v>26</v>
      </c>
      <c r="B6832" t="s">
        <v>2159</v>
      </c>
      <c r="C6832">
        <v>211</v>
      </c>
      <c r="D6832" t="s">
        <v>32</v>
      </c>
      <c r="E6832" t="s">
        <v>279</v>
      </c>
    </row>
    <row r="6833" spans="1:5" x14ac:dyDescent="0.3">
      <c r="A6833" t="s">
        <v>29</v>
      </c>
      <c r="B6833" t="s">
        <v>2158</v>
      </c>
      <c r="C6833">
        <v>304</v>
      </c>
      <c r="D6833" t="s">
        <v>493</v>
      </c>
      <c r="E6833" t="s">
        <v>286</v>
      </c>
    </row>
    <row r="6834" spans="1:5" x14ac:dyDescent="0.3">
      <c r="A6834" t="s">
        <v>29</v>
      </c>
      <c r="B6834" t="s">
        <v>2159</v>
      </c>
      <c r="C6834">
        <v>329</v>
      </c>
      <c r="D6834" t="s">
        <v>68</v>
      </c>
      <c r="E6834" t="s">
        <v>69</v>
      </c>
    </row>
    <row r="6835" spans="1:5" x14ac:dyDescent="0.3">
      <c r="A6835" t="s">
        <v>29</v>
      </c>
      <c r="B6835" t="s">
        <v>308</v>
      </c>
      <c r="C6835">
        <v>1</v>
      </c>
      <c r="D6835" t="s">
        <v>103</v>
      </c>
      <c r="E6835" t="s">
        <v>192</v>
      </c>
    </row>
    <row r="6836" spans="1:5" x14ac:dyDescent="0.3">
      <c r="A6836" t="s">
        <v>28</v>
      </c>
      <c r="B6836" t="s">
        <v>2158</v>
      </c>
      <c r="C6836">
        <v>102</v>
      </c>
      <c r="D6836" t="s">
        <v>266</v>
      </c>
      <c r="E6836" t="s">
        <v>879</v>
      </c>
    </row>
    <row r="6837" spans="1:5" x14ac:dyDescent="0.3">
      <c r="A6837" t="s">
        <v>28</v>
      </c>
      <c r="B6837" t="s">
        <v>2159</v>
      </c>
      <c r="C6837">
        <v>132</v>
      </c>
      <c r="D6837" t="s">
        <v>112</v>
      </c>
      <c r="E6837" t="s">
        <v>859</v>
      </c>
    </row>
    <row r="6838" spans="1:5" x14ac:dyDescent="0.3">
      <c r="A6838" t="s">
        <v>27</v>
      </c>
      <c r="B6838" t="s">
        <v>2158</v>
      </c>
      <c r="C6838">
        <v>142</v>
      </c>
      <c r="D6838" t="s">
        <v>107</v>
      </c>
      <c r="E6838" t="s">
        <v>1173</v>
      </c>
    </row>
    <row r="6839" spans="1:5" x14ac:dyDescent="0.3">
      <c r="A6839" t="s">
        <v>27</v>
      </c>
      <c r="B6839" t="s">
        <v>2159</v>
      </c>
      <c r="C6839">
        <v>74</v>
      </c>
      <c r="D6839" t="s">
        <v>103</v>
      </c>
      <c r="E6839" t="s">
        <v>192</v>
      </c>
    </row>
    <row r="6840" spans="1:5" x14ac:dyDescent="0.3">
      <c r="A6840" t="s">
        <v>41</v>
      </c>
      <c r="B6840" t="s">
        <v>2158</v>
      </c>
      <c r="C6840">
        <v>998</v>
      </c>
      <c r="D6840" t="s">
        <v>272</v>
      </c>
      <c r="E6840" t="s">
        <v>336</v>
      </c>
    </row>
    <row r="6841" spans="1:5" x14ac:dyDescent="0.3">
      <c r="A6841" t="s">
        <v>41</v>
      </c>
      <c r="B6841" t="s">
        <v>2159</v>
      </c>
      <c r="C6841">
        <v>929</v>
      </c>
      <c r="D6841" t="s">
        <v>467</v>
      </c>
      <c r="E6841" t="s">
        <v>988</v>
      </c>
    </row>
    <row r="6842" spans="1:5" x14ac:dyDescent="0.3">
      <c r="A6842" t="s">
        <v>41</v>
      </c>
      <c r="B6842" t="s">
        <v>308</v>
      </c>
      <c r="C6842">
        <v>1</v>
      </c>
      <c r="D6842" t="s">
        <v>103</v>
      </c>
      <c r="E6842" t="s">
        <v>192</v>
      </c>
    </row>
    <row r="6844" spans="1:5" x14ac:dyDescent="0.3">
      <c r="A6844" t="s">
        <v>2234</v>
      </c>
    </row>
    <row r="6845" spans="1:5" x14ac:dyDescent="0.3">
      <c r="A6845" t="s">
        <v>36</v>
      </c>
      <c r="B6845" t="s">
        <v>307</v>
      </c>
      <c r="C6845" t="s">
        <v>24</v>
      </c>
      <c r="D6845" t="s">
        <v>58</v>
      </c>
      <c r="E6845" t="s">
        <v>59</v>
      </c>
    </row>
    <row r="6846" spans="1:5" x14ac:dyDescent="0.3">
      <c r="A6846" t="s">
        <v>25</v>
      </c>
      <c r="B6846" t="s">
        <v>291</v>
      </c>
      <c r="C6846">
        <v>209</v>
      </c>
      <c r="D6846" t="s">
        <v>66</v>
      </c>
      <c r="E6846" t="s">
        <v>67</v>
      </c>
    </row>
    <row r="6847" spans="1:5" x14ac:dyDescent="0.3">
      <c r="A6847" t="s">
        <v>25</v>
      </c>
      <c r="B6847" t="s">
        <v>292</v>
      </c>
      <c r="C6847">
        <v>221</v>
      </c>
      <c r="D6847" t="s">
        <v>278</v>
      </c>
      <c r="E6847" t="s">
        <v>597</v>
      </c>
    </row>
    <row r="6848" spans="1:5" x14ac:dyDescent="0.3">
      <c r="A6848" t="s">
        <v>25</v>
      </c>
      <c r="B6848" t="s">
        <v>308</v>
      </c>
      <c r="C6848">
        <v>10</v>
      </c>
      <c r="D6848" t="s">
        <v>103</v>
      </c>
      <c r="E6848" t="s">
        <v>192</v>
      </c>
    </row>
    <row r="6849" spans="1:5" x14ac:dyDescent="0.3">
      <c r="A6849" t="s">
        <v>26</v>
      </c>
      <c r="B6849" t="s">
        <v>291</v>
      </c>
      <c r="C6849">
        <v>134</v>
      </c>
      <c r="D6849" t="s">
        <v>466</v>
      </c>
      <c r="E6849" t="s">
        <v>636</v>
      </c>
    </row>
    <row r="6850" spans="1:5" x14ac:dyDescent="0.3">
      <c r="A6850" t="s">
        <v>26</v>
      </c>
      <c r="B6850" t="s">
        <v>292</v>
      </c>
      <c r="C6850">
        <v>266</v>
      </c>
      <c r="D6850" t="s">
        <v>208</v>
      </c>
      <c r="E6850" t="s">
        <v>1481</v>
      </c>
    </row>
    <row r="6851" spans="1:5" x14ac:dyDescent="0.3">
      <c r="A6851" t="s">
        <v>26</v>
      </c>
      <c r="B6851" t="s">
        <v>308</v>
      </c>
      <c r="C6851">
        <v>4</v>
      </c>
      <c r="D6851" t="s">
        <v>103</v>
      </c>
      <c r="E6851" t="s">
        <v>192</v>
      </c>
    </row>
    <row r="6852" spans="1:5" x14ac:dyDescent="0.3">
      <c r="A6852" t="s">
        <v>29</v>
      </c>
      <c r="B6852" t="s">
        <v>291</v>
      </c>
      <c r="C6852">
        <v>281</v>
      </c>
      <c r="D6852" t="s">
        <v>615</v>
      </c>
      <c r="E6852" t="s">
        <v>841</v>
      </c>
    </row>
    <row r="6853" spans="1:5" x14ac:dyDescent="0.3">
      <c r="A6853" t="s">
        <v>29</v>
      </c>
      <c r="B6853" t="s">
        <v>292</v>
      </c>
      <c r="C6853">
        <v>353</v>
      </c>
      <c r="D6853" t="s">
        <v>128</v>
      </c>
      <c r="E6853" t="s">
        <v>852</v>
      </c>
    </row>
    <row r="6854" spans="1:5" x14ac:dyDescent="0.3">
      <c r="A6854" t="s">
        <v>28</v>
      </c>
      <c r="B6854" t="s">
        <v>291</v>
      </c>
      <c r="C6854">
        <v>112</v>
      </c>
      <c r="D6854" t="s">
        <v>272</v>
      </c>
      <c r="E6854" t="s">
        <v>336</v>
      </c>
    </row>
    <row r="6855" spans="1:5" x14ac:dyDescent="0.3">
      <c r="A6855" t="s">
        <v>28</v>
      </c>
      <c r="B6855" t="s">
        <v>292</v>
      </c>
      <c r="C6855">
        <v>110</v>
      </c>
      <c r="D6855" t="s">
        <v>532</v>
      </c>
      <c r="E6855" t="s">
        <v>981</v>
      </c>
    </row>
    <row r="6856" spans="1:5" x14ac:dyDescent="0.3">
      <c r="A6856" t="s">
        <v>28</v>
      </c>
      <c r="B6856" t="s">
        <v>308</v>
      </c>
      <c r="C6856">
        <v>12</v>
      </c>
      <c r="D6856" t="s">
        <v>482</v>
      </c>
      <c r="E6856" t="s">
        <v>1134</v>
      </c>
    </row>
    <row r="6857" spans="1:5" x14ac:dyDescent="0.3">
      <c r="A6857" t="s">
        <v>27</v>
      </c>
      <c r="B6857" t="s">
        <v>291</v>
      </c>
      <c r="C6857">
        <v>89</v>
      </c>
      <c r="D6857" t="s">
        <v>232</v>
      </c>
      <c r="E6857" t="s">
        <v>864</v>
      </c>
    </row>
    <row r="6858" spans="1:5" x14ac:dyDescent="0.3">
      <c r="A6858" t="s">
        <v>27</v>
      </c>
      <c r="B6858" t="s">
        <v>292</v>
      </c>
      <c r="C6858">
        <v>126</v>
      </c>
      <c r="D6858" t="s">
        <v>95</v>
      </c>
      <c r="E6858" t="s">
        <v>334</v>
      </c>
    </row>
    <row r="6859" spans="1:5" x14ac:dyDescent="0.3">
      <c r="A6859" t="s">
        <v>27</v>
      </c>
      <c r="B6859" t="s">
        <v>308</v>
      </c>
      <c r="C6859">
        <v>1</v>
      </c>
      <c r="D6859" t="s">
        <v>103</v>
      </c>
      <c r="E6859" t="s">
        <v>192</v>
      </c>
    </row>
    <row r="6860" spans="1:5" x14ac:dyDescent="0.3">
      <c r="A6860" t="s">
        <v>41</v>
      </c>
      <c r="B6860" t="s">
        <v>291</v>
      </c>
      <c r="C6860">
        <v>825</v>
      </c>
      <c r="D6860" t="s">
        <v>114</v>
      </c>
      <c r="E6860" t="s">
        <v>803</v>
      </c>
    </row>
    <row r="6861" spans="1:5" x14ac:dyDescent="0.3">
      <c r="A6861" t="s">
        <v>41</v>
      </c>
      <c r="B6861" t="s">
        <v>292</v>
      </c>
      <c r="C6861">
        <v>1076</v>
      </c>
      <c r="D6861" t="s">
        <v>64</v>
      </c>
      <c r="E6861" t="s">
        <v>65</v>
      </c>
    </row>
    <row r="6862" spans="1:5" x14ac:dyDescent="0.3">
      <c r="A6862" t="s">
        <v>41</v>
      </c>
      <c r="B6862" t="s">
        <v>308</v>
      </c>
      <c r="C6862">
        <v>27</v>
      </c>
      <c r="D6862" t="s">
        <v>341</v>
      </c>
      <c r="E6862" t="s">
        <v>342</v>
      </c>
    </row>
    <row r="6864" spans="1:5" x14ac:dyDescent="0.3">
      <c r="A6864" t="s">
        <v>2235</v>
      </c>
    </row>
    <row r="6865" spans="1:5" x14ac:dyDescent="0.3">
      <c r="A6865" t="s">
        <v>36</v>
      </c>
      <c r="B6865" t="s">
        <v>210</v>
      </c>
      <c r="C6865" t="s">
        <v>24</v>
      </c>
      <c r="D6865" t="s">
        <v>58</v>
      </c>
      <c r="E6865" t="s">
        <v>59</v>
      </c>
    </row>
    <row r="6866" spans="1:5" x14ac:dyDescent="0.3">
      <c r="A6866" t="s">
        <v>25</v>
      </c>
      <c r="B6866" t="s">
        <v>211</v>
      </c>
      <c r="C6866">
        <v>440</v>
      </c>
      <c r="D6866" t="s">
        <v>266</v>
      </c>
      <c r="E6866" t="s">
        <v>879</v>
      </c>
    </row>
    <row r="6867" spans="1:5" x14ac:dyDescent="0.3">
      <c r="A6867" t="s">
        <v>26</v>
      </c>
      <c r="B6867" t="s">
        <v>211</v>
      </c>
      <c r="C6867">
        <v>153</v>
      </c>
      <c r="D6867" t="s">
        <v>110</v>
      </c>
      <c r="E6867" t="s">
        <v>1478</v>
      </c>
    </row>
    <row r="6868" spans="1:5" x14ac:dyDescent="0.3">
      <c r="A6868" t="s">
        <v>26</v>
      </c>
      <c r="B6868" t="s">
        <v>212</v>
      </c>
      <c r="C6868">
        <v>251</v>
      </c>
      <c r="D6868" t="s">
        <v>532</v>
      </c>
      <c r="E6868" t="s">
        <v>981</v>
      </c>
    </row>
    <row r="6869" spans="1:5" x14ac:dyDescent="0.3">
      <c r="A6869" t="s">
        <v>29</v>
      </c>
      <c r="B6869" t="s">
        <v>211</v>
      </c>
      <c r="C6869">
        <v>634</v>
      </c>
      <c r="D6869" t="s">
        <v>438</v>
      </c>
      <c r="E6869" t="s">
        <v>840</v>
      </c>
    </row>
    <row r="6870" spans="1:5" x14ac:dyDescent="0.3">
      <c r="A6870" t="s">
        <v>28</v>
      </c>
      <c r="B6870" t="s">
        <v>211</v>
      </c>
      <c r="C6870">
        <v>218</v>
      </c>
      <c r="D6870" t="s">
        <v>591</v>
      </c>
      <c r="E6870" t="s">
        <v>287</v>
      </c>
    </row>
    <row r="6871" spans="1:5" s="3" customFormat="1" x14ac:dyDescent="0.3">
      <c r="A6871" s="3" t="s">
        <v>28</v>
      </c>
      <c r="B6871" s="3" t="s">
        <v>212</v>
      </c>
      <c r="C6871" s="3">
        <v>16</v>
      </c>
      <c r="D6871" s="3" t="s">
        <v>466</v>
      </c>
      <c r="E6871" s="3" t="s">
        <v>636</v>
      </c>
    </row>
    <row r="6872" spans="1:5" x14ac:dyDescent="0.3">
      <c r="A6872" t="s">
        <v>27</v>
      </c>
      <c r="B6872" t="s">
        <v>211</v>
      </c>
      <c r="C6872">
        <v>196</v>
      </c>
      <c r="D6872" t="s">
        <v>266</v>
      </c>
      <c r="E6872" t="s">
        <v>879</v>
      </c>
    </row>
    <row r="6873" spans="1:5" s="3" customFormat="1" x14ac:dyDescent="0.3">
      <c r="A6873" s="3" t="s">
        <v>27</v>
      </c>
      <c r="B6873" s="3" t="s">
        <v>212</v>
      </c>
      <c r="C6873" s="3">
        <v>20</v>
      </c>
      <c r="D6873" s="3" t="s">
        <v>103</v>
      </c>
      <c r="E6873" s="3" t="s">
        <v>192</v>
      </c>
    </row>
    <row r="6874" spans="1:5" x14ac:dyDescent="0.3">
      <c r="A6874" t="s">
        <v>41</v>
      </c>
      <c r="B6874" t="s">
        <v>211</v>
      </c>
      <c r="C6874">
        <v>1641</v>
      </c>
      <c r="D6874" t="s">
        <v>68</v>
      </c>
      <c r="E6874" t="s">
        <v>69</v>
      </c>
    </row>
    <row r="6875" spans="1:5" x14ac:dyDescent="0.3">
      <c r="A6875" t="s">
        <v>41</v>
      </c>
      <c r="B6875" t="s">
        <v>212</v>
      </c>
      <c r="C6875">
        <v>287</v>
      </c>
      <c r="D6875" t="s">
        <v>532</v>
      </c>
      <c r="E6875" t="s">
        <v>981</v>
      </c>
    </row>
    <row r="6877" spans="1:5" x14ac:dyDescent="0.3">
      <c r="A6877" t="s">
        <v>2236</v>
      </c>
    </row>
    <row r="6878" spans="1:5" x14ac:dyDescent="0.3">
      <c r="A6878" t="s">
        <v>36</v>
      </c>
      <c r="B6878" t="s">
        <v>1517</v>
      </c>
      <c r="C6878" t="s">
        <v>24</v>
      </c>
      <c r="D6878" t="s">
        <v>58</v>
      </c>
      <c r="E6878" t="s">
        <v>59</v>
      </c>
    </row>
    <row r="6879" spans="1:5" x14ac:dyDescent="0.3">
      <c r="A6879" t="s">
        <v>25</v>
      </c>
      <c r="B6879" t="s">
        <v>1518</v>
      </c>
      <c r="C6879">
        <v>280</v>
      </c>
      <c r="D6879" t="s">
        <v>114</v>
      </c>
      <c r="E6879" t="s">
        <v>803</v>
      </c>
    </row>
    <row r="6880" spans="1:5" x14ac:dyDescent="0.3">
      <c r="A6880" t="s">
        <v>25</v>
      </c>
      <c r="B6880" t="s">
        <v>1519</v>
      </c>
      <c r="C6880">
        <v>160</v>
      </c>
      <c r="D6880" t="s">
        <v>97</v>
      </c>
      <c r="E6880" t="s">
        <v>321</v>
      </c>
    </row>
    <row r="6881" spans="1:5" x14ac:dyDescent="0.3">
      <c r="A6881" t="s">
        <v>26</v>
      </c>
      <c r="B6881" t="s">
        <v>1518</v>
      </c>
      <c r="C6881">
        <v>232</v>
      </c>
      <c r="D6881" t="s">
        <v>70</v>
      </c>
      <c r="E6881" t="s">
        <v>71</v>
      </c>
    </row>
    <row r="6882" spans="1:5" x14ac:dyDescent="0.3">
      <c r="A6882" t="s">
        <v>26</v>
      </c>
      <c r="B6882" t="s">
        <v>1519</v>
      </c>
      <c r="C6882">
        <v>168</v>
      </c>
      <c r="D6882" t="s">
        <v>139</v>
      </c>
      <c r="E6882" t="s">
        <v>325</v>
      </c>
    </row>
    <row r="6883" spans="1:5" x14ac:dyDescent="0.3">
      <c r="A6883" t="s">
        <v>26</v>
      </c>
      <c r="B6883" t="s">
        <v>308</v>
      </c>
      <c r="C6883">
        <v>4</v>
      </c>
      <c r="D6883" t="s">
        <v>103</v>
      </c>
      <c r="E6883" t="s">
        <v>192</v>
      </c>
    </row>
    <row r="6884" spans="1:5" x14ac:dyDescent="0.3">
      <c r="A6884" t="s">
        <v>29</v>
      </c>
      <c r="B6884" t="s">
        <v>1518</v>
      </c>
      <c r="C6884">
        <v>427</v>
      </c>
      <c r="D6884" t="s">
        <v>615</v>
      </c>
      <c r="E6884" t="s">
        <v>841</v>
      </c>
    </row>
    <row r="6885" spans="1:5" x14ac:dyDescent="0.3">
      <c r="A6885" t="s">
        <v>29</v>
      </c>
      <c r="B6885" t="s">
        <v>1519</v>
      </c>
      <c r="C6885">
        <v>200</v>
      </c>
      <c r="D6885" t="s">
        <v>120</v>
      </c>
      <c r="E6885" t="s">
        <v>343</v>
      </c>
    </row>
    <row r="6886" spans="1:5" x14ac:dyDescent="0.3">
      <c r="A6886" t="s">
        <v>29</v>
      </c>
      <c r="B6886" t="s">
        <v>308</v>
      </c>
      <c r="C6886">
        <v>7</v>
      </c>
      <c r="D6886" t="s">
        <v>103</v>
      </c>
      <c r="E6886" t="s">
        <v>192</v>
      </c>
    </row>
    <row r="6887" spans="1:5" x14ac:dyDescent="0.3">
      <c r="A6887" t="s">
        <v>28</v>
      </c>
      <c r="B6887" t="s">
        <v>1518</v>
      </c>
      <c r="C6887">
        <v>127</v>
      </c>
      <c r="D6887" t="s">
        <v>214</v>
      </c>
      <c r="E6887" t="s">
        <v>213</v>
      </c>
    </row>
    <row r="6888" spans="1:5" x14ac:dyDescent="0.3">
      <c r="A6888" t="s">
        <v>28</v>
      </c>
      <c r="B6888" t="s">
        <v>1519</v>
      </c>
      <c r="C6888">
        <v>106</v>
      </c>
      <c r="D6888" t="s">
        <v>102</v>
      </c>
      <c r="E6888" t="s">
        <v>867</v>
      </c>
    </row>
    <row r="6889" spans="1:5" x14ac:dyDescent="0.3">
      <c r="A6889" t="s">
        <v>28</v>
      </c>
      <c r="B6889" t="s">
        <v>308</v>
      </c>
      <c r="C6889">
        <v>1</v>
      </c>
      <c r="D6889" t="s">
        <v>103</v>
      </c>
      <c r="E6889" t="s">
        <v>192</v>
      </c>
    </row>
    <row r="6890" spans="1:5" x14ac:dyDescent="0.3">
      <c r="A6890" t="s">
        <v>27</v>
      </c>
      <c r="B6890" t="s">
        <v>1518</v>
      </c>
      <c r="C6890">
        <v>124</v>
      </c>
      <c r="D6890" t="s">
        <v>107</v>
      </c>
      <c r="E6890" t="s">
        <v>1173</v>
      </c>
    </row>
    <row r="6891" spans="1:5" x14ac:dyDescent="0.3">
      <c r="A6891" t="s">
        <v>27</v>
      </c>
      <c r="B6891" t="s">
        <v>1519</v>
      </c>
      <c r="C6891">
        <v>87</v>
      </c>
      <c r="D6891" t="s">
        <v>103</v>
      </c>
      <c r="E6891" t="s">
        <v>192</v>
      </c>
    </row>
    <row r="6892" spans="1:5" x14ac:dyDescent="0.3">
      <c r="A6892" t="s">
        <v>27</v>
      </c>
      <c r="B6892" t="s">
        <v>308</v>
      </c>
      <c r="C6892">
        <v>5</v>
      </c>
      <c r="D6892" t="s">
        <v>103</v>
      </c>
      <c r="E6892" t="s">
        <v>192</v>
      </c>
    </row>
    <row r="6893" spans="1:5" x14ac:dyDescent="0.3">
      <c r="A6893" t="s">
        <v>41</v>
      </c>
      <c r="B6893" t="s">
        <v>1518</v>
      </c>
      <c r="C6893">
        <v>1190</v>
      </c>
      <c r="D6893" t="s">
        <v>615</v>
      </c>
      <c r="E6893" t="s">
        <v>841</v>
      </c>
    </row>
    <row r="6894" spans="1:5" x14ac:dyDescent="0.3">
      <c r="A6894" t="s">
        <v>41</v>
      </c>
      <c r="B6894" t="s">
        <v>1519</v>
      </c>
      <c r="C6894">
        <v>721</v>
      </c>
      <c r="D6894" t="s">
        <v>95</v>
      </c>
      <c r="E6894" t="s">
        <v>334</v>
      </c>
    </row>
    <row r="6895" spans="1:5" x14ac:dyDescent="0.3">
      <c r="A6895" t="s">
        <v>41</v>
      </c>
      <c r="B6895" t="s">
        <v>308</v>
      </c>
      <c r="C6895">
        <v>17</v>
      </c>
      <c r="D6895" t="s">
        <v>103</v>
      </c>
      <c r="E6895" t="s">
        <v>192</v>
      </c>
    </row>
    <row r="6897" spans="1:19" x14ac:dyDescent="0.3">
      <c r="A6897" t="s">
        <v>2237</v>
      </c>
    </row>
    <row r="6898" spans="1:19" x14ac:dyDescent="0.3">
      <c r="A6898" t="s">
        <v>36</v>
      </c>
      <c r="B6898" t="s">
        <v>24</v>
      </c>
      <c r="C6898" t="s">
        <v>2238</v>
      </c>
      <c r="D6898" t="s">
        <v>2239</v>
      </c>
      <c r="E6898" t="s">
        <v>2240</v>
      </c>
      <c r="F6898" t="s">
        <v>2241</v>
      </c>
      <c r="G6898" t="s">
        <v>2242</v>
      </c>
      <c r="H6898" t="s">
        <v>2243</v>
      </c>
      <c r="I6898" t="s">
        <v>2244</v>
      </c>
      <c r="J6898" t="s">
        <v>2245</v>
      </c>
      <c r="K6898" t="s">
        <v>2246</v>
      </c>
      <c r="L6898" t="s">
        <v>2247</v>
      </c>
      <c r="M6898" t="s">
        <v>2248</v>
      </c>
      <c r="N6898" t="s">
        <v>2249</v>
      </c>
      <c r="O6898" t="s">
        <v>2250</v>
      </c>
      <c r="P6898" t="s">
        <v>183</v>
      </c>
      <c r="Q6898" t="s">
        <v>87</v>
      </c>
      <c r="R6898" t="s">
        <v>181</v>
      </c>
    </row>
    <row r="6899" spans="1:19" x14ac:dyDescent="0.3">
      <c r="A6899" t="s">
        <v>25</v>
      </c>
      <c r="B6899">
        <v>440</v>
      </c>
      <c r="C6899" t="s">
        <v>1675</v>
      </c>
      <c r="D6899" t="s">
        <v>452</v>
      </c>
      <c r="E6899" t="s">
        <v>103</v>
      </c>
      <c r="F6899" t="s">
        <v>257</v>
      </c>
      <c r="G6899" t="s">
        <v>543</v>
      </c>
      <c r="H6899" t="s">
        <v>113</v>
      </c>
      <c r="I6899" t="s">
        <v>116</v>
      </c>
      <c r="J6899" t="s">
        <v>345</v>
      </c>
      <c r="K6899" t="s">
        <v>103</v>
      </c>
      <c r="L6899" t="s">
        <v>103</v>
      </c>
      <c r="M6899" t="s">
        <v>345</v>
      </c>
      <c r="N6899" t="s">
        <v>282</v>
      </c>
      <c r="O6899" t="s">
        <v>91</v>
      </c>
      <c r="P6899" t="s">
        <v>103</v>
      </c>
      <c r="Q6899" t="s">
        <v>103</v>
      </c>
      <c r="R6899" t="s">
        <v>103</v>
      </c>
    </row>
    <row r="6900" spans="1:19" x14ac:dyDescent="0.3">
      <c r="A6900" t="s">
        <v>26</v>
      </c>
      <c r="B6900">
        <v>404</v>
      </c>
      <c r="C6900" t="s">
        <v>168</v>
      </c>
      <c r="D6900" t="s">
        <v>194</v>
      </c>
      <c r="E6900" t="s">
        <v>345</v>
      </c>
      <c r="F6900" t="s">
        <v>345</v>
      </c>
      <c r="G6900" t="s">
        <v>224</v>
      </c>
      <c r="H6900" t="s">
        <v>97</v>
      </c>
      <c r="I6900" t="s">
        <v>103</v>
      </c>
      <c r="J6900" t="s">
        <v>95</v>
      </c>
      <c r="K6900" t="s">
        <v>103</v>
      </c>
      <c r="L6900" t="s">
        <v>122</v>
      </c>
      <c r="M6900" t="s">
        <v>93</v>
      </c>
      <c r="N6900" t="s">
        <v>97</v>
      </c>
      <c r="O6900" t="s">
        <v>98</v>
      </c>
      <c r="P6900" t="s">
        <v>103</v>
      </c>
      <c r="Q6900" t="s">
        <v>103</v>
      </c>
      <c r="R6900" t="s">
        <v>103</v>
      </c>
    </row>
    <row r="6901" spans="1:19" x14ac:dyDescent="0.3">
      <c r="A6901" t="s">
        <v>29</v>
      </c>
      <c r="B6901">
        <v>634</v>
      </c>
      <c r="C6901" t="s">
        <v>903</v>
      </c>
      <c r="D6901" t="s">
        <v>32</v>
      </c>
      <c r="E6901" t="s">
        <v>345</v>
      </c>
      <c r="F6901" t="s">
        <v>272</v>
      </c>
      <c r="G6901" t="s">
        <v>206</v>
      </c>
      <c r="H6901" t="s">
        <v>95</v>
      </c>
      <c r="I6901" t="s">
        <v>110</v>
      </c>
      <c r="J6901" t="s">
        <v>239</v>
      </c>
      <c r="K6901" t="s">
        <v>103</v>
      </c>
      <c r="L6901" t="s">
        <v>91</v>
      </c>
      <c r="M6901" t="s">
        <v>110</v>
      </c>
      <c r="N6901" t="s">
        <v>245</v>
      </c>
      <c r="O6901" t="s">
        <v>139</v>
      </c>
      <c r="P6901" t="s">
        <v>103</v>
      </c>
      <c r="Q6901" t="s">
        <v>103</v>
      </c>
      <c r="R6901" t="s">
        <v>103</v>
      </c>
    </row>
    <row r="6902" spans="1:19" x14ac:dyDescent="0.3">
      <c r="A6902" t="s">
        <v>28</v>
      </c>
      <c r="B6902">
        <v>234</v>
      </c>
      <c r="C6902" t="s">
        <v>1056</v>
      </c>
      <c r="D6902" t="s">
        <v>232</v>
      </c>
      <c r="E6902" t="s">
        <v>103</v>
      </c>
      <c r="F6902" t="s">
        <v>281</v>
      </c>
      <c r="G6902" t="s">
        <v>214</v>
      </c>
      <c r="H6902" t="s">
        <v>282</v>
      </c>
      <c r="I6902" t="s">
        <v>97</v>
      </c>
      <c r="J6902" t="s">
        <v>128</v>
      </c>
      <c r="K6902" t="s">
        <v>122</v>
      </c>
      <c r="L6902" t="s">
        <v>103</v>
      </c>
      <c r="M6902" t="s">
        <v>93</v>
      </c>
      <c r="N6902" t="s">
        <v>110</v>
      </c>
      <c r="O6902" t="s">
        <v>103</v>
      </c>
      <c r="P6902" t="s">
        <v>103</v>
      </c>
      <c r="Q6902" t="s">
        <v>103</v>
      </c>
      <c r="R6902" t="s">
        <v>103</v>
      </c>
    </row>
    <row r="6903" spans="1:19" x14ac:dyDescent="0.3">
      <c r="A6903" t="s">
        <v>27</v>
      </c>
      <c r="B6903">
        <v>216</v>
      </c>
      <c r="C6903" t="s">
        <v>151</v>
      </c>
      <c r="D6903" t="s">
        <v>128</v>
      </c>
      <c r="E6903" t="s">
        <v>194</v>
      </c>
      <c r="F6903" t="s">
        <v>103</v>
      </c>
      <c r="G6903" t="s">
        <v>251</v>
      </c>
      <c r="H6903" t="s">
        <v>341</v>
      </c>
      <c r="I6903" t="s">
        <v>103</v>
      </c>
      <c r="J6903" t="s">
        <v>93</v>
      </c>
      <c r="K6903" t="s">
        <v>103</v>
      </c>
      <c r="L6903" t="s">
        <v>103</v>
      </c>
      <c r="M6903" t="s">
        <v>105</v>
      </c>
      <c r="N6903" t="s">
        <v>139</v>
      </c>
      <c r="O6903" t="s">
        <v>103</v>
      </c>
      <c r="P6903" t="s">
        <v>103</v>
      </c>
      <c r="Q6903" t="s">
        <v>103</v>
      </c>
      <c r="R6903" t="s">
        <v>103</v>
      </c>
    </row>
    <row r="6904" spans="1:19" x14ac:dyDescent="0.3">
      <c r="A6904" t="s">
        <v>41</v>
      </c>
      <c r="B6904">
        <v>1928</v>
      </c>
      <c r="C6904" t="s">
        <v>775</v>
      </c>
      <c r="D6904" t="s">
        <v>113</v>
      </c>
      <c r="E6904" t="s">
        <v>98</v>
      </c>
      <c r="F6904" t="s">
        <v>217</v>
      </c>
      <c r="G6904" t="s">
        <v>124</v>
      </c>
      <c r="H6904" t="s">
        <v>110</v>
      </c>
      <c r="I6904" t="s">
        <v>139</v>
      </c>
      <c r="J6904" t="s">
        <v>194</v>
      </c>
      <c r="K6904" t="s">
        <v>103</v>
      </c>
      <c r="L6904" t="s">
        <v>66</v>
      </c>
      <c r="M6904" t="s">
        <v>239</v>
      </c>
      <c r="N6904" t="s">
        <v>194</v>
      </c>
      <c r="O6904" t="s">
        <v>120</v>
      </c>
      <c r="P6904" t="s">
        <v>103</v>
      </c>
      <c r="Q6904" t="s">
        <v>103</v>
      </c>
      <c r="R6904" t="s">
        <v>103</v>
      </c>
    </row>
    <row r="6906" spans="1:19" x14ac:dyDescent="0.3">
      <c r="A6906" t="s">
        <v>2251</v>
      </c>
    </row>
    <row r="6907" spans="1:19" x14ac:dyDescent="0.3">
      <c r="A6907" t="s">
        <v>36</v>
      </c>
      <c r="B6907" t="s">
        <v>2172</v>
      </c>
      <c r="C6907" t="s">
        <v>24</v>
      </c>
      <c r="D6907" t="s">
        <v>2238</v>
      </c>
      <c r="E6907" t="s">
        <v>2239</v>
      </c>
      <c r="F6907" t="s">
        <v>2240</v>
      </c>
      <c r="G6907" t="s">
        <v>2241</v>
      </c>
      <c r="H6907" t="s">
        <v>2242</v>
      </c>
      <c r="I6907" t="s">
        <v>2243</v>
      </c>
      <c r="J6907" t="s">
        <v>2244</v>
      </c>
      <c r="K6907" t="s">
        <v>2245</v>
      </c>
      <c r="L6907" t="s">
        <v>2246</v>
      </c>
      <c r="M6907" t="s">
        <v>2247</v>
      </c>
      <c r="N6907" t="s">
        <v>2248</v>
      </c>
      <c r="O6907" t="s">
        <v>2249</v>
      </c>
      <c r="P6907" t="s">
        <v>2250</v>
      </c>
      <c r="Q6907" t="s">
        <v>183</v>
      </c>
      <c r="R6907" t="s">
        <v>87</v>
      </c>
      <c r="S6907" t="s">
        <v>181</v>
      </c>
    </row>
    <row r="6908" spans="1:19" s="3" customFormat="1" x14ac:dyDescent="0.3">
      <c r="A6908" s="3" t="s">
        <v>25</v>
      </c>
      <c r="B6908" s="3" t="s">
        <v>844</v>
      </c>
      <c r="C6908" s="3">
        <v>14</v>
      </c>
      <c r="D6908" s="3" t="s">
        <v>1377</v>
      </c>
      <c r="E6908" s="3" t="s">
        <v>278</v>
      </c>
      <c r="F6908" s="3" t="s">
        <v>103</v>
      </c>
      <c r="G6908" s="3" t="s">
        <v>652</v>
      </c>
      <c r="H6908" s="3" t="s">
        <v>157</v>
      </c>
      <c r="I6908" s="3" t="s">
        <v>103</v>
      </c>
      <c r="J6908" s="3" t="s">
        <v>103</v>
      </c>
      <c r="K6908" s="3" t="s">
        <v>103</v>
      </c>
      <c r="L6908" s="3" t="s">
        <v>103</v>
      </c>
      <c r="M6908" s="3" t="s">
        <v>103</v>
      </c>
      <c r="N6908" s="3" t="s">
        <v>103</v>
      </c>
      <c r="O6908" s="3" t="s">
        <v>103</v>
      </c>
      <c r="P6908" s="3" t="s">
        <v>103</v>
      </c>
      <c r="Q6908" s="3" t="s">
        <v>103</v>
      </c>
      <c r="R6908" s="3" t="s">
        <v>103</v>
      </c>
      <c r="S6908" s="3" t="s">
        <v>103</v>
      </c>
    </row>
    <row r="6909" spans="1:19" s="3" customFormat="1" x14ac:dyDescent="0.3">
      <c r="A6909" s="3" t="s">
        <v>25</v>
      </c>
      <c r="B6909" s="3" t="s">
        <v>2173</v>
      </c>
      <c r="C6909" s="3">
        <v>20</v>
      </c>
      <c r="D6909" s="3" t="s">
        <v>172</v>
      </c>
      <c r="E6909" s="3" t="s">
        <v>133</v>
      </c>
      <c r="F6909" s="3" t="s">
        <v>103</v>
      </c>
      <c r="G6909" s="3" t="s">
        <v>103</v>
      </c>
      <c r="H6909" s="3" t="s">
        <v>242</v>
      </c>
      <c r="I6909" s="3" t="s">
        <v>103</v>
      </c>
      <c r="J6909" s="3" t="s">
        <v>103</v>
      </c>
      <c r="K6909" s="3" t="s">
        <v>103</v>
      </c>
      <c r="L6909" s="3" t="s">
        <v>103</v>
      </c>
      <c r="M6909" s="3" t="s">
        <v>103</v>
      </c>
      <c r="N6909" s="3" t="s">
        <v>103</v>
      </c>
      <c r="O6909" s="3" t="s">
        <v>103</v>
      </c>
      <c r="P6909" s="3" t="s">
        <v>103</v>
      </c>
      <c r="Q6909" s="3" t="s">
        <v>103</v>
      </c>
      <c r="R6909" s="3" t="s">
        <v>103</v>
      </c>
      <c r="S6909" s="3" t="s">
        <v>103</v>
      </c>
    </row>
    <row r="6910" spans="1:19" s="3" customFormat="1" x14ac:dyDescent="0.3">
      <c r="A6910" s="3" t="s">
        <v>25</v>
      </c>
      <c r="B6910" s="3" t="s">
        <v>2174</v>
      </c>
      <c r="C6910" s="3">
        <v>11</v>
      </c>
      <c r="D6910" s="3" t="s">
        <v>633</v>
      </c>
      <c r="E6910" s="3" t="s">
        <v>594</v>
      </c>
      <c r="F6910" s="3" t="s">
        <v>103</v>
      </c>
      <c r="G6910" s="3" t="s">
        <v>103</v>
      </c>
      <c r="H6910" s="3" t="s">
        <v>103</v>
      </c>
      <c r="I6910" s="3" t="s">
        <v>594</v>
      </c>
      <c r="J6910" s="3" t="s">
        <v>103</v>
      </c>
      <c r="K6910" s="3" t="s">
        <v>103</v>
      </c>
      <c r="L6910" s="3" t="s">
        <v>103</v>
      </c>
      <c r="M6910" s="3" t="s">
        <v>103</v>
      </c>
      <c r="N6910" s="3" t="s">
        <v>103</v>
      </c>
      <c r="O6910" s="3" t="s">
        <v>103</v>
      </c>
      <c r="P6910" s="3" t="s">
        <v>103</v>
      </c>
      <c r="Q6910" s="3" t="s">
        <v>103</v>
      </c>
      <c r="R6910" s="3" t="s">
        <v>103</v>
      </c>
      <c r="S6910" s="3" t="s">
        <v>103</v>
      </c>
    </row>
    <row r="6911" spans="1:19" s="3" customFormat="1" x14ac:dyDescent="0.3">
      <c r="A6911" s="3" t="s">
        <v>25</v>
      </c>
      <c r="B6911" s="3" t="s">
        <v>2175</v>
      </c>
      <c r="C6911" s="3">
        <v>9</v>
      </c>
      <c r="D6911" s="3" t="s">
        <v>207</v>
      </c>
      <c r="E6911" s="3" t="s">
        <v>124</v>
      </c>
      <c r="F6911" s="3" t="s">
        <v>103</v>
      </c>
      <c r="G6911" s="3" t="s">
        <v>103</v>
      </c>
      <c r="H6911" s="3" t="s">
        <v>103</v>
      </c>
      <c r="I6911" s="3" t="s">
        <v>103</v>
      </c>
      <c r="J6911" s="3" t="s">
        <v>103</v>
      </c>
      <c r="K6911" s="3" t="s">
        <v>103</v>
      </c>
      <c r="L6911" s="3" t="s">
        <v>103</v>
      </c>
      <c r="M6911" s="3" t="s">
        <v>103</v>
      </c>
      <c r="N6911" s="3" t="s">
        <v>103</v>
      </c>
      <c r="O6911" s="3" t="s">
        <v>103</v>
      </c>
      <c r="P6911" s="3" t="s">
        <v>103</v>
      </c>
      <c r="Q6911" s="3" t="s">
        <v>103</v>
      </c>
      <c r="R6911" s="3" t="s">
        <v>103</v>
      </c>
      <c r="S6911" s="3" t="s">
        <v>103</v>
      </c>
    </row>
    <row r="6912" spans="1:19" x14ac:dyDescent="0.3">
      <c r="A6912" t="s">
        <v>25</v>
      </c>
      <c r="B6912" t="s">
        <v>2176</v>
      </c>
      <c r="C6912">
        <v>72</v>
      </c>
      <c r="D6912" t="s">
        <v>1436</v>
      </c>
      <c r="E6912" t="s">
        <v>62</v>
      </c>
      <c r="F6912" t="s">
        <v>103</v>
      </c>
      <c r="G6912" t="s">
        <v>118</v>
      </c>
      <c r="H6912" t="s">
        <v>131</v>
      </c>
      <c r="I6912" t="s">
        <v>460</v>
      </c>
      <c r="J6912" t="s">
        <v>103</v>
      </c>
      <c r="K6912" t="s">
        <v>103</v>
      </c>
      <c r="L6912" t="s">
        <v>103</v>
      </c>
      <c r="M6912" t="s">
        <v>103</v>
      </c>
      <c r="N6912" t="s">
        <v>110</v>
      </c>
      <c r="O6912" t="s">
        <v>216</v>
      </c>
      <c r="P6912" t="s">
        <v>103</v>
      </c>
      <c r="Q6912" t="s">
        <v>103</v>
      </c>
      <c r="R6912" t="s">
        <v>103</v>
      </c>
      <c r="S6912" t="s">
        <v>103</v>
      </c>
    </row>
    <row r="6913" spans="1:19" x14ac:dyDescent="0.3">
      <c r="A6913" t="s">
        <v>25</v>
      </c>
      <c r="B6913" t="s">
        <v>2177</v>
      </c>
      <c r="C6913">
        <v>73</v>
      </c>
      <c r="D6913" t="s">
        <v>1013</v>
      </c>
      <c r="E6913" t="s">
        <v>607</v>
      </c>
      <c r="F6913" t="s">
        <v>66</v>
      </c>
      <c r="G6913" t="s">
        <v>114</v>
      </c>
      <c r="H6913" t="s">
        <v>247</v>
      </c>
      <c r="I6913" t="s">
        <v>452</v>
      </c>
      <c r="J6913" t="s">
        <v>245</v>
      </c>
      <c r="K6913" t="s">
        <v>188</v>
      </c>
      <c r="L6913" t="s">
        <v>103</v>
      </c>
      <c r="M6913" t="s">
        <v>103</v>
      </c>
      <c r="N6913" t="s">
        <v>257</v>
      </c>
      <c r="O6913" t="s">
        <v>98</v>
      </c>
      <c r="P6913" t="s">
        <v>103</v>
      </c>
      <c r="Q6913" t="s">
        <v>103</v>
      </c>
      <c r="R6913" t="s">
        <v>103</v>
      </c>
      <c r="S6913" t="s">
        <v>103</v>
      </c>
    </row>
    <row r="6914" spans="1:19" x14ac:dyDescent="0.3">
      <c r="A6914" t="s">
        <v>25</v>
      </c>
      <c r="B6914" t="s">
        <v>2178</v>
      </c>
      <c r="C6914">
        <v>89</v>
      </c>
      <c r="D6914" t="s">
        <v>189</v>
      </c>
      <c r="E6914" t="s">
        <v>139</v>
      </c>
      <c r="F6914" t="s">
        <v>103</v>
      </c>
      <c r="G6914" t="s">
        <v>195</v>
      </c>
      <c r="H6914" t="s">
        <v>531</v>
      </c>
      <c r="I6914" t="s">
        <v>511</v>
      </c>
      <c r="J6914" t="s">
        <v>103</v>
      </c>
      <c r="K6914" t="s">
        <v>128</v>
      </c>
      <c r="L6914" t="s">
        <v>103</v>
      </c>
      <c r="M6914" t="s">
        <v>103</v>
      </c>
      <c r="N6914" t="s">
        <v>468</v>
      </c>
      <c r="O6914" t="s">
        <v>103</v>
      </c>
      <c r="P6914" t="s">
        <v>97</v>
      </c>
      <c r="Q6914" t="s">
        <v>103</v>
      </c>
      <c r="R6914" t="s">
        <v>103</v>
      </c>
      <c r="S6914" t="s">
        <v>103</v>
      </c>
    </row>
    <row r="6915" spans="1:19" s="3" customFormat="1" x14ac:dyDescent="0.3">
      <c r="A6915" s="3" t="s">
        <v>25</v>
      </c>
      <c r="B6915" s="3" t="s">
        <v>846</v>
      </c>
      <c r="C6915" s="3">
        <v>16</v>
      </c>
      <c r="D6915" s="3" t="s">
        <v>1281</v>
      </c>
      <c r="E6915" s="3" t="s">
        <v>119</v>
      </c>
      <c r="F6915" s="3" t="s">
        <v>103</v>
      </c>
      <c r="G6915" s="3" t="s">
        <v>103</v>
      </c>
      <c r="H6915" s="3" t="s">
        <v>516</v>
      </c>
      <c r="I6915" s="3" t="s">
        <v>103</v>
      </c>
      <c r="J6915" s="3" t="s">
        <v>103</v>
      </c>
      <c r="K6915" s="3" t="s">
        <v>103</v>
      </c>
      <c r="L6915" s="3" t="s">
        <v>103</v>
      </c>
      <c r="M6915" s="3" t="s">
        <v>103</v>
      </c>
      <c r="N6915" s="3" t="s">
        <v>103</v>
      </c>
      <c r="O6915" s="3" t="s">
        <v>103</v>
      </c>
      <c r="P6915" s="3" t="s">
        <v>103</v>
      </c>
      <c r="Q6915" s="3" t="s">
        <v>103</v>
      </c>
      <c r="R6915" s="3" t="s">
        <v>103</v>
      </c>
      <c r="S6915" s="3" t="s">
        <v>103</v>
      </c>
    </row>
    <row r="6916" spans="1:19" s="3" customFormat="1" x14ac:dyDescent="0.3">
      <c r="A6916" s="3" t="s">
        <v>25</v>
      </c>
      <c r="B6916" s="3" t="s">
        <v>2179</v>
      </c>
      <c r="C6916" s="3">
        <v>18</v>
      </c>
      <c r="D6916" s="3" t="s">
        <v>215</v>
      </c>
      <c r="E6916" s="3" t="s">
        <v>558</v>
      </c>
      <c r="F6916" s="3" t="s">
        <v>103</v>
      </c>
      <c r="G6916" s="3" t="s">
        <v>103</v>
      </c>
      <c r="H6916" s="3" t="s">
        <v>112</v>
      </c>
      <c r="I6916" s="3" t="s">
        <v>103</v>
      </c>
      <c r="J6916" s="3" t="s">
        <v>103</v>
      </c>
      <c r="K6916" s="3" t="s">
        <v>103</v>
      </c>
      <c r="L6916" s="3" t="s">
        <v>103</v>
      </c>
      <c r="M6916" s="3" t="s">
        <v>103</v>
      </c>
      <c r="N6916" s="3" t="s">
        <v>103</v>
      </c>
      <c r="O6916" s="3" t="s">
        <v>103</v>
      </c>
      <c r="P6916" s="3" t="s">
        <v>103</v>
      </c>
      <c r="Q6916" s="3" t="s">
        <v>103</v>
      </c>
      <c r="R6916" s="3" t="s">
        <v>103</v>
      </c>
      <c r="S6916" s="3" t="s">
        <v>103</v>
      </c>
    </row>
    <row r="6917" spans="1:19" s="3" customFormat="1" x14ac:dyDescent="0.3">
      <c r="A6917" s="3" t="s">
        <v>25</v>
      </c>
      <c r="B6917" s="3" t="s">
        <v>2180</v>
      </c>
      <c r="C6917" s="3">
        <v>14</v>
      </c>
      <c r="D6917" s="3" t="s">
        <v>1133</v>
      </c>
      <c r="E6917" s="3" t="s">
        <v>262</v>
      </c>
      <c r="F6917" s="3" t="s">
        <v>103</v>
      </c>
      <c r="G6917" s="3" t="s">
        <v>64</v>
      </c>
      <c r="H6917" s="3" t="s">
        <v>137</v>
      </c>
      <c r="I6917" s="3" t="s">
        <v>103</v>
      </c>
      <c r="J6917" s="3" t="s">
        <v>103</v>
      </c>
      <c r="K6917" s="3" t="s">
        <v>103</v>
      </c>
      <c r="L6917" s="3" t="s">
        <v>103</v>
      </c>
      <c r="M6917" s="3" t="s">
        <v>103</v>
      </c>
      <c r="N6917" s="3" t="s">
        <v>103</v>
      </c>
      <c r="O6917" s="3" t="s">
        <v>175</v>
      </c>
      <c r="P6917" s="3" t="s">
        <v>103</v>
      </c>
      <c r="Q6917" s="3" t="s">
        <v>103</v>
      </c>
      <c r="R6917" s="3" t="s">
        <v>103</v>
      </c>
      <c r="S6917" s="3" t="s">
        <v>103</v>
      </c>
    </row>
    <row r="6918" spans="1:19" s="3" customFormat="1" x14ac:dyDescent="0.3">
      <c r="A6918" s="3" t="s">
        <v>25</v>
      </c>
      <c r="B6918" s="3" t="s">
        <v>2181</v>
      </c>
      <c r="C6918" s="3">
        <v>7</v>
      </c>
      <c r="D6918" s="3" t="s">
        <v>1392</v>
      </c>
      <c r="E6918" s="3" t="s">
        <v>555</v>
      </c>
      <c r="F6918" s="3" t="s">
        <v>103</v>
      </c>
      <c r="G6918" s="3" t="s">
        <v>103</v>
      </c>
      <c r="H6918" s="3" t="s">
        <v>146</v>
      </c>
      <c r="I6918" s="3" t="s">
        <v>103</v>
      </c>
      <c r="J6918" s="3" t="s">
        <v>103</v>
      </c>
      <c r="K6918" s="3" t="s">
        <v>103</v>
      </c>
      <c r="L6918" s="3" t="s">
        <v>103</v>
      </c>
      <c r="M6918" s="3" t="s">
        <v>103</v>
      </c>
      <c r="N6918" s="3" t="s">
        <v>103</v>
      </c>
      <c r="O6918" s="3" t="s">
        <v>103</v>
      </c>
      <c r="P6918" s="3" t="s">
        <v>103</v>
      </c>
      <c r="Q6918" s="3" t="s">
        <v>103</v>
      </c>
      <c r="R6918" s="3" t="s">
        <v>103</v>
      </c>
      <c r="S6918" s="3" t="s">
        <v>103</v>
      </c>
    </row>
    <row r="6919" spans="1:19" x14ac:dyDescent="0.3">
      <c r="A6919" t="s">
        <v>25</v>
      </c>
      <c r="B6919" t="s">
        <v>2182</v>
      </c>
      <c r="C6919">
        <v>34</v>
      </c>
      <c r="D6919" t="s">
        <v>1325</v>
      </c>
      <c r="E6919" t="s">
        <v>571</v>
      </c>
      <c r="F6919" t="s">
        <v>103</v>
      </c>
      <c r="G6919" t="s">
        <v>257</v>
      </c>
      <c r="H6919" t="s">
        <v>524</v>
      </c>
      <c r="I6919" t="s">
        <v>594</v>
      </c>
      <c r="J6919" t="s">
        <v>103</v>
      </c>
      <c r="K6919" t="s">
        <v>103</v>
      </c>
      <c r="L6919" t="s">
        <v>103</v>
      </c>
      <c r="M6919" t="s">
        <v>103</v>
      </c>
      <c r="N6919" t="s">
        <v>103</v>
      </c>
      <c r="O6919" t="s">
        <v>103</v>
      </c>
      <c r="P6919" t="s">
        <v>103</v>
      </c>
      <c r="Q6919" t="s">
        <v>103</v>
      </c>
      <c r="R6919" t="s">
        <v>103</v>
      </c>
      <c r="S6919" t="s">
        <v>103</v>
      </c>
    </row>
    <row r="6920" spans="1:19" x14ac:dyDescent="0.3">
      <c r="A6920" t="s">
        <v>25</v>
      </c>
      <c r="B6920" t="s">
        <v>2183</v>
      </c>
      <c r="C6920">
        <v>31</v>
      </c>
      <c r="D6920" t="s">
        <v>1244</v>
      </c>
      <c r="E6920" t="s">
        <v>558</v>
      </c>
      <c r="F6920" t="s">
        <v>103</v>
      </c>
      <c r="G6920" t="s">
        <v>188</v>
      </c>
      <c r="H6920" t="s">
        <v>682</v>
      </c>
      <c r="I6920" t="s">
        <v>64</v>
      </c>
      <c r="J6920" t="s">
        <v>103</v>
      </c>
      <c r="K6920" t="s">
        <v>103</v>
      </c>
      <c r="L6920" t="s">
        <v>103</v>
      </c>
      <c r="M6920" t="s">
        <v>103</v>
      </c>
      <c r="N6920" t="s">
        <v>103</v>
      </c>
      <c r="O6920" t="s">
        <v>217</v>
      </c>
      <c r="P6920" t="s">
        <v>103</v>
      </c>
      <c r="Q6920" t="s">
        <v>103</v>
      </c>
      <c r="R6920" t="s">
        <v>103</v>
      </c>
      <c r="S6920" t="s">
        <v>103</v>
      </c>
    </row>
    <row r="6921" spans="1:19" x14ac:dyDescent="0.3">
      <c r="A6921" t="s">
        <v>25</v>
      </c>
      <c r="B6921" t="s">
        <v>2184</v>
      </c>
      <c r="C6921">
        <v>32</v>
      </c>
      <c r="D6921" t="s">
        <v>739</v>
      </c>
      <c r="E6921" t="s">
        <v>103</v>
      </c>
      <c r="F6921" t="s">
        <v>103</v>
      </c>
      <c r="G6921" t="s">
        <v>103</v>
      </c>
      <c r="H6921" t="s">
        <v>495</v>
      </c>
      <c r="I6921" t="s">
        <v>103</v>
      </c>
      <c r="J6921" t="s">
        <v>103</v>
      </c>
      <c r="K6921" t="s">
        <v>103</v>
      </c>
      <c r="L6921" t="s">
        <v>103</v>
      </c>
      <c r="M6921" t="s">
        <v>103</v>
      </c>
      <c r="N6921" t="s">
        <v>68</v>
      </c>
      <c r="O6921" t="s">
        <v>103</v>
      </c>
      <c r="P6921" t="s">
        <v>103</v>
      </c>
      <c r="Q6921" t="s">
        <v>103</v>
      </c>
      <c r="R6921" t="s">
        <v>103</v>
      </c>
      <c r="S6921" t="s">
        <v>103</v>
      </c>
    </row>
    <row r="6922" spans="1:19" s="3" customFormat="1" x14ac:dyDescent="0.3">
      <c r="A6922" s="3" t="s">
        <v>26</v>
      </c>
      <c r="B6922" s="3" t="s">
        <v>844</v>
      </c>
      <c r="C6922" s="3">
        <v>13</v>
      </c>
      <c r="D6922" s="3" t="s">
        <v>192</v>
      </c>
      <c r="E6922" s="3" t="s">
        <v>103</v>
      </c>
      <c r="F6922" s="3" t="s">
        <v>103</v>
      </c>
      <c r="G6922" s="3" t="s">
        <v>103</v>
      </c>
      <c r="H6922" s="3" t="s">
        <v>103</v>
      </c>
      <c r="I6922" s="3" t="s">
        <v>103</v>
      </c>
      <c r="J6922" s="3" t="s">
        <v>103</v>
      </c>
      <c r="K6922" s="3" t="s">
        <v>103</v>
      </c>
      <c r="L6922" s="3" t="s">
        <v>103</v>
      </c>
      <c r="M6922" s="3" t="s">
        <v>103</v>
      </c>
      <c r="N6922" s="3" t="s">
        <v>103</v>
      </c>
      <c r="O6922" s="3" t="s">
        <v>103</v>
      </c>
      <c r="P6922" s="3" t="s">
        <v>103</v>
      </c>
      <c r="Q6922" s="3" t="s">
        <v>103</v>
      </c>
      <c r="R6922" s="3" t="s">
        <v>103</v>
      </c>
      <c r="S6922" s="3" t="s">
        <v>103</v>
      </c>
    </row>
    <row r="6923" spans="1:19" s="3" customFormat="1" x14ac:dyDescent="0.3">
      <c r="A6923" s="3" t="s">
        <v>26</v>
      </c>
      <c r="B6923" s="3" t="s">
        <v>2173</v>
      </c>
      <c r="C6923" s="3">
        <v>24</v>
      </c>
      <c r="D6923" s="3" t="s">
        <v>286</v>
      </c>
      <c r="E6923" s="3" t="s">
        <v>139</v>
      </c>
      <c r="F6923" s="3" t="s">
        <v>103</v>
      </c>
      <c r="G6923" s="3" t="s">
        <v>103</v>
      </c>
      <c r="H6923" s="3" t="s">
        <v>270</v>
      </c>
      <c r="I6923" s="3" t="s">
        <v>103</v>
      </c>
      <c r="J6923" s="3" t="s">
        <v>103</v>
      </c>
      <c r="K6923" s="3" t="s">
        <v>103</v>
      </c>
      <c r="L6923" s="3" t="s">
        <v>103</v>
      </c>
      <c r="M6923" s="3" t="s">
        <v>103</v>
      </c>
      <c r="N6923" s="3" t="s">
        <v>103</v>
      </c>
      <c r="O6923" s="3" t="s">
        <v>103</v>
      </c>
      <c r="P6923" s="3" t="s">
        <v>103</v>
      </c>
      <c r="Q6923" s="3" t="s">
        <v>103</v>
      </c>
      <c r="R6923" s="3" t="s">
        <v>103</v>
      </c>
      <c r="S6923" s="3" t="s">
        <v>103</v>
      </c>
    </row>
    <row r="6924" spans="1:19" s="3" customFormat="1" x14ac:dyDescent="0.3">
      <c r="A6924" s="3" t="s">
        <v>26</v>
      </c>
      <c r="B6924" s="3" t="s">
        <v>2174</v>
      </c>
      <c r="C6924" s="3">
        <v>15</v>
      </c>
      <c r="D6924" s="3" t="s">
        <v>803</v>
      </c>
      <c r="E6924" s="3" t="s">
        <v>116</v>
      </c>
      <c r="F6924" s="3" t="s">
        <v>102</v>
      </c>
      <c r="G6924" s="3" t="s">
        <v>103</v>
      </c>
      <c r="H6924" s="3" t="s">
        <v>103</v>
      </c>
      <c r="I6924" s="3" t="s">
        <v>103</v>
      </c>
      <c r="J6924" s="3" t="s">
        <v>103</v>
      </c>
      <c r="K6924" s="3" t="s">
        <v>103</v>
      </c>
      <c r="L6924" s="3" t="s">
        <v>103</v>
      </c>
      <c r="M6924" s="3" t="s">
        <v>103</v>
      </c>
      <c r="N6924" s="3" t="s">
        <v>103</v>
      </c>
      <c r="O6924" s="3" t="s">
        <v>103</v>
      </c>
      <c r="P6924" s="3" t="s">
        <v>103</v>
      </c>
      <c r="Q6924" s="3" t="s">
        <v>103</v>
      </c>
      <c r="R6924" s="3" t="s">
        <v>103</v>
      </c>
      <c r="S6924" s="3" t="s">
        <v>103</v>
      </c>
    </row>
    <row r="6925" spans="1:19" s="3" customFormat="1" x14ac:dyDescent="0.3">
      <c r="A6925" s="3" t="s">
        <v>26</v>
      </c>
      <c r="B6925" s="3" t="s">
        <v>2175</v>
      </c>
      <c r="C6925" s="3">
        <v>8</v>
      </c>
      <c r="D6925" s="3" t="s">
        <v>170</v>
      </c>
      <c r="E6925" s="3" t="s">
        <v>103</v>
      </c>
      <c r="F6925" s="3" t="s">
        <v>103</v>
      </c>
      <c r="G6925" s="3" t="s">
        <v>103</v>
      </c>
      <c r="H6925" s="3" t="s">
        <v>103</v>
      </c>
      <c r="I6925" s="3" t="s">
        <v>103</v>
      </c>
      <c r="J6925" s="3" t="s">
        <v>103</v>
      </c>
      <c r="K6925" s="3" t="s">
        <v>103</v>
      </c>
      <c r="L6925" s="3" t="s">
        <v>103</v>
      </c>
      <c r="M6925" s="3" t="s">
        <v>103</v>
      </c>
      <c r="N6925" s="3" t="s">
        <v>169</v>
      </c>
      <c r="O6925" s="3" t="s">
        <v>103</v>
      </c>
      <c r="P6925" s="3" t="s">
        <v>103</v>
      </c>
      <c r="Q6925" s="3" t="s">
        <v>103</v>
      </c>
      <c r="R6925" s="3" t="s">
        <v>103</v>
      </c>
      <c r="S6925" s="3" t="s">
        <v>103</v>
      </c>
    </row>
    <row r="6926" spans="1:19" x14ac:dyDescent="0.3">
      <c r="A6926" t="s">
        <v>26</v>
      </c>
      <c r="B6926" t="s">
        <v>2176</v>
      </c>
      <c r="C6926">
        <v>59</v>
      </c>
      <c r="D6926" t="s">
        <v>1509</v>
      </c>
      <c r="E6926" t="s">
        <v>91</v>
      </c>
      <c r="F6926" t="s">
        <v>110</v>
      </c>
      <c r="G6926" t="s">
        <v>103</v>
      </c>
      <c r="H6926" t="s">
        <v>558</v>
      </c>
      <c r="I6926" t="s">
        <v>110</v>
      </c>
      <c r="J6926" t="s">
        <v>103</v>
      </c>
      <c r="K6926" t="s">
        <v>103</v>
      </c>
      <c r="L6926" t="s">
        <v>103</v>
      </c>
      <c r="M6926" t="s">
        <v>103</v>
      </c>
      <c r="N6926" t="s">
        <v>128</v>
      </c>
      <c r="O6926" t="s">
        <v>103</v>
      </c>
      <c r="P6926" t="s">
        <v>103</v>
      </c>
      <c r="Q6926" t="s">
        <v>103</v>
      </c>
      <c r="R6926" t="s">
        <v>103</v>
      </c>
      <c r="S6926" t="s">
        <v>103</v>
      </c>
    </row>
    <row r="6927" spans="1:19" x14ac:dyDescent="0.3">
      <c r="A6927" t="s">
        <v>26</v>
      </c>
      <c r="B6927" t="s">
        <v>2177</v>
      </c>
      <c r="C6927">
        <v>64</v>
      </c>
      <c r="D6927" t="s">
        <v>799</v>
      </c>
      <c r="E6927" t="s">
        <v>139</v>
      </c>
      <c r="F6927" t="s">
        <v>103</v>
      </c>
      <c r="G6927" t="s">
        <v>272</v>
      </c>
      <c r="H6927" t="s">
        <v>1143</v>
      </c>
      <c r="I6927" t="s">
        <v>341</v>
      </c>
      <c r="J6927" t="s">
        <v>103</v>
      </c>
      <c r="K6927" t="s">
        <v>345</v>
      </c>
      <c r="L6927" t="s">
        <v>103</v>
      </c>
      <c r="M6927" t="s">
        <v>270</v>
      </c>
      <c r="N6927" t="s">
        <v>281</v>
      </c>
      <c r="O6927" t="s">
        <v>270</v>
      </c>
      <c r="P6927" t="s">
        <v>103</v>
      </c>
      <c r="Q6927" t="s">
        <v>103</v>
      </c>
      <c r="R6927" t="s">
        <v>103</v>
      </c>
      <c r="S6927" t="s">
        <v>103</v>
      </c>
    </row>
    <row r="6928" spans="1:19" x14ac:dyDescent="0.3">
      <c r="A6928" t="s">
        <v>26</v>
      </c>
      <c r="B6928" t="s">
        <v>2178</v>
      </c>
      <c r="C6928">
        <v>74</v>
      </c>
      <c r="D6928" t="s">
        <v>771</v>
      </c>
      <c r="E6928" t="s">
        <v>103</v>
      </c>
      <c r="F6928" t="s">
        <v>98</v>
      </c>
      <c r="G6928" t="s">
        <v>103</v>
      </c>
      <c r="H6928" t="s">
        <v>281</v>
      </c>
      <c r="I6928" t="s">
        <v>103</v>
      </c>
      <c r="J6928" t="s">
        <v>103</v>
      </c>
      <c r="K6928" t="s">
        <v>239</v>
      </c>
      <c r="L6928" t="s">
        <v>103</v>
      </c>
      <c r="M6928" t="s">
        <v>103</v>
      </c>
      <c r="N6928" t="s">
        <v>239</v>
      </c>
      <c r="O6928" t="s">
        <v>103</v>
      </c>
      <c r="P6928" t="s">
        <v>105</v>
      </c>
      <c r="Q6928" t="s">
        <v>103</v>
      </c>
      <c r="R6928" t="s">
        <v>103</v>
      </c>
      <c r="S6928" t="s">
        <v>103</v>
      </c>
    </row>
    <row r="6929" spans="1:19" s="3" customFormat="1" x14ac:dyDescent="0.3">
      <c r="A6929" s="3" t="s">
        <v>26</v>
      </c>
      <c r="B6929" s="3" t="s">
        <v>846</v>
      </c>
      <c r="C6929" s="3">
        <v>14</v>
      </c>
      <c r="D6929" s="3" t="s">
        <v>207</v>
      </c>
      <c r="E6929" s="3" t="s">
        <v>103</v>
      </c>
      <c r="F6929" s="3" t="s">
        <v>103</v>
      </c>
      <c r="G6929" s="3" t="s">
        <v>124</v>
      </c>
      <c r="H6929" s="3" t="s">
        <v>103</v>
      </c>
      <c r="I6929" s="3" t="s">
        <v>103</v>
      </c>
      <c r="J6929" s="3" t="s">
        <v>103</v>
      </c>
      <c r="K6929" s="3" t="s">
        <v>103</v>
      </c>
      <c r="L6929" s="3" t="s">
        <v>103</v>
      </c>
      <c r="M6929" s="3" t="s">
        <v>103</v>
      </c>
      <c r="N6929" s="3" t="s">
        <v>103</v>
      </c>
      <c r="O6929" s="3" t="s">
        <v>103</v>
      </c>
      <c r="P6929" s="3" t="s">
        <v>103</v>
      </c>
      <c r="Q6929" s="3" t="s">
        <v>103</v>
      </c>
      <c r="R6929" s="3" t="s">
        <v>103</v>
      </c>
      <c r="S6929" s="3" t="s">
        <v>103</v>
      </c>
    </row>
    <row r="6930" spans="1:19" s="3" customFormat="1" x14ac:dyDescent="0.3">
      <c r="A6930" s="3" t="s">
        <v>26</v>
      </c>
      <c r="B6930" s="3" t="s">
        <v>2179</v>
      </c>
      <c r="C6930" s="3">
        <v>17</v>
      </c>
      <c r="D6930" s="3" t="s">
        <v>862</v>
      </c>
      <c r="E6930" s="3" t="s">
        <v>531</v>
      </c>
      <c r="F6930" s="3" t="s">
        <v>103</v>
      </c>
      <c r="G6930" s="3" t="s">
        <v>103</v>
      </c>
      <c r="H6930" s="3" t="s">
        <v>103</v>
      </c>
      <c r="I6930" s="3" t="s">
        <v>103</v>
      </c>
      <c r="J6930" s="3" t="s">
        <v>103</v>
      </c>
      <c r="K6930" s="3" t="s">
        <v>103</v>
      </c>
      <c r="L6930" s="3" t="s">
        <v>103</v>
      </c>
      <c r="M6930" s="3" t="s">
        <v>103</v>
      </c>
      <c r="N6930" s="3" t="s">
        <v>103</v>
      </c>
      <c r="O6930" s="3" t="s">
        <v>103</v>
      </c>
      <c r="P6930" s="3" t="s">
        <v>103</v>
      </c>
      <c r="Q6930" s="3" t="s">
        <v>103</v>
      </c>
      <c r="R6930" s="3" t="s">
        <v>103</v>
      </c>
      <c r="S6930" s="3" t="s">
        <v>103</v>
      </c>
    </row>
    <row r="6931" spans="1:19" s="3" customFormat="1" x14ac:dyDescent="0.3">
      <c r="A6931" s="3" t="s">
        <v>26</v>
      </c>
      <c r="B6931" s="3" t="s">
        <v>2180</v>
      </c>
      <c r="C6931" s="3">
        <v>12</v>
      </c>
      <c r="D6931" s="3" t="s">
        <v>192</v>
      </c>
      <c r="E6931" s="3" t="s">
        <v>103</v>
      </c>
      <c r="F6931" s="3" t="s">
        <v>103</v>
      </c>
      <c r="G6931" s="3" t="s">
        <v>103</v>
      </c>
      <c r="H6931" s="3" t="s">
        <v>103</v>
      </c>
      <c r="I6931" s="3" t="s">
        <v>103</v>
      </c>
      <c r="J6931" s="3" t="s">
        <v>103</v>
      </c>
      <c r="K6931" s="3" t="s">
        <v>103</v>
      </c>
      <c r="L6931" s="3" t="s">
        <v>103</v>
      </c>
      <c r="M6931" s="3" t="s">
        <v>103</v>
      </c>
      <c r="N6931" s="3" t="s">
        <v>103</v>
      </c>
      <c r="O6931" s="3" t="s">
        <v>103</v>
      </c>
      <c r="P6931" s="3" t="s">
        <v>103</v>
      </c>
      <c r="Q6931" s="3" t="s">
        <v>103</v>
      </c>
      <c r="R6931" s="3" t="s">
        <v>103</v>
      </c>
      <c r="S6931" s="3" t="s">
        <v>103</v>
      </c>
    </row>
    <row r="6932" spans="1:19" s="3" customFormat="1" x14ac:dyDescent="0.3">
      <c r="A6932" s="3" t="s">
        <v>26</v>
      </c>
      <c r="B6932" s="3" t="s">
        <v>2181</v>
      </c>
      <c r="C6932" s="3">
        <v>10</v>
      </c>
      <c r="D6932" s="3" t="s">
        <v>243</v>
      </c>
      <c r="E6932" s="3" t="s">
        <v>103</v>
      </c>
      <c r="F6932" s="3" t="s">
        <v>90</v>
      </c>
      <c r="G6932" s="3" t="s">
        <v>549</v>
      </c>
      <c r="H6932" s="3" t="s">
        <v>90</v>
      </c>
      <c r="I6932" s="3" t="s">
        <v>103</v>
      </c>
      <c r="J6932" s="3" t="s">
        <v>103</v>
      </c>
      <c r="K6932" s="3" t="s">
        <v>103</v>
      </c>
      <c r="L6932" s="3" t="s">
        <v>103</v>
      </c>
      <c r="M6932" s="3" t="s">
        <v>103</v>
      </c>
      <c r="N6932" s="3" t="s">
        <v>103</v>
      </c>
      <c r="O6932" s="3" t="s">
        <v>103</v>
      </c>
      <c r="P6932" s="3" t="s">
        <v>103</v>
      </c>
      <c r="Q6932" s="3" t="s">
        <v>103</v>
      </c>
      <c r="R6932" s="3" t="s">
        <v>103</v>
      </c>
      <c r="S6932" s="3" t="s">
        <v>103</v>
      </c>
    </row>
    <row r="6933" spans="1:19" x14ac:dyDescent="0.3">
      <c r="A6933" t="s">
        <v>26</v>
      </c>
      <c r="B6933" t="s">
        <v>2182</v>
      </c>
      <c r="C6933">
        <v>44</v>
      </c>
      <c r="D6933" t="s">
        <v>976</v>
      </c>
      <c r="E6933" t="s">
        <v>232</v>
      </c>
      <c r="F6933" t="s">
        <v>272</v>
      </c>
      <c r="G6933" t="s">
        <v>216</v>
      </c>
      <c r="H6933" t="s">
        <v>470</v>
      </c>
      <c r="I6933" t="s">
        <v>103</v>
      </c>
      <c r="J6933" t="s">
        <v>103</v>
      </c>
      <c r="K6933" t="s">
        <v>257</v>
      </c>
      <c r="L6933" t="s">
        <v>103</v>
      </c>
      <c r="M6933" t="s">
        <v>103</v>
      </c>
      <c r="N6933" t="s">
        <v>125</v>
      </c>
      <c r="O6933" t="s">
        <v>98</v>
      </c>
      <c r="P6933" t="s">
        <v>103</v>
      </c>
      <c r="Q6933" t="s">
        <v>103</v>
      </c>
      <c r="R6933" t="s">
        <v>103</v>
      </c>
      <c r="S6933" t="s">
        <v>103</v>
      </c>
    </row>
    <row r="6934" spans="1:19" s="3" customFormat="1" x14ac:dyDescent="0.3">
      <c r="A6934" s="3" t="s">
        <v>26</v>
      </c>
      <c r="B6934" s="3" t="s">
        <v>2183</v>
      </c>
      <c r="C6934" s="3">
        <v>29</v>
      </c>
      <c r="D6934" s="3" t="s">
        <v>614</v>
      </c>
      <c r="E6934" s="3" t="s">
        <v>103</v>
      </c>
      <c r="F6934" s="3" t="s">
        <v>103</v>
      </c>
      <c r="G6934" s="3" t="s">
        <v>103</v>
      </c>
      <c r="H6934" s="3" t="s">
        <v>558</v>
      </c>
      <c r="I6934" s="3" t="s">
        <v>103</v>
      </c>
      <c r="J6934" s="3" t="s">
        <v>103</v>
      </c>
      <c r="K6934" s="3" t="s">
        <v>103</v>
      </c>
      <c r="L6934" s="3" t="s">
        <v>103</v>
      </c>
      <c r="M6934" s="3" t="s">
        <v>103</v>
      </c>
      <c r="N6934" s="3" t="s">
        <v>33</v>
      </c>
      <c r="O6934" s="3" t="s">
        <v>103</v>
      </c>
      <c r="P6934" s="3" t="s">
        <v>33</v>
      </c>
      <c r="Q6934" s="3" t="s">
        <v>103</v>
      </c>
      <c r="R6934" s="3" t="s">
        <v>103</v>
      </c>
      <c r="S6934" s="3" t="s">
        <v>103</v>
      </c>
    </row>
    <row r="6935" spans="1:19" s="3" customFormat="1" x14ac:dyDescent="0.3">
      <c r="A6935" s="3" t="s">
        <v>26</v>
      </c>
      <c r="B6935" s="3" t="s">
        <v>2184</v>
      </c>
      <c r="C6935" s="3">
        <v>21</v>
      </c>
      <c r="D6935" s="3" t="s">
        <v>276</v>
      </c>
      <c r="E6935" s="3" t="s">
        <v>113</v>
      </c>
      <c r="F6935" s="3" t="s">
        <v>103</v>
      </c>
      <c r="G6935" s="3" t="s">
        <v>329</v>
      </c>
      <c r="H6935" s="3" t="s">
        <v>92</v>
      </c>
      <c r="I6935" s="3" t="s">
        <v>103</v>
      </c>
      <c r="J6935" s="3" t="s">
        <v>103</v>
      </c>
      <c r="K6935" s="3" t="s">
        <v>103</v>
      </c>
      <c r="L6935" s="3" t="s">
        <v>103</v>
      </c>
      <c r="M6935" s="3" t="s">
        <v>103</v>
      </c>
      <c r="N6935" s="3" t="s">
        <v>103</v>
      </c>
      <c r="O6935" s="3" t="s">
        <v>103</v>
      </c>
      <c r="P6935" s="3" t="s">
        <v>107</v>
      </c>
      <c r="Q6935" s="3" t="s">
        <v>103</v>
      </c>
      <c r="R6935" s="3" t="s">
        <v>103</v>
      </c>
      <c r="S6935" s="3" t="s">
        <v>103</v>
      </c>
    </row>
    <row r="6936" spans="1:19" s="3" customFormat="1" x14ac:dyDescent="0.3">
      <c r="A6936" s="3" t="s">
        <v>29</v>
      </c>
      <c r="B6936" s="3" t="s">
        <v>844</v>
      </c>
      <c r="C6936" s="3">
        <v>26</v>
      </c>
      <c r="D6936" s="3" t="s">
        <v>851</v>
      </c>
      <c r="E6936" s="3" t="s">
        <v>571</v>
      </c>
      <c r="F6936" s="3" t="s">
        <v>103</v>
      </c>
      <c r="G6936" s="3" t="s">
        <v>103</v>
      </c>
      <c r="H6936" s="3" t="s">
        <v>571</v>
      </c>
      <c r="I6936" s="3" t="s">
        <v>103</v>
      </c>
      <c r="J6936" s="3" t="s">
        <v>103</v>
      </c>
      <c r="K6936" s="3" t="s">
        <v>107</v>
      </c>
      <c r="L6936" s="3" t="s">
        <v>103</v>
      </c>
      <c r="M6936" s="3" t="s">
        <v>103</v>
      </c>
      <c r="N6936" s="3" t="s">
        <v>103</v>
      </c>
      <c r="O6936" s="3" t="s">
        <v>107</v>
      </c>
      <c r="P6936" s="3" t="s">
        <v>103</v>
      </c>
      <c r="Q6936" s="3" t="s">
        <v>103</v>
      </c>
      <c r="R6936" s="3" t="s">
        <v>103</v>
      </c>
      <c r="S6936" s="3" t="s">
        <v>103</v>
      </c>
    </row>
    <row r="6937" spans="1:19" x14ac:dyDescent="0.3">
      <c r="A6937" t="s">
        <v>29</v>
      </c>
      <c r="B6937" t="s">
        <v>2173</v>
      </c>
      <c r="C6937">
        <v>43</v>
      </c>
      <c r="D6937" t="s">
        <v>728</v>
      </c>
      <c r="E6937" t="s">
        <v>467</v>
      </c>
      <c r="F6937" t="s">
        <v>103</v>
      </c>
      <c r="G6937" t="s">
        <v>175</v>
      </c>
      <c r="H6937" t="s">
        <v>118</v>
      </c>
      <c r="I6937" t="s">
        <v>103</v>
      </c>
      <c r="J6937" t="s">
        <v>103</v>
      </c>
      <c r="K6937" t="s">
        <v>103</v>
      </c>
      <c r="L6937" t="s">
        <v>103</v>
      </c>
      <c r="M6937" t="s">
        <v>103</v>
      </c>
      <c r="N6937" t="s">
        <v>105</v>
      </c>
      <c r="O6937" t="s">
        <v>103</v>
      </c>
      <c r="P6937" t="s">
        <v>103</v>
      </c>
      <c r="Q6937" t="s">
        <v>103</v>
      </c>
      <c r="R6937" t="s">
        <v>103</v>
      </c>
      <c r="S6937" t="s">
        <v>103</v>
      </c>
    </row>
    <row r="6938" spans="1:19" x14ac:dyDescent="0.3">
      <c r="A6938" t="s">
        <v>29</v>
      </c>
      <c r="B6938" t="s">
        <v>2174</v>
      </c>
      <c r="C6938">
        <v>33</v>
      </c>
      <c r="D6938" t="s">
        <v>158</v>
      </c>
      <c r="E6938" t="s">
        <v>890</v>
      </c>
      <c r="F6938" t="s">
        <v>103</v>
      </c>
      <c r="G6938" t="s">
        <v>103</v>
      </c>
      <c r="H6938" t="s">
        <v>345</v>
      </c>
      <c r="I6938" t="s">
        <v>103</v>
      </c>
      <c r="J6938" t="s">
        <v>103</v>
      </c>
      <c r="K6938" t="s">
        <v>103</v>
      </c>
      <c r="L6938" t="s">
        <v>103</v>
      </c>
      <c r="M6938" t="s">
        <v>103</v>
      </c>
      <c r="N6938" t="s">
        <v>345</v>
      </c>
      <c r="O6938" t="s">
        <v>257</v>
      </c>
      <c r="P6938" t="s">
        <v>103</v>
      </c>
      <c r="Q6938" t="s">
        <v>103</v>
      </c>
      <c r="R6938" t="s">
        <v>103</v>
      </c>
      <c r="S6938" t="s">
        <v>103</v>
      </c>
    </row>
    <row r="6939" spans="1:19" s="3" customFormat="1" x14ac:dyDescent="0.3">
      <c r="A6939" s="3" t="s">
        <v>29</v>
      </c>
      <c r="B6939" s="3" t="s">
        <v>2175</v>
      </c>
      <c r="C6939" s="3">
        <v>11</v>
      </c>
      <c r="D6939" s="3" t="s">
        <v>1019</v>
      </c>
      <c r="E6939" s="3" t="s">
        <v>813</v>
      </c>
      <c r="F6939" s="3" t="s">
        <v>103</v>
      </c>
      <c r="G6939" s="3" t="s">
        <v>103</v>
      </c>
      <c r="H6939" s="3" t="s">
        <v>103</v>
      </c>
      <c r="I6939" s="3" t="s">
        <v>103</v>
      </c>
      <c r="J6939" s="3" t="s">
        <v>103</v>
      </c>
      <c r="K6939" s="3" t="s">
        <v>103</v>
      </c>
      <c r="L6939" s="3" t="s">
        <v>103</v>
      </c>
      <c r="M6939" s="3" t="s">
        <v>103</v>
      </c>
      <c r="N6939" s="3" t="s">
        <v>103</v>
      </c>
      <c r="O6939" s="3" t="s">
        <v>103</v>
      </c>
      <c r="P6939" s="3" t="s">
        <v>103</v>
      </c>
      <c r="Q6939" s="3" t="s">
        <v>103</v>
      </c>
      <c r="R6939" s="3" t="s">
        <v>103</v>
      </c>
      <c r="S6939" s="3" t="s">
        <v>103</v>
      </c>
    </row>
    <row r="6940" spans="1:19" x14ac:dyDescent="0.3">
      <c r="A6940" t="s">
        <v>29</v>
      </c>
      <c r="B6940" t="s">
        <v>2176</v>
      </c>
      <c r="C6940">
        <v>129</v>
      </c>
      <c r="D6940" t="s">
        <v>617</v>
      </c>
      <c r="E6940" t="s">
        <v>105</v>
      </c>
      <c r="F6940" t="s">
        <v>128</v>
      </c>
      <c r="G6940" t="s">
        <v>270</v>
      </c>
      <c r="H6940" t="s">
        <v>94</v>
      </c>
      <c r="I6940" t="s">
        <v>122</v>
      </c>
      <c r="J6940" t="s">
        <v>257</v>
      </c>
      <c r="K6940" t="s">
        <v>103</v>
      </c>
      <c r="L6940" t="s">
        <v>103</v>
      </c>
      <c r="M6940" t="s">
        <v>103</v>
      </c>
      <c r="N6940" t="s">
        <v>216</v>
      </c>
      <c r="O6940" t="s">
        <v>194</v>
      </c>
      <c r="P6940" t="s">
        <v>98</v>
      </c>
      <c r="Q6940" t="s">
        <v>103</v>
      </c>
      <c r="R6940" t="s">
        <v>103</v>
      </c>
      <c r="S6940" t="s">
        <v>103</v>
      </c>
    </row>
    <row r="6941" spans="1:19" x14ac:dyDescent="0.3">
      <c r="A6941" t="s">
        <v>29</v>
      </c>
      <c r="B6941" t="s">
        <v>2177</v>
      </c>
      <c r="C6941">
        <v>93</v>
      </c>
      <c r="D6941" t="s">
        <v>897</v>
      </c>
      <c r="E6941" t="s">
        <v>594</v>
      </c>
      <c r="F6941" t="s">
        <v>103</v>
      </c>
      <c r="G6941" t="s">
        <v>467</v>
      </c>
      <c r="H6941" t="s">
        <v>558</v>
      </c>
      <c r="I6941" t="s">
        <v>208</v>
      </c>
      <c r="J6941" t="s">
        <v>139</v>
      </c>
      <c r="K6941" t="s">
        <v>103</v>
      </c>
      <c r="L6941" t="s">
        <v>103</v>
      </c>
      <c r="M6941" t="s">
        <v>103</v>
      </c>
      <c r="N6941" t="s">
        <v>98</v>
      </c>
      <c r="O6941" t="s">
        <v>68</v>
      </c>
      <c r="P6941" t="s">
        <v>257</v>
      </c>
      <c r="Q6941" t="s">
        <v>103</v>
      </c>
      <c r="R6941" t="s">
        <v>103</v>
      </c>
      <c r="S6941" t="s">
        <v>103</v>
      </c>
    </row>
    <row r="6942" spans="1:19" x14ac:dyDescent="0.3">
      <c r="A6942" t="s">
        <v>29</v>
      </c>
      <c r="B6942" t="s">
        <v>2178</v>
      </c>
      <c r="C6942">
        <v>98</v>
      </c>
      <c r="D6942" t="s">
        <v>55</v>
      </c>
      <c r="E6942" t="s">
        <v>239</v>
      </c>
      <c r="F6942" t="s">
        <v>341</v>
      </c>
      <c r="G6942" t="s">
        <v>345</v>
      </c>
      <c r="H6942" t="s">
        <v>452</v>
      </c>
      <c r="I6942" t="s">
        <v>103</v>
      </c>
      <c r="J6942" t="s">
        <v>345</v>
      </c>
      <c r="K6942" t="s">
        <v>190</v>
      </c>
      <c r="L6942" t="s">
        <v>91</v>
      </c>
      <c r="M6942" t="s">
        <v>98</v>
      </c>
      <c r="N6942" t="s">
        <v>103</v>
      </c>
      <c r="O6942" t="s">
        <v>128</v>
      </c>
      <c r="P6942" t="s">
        <v>194</v>
      </c>
      <c r="Q6942" t="s">
        <v>103</v>
      </c>
      <c r="R6942" t="s">
        <v>103</v>
      </c>
      <c r="S6942" t="s">
        <v>103</v>
      </c>
    </row>
    <row r="6943" spans="1:19" x14ac:dyDescent="0.3">
      <c r="A6943" t="s">
        <v>29</v>
      </c>
      <c r="B6943" t="s">
        <v>846</v>
      </c>
      <c r="C6943">
        <v>35</v>
      </c>
      <c r="D6943" t="s">
        <v>227</v>
      </c>
      <c r="E6943" t="s">
        <v>270</v>
      </c>
      <c r="F6943" t="s">
        <v>103</v>
      </c>
      <c r="G6943" t="s">
        <v>575</v>
      </c>
      <c r="H6943" t="s">
        <v>60</v>
      </c>
      <c r="I6943" t="s">
        <v>103</v>
      </c>
      <c r="J6943" t="s">
        <v>493</v>
      </c>
      <c r="K6943" t="s">
        <v>103</v>
      </c>
      <c r="L6943" t="s">
        <v>103</v>
      </c>
      <c r="M6943" t="s">
        <v>103</v>
      </c>
      <c r="N6943" t="s">
        <v>511</v>
      </c>
      <c r="O6943" t="s">
        <v>438</v>
      </c>
      <c r="P6943" t="s">
        <v>103</v>
      </c>
      <c r="Q6943" t="s">
        <v>103</v>
      </c>
      <c r="R6943" t="s">
        <v>103</v>
      </c>
      <c r="S6943" t="s">
        <v>103</v>
      </c>
    </row>
    <row r="6944" spans="1:19" s="3" customFormat="1" x14ac:dyDescent="0.3">
      <c r="A6944" s="3" t="s">
        <v>29</v>
      </c>
      <c r="B6944" s="3" t="s">
        <v>2179</v>
      </c>
      <c r="C6944" s="3">
        <v>24</v>
      </c>
      <c r="D6944" s="3" t="s">
        <v>192</v>
      </c>
      <c r="E6944" s="3" t="s">
        <v>103</v>
      </c>
      <c r="F6944" s="3" t="s">
        <v>103</v>
      </c>
      <c r="G6944" s="3" t="s">
        <v>103</v>
      </c>
      <c r="H6944" s="3" t="s">
        <v>103</v>
      </c>
      <c r="I6944" s="3" t="s">
        <v>103</v>
      </c>
      <c r="J6944" s="3" t="s">
        <v>103</v>
      </c>
      <c r="K6944" s="3" t="s">
        <v>103</v>
      </c>
      <c r="L6944" s="3" t="s">
        <v>103</v>
      </c>
      <c r="M6944" s="3" t="s">
        <v>103</v>
      </c>
      <c r="N6944" s="3" t="s">
        <v>103</v>
      </c>
      <c r="O6944" s="3" t="s">
        <v>103</v>
      </c>
      <c r="P6944" s="3" t="s">
        <v>103</v>
      </c>
      <c r="Q6944" s="3" t="s">
        <v>103</v>
      </c>
      <c r="R6944" s="3" t="s">
        <v>103</v>
      </c>
      <c r="S6944" s="3" t="s">
        <v>103</v>
      </c>
    </row>
    <row r="6945" spans="1:19" s="3" customFormat="1" x14ac:dyDescent="0.3">
      <c r="A6945" s="3" t="s">
        <v>29</v>
      </c>
      <c r="B6945" s="3" t="s">
        <v>2180</v>
      </c>
      <c r="C6945" s="3">
        <v>19</v>
      </c>
      <c r="D6945" s="3" t="s">
        <v>1027</v>
      </c>
      <c r="E6945" s="3" t="s">
        <v>103</v>
      </c>
      <c r="F6945" s="3" t="s">
        <v>206</v>
      </c>
      <c r="G6945" s="3" t="s">
        <v>140</v>
      </c>
      <c r="H6945" s="3" t="s">
        <v>103</v>
      </c>
      <c r="I6945" s="3" t="s">
        <v>103</v>
      </c>
      <c r="J6945" s="3" t="s">
        <v>103</v>
      </c>
      <c r="K6945" s="3" t="s">
        <v>103</v>
      </c>
      <c r="L6945" s="3" t="s">
        <v>103</v>
      </c>
      <c r="M6945" s="3" t="s">
        <v>103</v>
      </c>
      <c r="N6945" s="3" t="s">
        <v>103</v>
      </c>
      <c r="O6945" s="3" t="s">
        <v>103</v>
      </c>
      <c r="P6945" s="3" t="s">
        <v>103</v>
      </c>
      <c r="Q6945" s="3" t="s">
        <v>103</v>
      </c>
      <c r="R6945" s="3" t="s">
        <v>103</v>
      </c>
      <c r="S6945" s="3" t="s">
        <v>103</v>
      </c>
    </row>
    <row r="6946" spans="1:19" s="3" customFormat="1" x14ac:dyDescent="0.3">
      <c r="A6946" s="3" t="s">
        <v>29</v>
      </c>
      <c r="B6946" s="3" t="s">
        <v>2181</v>
      </c>
      <c r="C6946" s="3">
        <v>6</v>
      </c>
      <c r="D6946" s="3" t="s">
        <v>192</v>
      </c>
      <c r="E6946" s="3" t="s">
        <v>103</v>
      </c>
      <c r="F6946" s="3" t="s">
        <v>103</v>
      </c>
      <c r="G6946" s="3" t="s">
        <v>103</v>
      </c>
      <c r="H6946" s="3" t="s">
        <v>103</v>
      </c>
      <c r="I6946" s="3" t="s">
        <v>103</v>
      </c>
      <c r="J6946" s="3" t="s">
        <v>103</v>
      </c>
      <c r="K6946" s="3" t="s">
        <v>103</v>
      </c>
      <c r="L6946" s="3" t="s">
        <v>103</v>
      </c>
      <c r="M6946" s="3" t="s">
        <v>103</v>
      </c>
      <c r="N6946" s="3" t="s">
        <v>103</v>
      </c>
      <c r="O6946" s="3" t="s">
        <v>103</v>
      </c>
      <c r="P6946" s="3" t="s">
        <v>103</v>
      </c>
      <c r="Q6946" s="3" t="s">
        <v>103</v>
      </c>
      <c r="R6946" s="3" t="s">
        <v>103</v>
      </c>
      <c r="S6946" s="3" t="s">
        <v>103</v>
      </c>
    </row>
    <row r="6947" spans="1:19" x14ac:dyDescent="0.3">
      <c r="A6947" t="s">
        <v>29</v>
      </c>
      <c r="B6947" t="s">
        <v>2182</v>
      </c>
      <c r="C6947">
        <v>46</v>
      </c>
      <c r="D6947" t="s">
        <v>502</v>
      </c>
      <c r="E6947" t="s">
        <v>488</v>
      </c>
      <c r="F6947" t="s">
        <v>128</v>
      </c>
      <c r="G6947" t="s">
        <v>128</v>
      </c>
      <c r="H6947" t="s">
        <v>750</v>
      </c>
      <c r="I6947" t="s">
        <v>110</v>
      </c>
      <c r="J6947" t="s">
        <v>103</v>
      </c>
      <c r="K6947" t="s">
        <v>217</v>
      </c>
      <c r="L6947" t="s">
        <v>103</v>
      </c>
      <c r="M6947" t="s">
        <v>103</v>
      </c>
      <c r="N6947" t="s">
        <v>188</v>
      </c>
      <c r="O6947" t="s">
        <v>282</v>
      </c>
      <c r="P6947" t="s">
        <v>282</v>
      </c>
      <c r="Q6947" t="s">
        <v>103</v>
      </c>
      <c r="R6947" t="s">
        <v>103</v>
      </c>
      <c r="S6947" t="s">
        <v>103</v>
      </c>
    </row>
    <row r="6948" spans="1:19" x14ac:dyDescent="0.3">
      <c r="A6948" t="s">
        <v>29</v>
      </c>
      <c r="B6948" t="s">
        <v>2183</v>
      </c>
      <c r="C6948">
        <v>42</v>
      </c>
      <c r="D6948" t="s">
        <v>151</v>
      </c>
      <c r="E6948" t="s">
        <v>90</v>
      </c>
      <c r="F6948" t="s">
        <v>103</v>
      </c>
      <c r="G6948" t="s">
        <v>103</v>
      </c>
      <c r="H6948" t="s">
        <v>281</v>
      </c>
      <c r="I6948" t="s">
        <v>103</v>
      </c>
      <c r="J6948" t="s">
        <v>103</v>
      </c>
      <c r="K6948" t="s">
        <v>217</v>
      </c>
      <c r="L6948" t="s">
        <v>103</v>
      </c>
      <c r="M6948" t="s">
        <v>103</v>
      </c>
      <c r="N6948" t="s">
        <v>103</v>
      </c>
      <c r="O6948" t="s">
        <v>103</v>
      </c>
      <c r="P6948" t="s">
        <v>103</v>
      </c>
      <c r="Q6948" t="s">
        <v>103</v>
      </c>
      <c r="R6948" t="s">
        <v>103</v>
      </c>
      <c r="S6948" t="s">
        <v>103</v>
      </c>
    </row>
    <row r="6949" spans="1:19" s="3" customFormat="1" x14ac:dyDescent="0.3">
      <c r="A6949" s="3" t="s">
        <v>29</v>
      </c>
      <c r="B6949" s="3" t="s">
        <v>2184</v>
      </c>
      <c r="C6949" s="3">
        <v>29</v>
      </c>
      <c r="D6949" s="3" t="s">
        <v>55</v>
      </c>
      <c r="E6949" s="3" t="s">
        <v>438</v>
      </c>
      <c r="F6949" s="3" t="s">
        <v>103</v>
      </c>
      <c r="G6949" s="3" t="s">
        <v>107</v>
      </c>
      <c r="H6949" s="3" t="s">
        <v>244</v>
      </c>
      <c r="I6949" s="3" t="s">
        <v>214</v>
      </c>
      <c r="J6949" s="3" t="s">
        <v>137</v>
      </c>
      <c r="K6949" s="3" t="s">
        <v>103</v>
      </c>
      <c r="L6949" s="3" t="s">
        <v>103</v>
      </c>
      <c r="M6949" s="3" t="s">
        <v>103</v>
      </c>
      <c r="N6949" s="3" t="s">
        <v>97</v>
      </c>
      <c r="O6949" s="3" t="s">
        <v>103</v>
      </c>
      <c r="P6949" s="3" t="s">
        <v>103</v>
      </c>
      <c r="Q6949" s="3" t="s">
        <v>103</v>
      </c>
      <c r="R6949" s="3" t="s">
        <v>103</v>
      </c>
      <c r="S6949" s="3" t="s">
        <v>103</v>
      </c>
    </row>
    <row r="6950" spans="1:19" s="3" customFormat="1" x14ac:dyDescent="0.3">
      <c r="A6950" s="3" t="s">
        <v>28</v>
      </c>
      <c r="B6950" s="3" t="s">
        <v>844</v>
      </c>
      <c r="C6950" s="3">
        <v>10</v>
      </c>
      <c r="D6950" s="3" t="s">
        <v>375</v>
      </c>
      <c r="E6950" s="3" t="s">
        <v>1219</v>
      </c>
      <c r="F6950" s="3" t="s">
        <v>103</v>
      </c>
      <c r="G6950" s="3" t="s">
        <v>555</v>
      </c>
      <c r="H6950" s="3" t="s">
        <v>528</v>
      </c>
      <c r="I6950" s="3" t="s">
        <v>103</v>
      </c>
      <c r="J6950" s="3" t="s">
        <v>103</v>
      </c>
      <c r="K6950" s="3" t="s">
        <v>103</v>
      </c>
      <c r="L6950" s="3" t="s">
        <v>103</v>
      </c>
      <c r="M6950" s="3" t="s">
        <v>103</v>
      </c>
      <c r="N6950" s="3" t="s">
        <v>103</v>
      </c>
      <c r="O6950" s="3" t="s">
        <v>103</v>
      </c>
      <c r="P6950" s="3" t="s">
        <v>103</v>
      </c>
      <c r="Q6950" s="3" t="s">
        <v>103</v>
      </c>
      <c r="R6950" s="3" t="s">
        <v>103</v>
      </c>
      <c r="S6950" s="3" t="s">
        <v>103</v>
      </c>
    </row>
    <row r="6951" spans="1:19" s="3" customFormat="1" x14ac:dyDescent="0.3">
      <c r="A6951" s="3" t="s">
        <v>28</v>
      </c>
      <c r="B6951" s="3" t="s">
        <v>2173</v>
      </c>
      <c r="C6951" s="3">
        <v>7</v>
      </c>
      <c r="D6951" s="3" t="s">
        <v>1244</v>
      </c>
      <c r="E6951" s="3" t="s">
        <v>550</v>
      </c>
      <c r="F6951" s="3" t="s">
        <v>103</v>
      </c>
      <c r="G6951" s="3" t="s">
        <v>103</v>
      </c>
      <c r="H6951" s="3" t="s">
        <v>103</v>
      </c>
      <c r="I6951" s="3" t="s">
        <v>103</v>
      </c>
      <c r="J6951" s="3" t="s">
        <v>103</v>
      </c>
      <c r="K6951" s="3" t="s">
        <v>103</v>
      </c>
      <c r="L6951" s="3" t="s">
        <v>743</v>
      </c>
      <c r="M6951" s="3" t="s">
        <v>103</v>
      </c>
      <c r="N6951" s="3" t="s">
        <v>103</v>
      </c>
      <c r="O6951" s="3" t="s">
        <v>103</v>
      </c>
      <c r="P6951" s="3" t="s">
        <v>103</v>
      </c>
      <c r="Q6951" s="3" t="s">
        <v>103</v>
      </c>
      <c r="R6951" s="3" t="s">
        <v>103</v>
      </c>
      <c r="S6951" s="3" t="s">
        <v>103</v>
      </c>
    </row>
    <row r="6952" spans="1:19" s="3" customFormat="1" x14ac:dyDescent="0.3">
      <c r="A6952" s="3" t="s">
        <v>28</v>
      </c>
      <c r="B6952" s="3" t="s">
        <v>2174</v>
      </c>
      <c r="C6952" s="3">
        <v>5</v>
      </c>
      <c r="D6952" s="3" t="s">
        <v>192</v>
      </c>
      <c r="E6952" s="3" t="s">
        <v>103</v>
      </c>
      <c r="F6952" s="3" t="s">
        <v>103</v>
      </c>
      <c r="G6952" s="3" t="s">
        <v>103</v>
      </c>
      <c r="H6952" s="3" t="s">
        <v>103</v>
      </c>
      <c r="I6952" s="3" t="s">
        <v>103</v>
      </c>
      <c r="J6952" s="3" t="s">
        <v>103</v>
      </c>
      <c r="K6952" s="3" t="s">
        <v>103</v>
      </c>
      <c r="L6952" s="3" t="s">
        <v>103</v>
      </c>
      <c r="M6952" s="3" t="s">
        <v>103</v>
      </c>
      <c r="N6952" s="3" t="s">
        <v>103</v>
      </c>
      <c r="O6952" s="3" t="s">
        <v>103</v>
      </c>
      <c r="P6952" s="3" t="s">
        <v>103</v>
      </c>
      <c r="Q6952" s="3" t="s">
        <v>103</v>
      </c>
      <c r="R6952" s="3" t="s">
        <v>103</v>
      </c>
      <c r="S6952" s="3" t="s">
        <v>103</v>
      </c>
    </row>
    <row r="6953" spans="1:19" s="3" customFormat="1" x14ac:dyDescent="0.3">
      <c r="A6953" s="3" t="s">
        <v>28</v>
      </c>
      <c r="B6953" s="3" t="s">
        <v>2175</v>
      </c>
      <c r="C6953" s="3">
        <v>10</v>
      </c>
      <c r="D6953" s="3" t="s">
        <v>192</v>
      </c>
      <c r="E6953" s="3" t="s">
        <v>103</v>
      </c>
      <c r="F6953" s="3" t="s">
        <v>103</v>
      </c>
      <c r="G6953" s="3" t="s">
        <v>103</v>
      </c>
      <c r="H6953" s="3" t="s">
        <v>103</v>
      </c>
      <c r="I6953" s="3" t="s">
        <v>103</v>
      </c>
      <c r="J6953" s="3" t="s">
        <v>103</v>
      </c>
      <c r="K6953" s="3" t="s">
        <v>103</v>
      </c>
      <c r="L6953" s="3" t="s">
        <v>103</v>
      </c>
      <c r="M6953" s="3" t="s">
        <v>103</v>
      </c>
      <c r="N6953" s="3" t="s">
        <v>103</v>
      </c>
      <c r="O6953" s="3" t="s">
        <v>103</v>
      </c>
      <c r="P6953" s="3" t="s">
        <v>103</v>
      </c>
      <c r="Q6953" s="3" t="s">
        <v>103</v>
      </c>
      <c r="R6953" s="3" t="s">
        <v>103</v>
      </c>
      <c r="S6953" s="3" t="s">
        <v>103</v>
      </c>
    </row>
    <row r="6954" spans="1:19" x14ac:dyDescent="0.3">
      <c r="A6954" t="s">
        <v>28</v>
      </c>
      <c r="B6954" t="s">
        <v>2176</v>
      </c>
      <c r="C6954">
        <v>36</v>
      </c>
      <c r="D6954" t="s">
        <v>143</v>
      </c>
      <c r="E6954" t="s">
        <v>214</v>
      </c>
      <c r="F6954" t="s">
        <v>103</v>
      </c>
      <c r="G6954" t="s">
        <v>693</v>
      </c>
      <c r="H6954" t="s">
        <v>114</v>
      </c>
      <c r="I6954" t="s">
        <v>103</v>
      </c>
      <c r="J6954" t="s">
        <v>103</v>
      </c>
      <c r="K6954" t="s">
        <v>103</v>
      </c>
      <c r="L6954" t="s">
        <v>103</v>
      </c>
      <c r="M6954" t="s">
        <v>103</v>
      </c>
      <c r="N6954" t="s">
        <v>93</v>
      </c>
      <c r="O6954" t="s">
        <v>93</v>
      </c>
      <c r="P6954" t="s">
        <v>103</v>
      </c>
      <c r="Q6954" t="s">
        <v>103</v>
      </c>
      <c r="R6954" t="s">
        <v>103</v>
      </c>
      <c r="S6954" t="s">
        <v>103</v>
      </c>
    </row>
    <row r="6955" spans="1:19" x14ac:dyDescent="0.3">
      <c r="A6955" t="s">
        <v>28</v>
      </c>
      <c r="B6955" t="s">
        <v>2177</v>
      </c>
      <c r="C6955">
        <v>40</v>
      </c>
      <c r="D6955" t="s">
        <v>600</v>
      </c>
      <c r="E6955" t="s">
        <v>494</v>
      </c>
      <c r="F6955" t="s">
        <v>103</v>
      </c>
      <c r="G6955" t="s">
        <v>93</v>
      </c>
      <c r="H6955" t="s">
        <v>467</v>
      </c>
      <c r="I6955" t="s">
        <v>239</v>
      </c>
      <c r="J6955" t="s">
        <v>103</v>
      </c>
      <c r="K6955" t="s">
        <v>103</v>
      </c>
      <c r="L6955" t="s">
        <v>103</v>
      </c>
      <c r="M6955" t="s">
        <v>103</v>
      </c>
      <c r="N6955" t="s">
        <v>103</v>
      </c>
      <c r="O6955" t="s">
        <v>103</v>
      </c>
      <c r="P6955" t="s">
        <v>103</v>
      </c>
      <c r="Q6955" t="s">
        <v>103</v>
      </c>
      <c r="R6955" t="s">
        <v>103</v>
      </c>
      <c r="S6955" t="s">
        <v>103</v>
      </c>
    </row>
    <row r="6956" spans="1:19" x14ac:dyDescent="0.3">
      <c r="A6956" t="s">
        <v>28</v>
      </c>
      <c r="B6956" t="s">
        <v>2178</v>
      </c>
      <c r="C6956">
        <v>49</v>
      </c>
      <c r="D6956" t="s">
        <v>721</v>
      </c>
      <c r="E6956" t="s">
        <v>110</v>
      </c>
      <c r="F6956" t="s">
        <v>103</v>
      </c>
      <c r="G6956" t="s">
        <v>341</v>
      </c>
      <c r="H6956" t="s">
        <v>188</v>
      </c>
      <c r="I6956" t="s">
        <v>270</v>
      </c>
      <c r="J6956" t="s">
        <v>341</v>
      </c>
      <c r="K6956" t="s">
        <v>558</v>
      </c>
      <c r="L6956" t="s">
        <v>103</v>
      </c>
      <c r="M6956" t="s">
        <v>103</v>
      </c>
      <c r="N6956" t="s">
        <v>468</v>
      </c>
      <c r="O6956" t="s">
        <v>468</v>
      </c>
      <c r="P6956" t="s">
        <v>103</v>
      </c>
      <c r="Q6956" t="s">
        <v>103</v>
      </c>
      <c r="R6956" t="s">
        <v>103</v>
      </c>
      <c r="S6956" t="s">
        <v>103</v>
      </c>
    </row>
    <row r="6957" spans="1:19" s="3" customFormat="1" x14ac:dyDescent="0.3">
      <c r="A6957" s="3" t="s">
        <v>28</v>
      </c>
      <c r="B6957" s="3" t="s">
        <v>846</v>
      </c>
      <c r="C6957" s="3">
        <v>9</v>
      </c>
      <c r="D6957" s="3" t="s">
        <v>817</v>
      </c>
      <c r="E6957" s="3" t="s">
        <v>103</v>
      </c>
      <c r="F6957" s="3" t="s">
        <v>103</v>
      </c>
      <c r="G6957" s="3" t="s">
        <v>463</v>
      </c>
      <c r="H6957" s="3" t="s">
        <v>103</v>
      </c>
      <c r="I6957" s="3" t="s">
        <v>103</v>
      </c>
      <c r="J6957" s="3" t="s">
        <v>103</v>
      </c>
      <c r="K6957" s="3" t="s">
        <v>103</v>
      </c>
      <c r="L6957" s="3" t="s">
        <v>103</v>
      </c>
      <c r="M6957" s="3" t="s">
        <v>103</v>
      </c>
      <c r="N6957" s="3" t="s">
        <v>398</v>
      </c>
      <c r="O6957" s="3" t="s">
        <v>103</v>
      </c>
      <c r="P6957" s="3" t="s">
        <v>103</v>
      </c>
      <c r="Q6957" s="3" t="s">
        <v>103</v>
      </c>
      <c r="R6957" s="3" t="s">
        <v>103</v>
      </c>
      <c r="S6957" s="3" t="s">
        <v>103</v>
      </c>
    </row>
    <row r="6958" spans="1:19" s="3" customFormat="1" x14ac:dyDescent="0.3">
      <c r="A6958" s="3" t="s">
        <v>28</v>
      </c>
      <c r="B6958" s="3" t="s">
        <v>2179</v>
      </c>
      <c r="C6958" s="3">
        <v>11</v>
      </c>
      <c r="D6958" s="3" t="s">
        <v>1321</v>
      </c>
      <c r="E6958" s="3" t="s">
        <v>264</v>
      </c>
      <c r="F6958" s="3" t="s">
        <v>103</v>
      </c>
      <c r="G6958" s="3" t="s">
        <v>264</v>
      </c>
      <c r="H6958" s="3" t="s">
        <v>251</v>
      </c>
      <c r="I6958" s="3" t="s">
        <v>103</v>
      </c>
      <c r="J6958" s="3" t="s">
        <v>103</v>
      </c>
      <c r="K6958" s="3" t="s">
        <v>103</v>
      </c>
      <c r="L6958" s="3" t="s">
        <v>103</v>
      </c>
      <c r="M6958" s="3" t="s">
        <v>103</v>
      </c>
      <c r="N6958" s="3" t="s">
        <v>127</v>
      </c>
      <c r="O6958" s="3" t="s">
        <v>103</v>
      </c>
      <c r="P6958" s="3" t="s">
        <v>103</v>
      </c>
      <c r="Q6958" s="3" t="s">
        <v>103</v>
      </c>
      <c r="R6958" s="3" t="s">
        <v>103</v>
      </c>
      <c r="S6958" s="3" t="s">
        <v>103</v>
      </c>
    </row>
    <row r="6959" spans="1:19" s="3" customFormat="1" x14ac:dyDescent="0.3">
      <c r="A6959" s="3" t="s">
        <v>28</v>
      </c>
      <c r="B6959" s="3" t="s">
        <v>2180</v>
      </c>
      <c r="C6959" s="3">
        <v>6</v>
      </c>
      <c r="D6959" s="3" t="s">
        <v>1047</v>
      </c>
      <c r="E6959" s="3" t="s">
        <v>103</v>
      </c>
      <c r="F6959" s="3" t="s">
        <v>103</v>
      </c>
      <c r="G6959" s="3" t="s">
        <v>743</v>
      </c>
      <c r="H6959" s="3" t="s">
        <v>264</v>
      </c>
      <c r="I6959" s="3" t="s">
        <v>103</v>
      </c>
      <c r="J6959" s="3" t="s">
        <v>103</v>
      </c>
      <c r="K6959" s="3" t="s">
        <v>103</v>
      </c>
      <c r="L6959" s="3" t="s">
        <v>103</v>
      </c>
      <c r="M6959" s="3" t="s">
        <v>103</v>
      </c>
      <c r="N6959" s="3" t="s">
        <v>103</v>
      </c>
      <c r="O6959" s="3" t="s">
        <v>743</v>
      </c>
      <c r="P6959" s="3" t="s">
        <v>103</v>
      </c>
      <c r="Q6959" s="3" t="s">
        <v>103</v>
      </c>
      <c r="R6959" s="3" t="s">
        <v>103</v>
      </c>
      <c r="S6959" s="3" t="s">
        <v>103</v>
      </c>
    </row>
    <row r="6960" spans="1:19" s="3" customFormat="1" x14ac:dyDescent="0.3">
      <c r="A6960" s="3" t="s">
        <v>28</v>
      </c>
      <c r="B6960" s="3" t="s">
        <v>2181</v>
      </c>
      <c r="C6960" s="3">
        <v>7</v>
      </c>
      <c r="D6960" s="3" t="s">
        <v>192</v>
      </c>
      <c r="E6960" s="3" t="s">
        <v>103</v>
      </c>
      <c r="F6960" s="3" t="s">
        <v>103</v>
      </c>
      <c r="G6960" s="3" t="s">
        <v>103</v>
      </c>
      <c r="H6960" s="3" t="s">
        <v>103</v>
      </c>
      <c r="I6960" s="3" t="s">
        <v>103</v>
      </c>
      <c r="J6960" s="3" t="s">
        <v>103</v>
      </c>
      <c r="K6960" s="3" t="s">
        <v>103</v>
      </c>
      <c r="L6960" s="3" t="s">
        <v>103</v>
      </c>
      <c r="M6960" s="3" t="s">
        <v>103</v>
      </c>
      <c r="N6960" s="3" t="s">
        <v>103</v>
      </c>
      <c r="O6960" s="3" t="s">
        <v>103</v>
      </c>
      <c r="P6960" s="3" t="s">
        <v>103</v>
      </c>
      <c r="Q6960" s="3" t="s">
        <v>103</v>
      </c>
      <c r="R6960" s="3" t="s">
        <v>103</v>
      </c>
      <c r="S6960" s="3" t="s">
        <v>103</v>
      </c>
    </row>
    <row r="6961" spans="1:19" s="3" customFormat="1" x14ac:dyDescent="0.3">
      <c r="A6961" s="3" t="s">
        <v>28</v>
      </c>
      <c r="B6961" s="3" t="s">
        <v>2182</v>
      </c>
      <c r="C6961" s="3">
        <v>16</v>
      </c>
      <c r="D6961" s="3" t="s">
        <v>1368</v>
      </c>
      <c r="E6961" s="3" t="s">
        <v>511</v>
      </c>
      <c r="F6961" s="3" t="s">
        <v>103</v>
      </c>
      <c r="G6961" s="3" t="s">
        <v>254</v>
      </c>
      <c r="H6961" s="3" t="s">
        <v>251</v>
      </c>
      <c r="I6961" s="3" t="s">
        <v>103</v>
      </c>
      <c r="J6961" s="3" t="s">
        <v>103</v>
      </c>
      <c r="K6961" s="3" t="s">
        <v>103</v>
      </c>
      <c r="L6961" s="3" t="s">
        <v>103</v>
      </c>
      <c r="M6961" s="3" t="s">
        <v>103</v>
      </c>
      <c r="N6961" s="3" t="s">
        <v>112</v>
      </c>
      <c r="O6961" s="3" t="s">
        <v>112</v>
      </c>
      <c r="P6961" s="3" t="s">
        <v>103</v>
      </c>
      <c r="Q6961" s="3" t="s">
        <v>103</v>
      </c>
      <c r="R6961" s="3" t="s">
        <v>103</v>
      </c>
      <c r="S6961" s="3" t="s">
        <v>103</v>
      </c>
    </row>
    <row r="6962" spans="1:19" s="3" customFormat="1" x14ac:dyDescent="0.3">
      <c r="A6962" s="3" t="s">
        <v>28</v>
      </c>
      <c r="B6962" s="3" t="s">
        <v>2183</v>
      </c>
      <c r="C6962" s="3">
        <v>16</v>
      </c>
      <c r="D6962" s="3" t="s">
        <v>740</v>
      </c>
      <c r="E6962" s="3" t="s">
        <v>191</v>
      </c>
      <c r="F6962" s="3" t="s">
        <v>103</v>
      </c>
      <c r="G6962" s="3" t="s">
        <v>103</v>
      </c>
      <c r="H6962" s="3" t="s">
        <v>68</v>
      </c>
      <c r="I6962" s="3" t="s">
        <v>103</v>
      </c>
      <c r="J6962" s="3" t="s">
        <v>103</v>
      </c>
      <c r="K6962" s="3" t="s">
        <v>103</v>
      </c>
      <c r="L6962" s="3" t="s">
        <v>103</v>
      </c>
      <c r="M6962" s="3" t="s">
        <v>103</v>
      </c>
      <c r="N6962" s="3" t="s">
        <v>103</v>
      </c>
      <c r="O6962" s="3" t="s">
        <v>103</v>
      </c>
      <c r="P6962" s="3" t="s">
        <v>103</v>
      </c>
      <c r="Q6962" s="3" t="s">
        <v>103</v>
      </c>
      <c r="R6962" s="3" t="s">
        <v>103</v>
      </c>
      <c r="S6962" s="3" t="s">
        <v>103</v>
      </c>
    </row>
    <row r="6963" spans="1:19" s="3" customFormat="1" x14ac:dyDescent="0.3">
      <c r="A6963" s="3" t="s">
        <v>28</v>
      </c>
      <c r="B6963" s="3" t="s">
        <v>2184</v>
      </c>
      <c r="C6963" s="3">
        <v>12</v>
      </c>
      <c r="D6963" s="3" t="s">
        <v>1362</v>
      </c>
      <c r="E6963" s="3" t="s">
        <v>103</v>
      </c>
      <c r="F6963" s="3" t="s">
        <v>103</v>
      </c>
      <c r="G6963" s="3" t="s">
        <v>103</v>
      </c>
      <c r="H6963" s="3" t="s">
        <v>99</v>
      </c>
      <c r="I6963" s="3" t="s">
        <v>103</v>
      </c>
      <c r="J6963" s="3" t="s">
        <v>103</v>
      </c>
      <c r="K6963" s="3" t="s">
        <v>256</v>
      </c>
      <c r="L6963" s="3" t="s">
        <v>103</v>
      </c>
      <c r="M6963" s="3" t="s">
        <v>103</v>
      </c>
      <c r="N6963" s="3" t="s">
        <v>103</v>
      </c>
      <c r="O6963" s="3" t="s">
        <v>103</v>
      </c>
      <c r="P6963" s="3" t="s">
        <v>103</v>
      </c>
      <c r="Q6963" s="3" t="s">
        <v>103</v>
      </c>
      <c r="R6963" s="3" t="s">
        <v>103</v>
      </c>
      <c r="S6963" s="3" t="s">
        <v>103</v>
      </c>
    </row>
    <row r="6964" spans="1:19" s="3" customFormat="1" x14ac:dyDescent="0.3">
      <c r="A6964" s="3" t="s">
        <v>27</v>
      </c>
      <c r="B6964" s="3" t="s">
        <v>844</v>
      </c>
      <c r="C6964" s="3">
        <v>4</v>
      </c>
      <c r="D6964" s="3" t="s">
        <v>834</v>
      </c>
      <c r="E6964" s="3" t="s">
        <v>103</v>
      </c>
      <c r="F6964" s="3" t="s">
        <v>686</v>
      </c>
      <c r="G6964" s="3" t="s">
        <v>103</v>
      </c>
      <c r="H6964" s="3" t="s">
        <v>103</v>
      </c>
      <c r="I6964" s="3" t="s">
        <v>103</v>
      </c>
      <c r="J6964" s="3" t="s">
        <v>103</v>
      </c>
      <c r="K6964" s="3" t="s">
        <v>103</v>
      </c>
      <c r="L6964" s="3" t="s">
        <v>103</v>
      </c>
      <c r="M6964" s="3" t="s">
        <v>103</v>
      </c>
      <c r="N6964" s="3" t="s">
        <v>103</v>
      </c>
      <c r="O6964" s="3" t="s">
        <v>103</v>
      </c>
      <c r="P6964" s="3" t="s">
        <v>103</v>
      </c>
      <c r="Q6964" s="3" t="s">
        <v>103</v>
      </c>
      <c r="R6964" s="3" t="s">
        <v>103</v>
      </c>
      <c r="S6964" s="3" t="s">
        <v>103</v>
      </c>
    </row>
    <row r="6965" spans="1:19" s="3" customFormat="1" x14ac:dyDescent="0.3">
      <c r="A6965" s="3" t="s">
        <v>27</v>
      </c>
      <c r="B6965" s="3" t="s">
        <v>2173</v>
      </c>
      <c r="C6965" s="3">
        <v>6</v>
      </c>
      <c r="D6965" s="3" t="s">
        <v>192</v>
      </c>
      <c r="E6965" s="3" t="s">
        <v>103</v>
      </c>
      <c r="F6965" s="3" t="s">
        <v>103</v>
      </c>
      <c r="G6965" s="3" t="s">
        <v>103</v>
      </c>
      <c r="H6965" s="3" t="s">
        <v>103</v>
      </c>
      <c r="I6965" s="3" t="s">
        <v>103</v>
      </c>
      <c r="J6965" s="3" t="s">
        <v>103</v>
      </c>
      <c r="K6965" s="3" t="s">
        <v>103</v>
      </c>
      <c r="L6965" s="3" t="s">
        <v>103</v>
      </c>
      <c r="M6965" s="3" t="s">
        <v>103</v>
      </c>
      <c r="N6965" s="3" t="s">
        <v>103</v>
      </c>
      <c r="O6965" s="3" t="s">
        <v>103</v>
      </c>
      <c r="P6965" s="3" t="s">
        <v>103</v>
      </c>
      <c r="Q6965" s="3" t="s">
        <v>103</v>
      </c>
      <c r="R6965" s="3" t="s">
        <v>103</v>
      </c>
      <c r="S6965" s="3" t="s">
        <v>103</v>
      </c>
    </row>
    <row r="6966" spans="1:19" s="3" customFormat="1" x14ac:dyDescent="0.3">
      <c r="A6966" s="3" t="s">
        <v>27</v>
      </c>
      <c r="B6966" s="3" t="s">
        <v>2174</v>
      </c>
      <c r="C6966" s="3">
        <v>5</v>
      </c>
      <c r="D6966" s="3" t="s">
        <v>192</v>
      </c>
      <c r="E6966" s="3" t="s">
        <v>103</v>
      </c>
      <c r="F6966" s="3" t="s">
        <v>103</v>
      </c>
      <c r="G6966" s="3" t="s">
        <v>103</v>
      </c>
      <c r="H6966" s="3" t="s">
        <v>103</v>
      </c>
      <c r="I6966" s="3" t="s">
        <v>103</v>
      </c>
      <c r="J6966" s="3" t="s">
        <v>103</v>
      </c>
      <c r="K6966" s="3" t="s">
        <v>103</v>
      </c>
      <c r="L6966" s="3" t="s">
        <v>103</v>
      </c>
      <c r="M6966" s="3" t="s">
        <v>103</v>
      </c>
      <c r="N6966" s="3" t="s">
        <v>103</v>
      </c>
      <c r="O6966" s="3" t="s">
        <v>103</v>
      </c>
      <c r="P6966" s="3" t="s">
        <v>103</v>
      </c>
      <c r="Q6966" s="3" t="s">
        <v>103</v>
      </c>
      <c r="R6966" s="3" t="s">
        <v>103</v>
      </c>
      <c r="S6966" s="3" t="s">
        <v>103</v>
      </c>
    </row>
    <row r="6967" spans="1:19" s="3" customFormat="1" x14ac:dyDescent="0.3">
      <c r="A6967" s="3" t="s">
        <v>27</v>
      </c>
      <c r="B6967" s="3" t="s">
        <v>2175</v>
      </c>
      <c r="C6967" s="3">
        <v>5</v>
      </c>
      <c r="D6967" s="3" t="s">
        <v>192</v>
      </c>
      <c r="E6967" s="3" t="s">
        <v>103</v>
      </c>
      <c r="F6967" s="3" t="s">
        <v>103</v>
      </c>
      <c r="G6967" s="3" t="s">
        <v>103</v>
      </c>
      <c r="H6967" s="3" t="s">
        <v>103</v>
      </c>
      <c r="I6967" s="3" t="s">
        <v>103</v>
      </c>
      <c r="J6967" s="3" t="s">
        <v>103</v>
      </c>
      <c r="K6967" s="3" t="s">
        <v>103</v>
      </c>
      <c r="L6967" s="3" t="s">
        <v>103</v>
      </c>
      <c r="M6967" s="3" t="s">
        <v>103</v>
      </c>
      <c r="N6967" s="3" t="s">
        <v>103</v>
      </c>
      <c r="O6967" s="3" t="s">
        <v>103</v>
      </c>
      <c r="P6967" s="3" t="s">
        <v>103</v>
      </c>
      <c r="Q6967" s="3" t="s">
        <v>103</v>
      </c>
      <c r="R6967" s="3" t="s">
        <v>103</v>
      </c>
      <c r="S6967" s="3" t="s">
        <v>103</v>
      </c>
    </row>
    <row r="6968" spans="1:19" s="3" customFormat="1" x14ac:dyDescent="0.3">
      <c r="A6968" s="3" t="s">
        <v>27</v>
      </c>
      <c r="B6968" s="3" t="s">
        <v>2176</v>
      </c>
      <c r="C6968" s="3">
        <v>22</v>
      </c>
      <c r="D6968" s="3" t="s">
        <v>174</v>
      </c>
      <c r="E6968" s="3" t="s">
        <v>186</v>
      </c>
      <c r="F6968" s="3" t="s">
        <v>511</v>
      </c>
      <c r="G6968" s="3" t="s">
        <v>103</v>
      </c>
      <c r="H6968" s="3" t="s">
        <v>575</v>
      </c>
      <c r="I6968" s="3" t="s">
        <v>103</v>
      </c>
      <c r="J6968" s="3" t="s">
        <v>103</v>
      </c>
      <c r="K6968" s="3" t="s">
        <v>103</v>
      </c>
      <c r="L6968" s="3" t="s">
        <v>103</v>
      </c>
      <c r="M6968" s="3" t="s">
        <v>103</v>
      </c>
      <c r="N6968" s="3" t="s">
        <v>103</v>
      </c>
      <c r="O6968" s="3" t="s">
        <v>511</v>
      </c>
      <c r="P6968" s="3" t="s">
        <v>103</v>
      </c>
      <c r="Q6968" s="3" t="s">
        <v>103</v>
      </c>
      <c r="R6968" s="3" t="s">
        <v>103</v>
      </c>
      <c r="S6968" s="3" t="s">
        <v>103</v>
      </c>
    </row>
    <row r="6969" spans="1:19" x14ac:dyDescent="0.3">
      <c r="A6969" t="s">
        <v>27</v>
      </c>
      <c r="B6969" t="s">
        <v>2177</v>
      </c>
      <c r="C6969">
        <v>33</v>
      </c>
      <c r="D6969" t="s">
        <v>215</v>
      </c>
      <c r="E6969" t="s">
        <v>103</v>
      </c>
      <c r="F6969" t="s">
        <v>103</v>
      </c>
      <c r="G6969" t="s">
        <v>103</v>
      </c>
      <c r="H6969" t="s">
        <v>549</v>
      </c>
      <c r="I6969" t="s">
        <v>103</v>
      </c>
      <c r="J6969" t="s">
        <v>103</v>
      </c>
      <c r="K6969" t="s">
        <v>266</v>
      </c>
      <c r="L6969" t="s">
        <v>103</v>
      </c>
      <c r="M6969" t="s">
        <v>103</v>
      </c>
      <c r="N6969" t="s">
        <v>662</v>
      </c>
      <c r="O6969" t="s">
        <v>103</v>
      </c>
      <c r="P6969" t="s">
        <v>103</v>
      </c>
      <c r="Q6969" t="s">
        <v>103</v>
      </c>
      <c r="R6969" t="s">
        <v>103</v>
      </c>
      <c r="S6969" t="s">
        <v>103</v>
      </c>
    </row>
    <row r="6970" spans="1:19" x14ac:dyDescent="0.3">
      <c r="A6970" t="s">
        <v>27</v>
      </c>
      <c r="B6970" t="s">
        <v>2178</v>
      </c>
      <c r="C6970">
        <v>69</v>
      </c>
      <c r="D6970" t="s">
        <v>1040</v>
      </c>
      <c r="E6970" t="s">
        <v>531</v>
      </c>
      <c r="F6970" t="s">
        <v>103</v>
      </c>
      <c r="G6970" t="s">
        <v>103</v>
      </c>
      <c r="H6970" t="s">
        <v>100</v>
      </c>
      <c r="I6970" t="s">
        <v>94</v>
      </c>
      <c r="J6970" t="s">
        <v>103</v>
      </c>
      <c r="K6970" t="s">
        <v>68</v>
      </c>
      <c r="L6970" t="s">
        <v>103</v>
      </c>
      <c r="M6970" t="s">
        <v>103</v>
      </c>
      <c r="N6970" t="s">
        <v>216</v>
      </c>
      <c r="O6970" t="s">
        <v>103</v>
      </c>
      <c r="P6970" t="s">
        <v>103</v>
      </c>
      <c r="Q6970" t="s">
        <v>103</v>
      </c>
      <c r="R6970" t="s">
        <v>103</v>
      </c>
      <c r="S6970" t="s">
        <v>103</v>
      </c>
    </row>
    <row r="6971" spans="1:19" s="3" customFormat="1" x14ac:dyDescent="0.3">
      <c r="A6971" s="3" t="s">
        <v>27</v>
      </c>
      <c r="B6971" s="3" t="s">
        <v>846</v>
      </c>
      <c r="C6971" s="3">
        <v>11</v>
      </c>
      <c r="D6971" s="3" t="s">
        <v>192</v>
      </c>
      <c r="E6971" s="3" t="s">
        <v>103</v>
      </c>
      <c r="F6971" s="3" t="s">
        <v>103</v>
      </c>
      <c r="G6971" s="3" t="s">
        <v>103</v>
      </c>
      <c r="H6971" s="3" t="s">
        <v>103</v>
      </c>
      <c r="I6971" s="3" t="s">
        <v>103</v>
      </c>
      <c r="J6971" s="3" t="s">
        <v>103</v>
      </c>
      <c r="K6971" s="3" t="s">
        <v>103</v>
      </c>
      <c r="L6971" s="3" t="s">
        <v>103</v>
      </c>
      <c r="M6971" s="3" t="s">
        <v>103</v>
      </c>
      <c r="N6971" s="3" t="s">
        <v>103</v>
      </c>
      <c r="O6971" s="3" t="s">
        <v>103</v>
      </c>
      <c r="P6971" s="3" t="s">
        <v>103</v>
      </c>
      <c r="Q6971" s="3" t="s">
        <v>103</v>
      </c>
      <c r="R6971" s="3" t="s">
        <v>103</v>
      </c>
      <c r="S6971" s="3" t="s">
        <v>103</v>
      </c>
    </row>
    <row r="6972" spans="1:19" s="3" customFormat="1" x14ac:dyDescent="0.3">
      <c r="A6972" s="3" t="s">
        <v>27</v>
      </c>
      <c r="B6972" s="3" t="s">
        <v>2179</v>
      </c>
      <c r="C6972" s="3">
        <v>4</v>
      </c>
      <c r="D6972" s="3" t="s">
        <v>192</v>
      </c>
      <c r="E6972" s="3" t="s">
        <v>103</v>
      </c>
      <c r="F6972" s="3" t="s">
        <v>103</v>
      </c>
      <c r="G6972" s="3" t="s">
        <v>103</v>
      </c>
      <c r="H6972" s="3" t="s">
        <v>103</v>
      </c>
      <c r="I6972" s="3" t="s">
        <v>103</v>
      </c>
      <c r="J6972" s="3" t="s">
        <v>103</v>
      </c>
      <c r="K6972" s="3" t="s">
        <v>103</v>
      </c>
      <c r="L6972" s="3" t="s">
        <v>103</v>
      </c>
      <c r="M6972" s="3" t="s">
        <v>103</v>
      </c>
      <c r="N6972" s="3" t="s">
        <v>103</v>
      </c>
      <c r="O6972" s="3" t="s">
        <v>103</v>
      </c>
      <c r="P6972" s="3" t="s">
        <v>103</v>
      </c>
      <c r="Q6972" s="3" t="s">
        <v>103</v>
      </c>
      <c r="R6972" s="3" t="s">
        <v>103</v>
      </c>
      <c r="S6972" s="3" t="s">
        <v>103</v>
      </c>
    </row>
    <row r="6973" spans="1:19" s="3" customFormat="1" x14ac:dyDescent="0.3">
      <c r="A6973" s="3" t="s">
        <v>27</v>
      </c>
      <c r="B6973" s="3" t="s">
        <v>2180</v>
      </c>
      <c r="C6973" s="3">
        <v>5</v>
      </c>
      <c r="D6973" s="3" t="s">
        <v>192</v>
      </c>
      <c r="E6973" s="3" t="s">
        <v>103</v>
      </c>
      <c r="F6973" s="3" t="s">
        <v>103</v>
      </c>
      <c r="G6973" s="3" t="s">
        <v>103</v>
      </c>
      <c r="H6973" s="3" t="s">
        <v>103</v>
      </c>
      <c r="I6973" s="3" t="s">
        <v>103</v>
      </c>
      <c r="J6973" s="3" t="s">
        <v>103</v>
      </c>
      <c r="K6973" s="3" t="s">
        <v>103</v>
      </c>
      <c r="L6973" s="3" t="s">
        <v>103</v>
      </c>
      <c r="M6973" s="3" t="s">
        <v>103</v>
      </c>
      <c r="N6973" s="3" t="s">
        <v>103</v>
      </c>
      <c r="O6973" s="3" t="s">
        <v>103</v>
      </c>
      <c r="P6973" s="3" t="s">
        <v>103</v>
      </c>
      <c r="Q6973" s="3" t="s">
        <v>103</v>
      </c>
      <c r="R6973" s="3" t="s">
        <v>103</v>
      </c>
      <c r="S6973" s="3" t="s">
        <v>103</v>
      </c>
    </row>
    <row r="6974" spans="1:19" s="3" customFormat="1" x14ac:dyDescent="0.3">
      <c r="A6974" s="3" t="s">
        <v>27</v>
      </c>
      <c r="B6974" s="3" t="s">
        <v>2181</v>
      </c>
      <c r="C6974" s="3">
        <v>1</v>
      </c>
      <c r="D6974" s="3" t="s">
        <v>192</v>
      </c>
      <c r="E6974" s="3" t="s">
        <v>103</v>
      </c>
      <c r="F6974" s="3" t="s">
        <v>103</v>
      </c>
      <c r="G6974" s="3" t="s">
        <v>103</v>
      </c>
      <c r="H6974" s="3" t="s">
        <v>103</v>
      </c>
      <c r="I6974" s="3" t="s">
        <v>103</v>
      </c>
      <c r="J6974" s="3" t="s">
        <v>103</v>
      </c>
      <c r="K6974" s="3" t="s">
        <v>103</v>
      </c>
      <c r="L6974" s="3" t="s">
        <v>103</v>
      </c>
      <c r="M6974" s="3" t="s">
        <v>103</v>
      </c>
      <c r="N6974" s="3" t="s">
        <v>103</v>
      </c>
      <c r="O6974" s="3" t="s">
        <v>103</v>
      </c>
      <c r="P6974" s="3" t="s">
        <v>103</v>
      </c>
      <c r="Q6974" s="3" t="s">
        <v>103</v>
      </c>
      <c r="R6974" s="3" t="s">
        <v>103</v>
      </c>
      <c r="S6974" s="3" t="s">
        <v>103</v>
      </c>
    </row>
    <row r="6975" spans="1:19" s="3" customFormat="1" x14ac:dyDescent="0.3">
      <c r="A6975" s="3" t="s">
        <v>27</v>
      </c>
      <c r="B6975" s="3" t="s">
        <v>2182</v>
      </c>
      <c r="C6975" s="3">
        <v>10</v>
      </c>
      <c r="D6975" s="3" t="s">
        <v>45</v>
      </c>
      <c r="E6975" s="3" t="s">
        <v>103</v>
      </c>
      <c r="F6975" s="3" t="s">
        <v>103</v>
      </c>
      <c r="G6975" s="3" t="s">
        <v>103</v>
      </c>
      <c r="H6975" s="3" t="s">
        <v>46</v>
      </c>
      <c r="I6975" s="3" t="s">
        <v>103</v>
      </c>
      <c r="J6975" s="3" t="s">
        <v>103</v>
      </c>
      <c r="K6975" s="3" t="s">
        <v>103</v>
      </c>
      <c r="L6975" s="3" t="s">
        <v>103</v>
      </c>
      <c r="M6975" s="3" t="s">
        <v>103</v>
      </c>
      <c r="N6975" s="3" t="s">
        <v>103</v>
      </c>
      <c r="O6975" s="3" t="s">
        <v>103</v>
      </c>
      <c r="P6975" s="3" t="s">
        <v>103</v>
      </c>
      <c r="Q6975" s="3" t="s">
        <v>103</v>
      </c>
      <c r="R6975" s="3" t="s">
        <v>103</v>
      </c>
      <c r="S6975" s="3" t="s">
        <v>103</v>
      </c>
    </row>
    <row r="6976" spans="1:19" s="3" customFormat="1" x14ac:dyDescent="0.3">
      <c r="A6976" s="3" t="s">
        <v>27</v>
      </c>
      <c r="B6976" s="3" t="s">
        <v>2183</v>
      </c>
      <c r="C6976" s="3">
        <v>14</v>
      </c>
      <c r="D6976" s="3" t="s">
        <v>49</v>
      </c>
      <c r="E6976" s="3" t="s">
        <v>103</v>
      </c>
      <c r="F6976" s="3" t="s">
        <v>103</v>
      </c>
      <c r="G6976" s="3" t="s">
        <v>103</v>
      </c>
      <c r="H6976" s="3" t="s">
        <v>813</v>
      </c>
      <c r="I6976" s="3" t="s">
        <v>103</v>
      </c>
      <c r="J6976" s="3" t="s">
        <v>103</v>
      </c>
      <c r="K6976" s="3" t="s">
        <v>144</v>
      </c>
      <c r="L6976" s="3" t="s">
        <v>103</v>
      </c>
      <c r="M6976" s="3" t="s">
        <v>103</v>
      </c>
      <c r="N6976" s="3" t="s">
        <v>103</v>
      </c>
      <c r="O6976" s="3" t="s">
        <v>103</v>
      </c>
      <c r="P6976" s="3" t="s">
        <v>103</v>
      </c>
      <c r="Q6976" s="3" t="s">
        <v>103</v>
      </c>
      <c r="R6976" s="3" t="s">
        <v>103</v>
      </c>
      <c r="S6976" s="3" t="s">
        <v>103</v>
      </c>
    </row>
    <row r="6977" spans="1:19" s="3" customFormat="1" x14ac:dyDescent="0.3">
      <c r="A6977" s="3" t="s">
        <v>27</v>
      </c>
      <c r="B6977" s="3" t="s">
        <v>2184</v>
      </c>
      <c r="C6977" s="3">
        <v>27</v>
      </c>
      <c r="D6977" s="3" t="s">
        <v>241</v>
      </c>
      <c r="E6977" s="3" t="s">
        <v>103</v>
      </c>
      <c r="F6977" s="3" t="s">
        <v>103</v>
      </c>
      <c r="G6977" s="3" t="s">
        <v>103</v>
      </c>
      <c r="H6977" s="3" t="s">
        <v>281</v>
      </c>
      <c r="I6977" s="3" t="s">
        <v>103</v>
      </c>
      <c r="J6977" s="3" t="s">
        <v>103</v>
      </c>
      <c r="K6977" s="3" t="s">
        <v>139</v>
      </c>
      <c r="L6977" s="3" t="s">
        <v>103</v>
      </c>
      <c r="M6977" s="3" t="s">
        <v>103</v>
      </c>
      <c r="N6977" s="3" t="s">
        <v>133</v>
      </c>
      <c r="O6977" s="3" t="s">
        <v>103</v>
      </c>
      <c r="P6977" s="3" t="s">
        <v>103</v>
      </c>
      <c r="Q6977" s="3" t="s">
        <v>103</v>
      </c>
      <c r="R6977" s="3" t="s">
        <v>103</v>
      </c>
      <c r="S6977" s="3" t="s">
        <v>103</v>
      </c>
    </row>
    <row r="6978" spans="1:19" x14ac:dyDescent="0.3">
      <c r="A6978" t="s">
        <v>41</v>
      </c>
      <c r="B6978" t="s">
        <v>844</v>
      </c>
      <c r="C6978">
        <v>67</v>
      </c>
      <c r="D6978" t="s">
        <v>246</v>
      </c>
      <c r="E6978" t="s">
        <v>190</v>
      </c>
      <c r="F6978" t="s">
        <v>97</v>
      </c>
      <c r="G6978" t="s">
        <v>118</v>
      </c>
      <c r="H6978" t="s">
        <v>100</v>
      </c>
      <c r="I6978" t="s">
        <v>103</v>
      </c>
      <c r="J6978" t="s">
        <v>103</v>
      </c>
      <c r="K6978" t="s">
        <v>257</v>
      </c>
      <c r="L6978" t="s">
        <v>103</v>
      </c>
      <c r="M6978" t="s">
        <v>103</v>
      </c>
      <c r="N6978" t="s">
        <v>103</v>
      </c>
      <c r="O6978" t="s">
        <v>257</v>
      </c>
      <c r="P6978" t="s">
        <v>103</v>
      </c>
      <c r="Q6978" t="s">
        <v>103</v>
      </c>
      <c r="R6978" t="s">
        <v>103</v>
      </c>
      <c r="S6978" t="s">
        <v>103</v>
      </c>
    </row>
    <row r="6979" spans="1:19" x14ac:dyDescent="0.3">
      <c r="A6979" t="s">
        <v>41</v>
      </c>
      <c r="B6979" t="s">
        <v>2173</v>
      </c>
      <c r="C6979">
        <v>100</v>
      </c>
      <c r="D6979" t="s">
        <v>721</v>
      </c>
      <c r="E6979" t="s">
        <v>272</v>
      </c>
      <c r="F6979" t="s">
        <v>103</v>
      </c>
      <c r="G6979" t="s">
        <v>242</v>
      </c>
      <c r="H6979" t="s">
        <v>272</v>
      </c>
      <c r="I6979" t="s">
        <v>103</v>
      </c>
      <c r="J6979" t="s">
        <v>103</v>
      </c>
      <c r="K6979" t="s">
        <v>103</v>
      </c>
      <c r="L6979" t="s">
        <v>66</v>
      </c>
      <c r="M6979" t="s">
        <v>103</v>
      </c>
      <c r="N6979" t="s">
        <v>345</v>
      </c>
      <c r="O6979" t="s">
        <v>103</v>
      </c>
      <c r="P6979" t="s">
        <v>103</v>
      </c>
      <c r="Q6979" t="s">
        <v>103</v>
      </c>
      <c r="R6979" t="s">
        <v>103</v>
      </c>
      <c r="S6979" t="s">
        <v>103</v>
      </c>
    </row>
    <row r="6980" spans="1:19" x14ac:dyDescent="0.3">
      <c r="A6980" t="s">
        <v>41</v>
      </c>
      <c r="B6980" t="s">
        <v>2174</v>
      </c>
      <c r="C6980">
        <v>69</v>
      </c>
      <c r="D6980" t="s">
        <v>827</v>
      </c>
      <c r="E6980" t="s">
        <v>60</v>
      </c>
      <c r="F6980" t="s">
        <v>98</v>
      </c>
      <c r="G6980" t="s">
        <v>103</v>
      </c>
      <c r="H6980" t="s">
        <v>95</v>
      </c>
      <c r="I6980" t="s">
        <v>120</v>
      </c>
      <c r="J6980" t="s">
        <v>103</v>
      </c>
      <c r="K6980" t="s">
        <v>103</v>
      </c>
      <c r="L6980" t="s">
        <v>103</v>
      </c>
      <c r="M6980" t="s">
        <v>103</v>
      </c>
      <c r="N6980" t="s">
        <v>95</v>
      </c>
      <c r="O6980" t="s">
        <v>239</v>
      </c>
      <c r="P6980" t="s">
        <v>103</v>
      </c>
      <c r="Q6980" t="s">
        <v>103</v>
      </c>
      <c r="R6980" t="s">
        <v>103</v>
      </c>
      <c r="S6980" t="s">
        <v>103</v>
      </c>
    </row>
    <row r="6981" spans="1:19" x14ac:dyDescent="0.3">
      <c r="A6981" t="s">
        <v>41</v>
      </c>
      <c r="B6981" t="s">
        <v>2175</v>
      </c>
      <c r="C6981">
        <v>43</v>
      </c>
      <c r="D6981" t="s">
        <v>147</v>
      </c>
      <c r="E6981" t="s">
        <v>108</v>
      </c>
      <c r="F6981" t="s">
        <v>103</v>
      </c>
      <c r="G6981" t="s">
        <v>103</v>
      </c>
      <c r="H6981" t="s">
        <v>103</v>
      </c>
      <c r="I6981" t="s">
        <v>103</v>
      </c>
      <c r="J6981" t="s">
        <v>103</v>
      </c>
      <c r="K6981" t="s">
        <v>103</v>
      </c>
      <c r="L6981" t="s">
        <v>103</v>
      </c>
      <c r="M6981" t="s">
        <v>103</v>
      </c>
      <c r="N6981" t="s">
        <v>93</v>
      </c>
      <c r="O6981" t="s">
        <v>103</v>
      </c>
      <c r="P6981" t="s">
        <v>103</v>
      </c>
      <c r="Q6981" t="s">
        <v>103</v>
      </c>
      <c r="R6981" t="s">
        <v>103</v>
      </c>
      <c r="S6981" t="s">
        <v>103</v>
      </c>
    </row>
    <row r="6982" spans="1:19" x14ac:dyDescent="0.3">
      <c r="A6982" t="s">
        <v>41</v>
      </c>
      <c r="B6982" t="s">
        <v>2176</v>
      </c>
      <c r="C6982">
        <v>318</v>
      </c>
      <c r="D6982" t="s">
        <v>1308</v>
      </c>
      <c r="E6982" t="s">
        <v>272</v>
      </c>
      <c r="F6982" t="s">
        <v>105</v>
      </c>
      <c r="G6982" t="s">
        <v>257</v>
      </c>
      <c r="H6982" t="s">
        <v>575</v>
      </c>
      <c r="I6982" t="s">
        <v>105</v>
      </c>
      <c r="J6982" t="s">
        <v>239</v>
      </c>
      <c r="K6982" t="s">
        <v>103</v>
      </c>
      <c r="L6982" t="s">
        <v>103</v>
      </c>
      <c r="M6982" t="s">
        <v>103</v>
      </c>
      <c r="N6982" t="s">
        <v>245</v>
      </c>
      <c r="O6982" t="s">
        <v>194</v>
      </c>
      <c r="P6982" t="s">
        <v>97</v>
      </c>
      <c r="Q6982" t="s">
        <v>103</v>
      </c>
      <c r="R6982" t="s">
        <v>103</v>
      </c>
      <c r="S6982" t="s">
        <v>103</v>
      </c>
    </row>
    <row r="6983" spans="1:19" x14ac:dyDescent="0.3">
      <c r="A6983" t="s">
        <v>41</v>
      </c>
      <c r="B6983" t="s">
        <v>2177</v>
      </c>
      <c r="C6983">
        <v>303</v>
      </c>
      <c r="D6983" t="s">
        <v>267</v>
      </c>
      <c r="E6983" t="s">
        <v>70</v>
      </c>
      <c r="F6983" t="s">
        <v>103</v>
      </c>
      <c r="G6983" t="s">
        <v>272</v>
      </c>
      <c r="H6983" t="s">
        <v>146</v>
      </c>
      <c r="I6983" t="s">
        <v>266</v>
      </c>
      <c r="J6983" t="s">
        <v>139</v>
      </c>
      <c r="K6983" t="s">
        <v>345</v>
      </c>
      <c r="L6983" t="s">
        <v>103</v>
      </c>
      <c r="M6983" t="s">
        <v>97</v>
      </c>
      <c r="N6983" t="s">
        <v>93</v>
      </c>
      <c r="O6983" t="s">
        <v>118</v>
      </c>
      <c r="P6983" t="s">
        <v>194</v>
      </c>
      <c r="Q6983" t="s">
        <v>103</v>
      </c>
      <c r="R6983" t="s">
        <v>103</v>
      </c>
      <c r="S6983" t="s">
        <v>103</v>
      </c>
    </row>
    <row r="6984" spans="1:19" x14ac:dyDescent="0.3">
      <c r="A6984" t="s">
        <v>41</v>
      </c>
      <c r="B6984" t="s">
        <v>2178</v>
      </c>
      <c r="C6984">
        <v>379</v>
      </c>
      <c r="D6984" t="s">
        <v>2104</v>
      </c>
      <c r="E6984" t="s">
        <v>194</v>
      </c>
      <c r="F6984" t="s">
        <v>345</v>
      </c>
      <c r="G6984" t="s">
        <v>194</v>
      </c>
      <c r="H6984" t="s">
        <v>232</v>
      </c>
      <c r="I6984" t="s">
        <v>329</v>
      </c>
      <c r="J6984" t="s">
        <v>120</v>
      </c>
      <c r="K6984" t="s">
        <v>201</v>
      </c>
      <c r="L6984" t="s">
        <v>91</v>
      </c>
      <c r="M6984" t="s">
        <v>122</v>
      </c>
      <c r="N6984" t="s">
        <v>95</v>
      </c>
      <c r="O6984" t="s">
        <v>345</v>
      </c>
      <c r="P6984" t="s">
        <v>345</v>
      </c>
      <c r="Q6984" t="s">
        <v>103</v>
      </c>
      <c r="R6984" t="s">
        <v>103</v>
      </c>
      <c r="S6984" t="s">
        <v>103</v>
      </c>
    </row>
    <row r="6985" spans="1:19" x14ac:dyDescent="0.3">
      <c r="A6985" t="s">
        <v>41</v>
      </c>
      <c r="B6985" t="s">
        <v>846</v>
      </c>
      <c r="C6985">
        <v>85</v>
      </c>
      <c r="D6985" t="s">
        <v>728</v>
      </c>
      <c r="E6985" t="s">
        <v>493</v>
      </c>
      <c r="F6985" t="s">
        <v>103</v>
      </c>
      <c r="G6985" t="s">
        <v>452</v>
      </c>
      <c r="H6985" t="s">
        <v>511</v>
      </c>
      <c r="I6985" t="s">
        <v>103</v>
      </c>
      <c r="J6985" t="s">
        <v>118</v>
      </c>
      <c r="K6985" t="s">
        <v>103</v>
      </c>
      <c r="L6985" t="s">
        <v>103</v>
      </c>
      <c r="M6985" t="s">
        <v>103</v>
      </c>
      <c r="N6985" t="s">
        <v>284</v>
      </c>
      <c r="O6985" t="s">
        <v>93</v>
      </c>
      <c r="P6985" t="s">
        <v>103</v>
      </c>
      <c r="Q6985" t="s">
        <v>103</v>
      </c>
      <c r="R6985" t="s">
        <v>103</v>
      </c>
      <c r="S6985" t="s">
        <v>103</v>
      </c>
    </row>
    <row r="6986" spans="1:19" x14ac:dyDescent="0.3">
      <c r="A6986" t="s">
        <v>41</v>
      </c>
      <c r="B6986" t="s">
        <v>2179</v>
      </c>
      <c r="C6986">
        <v>74</v>
      </c>
      <c r="D6986" t="s">
        <v>289</v>
      </c>
      <c r="E6986" t="s">
        <v>102</v>
      </c>
      <c r="F6986" t="s">
        <v>103</v>
      </c>
      <c r="G6986" t="s">
        <v>95</v>
      </c>
      <c r="H6986" t="s">
        <v>239</v>
      </c>
      <c r="I6986" t="s">
        <v>103</v>
      </c>
      <c r="J6986" t="s">
        <v>103</v>
      </c>
      <c r="K6986" t="s">
        <v>103</v>
      </c>
      <c r="L6986" t="s">
        <v>103</v>
      </c>
      <c r="M6986" t="s">
        <v>103</v>
      </c>
      <c r="N6986" t="s">
        <v>66</v>
      </c>
      <c r="O6986" t="s">
        <v>103</v>
      </c>
      <c r="P6986" t="s">
        <v>103</v>
      </c>
      <c r="Q6986" t="s">
        <v>103</v>
      </c>
      <c r="R6986" t="s">
        <v>103</v>
      </c>
      <c r="S6986" t="s">
        <v>103</v>
      </c>
    </row>
    <row r="6987" spans="1:19" x14ac:dyDescent="0.3">
      <c r="A6987" t="s">
        <v>41</v>
      </c>
      <c r="B6987" t="s">
        <v>2180</v>
      </c>
      <c r="C6987">
        <v>56</v>
      </c>
      <c r="D6987" t="s">
        <v>158</v>
      </c>
      <c r="E6987" t="s">
        <v>341</v>
      </c>
      <c r="F6987" t="s">
        <v>195</v>
      </c>
      <c r="G6987" t="s">
        <v>113</v>
      </c>
      <c r="H6987" t="s">
        <v>257</v>
      </c>
      <c r="I6987" t="s">
        <v>103</v>
      </c>
      <c r="J6987" t="s">
        <v>103</v>
      </c>
      <c r="K6987" t="s">
        <v>103</v>
      </c>
      <c r="L6987" t="s">
        <v>103</v>
      </c>
      <c r="M6987" t="s">
        <v>103</v>
      </c>
      <c r="N6987" t="s">
        <v>103</v>
      </c>
      <c r="O6987" t="s">
        <v>272</v>
      </c>
      <c r="P6987" t="s">
        <v>103</v>
      </c>
      <c r="Q6987" t="s">
        <v>103</v>
      </c>
      <c r="R6987" t="s">
        <v>103</v>
      </c>
      <c r="S6987" t="s">
        <v>103</v>
      </c>
    </row>
    <row r="6988" spans="1:19" x14ac:dyDescent="0.3">
      <c r="A6988" t="s">
        <v>41</v>
      </c>
      <c r="B6988" t="s">
        <v>2181</v>
      </c>
      <c r="C6988">
        <v>31</v>
      </c>
      <c r="D6988" t="s">
        <v>165</v>
      </c>
      <c r="E6988" t="s">
        <v>214</v>
      </c>
      <c r="F6988" t="s">
        <v>270</v>
      </c>
      <c r="G6988" t="s">
        <v>195</v>
      </c>
      <c r="H6988" t="s">
        <v>70</v>
      </c>
      <c r="I6988" t="s">
        <v>103</v>
      </c>
      <c r="J6988" t="s">
        <v>103</v>
      </c>
      <c r="K6988" t="s">
        <v>103</v>
      </c>
      <c r="L6988" t="s">
        <v>103</v>
      </c>
      <c r="M6988" t="s">
        <v>103</v>
      </c>
      <c r="N6988" t="s">
        <v>103</v>
      </c>
      <c r="O6988" t="s">
        <v>103</v>
      </c>
      <c r="P6988" t="s">
        <v>103</v>
      </c>
      <c r="Q6988" t="s">
        <v>103</v>
      </c>
      <c r="R6988" t="s">
        <v>103</v>
      </c>
      <c r="S6988" t="s">
        <v>103</v>
      </c>
    </row>
    <row r="6989" spans="1:19" x14ac:dyDescent="0.3">
      <c r="A6989" t="s">
        <v>41</v>
      </c>
      <c r="B6989" t="s">
        <v>2182</v>
      </c>
      <c r="C6989">
        <v>150</v>
      </c>
      <c r="D6989" t="s">
        <v>2033</v>
      </c>
      <c r="E6989" t="s">
        <v>62</v>
      </c>
      <c r="F6989" t="s">
        <v>208</v>
      </c>
      <c r="G6989" t="s">
        <v>118</v>
      </c>
      <c r="H6989" t="s">
        <v>524</v>
      </c>
      <c r="I6989" t="s">
        <v>105</v>
      </c>
      <c r="J6989" t="s">
        <v>103</v>
      </c>
      <c r="K6989" t="s">
        <v>341</v>
      </c>
      <c r="L6989" t="s">
        <v>103</v>
      </c>
      <c r="M6989" t="s">
        <v>103</v>
      </c>
      <c r="N6989" t="s">
        <v>68</v>
      </c>
      <c r="O6989" t="s">
        <v>282</v>
      </c>
      <c r="P6989" t="s">
        <v>97</v>
      </c>
      <c r="Q6989" t="s">
        <v>103</v>
      </c>
      <c r="R6989" t="s">
        <v>103</v>
      </c>
      <c r="S6989" t="s">
        <v>103</v>
      </c>
    </row>
    <row r="6990" spans="1:19" x14ac:dyDescent="0.3">
      <c r="A6990" t="s">
        <v>41</v>
      </c>
      <c r="B6990" t="s">
        <v>2183</v>
      </c>
      <c r="C6990">
        <v>132</v>
      </c>
      <c r="D6990" t="s">
        <v>276</v>
      </c>
      <c r="E6990" t="s">
        <v>206</v>
      </c>
      <c r="F6990" t="s">
        <v>103</v>
      </c>
      <c r="G6990" t="s">
        <v>139</v>
      </c>
      <c r="H6990" t="s">
        <v>575</v>
      </c>
      <c r="I6990" t="s">
        <v>120</v>
      </c>
      <c r="J6990" t="s">
        <v>103</v>
      </c>
      <c r="K6990" t="s">
        <v>105</v>
      </c>
      <c r="L6990" t="s">
        <v>103</v>
      </c>
      <c r="M6990" t="s">
        <v>103</v>
      </c>
      <c r="N6990" t="s">
        <v>98</v>
      </c>
      <c r="O6990" t="s">
        <v>97</v>
      </c>
      <c r="P6990" t="s">
        <v>98</v>
      </c>
      <c r="Q6990" t="s">
        <v>103</v>
      </c>
      <c r="R6990" t="s">
        <v>103</v>
      </c>
      <c r="S6990" t="s">
        <v>103</v>
      </c>
    </row>
    <row r="6991" spans="1:19" x14ac:dyDescent="0.3">
      <c r="A6991" t="s">
        <v>41</v>
      </c>
      <c r="B6991" t="s">
        <v>2184</v>
      </c>
      <c r="C6991">
        <v>121</v>
      </c>
      <c r="D6991" t="s">
        <v>1144</v>
      </c>
      <c r="E6991" t="s">
        <v>128</v>
      </c>
      <c r="F6991" t="s">
        <v>103</v>
      </c>
      <c r="G6991" t="s">
        <v>93</v>
      </c>
      <c r="H6991" t="s">
        <v>130</v>
      </c>
      <c r="I6991" t="s">
        <v>341</v>
      </c>
      <c r="J6991" t="s">
        <v>493</v>
      </c>
      <c r="K6991" t="s">
        <v>120</v>
      </c>
      <c r="L6991" t="s">
        <v>103</v>
      </c>
      <c r="M6991" t="s">
        <v>103</v>
      </c>
      <c r="N6991" t="s">
        <v>110</v>
      </c>
      <c r="O6991" t="s">
        <v>103</v>
      </c>
      <c r="P6991" t="s">
        <v>98</v>
      </c>
      <c r="Q6991" t="s">
        <v>103</v>
      </c>
      <c r="R6991" t="s">
        <v>103</v>
      </c>
      <c r="S6991" t="s">
        <v>103</v>
      </c>
    </row>
    <row r="6993" spans="1:19" x14ac:dyDescent="0.3">
      <c r="A6993" t="s">
        <v>2252</v>
      </c>
    </row>
    <row r="6994" spans="1:19" x14ac:dyDescent="0.3">
      <c r="A6994" t="s">
        <v>36</v>
      </c>
      <c r="B6994" t="s">
        <v>2187</v>
      </c>
      <c r="C6994" t="s">
        <v>24</v>
      </c>
      <c r="D6994" t="s">
        <v>2238</v>
      </c>
      <c r="E6994" t="s">
        <v>2239</v>
      </c>
      <c r="F6994" t="s">
        <v>2240</v>
      </c>
      <c r="G6994" t="s">
        <v>2241</v>
      </c>
      <c r="H6994" t="s">
        <v>2242</v>
      </c>
      <c r="I6994" t="s">
        <v>2243</v>
      </c>
      <c r="J6994" t="s">
        <v>2244</v>
      </c>
      <c r="K6994" t="s">
        <v>2245</v>
      </c>
      <c r="L6994" t="s">
        <v>2246</v>
      </c>
      <c r="M6994" t="s">
        <v>2247</v>
      </c>
      <c r="N6994" t="s">
        <v>2248</v>
      </c>
      <c r="O6994" t="s">
        <v>2249</v>
      </c>
      <c r="P6994" t="s">
        <v>2250</v>
      </c>
      <c r="Q6994" t="s">
        <v>183</v>
      </c>
      <c r="R6994" t="s">
        <v>87</v>
      </c>
      <c r="S6994" t="s">
        <v>181</v>
      </c>
    </row>
    <row r="6995" spans="1:19" x14ac:dyDescent="0.3">
      <c r="A6995" t="s">
        <v>25</v>
      </c>
      <c r="B6995" t="s">
        <v>2188</v>
      </c>
      <c r="C6995">
        <v>119</v>
      </c>
      <c r="D6995" t="s">
        <v>886</v>
      </c>
      <c r="E6995" t="s">
        <v>194</v>
      </c>
      <c r="F6995" t="s">
        <v>103</v>
      </c>
      <c r="G6995" t="s">
        <v>98</v>
      </c>
      <c r="H6995" t="s">
        <v>273</v>
      </c>
      <c r="I6995" t="s">
        <v>214</v>
      </c>
      <c r="J6995" t="s">
        <v>103</v>
      </c>
      <c r="K6995" t="s">
        <v>468</v>
      </c>
      <c r="L6995" t="s">
        <v>103</v>
      </c>
      <c r="M6995" t="s">
        <v>103</v>
      </c>
      <c r="N6995" t="s">
        <v>122</v>
      </c>
      <c r="O6995" t="s">
        <v>103</v>
      </c>
      <c r="P6995" t="s">
        <v>116</v>
      </c>
      <c r="Q6995" t="s">
        <v>103</v>
      </c>
      <c r="R6995" t="s">
        <v>103</v>
      </c>
      <c r="S6995" t="s">
        <v>103</v>
      </c>
    </row>
    <row r="6996" spans="1:19" x14ac:dyDescent="0.3">
      <c r="A6996" t="s">
        <v>25</v>
      </c>
      <c r="B6996" t="s">
        <v>2189</v>
      </c>
      <c r="C6996">
        <v>296</v>
      </c>
      <c r="D6996" t="s">
        <v>1169</v>
      </c>
      <c r="E6996" t="s">
        <v>126</v>
      </c>
      <c r="F6996" t="s">
        <v>103</v>
      </c>
      <c r="G6996" t="s">
        <v>272</v>
      </c>
      <c r="H6996" t="s">
        <v>254</v>
      </c>
      <c r="I6996" t="s">
        <v>201</v>
      </c>
      <c r="J6996" t="s">
        <v>122</v>
      </c>
      <c r="K6996" t="s">
        <v>345</v>
      </c>
      <c r="L6996" t="s">
        <v>103</v>
      </c>
      <c r="M6996" t="s">
        <v>103</v>
      </c>
      <c r="N6996" t="s">
        <v>239</v>
      </c>
      <c r="O6996" t="s">
        <v>216</v>
      </c>
      <c r="P6996" t="s">
        <v>103</v>
      </c>
      <c r="Q6996" t="s">
        <v>103</v>
      </c>
      <c r="R6996" t="s">
        <v>103</v>
      </c>
      <c r="S6996" t="s">
        <v>103</v>
      </c>
    </row>
    <row r="6997" spans="1:19" x14ac:dyDescent="0.3">
      <c r="A6997" t="s">
        <v>25</v>
      </c>
      <c r="B6997" t="s">
        <v>308</v>
      </c>
      <c r="C6997">
        <v>25</v>
      </c>
      <c r="D6997" t="s">
        <v>617</v>
      </c>
      <c r="E6997" t="s">
        <v>124</v>
      </c>
      <c r="F6997" t="s">
        <v>103</v>
      </c>
      <c r="G6997" t="s">
        <v>216</v>
      </c>
      <c r="H6997" t="s">
        <v>284</v>
      </c>
      <c r="I6997" t="s">
        <v>257</v>
      </c>
      <c r="J6997" t="s">
        <v>103</v>
      </c>
      <c r="K6997" t="s">
        <v>103</v>
      </c>
      <c r="L6997" t="s">
        <v>103</v>
      </c>
      <c r="M6997" t="s">
        <v>103</v>
      </c>
      <c r="N6997" t="s">
        <v>103</v>
      </c>
      <c r="O6997" t="s">
        <v>103</v>
      </c>
      <c r="P6997" t="s">
        <v>103</v>
      </c>
      <c r="Q6997" t="s">
        <v>103</v>
      </c>
      <c r="R6997" t="s">
        <v>103</v>
      </c>
      <c r="S6997" t="s">
        <v>103</v>
      </c>
    </row>
    <row r="6998" spans="1:19" x14ac:dyDescent="0.3">
      <c r="A6998" t="s">
        <v>26</v>
      </c>
      <c r="B6998" t="s">
        <v>2188</v>
      </c>
      <c r="C6998">
        <v>80</v>
      </c>
      <c r="D6998" t="s">
        <v>1441</v>
      </c>
      <c r="E6998" t="s">
        <v>194</v>
      </c>
      <c r="F6998" t="s">
        <v>103</v>
      </c>
      <c r="G6998" t="s">
        <v>120</v>
      </c>
      <c r="H6998" t="s">
        <v>682</v>
      </c>
      <c r="I6998" t="s">
        <v>110</v>
      </c>
      <c r="J6998" t="s">
        <v>103</v>
      </c>
      <c r="K6998" t="s">
        <v>102</v>
      </c>
      <c r="L6998" t="s">
        <v>103</v>
      </c>
      <c r="M6998" t="s">
        <v>103</v>
      </c>
      <c r="N6998" t="s">
        <v>531</v>
      </c>
      <c r="O6998" t="s">
        <v>103</v>
      </c>
      <c r="P6998" t="s">
        <v>245</v>
      </c>
      <c r="Q6998" t="s">
        <v>103</v>
      </c>
      <c r="R6998" t="s">
        <v>103</v>
      </c>
      <c r="S6998" t="s">
        <v>103</v>
      </c>
    </row>
    <row r="6999" spans="1:19" x14ac:dyDescent="0.3">
      <c r="A6999" t="s">
        <v>26</v>
      </c>
      <c r="B6999" t="s">
        <v>2189</v>
      </c>
      <c r="C6999">
        <v>304</v>
      </c>
      <c r="D6999" t="s">
        <v>974</v>
      </c>
      <c r="E6999" t="s">
        <v>110</v>
      </c>
      <c r="F6999" t="s">
        <v>468</v>
      </c>
      <c r="G6999" t="s">
        <v>110</v>
      </c>
      <c r="H6999" t="s">
        <v>100</v>
      </c>
      <c r="I6999" t="s">
        <v>116</v>
      </c>
      <c r="J6999" t="s">
        <v>103</v>
      </c>
      <c r="K6999" t="s">
        <v>103</v>
      </c>
      <c r="L6999" t="s">
        <v>103</v>
      </c>
      <c r="M6999" t="s">
        <v>120</v>
      </c>
      <c r="N6999" t="s">
        <v>239</v>
      </c>
      <c r="O6999" t="s">
        <v>95</v>
      </c>
      <c r="P6999" t="s">
        <v>139</v>
      </c>
      <c r="Q6999" t="s">
        <v>103</v>
      </c>
      <c r="R6999" t="s">
        <v>103</v>
      </c>
      <c r="S6999" t="s">
        <v>103</v>
      </c>
    </row>
    <row r="7000" spans="1:19" x14ac:dyDescent="0.3">
      <c r="A7000" t="s">
        <v>26</v>
      </c>
      <c r="B7000" t="s">
        <v>308</v>
      </c>
      <c r="C7000">
        <v>20</v>
      </c>
      <c r="D7000" t="s">
        <v>336</v>
      </c>
      <c r="E7000" t="s">
        <v>116</v>
      </c>
      <c r="F7000" t="s">
        <v>270</v>
      </c>
      <c r="G7000" t="s">
        <v>103</v>
      </c>
      <c r="H7000" t="s">
        <v>103</v>
      </c>
      <c r="I7000" t="s">
        <v>103</v>
      </c>
      <c r="J7000" t="s">
        <v>103</v>
      </c>
      <c r="K7000" t="s">
        <v>103</v>
      </c>
      <c r="L7000" t="s">
        <v>103</v>
      </c>
      <c r="M7000" t="s">
        <v>103</v>
      </c>
      <c r="N7000" t="s">
        <v>103</v>
      </c>
      <c r="O7000" t="s">
        <v>103</v>
      </c>
      <c r="P7000" t="s">
        <v>103</v>
      </c>
      <c r="Q7000" t="s">
        <v>103</v>
      </c>
      <c r="R7000" t="s">
        <v>103</v>
      </c>
      <c r="S7000" t="s">
        <v>103</v>
      </c>
    </row>
    <row r="7001" spans="1:19" x14ac:dyDescent="0.3">
      <c r="A7001" t="s">
        <v>29</v>
      </c>
      <c r="B7001" t="s">
        <v>2188</v>
      </c>
      <c r="C7001">
        <v>163</v>
      </c>
      <c r="D7001" t="s">
        <v>2109</v>
      </c>
      <c r="E7001" t="s">
        <v>70</v>
      </c>
      <c r="F7001" t="s">
        <v>118</v>
      </c>
      <c r="G7001" t="s">
        <v>232</v>
      </c>
      <c r="H7001" t="s">
        <v>108</v>
      </c>
      <c r="I7001" t="s">
        <v>93</v>
      </c>
      <c r="J7001" t="s">
        <v>105</v>
      </c>
      <c r="K7001" t="s">
        <v>232</v>
      </c>
      <c r="L7001" t="s">
        <v>103</v>
      </c>
      <c r="M7001" t="s">
        <v>97</v>
      </c>
      <c r="N7001" t="s">
        <v>282</v>
      </c>
      <c r="O7001" t="s">
        <v>216</v>
      </c>
      <c r="P7001" t="s">
        <v>91</v>
      </c>
      <c r="Q7001" t="s">
        <v>103</v>
      </c>
      <c r="R7001" t="s">
        <v>103</v>
      </c>
      <c r="S7001" t="s">
        <v>103</v>
      </c>
    </row>
    <row r="7002" spans="1:19" x14ac:dyDescent="0.3">
      <c r="A7002" t="s">
        <v>29</v>
      </c>
      <c r="B7002" t="s">
        <v>2189</v>
      </c>
      <c r="C7002">
        <v>422</v>
      </c>
      <c r="D7002" t="s">
        <v>187</v>
      </c>
      <c r="E7002" t="s">
        <v>113</v>
      </c>
      <c r="F7002" t="s">
        <v>95</v>
      </c>
      <c r="G7002" t="s">
        <v>118</v>
      </c>
      <c r="H7002" t="s">
        <v>558</v>
      </c>
      <c r="I7002" t="s">
        <v>91</v>
      </c>
      <c r="J7002" t="s">
        <v>110</v>
      </c>
      <c r="K7002" t="s">
        <v>103</v>
      </c>
      <c r="L7002" t="s">
        <v>103</v>
      </c>
      <c r="M7002" t="s">
        <v>103</v>
      </c>
      <c r="N7002" t="s">
        <v>216</v>
      </c>
      <c r="O7002" t="s">
        <v>245</v>
      </c>
      <c r="P7002" t="s">
        <v>468</v>
      </c>
      <c r="Q7002" t="s">
        <v>103</v>
      </c>
      <c r="R7002" t="s">
        <v>103</v>
      </c>
      <c r="S7002" t="s">
        <v>103</v>
      </c>
    </row>
    <row r="7003" spans="1:19" x14ac:dyDescent="0.3">
      <c r="A7003" t="s">
        <v>29</v>
      </c>
      <c r="B7003" t="s">
        <v>308</v>
      </c>
      <c r="C7003">
        <v>49</v>
      </c>
      <c r="D7003" t="s">
        <v>1509</v>
      </c>
      <c r="E7003" t="s">
        <v>60</v>
      </c>
      <c r="F7003" t="s">
        <v>103</v>
      </c>
      <c r="G7003" t="s">
        <v>116</v>
      </c>
      <c r="H7003" t="s">
        <v>95</v>
      </c>
      <c r="I7003" t="s">
        <v>103</v>
      </c>
      <c r="J7003" t="s">
        <v>103</v>
      </c>
      <c r="K7003" t="s">
        <v>103</v>
      </c>
      <c r="L7003" t="s">
        <v>103</v>
      </c>
      <c r="M7003" t="s">
        <v>103</v>
      </c>
      <c r="N7003" t="s">
        <v>95</v>
      </c>
      <c r="O7003" t="s">
        <v>245</v>
      </c>
      <c r="P7003" t="s">
        <v>103</v>
      </c>
      <c r="Q7003" t="s">
        <v>103</v>
      </c>
      <c r="R7003" t="s">
        <v>103</v>
      </c>
      <c r="S7003" t="s">
        <v>103</v>
      </c>
    </row>
    <row r="7004" spans="1:19" x14ac:dyDescent="0.3">
      <c r="A7004" t="s">
        <v>28</v>
      </c>
      <c r="B7004" t="s">
        <v>2188</v>
      </c>
      <c r="C7004">
        <v>81</v>
      </c>
      <c r="D7004" t="s">
        <v>227</v>
      </c>
      <c r="E7004" t="s">
        <v>188</v>
      </c>
      <c r="F7004" t="s">
        <v>103</v>
      </c>
      <c r="G7004" t="s">
        <v>112</v>
      </c>
      <c r="H7004" t="s">
        <v>33</v>
      </c>
      <c r="I7004" t="s">
        <v>95</v>
      </c>
      <c r="J7004" t="s">
        <v>468</v>
      </c>
      <c r="K7004" t="s">
        <v>466</v>
      </c>
      <c r="L7004" t="s">
        <v>103</v>
      </c>
      <c r="M7004" t="s">
        <v>103</v>
      </c>
      <c r="N7004" t="s">
        <v>110</v>
      </c>
      <c r="O7004" t="s">
        <v>110</v>
      </c>
      <c r="P7004" t="s">
        <v>103</v>
      </c>
      <c r="Q7004" t="s">
        <v>103</v>
      </c>
      <c r="R7004" t="s">
        <v>103</v>
      </c>
      <c r="S7004" t="s">
        <v>103</v>
      </c>
    </row>
    <row r="7005" spans="1:19" x14ac:dyDescent="0.3">
      <c r="A7005" t="s">
        <v>28</v>
      </c>
      <c r="B7005" t="s">
        <v>2189</v>
      </c>
      <c r="C7005">
        <v>137</v>
      </c>
      <c r="D7005" t="s">
        <v>161</v>
      </c>
      <c r="E7005" t="s">
        <v>214</v>
      </c>
      <c r="F7005" t="s">
        <v>103</v>
      </c>
      <c r="G7005" t="s">
        <v>68</v>
      </c>
      <c r="H7005" t="s">
        <v>107</v>
      </c>
      <c r="I7005" t="s">
        <v>468</v>
      </c>
      <c r="J7005" t="s">
        <v>103</v>
      </c>
      <c r="K7005" t="s">
        <v>103</v>
      </c>
      <c r="L7005" t="s">
        <v>120</v>
      </c>
      <c r="M7005" t="s">
        <v>103</v>
      </c>
      <c r="N7005" t="s">
        <v>195</v>
      </c>
      <c r="O7005" t="s">
        <v>282</v>
      </c>
      <c r="P7005" t="s">
        <v>103</v>
      </c>
      <c r="Q7005" t="s">
        <v>103</v>
      </c>
      <c r="R7005" t="s">
        <v>103</v>
      </c>
      <c r="S7005" t="s">
        <v>103</v>
      </c>
    </row>
    <row r="7006" spans="1:19" x14ac:dyDescent="0.3">
      <c r="A7006" t="s">
        <v>28</v>
      </c>
      <c r="B7006" t="s">
        <v>308</v>
      </c>
      <c r="C7006">
        <v>16</v>
      </c>
      <c r="D7006" t="s">
        <v>1030</v>
      </c>
      <c r="E7006" t="s">
        <v>236</v>
      </c>
      <c r="F7006" t="s">
        <v>103</v>
      </c>
      <c r="G7006" t="s">
        <v>820</v>
      </c>
      <c r="H7006" t="s">
        <v>90</v>
      </c>
      <c r="I7006" t="s">
        <v>103</v>
      </c>
      <c r="J7006" t="s">
        <v>103</v>
      </c>
      <c r="K7006" t="s">
        <v>103</v>
      </c>
      <c r="L7006" t="s">
        <v>103</v>
      </c>
      <c r="M7006" t="s">
        <v>103</v>
      </c>
      <c r="N7006" t="s">
        <v>103</v>
      </c>
      <c r="O7006" t="s">
        <v>615</v>
      </c>
      <c r="P7006" t="s">
        <v>103</v>
      </c>
      <c r="Q7006" t="s">
        <v>103</v>
      </c>
      <c r="R7006" t="s">
        <v>103</v>
      </c>
      <c r="S7006" t="s">
        <v>103</v>
      </c>
    </row>
    <row r="7007" spans="1:19" x14ac:dyDescent="0.3">
      <c r="A7007" t="s">
        <v>27</v>
      </c>
      <c r="B7007" t="s">
        <v>2188</v>
      </c>
      <c r="C7007">
        <v>70</v>
      </c>
      <c r="D7007" t="s">
        <v>1046</v>
      </c>
      <c r="E7007" t="s">
        <v>190</v>
      </c>
      <c r="F7007" t="s">
        <v>103</v>
      </c>
      <c r="G7007" t="s">
        <v>103</v>
      </c>
      <c r="H7007" t="s">
        <v>531</v>
      </c>
      <c r="I7007" t="s">
        <v>60</v>
      </c>
      <c r="J7007" t="s">
        <v>103</v>
      </c>
      <c r="K7007" t="s">
        <v>140</v>
      </c>
      <c r="L7007" t="s">
        <v>103</v>
      </c>
      <c r="M7007" t="s">
        <v>103</v>
      </c>
      <c r="N7007" t="s">
        <v>102</v>
      </c>
      <c r="O7007" t="s">
        <v>103</v>
      </c>
      <c r="P7007" t="s">
        <v>103</v>
      </c>
      <c r="Q7007" t="s">
        <v>103</v>
      </c>
      <c r="R7007" t="s">
        <v>103</v>
      </c>
      <c r="S7007" t="s">
        <v>103</v>
      </c>
    </row>
    <row r="7008" spans="1:19" x14ac:dyDescent="0.3">
      <c r="A7008" t="s">
        <v>27</v>
      </c>
      <c r="B7008" t="s">
        <v>2189</v>
      </c>
      <c r="C7008">
        <v>136</v>
      </c>
      <c r="D7008" t="s">
        <v>240</v>
      </c>
      <c r="E7008" t="s">
        <v>95</v>
      </c>
      <c r="F7008" t="s">
        <v>105</v>
      </c>
      <c r="G7008" t="s">
        <v>103</v>
      </c>
      <c r="H7008" t="s">
        <v>101</v>
      </c>
      <c r="I7008" t="s">
        <v>103</v>
      </c>
      <c r="J7008" t="s">
        <v>103</v>
      </c>
      <c r="K7008" t="s">
        <v>120</v>
      </c>
      <c r="L7008" t="s">
        <v>103</v>
      </c>
      <c r="M7008" t="s">
        <v>103</v>
      </c>
      <c r="N7008" t="s">
        <v>194</v>
      </c>
      <c r="O7008" t="s">
        <v>345</v>
      </c>
      <c r="P7008" t="s">
        <v>103</v>
      </c>
      <c r="Q7008" t="s">
        <v>103</v>
      </c>
      <c r="R7008" t="s">
        <v>103</v>
      </c>
      <c r="S7008" t="s">
        <v>103</v>
      </c>
    </row>
    <row r="7009" spans="1:19" x14ac:dyDescent="0.3">
      <c r="A7009" t="s">
        <v>27</v>
      </c>
      <c r="B7009" t="s">
        <v>308</v>
      </c>
      <c r="C7009">
        <v>10</v>
      </c>
      <c r="D7009" t="s">
        <v>192</v>
      </c>
      <c r="E7009" t="s">
        <v>103</v>
      </c>
      <c r="F7009" t="s">
        <v>103</v>
      </c>
      <c r="G7009" t="s">
        <v>103</v>
      </c>
      <c r="H7009" t="s">
        <v>103</v>
      </c>
      <c r="I7009" t="s">
        <v>103</v>
      </c>
      <c r="J7009" t="s">
        <v>103</v>
      </c>
      <c r="K7009" t="s">
        <v>103</v>
      </c>
      <c r="L7009" t="s">
        <v>103</v>
      </c>
      <c r="M7009" t="s">
        <v>103</v>
      </c>
      <c r="N7009" t="s">
        <v>103</v>
      </c>
      <c r="O7009" t="s">
        <v>103</v>
      </c>
      <c r="P7009" t="s">
        <v>103</v>
      </c>
      <c r="Q7009" t="s">
        <v>103</v>
      </c>
      <c r="R7009" t="s">
        <v>103</v>
      </c>
      <c r="S7009" t="s">
        <v>103</v>
      </c>
    </row>
    <row r="7010" spans="1:19" x14ac:dyDescent="0.3">
      <c r="A7010" t="s">
        <v>41</v>
      </c>
      <c r="B7010" t="s">
        <v>2188</v>
      </c>
      <c r="C7010">
        <v>513</v>
      </c>
      <c r="D7010" t="s">
        <v>397</v>
      </c>
      <c r="E7010" t="s">
        <v>188</v>
      </c>
      <c r="F7010" t="s">
        <v>110</v>
      </c>
      <c r="G7010" t="s">
        <v>188</v>
      </c>
      <c r="H7010" t="s">
        <v>890</v>
      </c>
      <c r="I7010" t="s">
        <v>266</v>
      </c>
      <c r="J7010" t="s">
        <v>345</v>
      </c>
      <c r="K7010" t="s">
        <v>532</v>
      </c>
      <c r="L7010" t="s">
        <v>103</v>
      </c>
      <c r="M7010" t="s">
        <v>116</v>
      </c>
      <c r="N7010" t="s">
        <v>245</v>
      </c>
      <c r="O7010" t="s">
        <v>282</v>
      </c>
      <c r="P7010" t="s">
        <v>122</v>
      </c>
      <c r="Q7010" t="s">
        <v>103</v>
      </c>
      <c r="R7010" t="s">
        <v>103</v>
      </c>
      <c r="S7010" t="s">
        <v>103</v>
      </c>
    </row>
    <row r="7011" spans="1:19" x14ac:dyDescent="0.3">
      <c r="A7011" t="s">
        <v>41</v>
      </c>
      <c r="B7011" t="s">
        <v>2189</v>
      </c>
      <c r="C7011">
        <v>1295</v>
      </c>
      <c r="D7011" t="s">
        <v>600</v>
      </c>
      <c r="E7011" t="s">
        <v>113</v>
      </c>
      <c r="F7011" t="s">
        <v>95</v>
      </c>
      <c r="G7011" t="s">
        <v>128</v>
      </c>
      <c r="H7011" t="s">
        <v>190</v>
      </c>
      <c r="I7011" t="s">
        <v>282</v>
      </c>
      <c r="J7011" t="s">
        <v>139</v>
      </c>
      <c r="K7011" t="s">
        <v>66</v>
      </c>
      <c r="L7011" t="s">
        <v>103</v>
      </c>
      <c r="M7011" t="s">
        <v>91</v>
      </c>
      <c r="N7011" t="s">
        <v>216</v>
      </c>
      <c r="O7011" t="s">
        <v>110</v>
      </c>
      <c r="P7011" t="s">
        <v>139</v>
      </c>
      <c r="Q7011" t="s">
        <v>103</v>
      </c>
      <c r="R7011" t="s">
        <v>103</v>
      </c>
      <c r="S7011" t="s">
        <v>103</v>
      </c>
    </row>
    <row r="7012" spans="1:19" x14ac:dyDescent="0.3">
      <c r="A7012" t="s">
        <v>41</v>
      </c>
      <c r="B7012" t="s">
        <v>308</v>
      </c>
      <c r="C7012">
        <v>120</v>
      </c>
      <c r="D7012" t="s">
        <v>1134</v>
      </c>
      <c r="E7012" t="s">
        <v>594</v>
      </c>
      <c r="F7012" t="s">
        <v>120</v>
      </c>
      <c r="G7012" t="s">
        <v>345</v>
      </c>
      <c r="H7012" t="s">
        <v>239</v>
      </c>
      <c r="I7012" t="s">
        <v>122</v>
      </c>
      <c r="J7012" t="s">
        <v>103</v>
      </c>
      <c r="K7012" t="s">
        <v>103</v>
      </c>
      <c r="L7012" t="s">
        <v>103</v>
      </c>
      <c r="M7012" t="s">
        <v>103</v>
      </c>
      <c r="N7012" t="s">
        <v>122</v>
      </c>
      <c r="O7012" t="s">
        <v>345</v>
      </c>
      <c r="P7012" t="s">
        <v>103</v>
      </c>
      <c r="Q7012" t="s">
        <v>103</v>
      </c>
      <c r="R7012" t="s">
        <v>103</v>
      </c>
      <c r="S7012" t="s">
        <v>103</v>
      </c>
    </row>
    <row r="7014" spans="1:19" x14ac:dyDescent="0.3">
      <c r="A7014" t="s">
        <v>2253</v>
      </c>
    </row>
    <row r="7015" spans="1:19" x14ac:dyDescent="0.3">
      <c r="A7015" t="s">
        <v>36</v>
      </c>
      <c r="B7015" t="s">
        <v>197</v>
      </c>
      <c r="C7015" t="s">
        <v>24</v>
      </c>
      <c r="D7015" t="s">
        <v>2238</v>
      </c>
      <c r="E7015" t="s">
        <v>2239</v>
      </c>
      <c r="F7015" t="s">
        <v>2240</v>
      </c>
      <c r="G7015" t="s">
        <v>2241</v>
      </c>
      <c r="H7015" t="s">
        <v>2242</v>
      </c>
      <c r="I7015" t="s">
        <v>2243</v>
      </c>
      <c r="J7015" t="s">
        <v>2244</v>
      </c>
      <c r="K7015" t="s">
        <v>2245</v>
      </c>
      <c r="L7015" t="s">
        <v>2246</v>
      </c>
      <c r="M7015" t="s">
        <v>2247</v>
      </c>
      <c r="N7015" t="s">
        <v>2248</v>
      </c>
      <c r="O7015" t="s">
        <v>2249</v>
      </c>
      <c r="P7015" t="s">
        <v>2250</v>
      </c>
      <c r="Q7015" t="s">
        <v>183</v>
      </c>
      <c r="R7015" t="s">
        <v>87</v>
      </c>
      <c r="S7015" t="s">
        <v>181</v>
      </c>
    </row>
    <row r="7016" spans="1:19" x14ac:dyDescent="0.3">
      <c r="A7016" t="s">
        <v>25</v>
      </c>
      <c r="B7016" t="s">
        <v>198</v>
      </c>
      <c r="C7016">
        <v>74</v>
      </c>
      <c r="D7016" t="s">
        <v>1329</v>
      </c>
      <c r="E7016" t="s">
        <v>539</v>
      </c>
      <c r="F7016" t="s">
        <v>103</v>
      </c>
      <c r="G7016" t="s">
        <v>194</v>
      </c>
      <c r="H7016" t="s">
        <v>459</v>
      </c>
      <c r="I7016" t="s">
        <v>658</v>
      </c>
      <c r="J7016" t="s">
        <v>103</v>
      </c>
      <c r="K7016" t="s">
        <v>98</v>
      </c>
      <c r="L7016" t="s">
        <v>103</v>
      </c>
      <c r="M7016" t="s">
        <v>103</v>
      </c>
      <c r="N7016" t="s">
        <v>257</v>
      </c>
      <c r="O7016" t="s">
        <v>232</v>
      </c>
      <c r="P7016" t="s">
        <v>103</v>
      </c>
      <c r="Q7016" t="s">
        <v>103</v>
      </c>
      <c r="R7016" t="s">
        <v>103</v>
      </c>
      <c r="S7016" t="s">
        <v>103</v>
      </c>
    </row>
    <row r="7017" spans="1:19" x14ac:dyDescent="0.3">
      <c r="A7017" t="s">
        <v>25</v>
      </c>
      <c r="B7017" t="s">
        <v>199</v>
      </c>
      <c r="C7017">
        <v>366</v>
      </c>
      <c r="D7017" t="s">
        <v>1141</v>
      </c>
      <c r="E7017" t="s">
        <v>266</v>
      </c>
      <c r="F7017" t="s">
        <v>103</v>
      </c>
      <c r="G7017" t="s">
        <v>266</v>
      </c>
      <c r="H7017" t="s">
        <v>890</v>
      </c>
      <c r="I7017" t="s">
        <v>194</v>
      </c>
      <c r="J7017" t="s">
        <v>116</v>
      </c>
      <c r="K7017" t="s">
        <v>345</v>
      </c>
      <c r="L7017" t="s">
        <v>103</v>
      </c>
      <c r="M7017" t="s">
        <v>103</v>
      </c>
      <c r="N7017" t="s">
        <v>98</v>
      </c>
      <c r="O7017" t="s">
        <v>66</v>
      </c>
      <c r="P7017" t="s">
        <v>91</v>
      </c>
      <c r="Q7017" t="s">
        <v>103</v>
      </c>
      <c r="R7017" t="s">
        <v>103</v>
      </c>
      <c r="S7017" t="s">
        <v>103</v>
      </c>
    </row>
    <row r="7018" spans="1:19" x14ac:dyDescent="0.3">
      <c r="A7018" t="s">
        <v>26</v>
      </c>
      <c r="B7018" t="s">
        <v>198</v>
      </c>
      <c r="C7018">
        <v>35</v>
      </c>
      <c r="D7018" t="s">
        <v>1154</v>
      </c>
      <c r="E7018" t="s">
        <v>105</v>
      </c>
      <c r="F7018" t="s">
        <v>124</v>
      </c>
      <c r="G7018" t="s">
        <v>103</v>
      </c>
      <c r="H7018" t="s">
        <v>517</v>
      </c>
      <c r="I7018" t="s">
        <v>103</v>
      </c>
      <c r="J7018" t="s">
        <v>103</v>
      </c>
      <c r="K7018" t="s">
        <v>103</v>
      </c>
      <c r="L7018" t="s">
        <v>103</v>
      </c>
      <c r="M7018" t="s">
        <v>103</v>
      </c>
      <c r="N7018" t="s">
        <v>103</v>
      </c>
      <c r="O7018" t="s">
        <v>103</v>
      </c>
      <c r="P7018" t="s">
        <v>103</v>
      </c>
      <c r="Q7018" t="s">
        <v>103</v>
      </c>
      <c r="R7018" t="s">
        <v>103</v>
      </c>
      <c r="S7018" t="s">
        <v>103</v>
      </c>
    </row>
    <row r="7019" spans="1:19" x14ac:dyDescent="0.3">
      <c r="A7019" t="s">
        <v>26</v>
      </c>
      <c r="B7019" t="s">
        <v>199</v>
      </c>
      <c r="C7019">
        <v>369</v>
      </c>
      <c r="D7019" t="s">
        <v>740</v>
      </c>
      <c r="E7019" t="s">
        <v>194</v>
      </c>
      <c r="F7019" t="s">
        <v>139</v>
      </c>
      <c r="G7019" t="s">
        <v>468</v>
      </c>
      <c r="H7019" t="s">
        <v>571</v>
      </c>
      <c r="I7019" t="s">
        <v>97</v>
      </c>
      <c r="J7019" t="s">
        <v>103</v>
      </c>
      <c r="K7019" t="s">
        <v>95</v>
      </c>
      <c r="L7019" t="s">
        <v>103</v>
      </c>
      <c r="M7019" t="s">
        <v>122</v>
      </c>
      <c r="N7019" t="s">
        <v>128</v>
      </c>
      <c r="O7019" t="s">
        <v>97</v>
      </c>
      <c r="P7019" t="s">
        <v>98</v>
      </c>
      <c r="Q7019" t="s">
        <v>103</v>
      </c>
      <c r="R7019" t="s">
        <v>103</v>
      </c>
      <c r="S7019" t="s">
        <v>103</v>
      </c>
    </row>
    <row r="7020" spans="1:19" x14ac:dyDescent="0.3">
      <c r="A7020" t="s">
        <v>29</v>
      </c>
      <c r="B7020" t="s">
        <v>198</v>
      </c>
      <c r="C7020">
        <v>214</v>
      </c>
      <c r="D7020" t="s">
        <v>758</v>
      </c>
      <c r="E7020" t="s">
        <v>146</v>
      </c>
      <c r="F7020" t="s">
        <v>122</v>
      </c>
      <c r="G7020" t="s">
        <v>216</v>
      </c>
      <c r="H7020" t="s">
        <v>615</v>
      </c>
      <c r="I7020" t="s">
        <v>282</v>
      </c>
      <c r="J7020" t="s">
        <v>139</v>
      </c>
      <c r="K7020" t="s">
        <v>95</v>
      </c>
      <c r="L7020" t="s">
        <v>103</v>
      </c>
      <c r="M7020" t="s">
        <v>103</v>
      </c>
      <c r="N7020" t="s">
        <v>468</v>
      </c>
      <c r="O7020" t="s">
        <v>341</v>
      </c>
      <c r="P7020" t="s">
        <v>468</v>
      </c>
      <c r="Q7020" t="s">
        <v>103</v>
      </c>
      <c r="R7020" t="s">
        <v>103</v>
      </c>
      <c r="S7020" t="s">
        <v>103</v>
      </c>
    </row>
    <row r="7021" spans="1:19" x14ac:dyDescent="0.3">
      <c r="A7021" t="s">
        <v>29</v>
      </c>
      <c r="B7021" t="s">
        <v>199</v>
      </c>
      <c r="C7021">
        <v>420</v>
      </c>
      <c r="D7021" t="s">
        <v>1131</v>
      </c>
      <c r="E7021" t="s">
        <v>128</v>
      </c>
      <c r="F7021" t="s">
        <v>110</v>
      </c>
      <c r="G7021" t="s">
        <v>188</v>
      </c>
      <c r="H7021" t="s">
        <v>140</v>
      </c>
      <c r="I7021" t="s">
        <v>97</v>
      </c>
      <c r="J7021" t="s">
        <v>216</v>
      </c>
      <c r="K7021" t="s">
        <v>341</v>
      </c>
      <c r="L7021" t="s">
        <v>103</v>
      </c>
      <c r="M7021" t="s">
        <v>66</v>
      </c>
      <c r="N7021" t="s">
        <v>110</v>
      </c>
      <c r="O7021" t="s">
        <v>239</v>
      </c>
      <c r="P7021" t="s">
        <v>95</v>
      </c>
      <c r="Q7021" t="s">
        <v>103</v>
      </c>
      <c r="R7021" t="s">
        <v>103</v>
      </c>
      <c r="S7021" t="s">
        <v>103</v>
      </c>
    </row>
    <row r="7022" spans="1:19" x14ac:dyDescent="0.3">
      <c r="A7022" t="s">
        <v>28</v>
      </c>
      <c r="B7022" t="s">
        <v>198</v>
      </c>
      <c r="C7022">
        <v>57</v>
      </c>
      <c r="D7022" t="s">
        <v>397</v>
      </c>
      <c r="E7022" t="s">
        <v>228</v>
      </c>
      <c r="F7022" t="s">
        <v>103</v>
      </c>
      <c r="G7022" t="s">
        <v>100</v>
      </c>
      <c r="H7022" t="s">
        <v>217</v>
      </c>
      <c r="I7022" t="s">
        <v>208</v>
      </c>
      <c r="J7022" t="s">
        <v>103</v>
      </c>
      <c r="K7022" t="s">
        <v>103</v>
      </c>
      <c r="L7022" t="s">
        <v>103</v>
      </c>
      <c r="M7022" t="s">
        <v>103</v>
      </c>
      <c r="N7022" t="s">
        <v>103</v>
      </c>
      <c r="O7022" t="s">
        <v>103</v>
      </c>
      <c r="P7022" t="s">
        <v>103</v>
      </c>
      <c r="Q7022" t="s">
        <v>103</v>
      </c>
      <c r="R7022" t="s">
        <v>103</v>
      </c>
      <c r="S7022" t="s">
        <v>103</v>
      </c>
    </row>
    <row r="7023" spans="1:19" x14ac:dyDescent="0.3">
      <c r="A7023" t="s">
        <v>28</v>
      </c>
      <c r="B7023" t="s">
        <v>199</v>
      </c>
      <c r="C7023">
        <v>177</v>
      </c>
      <c r="D7023" t="s">
        <v>1144</v>
      </c>
      <c r="E7023" t="s">
        <v>245</v>
      </c>
      <c r="F7023" t="s">
        <v>103</v>
      </c>
      <c r="G7023" t="s">
        <v>201</v>
      </c>
      <c r="H7023" t="s">
        <v>112</v>
      </c>
      <c r="I7023" t="s">
        <v>120</v>
      </c>
      <c r="J7023" t="s">
        <v>120</v>
      </c>
      <c r="K7023" t="s">
        <v>68</v>
      </c>
      <c r="L7023" t="s">
        <v>97</v>
      </c>
      <c r="M7023" t="s">
        <v>103</v>
      </c>
      <c r="N7023" t="s">
        <v>195</v>
      </c>
      <c r="O7023" t="s">
        <v>341</v>
      </c>
      <c r="P7023" t="s">
        <v>103</v>
      </c>
      <c r="Q7023" t="s">
        <v>103</v>
      </c>
      <c r="R7023" t="s">
        <v>103</v>
      </c>
      <c r="S7023" t="s">
        <v>103</v>
      </c>
    </row>
    <row r="7024" spans="1:19" x14ac:dyDescent="0.3">
      <c r="A7024" t="s">
        <v>27</v>
      </c>
      <c r="B7024" t="s">
        <v>198</v>
      </c>
      <c r="C7024">
        <v>94</v>
      </c>
      <c r="D7024" t="s">
        <v>241</v>
      </c>
      <c r="E7024" t="s">
        <v>186</v>
      </c>
      <c r="F7024" t="s">
        <v>345</v>
      </c>
      <c r="G7024" t="s">
        <v>103</v>
      </c>
      <c r="H7024" t="s">
        <v>278</v>
      </c>
      <c r="I7024" t="s">
        <v>103</v>
      </c>
      <c r="J7024" t="s">
        <v>103</v>
      </c>
      <c r="K7024" t="s">
        <v>208</v>
      </c>
      <c r="L7024" t="s">
        <v>103</v>
      </c>
      <c r="M7024" t="s">
        <v>103</v>
      </c>
      <c r="N7024" t="s">
        <v>341</v>
      </c>
      <c r="O7024" t="s">
        <v>103</v>
      </c>
      <c r="P7024" t="s">
        <v>103</v>
      </c>
      <c r="Q7024" t="s">
        <v>103</v>
      </c>
      <c r="R7024" t="s">
        <v>103</v>
      </c>
      <c r="S7024" t="s">
        <v>103</v>
      </c>
    </row>
    <row r="7025" spans="1:19" x14ac:dyDescent="0.3">
      <c r="A7025" t="s">
        <v>27</v>
      </c>
      <c r="B7025" t="s">
        <v>199</v>
      </c>
      <c r="C7025">
        <v>122</v>
      </c>
      <c r="D7025" t="s">
        <v>902</v>
      </c>
      <c r="E7025" t="s">
        <v>139</v>
      </c>
      <c r="F7025" t="s">
        <v>110</v>
      </c>
      <c r="G7025" t="s">
        <v>103</v>
      </c>
      <c r="H7025" t="s">
        <v>127</v>
      </c>
      <c r="I7025" t="s">
        <v>125</v>
      </c>
      <c r="J7025" t="s">
        <v>103</v>
      </c>
      <c r="K7025" t="s">
        <v>128</v>
      </c>
      <c r="L7025" t="s">
        <v>103</v>
      </c>
      <c r="M7025" t="s">
        <v>103</v>
      </c>
      <c r="N7025" t="s">
        <v>245</v>
      </c>
      <c r="O7025" t="s">
        <v>110</v>
      </c>
      <c r="P7025" t="s">
        <v>103</v>
      </c>
      <c r="Q7025" t="s">
        <v>103</v>
      </c>
      <c r="R7025" t="s">
        <v>103</v>
      </c>
      <c r="S7025" t="s">
        <v>103</v>
      </c>
    </row>
    <row r="7026" spans="1:19" x14ac:dyDescent="0.3">
      <c r="A7026" t="s">
        <v>41</v>
      </c>
      <c r="B7026" t="s">
        <v>198</v>
      </c>
      <c r="C7026">
        <v>474</v>
      </c>
      <c r="D7026" t="s">
        <v>884</v>
      </c>
      <c r="E7026" t="s">
        <v>157</v>
      </c>
      <c r="F7026" t="s">
        <v>95</v>
      </c>
      <c r="G7026" t="s">
        <v>245</v>
      </c>
      <c r="H7026" t="s">
        <v>112</v>
      </c>
      <c r="I7026" t="s">
        <v>125</v>
      </c>
      <c r="J7026" t="s">
        <v>120</v>
      </c>
      <c r="K7026" t="s">
        <v>139</v>
      </c>
      <c r="L7026" t="s">
        <v>103</v>
      </c>
      <c r="M7026" t="s">
        <v>103</v>
      </c>
      <c r="N7026" t="s">
        <v>194</v>
      </c>
      <c r="O7026" t="s">
        <v>329</v>
      </c>
      <c r="P7026" t="s">
        <v>98</v>
      </c>
      <c r="Q7026" t="s">
        <v>103</v>
      </c>
      <c r="R7026" t="s">
        <v>103</v>
      </c>
      <c r="S7026" t="s">
        <v>103</v>
      </c>
    </row>
    <row r="7027" spans="1:19" x14ac:dyDescent="0.3">
      <c r="A7027" t="s">
        <v>41</v>
      </c>
      <c r="B7027" t="s">
        <v>199</v>
      </c>
      <c r="C7027">
        <v>1454</v>
      </c>
      <c r="D7027" t="s">
        <v>1131</v>
      </c>
      <c r="E7027" t="s">
        <v>329</v>
      </c>
      <c r="F7027" t="s">
        <v>98</v>
      </c>
      <c r="G7027" t="s">
        <v>270</v>
      </c>
      <c r="H7027" t="s">
        <v>126</v>
      </c>
      <c r="I7027" t="s">
        <v>139</v>
      </c>
      <c r="J7027" t="s">
        <v>98</v>
      </c>
      <c r="K7027" t="s">
        <v>239</v>
      </c>
      <c r="L7027" t="s">
        <v>103</v>
      </c>
      <c r="M7027" t="s">
        <v>66</v>
      </c>
      <c r="N7027" t="s">
        <v>216</v>
      </c>
      <c r="O7027" t="s">
        <v>282</v>
      </c>
      <c r="P7027" t="s">
        <v>120</v>
      </c>
      <c r="Q7027" t="s">
        <v>103</v>
      </c>
      <c r="R7027" t="s">
        <v>103</v>
      </c>
      <c r="S7027" t="s">
        <v>103</v>
      </c>
    </row>
    <row r="7029" spans="1:19" x14ac:dyDescent="0.3">
      <c r="A7029" t="s">
        <v>2254</v>
      </c>
    </row>
    <row r="7030" spans="1:19" x14ac:dyDescent="0.3">
      <c r="A7030" t="s">
        <v>36</v>
      </c>
      <c r="B7030" t="s">
        <v>763</v>
      </c>
      <c r="C7030" t="s">
        <v>24</v>
      </c>
      <c r="D7030" t="s">
        <v>2238</v>
      </c>
      <c r="E7030" t="s">
        <v>2239</v>
      </c>
      <c r="F7030" t="s">
        <v>2240</v>
      </c>
      <c r="G7030" t="s">
        <v>2241</v>
      </c>
      <c r="H7030" t="s">
        <v>2242</v>
      </c>
      <c r="I7030" t="s">
        <v>2243</v>
      </c>
      <c r="J7030" t="s">
        <v>2244</v>
      </c>
      <c r="K7030" t="s">
        <v>2245</v>
      </c>
      <c r="L7030" t="s">
        <v>2246</v>
      </c>
      <c r="M7030" t="s">
        <v>2247</v>
      </c>
      <c r="N7030" t="s">
        <v>2248</v>
      </c>
      <c r="O7030" t="s">
        <v>2249</v>
      </c>
      <c r="P7030" t="s">
        <v>2250</v>
      </c>
      <c r="Q7030" t="s">
        <v>183</v>
      </c>
      <c r="R7030" t="s">
        <v>87</v>
      </c>
      <c r="S7030" t="s">
        <v>181</v>
      </c>
    </row>
    <row r="7031" spans="1:19" s="3" customFormat="1" x14ac:dyDescent="0.3">
      <c r="A7031" s="3" t="s">
        <v>25</v>
      </c>
      <c r="B7031" s="3" t="s">
        <v>764</v>
      </c>
      <c r="C7031" s="3">
        <v>18</v>
      </c>
      <c r="D7031" s="3" t="s">
        <v>1012</v>
      </c>
      <c r="E7031" s="3" t="s">
        <v>700</v>
      </c>
      <c r="F7031" s="3" t="s">
        <v>139</v>
      </c>
      <c r="G7031" s="3" t="s">
        <v>136</v>
      </c>
      <c r="H7031" s="3" t="s">
        <v>112</v>
      </c>
      <c r="I7031" s="3" t="s">
        <v>103</v>
      </c>
      <c r="J7031" s="3" t="s">
        <v>103</v>
      </c>
      <c r="K7031" s="3" t="s">
        <v>103</v>
      </c>
      <c r="L7031" s="3" t="s">
        <v>103</v>
      </c>
      <c r="M7031" s="3" t="s">
        <v>103</v>
      </c>
      <c r="N7031" s="3" t="s">
        <v>103</v>
      </c>
      <c r="O7031" s="3" t="s">
        <v>103</v>
      </c>
      <c r="P7031" s="3" t="s">
        <v>103</v>
      </c>
      <c r="Q7031" s="3" t="s">
        <v>103</v>
      </c>
      <c r="R7031" s="3" t="s">
        <v>103</v>
      </c>
      <c r="S7031" s="3" t="s">
        <v>103</v>
      </c>
    </row>
    <row r="7032" spans="1:19" x14ac:dyDescent="0.3">
      <c r="A7032" t="s">
        <v>25</v>
      </c>
      <c r="B7032" t="s">
        <v>765</v>
      </c>
      <c r="C7032">
        <v>272</v>
      </c>
      <c r="D7032" t="s">
        <v>437</v>
      </c>
      <c r="E7032" t="s">
        <v>201</v>
      </c>
      <c r="F7032" t="s">
        <v>103</v>
      </c>
      <c r="G7032" t="s">
        <v>239</v>
      </c>
      <c r="H7032" t="s">
        <v>544</v>
      </c>
      <c r="I7032" t="s">
        <v>112</v>
      </c>
      <c r="J7032" t="s">
        <v>97</v>
      </c>
      <c r="K7032" t="s">
        <v>245</v>
      </c>
      <c r="L7032" t="s">
        <v>103</v>
      </c>
      <c r="M7032" t="s">
        <v>103</v>
      </c>
      <c r="N7032" t="s">
        <v>120</v>
      </c>
      <c r="O7032" t="s">
        <v>245</v>
      </c>
      <c r="P7032" t="s">
        <v>103</v>
      </c>
      <c r="Q7032" t="s">
        <v>103</v>
      </c>
      <c r="R7032" t="s">
        <v>103</v>
      </c>
      <c r="S7032" t="s">
        <v>103</v>
      </c>
    </row>
    <row r="7033" spans="1:19" x14ac:dyDescent="0.3">
      <c r="A7033" t="s">
        <v>25</v>
      </c>
      <c r="B7033" t="s">
        <v>767</v>
      </c>
      <c r="C7033">
        <v>150</v>
      </c>
      <c r="D7033" t="s">
        <v>437</v>
      </c>
      <c r="E7033" t="s">
        <v>737</v>
      </c>
      <c r="F7033" t="s">
        <v>103</v>
      </c>
      <c r="G7033" t="s">
        <v>102</v>
      </c>
      <c r="H7033" t="s">
        <v>575</v>
      </c>
      <c r="I7033" t="s">
        <v>217</v>
      </c>
      <c r="J7033" t="s">
        <v>103</v>
      </c>
      <c r="K7033" t="s">
        <v>103</v>
      </c>
      <c r="L7033" t="s">
        <v>103</v>
      </c>
      <c r="M7033" t="s">
        <v>103</v>
      </c>
      <c r="N7033" t="s">
        <v>329</v>
      </c>
      <c r="O7033" t="s">
        <v>103</v>
      </c>
      <c r="P7033" t="s">
        <v>116</v>
      </c>
      <c r="Q7033" t="s">
        <v>103</v>
      </c>
      <c r="R7033" t="s">
        <v>103</v>
      </c>
      <c r="S7033" t="s">
        <v>103</v>
      </c>
    </row>
    <row r="7034" spans="1:19" s="3" customFormat="1" x14ac:dyDescent="0.3">
      <c r="A7034" s="3" t="s">
        <v>26</v>
      </c>
      <c r="B7034" s="3" t="s">
        <v>764</v>
      </c>
      <c r="C7034" s="3">
        <v>18</v>
      </c>
      <c r="D7034" s="3" t="s">
        <v>1040</v>
      </c>
      <c r="E7034" s="3" t="s">
        <v>103</v>
      </c>
      <c r="F7034" s="3" t="s">
        <v>103</v>
      </c>
      <c r="G7034" s="3" t="s">
        <v>214</v>
      </c>
      <c r="H7034" s="3" t="s">
        <v>253</v>
      </c>
      <c r="I7034" s="3" t="s">
        <v>103</v>
      </c>
      <c r="J7034" s="3" t="s">
        <v>103</v>
      </c>
      <c r="K7034" s="3" t="s">
        <v>103</v>
      </c>
      <c r="L7034" s="3" t="s">
        <v>103</v>
      </c>
      <c r="M7034" s="3" t="s">
        <v>103</v>
      </c>
      <c r="N7034" s="3" t="s">
        <v>103</v>
      </c>
      <c r="O7034" s="3" t="s">
        <v>103</v>
      </c>
      <c r="P7034" s="3" t="s">
        <v>103</v>
      </c>
      <c r="Q7034" s="3" t="s">
        <v>103</v>
      </c>
      <c r="R7034" s="3" t="s">
        <v>103</v>
      </c>
      <c r="S7034" s="3" t="s">
        <v>103</v>
      </c>
    </row>
    <row r="7035" spans="1:19" x14ac:dyDescent="0.3">
      <c r="A7035" t="s">
        <v>26</v>
      </c>
      <c r="B7035" t="s">
        <v>765</v>
      </c>
      <c r="C7035">
        <v>236</v>
      </c>
      <c r="D7035" t="s">
        <v>176</v>
      </c>
      <c r="E7035" t="s">
        <v>139</v>
      </c>
      <c r="F7035" t="s">
        <v>194</v>
      </c>
      <c r="G7035" t="s">
        <v>194</v>
      </c>
      <c r="H7035" t="s">
        <v>629</v>
      </c>
      <c r="I7035" t="s">
        <v>139</v>
      </c>
      <c r="J7035" t="s">
        <v>103</v>
      </c>
      <c r="K7035" t="s">
        <v>95</v>
      </c>
      <c r="L7035" t="s">
        <v>103</v>
      </c>
      <c r="M7035" t="s">
        <v>95</v>
      </c>
      <c r="N7035" t="s">
        <v>329</v>
      </c>
      <c r="O7035" t="s">
        <v>98</v>
      </c>
      <c r="P7035" t="s">
        <v>122</v>
      </c>
      <c r="Q7035" t="s">
        <v>103</v>
      </c>
      <c r="R7035" t="s">
        <v>103</v>
      </c>
      <c r="S7035" t="s">
        <v>103</v>
      </c>
    </row>
    <row r="7036" spans="1:19" x14ac:dyDescent="0.3">
      <c r="A7036" t="s">
        <v>26</v>
      </c>
      <c r="B7036" t="s">
        <v>767</v>
      </c>
      <c r="C7036">
        <v>150</v>
      </c>
      <c r="D7036" t="s">
        <v>744</v>
      </c>
      <c r="E7036" t="s">
        <v>118</v>
      </c>
      <c r="F7036" t="s">
        <v>98</v>
      </c>
      <c r="G7036" t="s">
        <v>122</v>
      </c>
      <c r="H7036" t="s">
        <v>466</v>
      </c>
      <c r="I7036" t="s">
        <v>103</v>
      </c>
      <c r="J7036" t="s">
        <v>103</v>
      </c>
      <c r="K7036" t="s">
        <v>95</v>
      </c>
      <c r="L7036" t="s">
        <v>103</v>
      </c>
      <c r="M7036" t="s">
        <v>103</v>
      </c>
      <c r="N7036" t="s">
        <v>217</v>
      </c>
      <c r="O7036" t="s">
        <v>103</v>
      </c>
      <c r="P7036" t="s">
        <v>245</v>
      </c>
      <c r="Q7036" t="s">
        <v>103</v>
      </c>
      <c r="R7036" t="s">
        <v>103</v>
      </c>
      <c r="S7036" t="s">
        <v>103</v>
      </c>
    </row>
    <row r="7037" spans="1:19" s="3" customFormat="1" x14ac:dyDescent="0.3">
      <c r="A7037" s="3" t="s">
        <v>29</v>
      </c>
      <c r="B7037" s="3" t="s">
        <v>764</v>
      </c>
      <c r="C7037" s="3">
        <v>4</v>
      </c>
      <c r="D7037" s="3" t="s">
        <v>1091</v>
      </c>
      <c r="E7037" s="3" t="s">
        <v>103</v>
      </c>
      <c r="F7037" s="3" t="s">
        <v>103</v>
      </c>
      <c r="G7037" s="3" t="s">
        <v>420</v>
      </c>
      <c r="H7037" s="3" t="s">
        <v>103</v>
      </c>
      <c r="I7037" s="3" t="s">
        <v>103</v>
      </c>
      <c r="J7037" s="3" t="s">
        <v>103</v>
      </c>
      <c r="K7037" s="3" t="s">
        <v>103</v>
      </c>
      <c r="L7037" s="3" t="s">
        <v>103</v>
      </c>
      <c r="M7037" s="3" t="s">
        <v>103</v>
      </c>
      <c r="N7037" s="3" t="s">
        <v>103</v>
      </c>
      <c r="O7037" s="3" t="s">
        <v>256</v>
      </c>
      <c r="P7037" s="3" t="s">
        <v>256</v>
      </c>
      <c r="Q7037" s="3" t="s">
        <v>103</v>
      </c>
      <c r="R7037" s="3" t="s">
        <v>103</v>
      </c>
      <c r="S7037" s="3" t="s">
        <v>103</v>
      </c>
    </row>
    <row r="7038" spans="1:19" x14ac:dyDescent="0.3">
      <c r="A7038" t="s">
        <v>29</v>
      </c>
      <c r="B7038" t="s">
        <v>765</v>
      </c>
      <c r="C7038">
        <v>426</v>
      </c>
      <c r="D7038" t="s">
        <v>1135</v>
      </c>
      <c r="E7038" t="s">
        <v>70</v>
      </c>
      <c r="F7038" t="s">
        <v>345</v>
      </c>
      <c r="G7038" t="s">
        <v>118</v>
      </c>
      <c r="H7038" t="s">
        <v>575</v>
      </c>
      <c r="I7038" t="s">
        <v>120</v>
      </c>
      <c r="J7038" t="s">
        <v>341</v>
      </c>
      <c r="K7038" t="s">
        <v>208</v>
      </c>
      <c r="L7038" t="s">
        <v>103</v>
      </c>
      <c r="M7038" t="s">
        <v>66</v>
      </c>
      <c r="N7038" t="s">
        <v>105</v>
      </c>
      <c r="O7038" t="s">
        <v>128</v>
      </c>
      <c r="P7038" t="s">
        <v>98</v>
      </c>
      <c r="Q7038" t="s">
        <v>103</v>
      </c>
      <c r="R7038" t="s">
        <v>103</v>
      </c>
      <c r="S7038" t="s">
        <v>103</v>
      </c>
    </row>
    <row r="7039" spans="1:19" x14ac:dyDescent="0.3">
      <c r="A7039" t="s">
        <v>29</v>
      </c>
      <c r="B7039" t="s">
        <v>767</v>
      </c>
      <c r="C7039">
        <v>204</v>
      </c>
      <c r="D7039" t="s">
        <v>170</v>
      </c>
      <c r="E7039" t="s">
        <v>493</v>
      </c>
      <c r="F7039" t="s">
        <v>345</v>
      </c>
      <c r="G7039" t="s">
        <v>107</v>
      </c>
      <c r="H7039" t="s">
        <v>93</v>
      </c>
      <c r="I7039" t="s">
        <v>139</v>
      </c>
      <c r="J7039" t="s">
        <v>116</v>
      </c>
      <c r="K7039" t="s">
        <v>97</v>
      </c>
      <c r="L7039" t="s">
        <v>103</v>
      </c>
      <c r="M7039" t="s">
        <v>103</v>
      </c>
      <c r="N7039" t="s">
        <v>97</v>
      </c>
      <c r="O7039" t="s">
        <v>103</v>
      </c>
      <c r="P7039" t="s">
        <v>122</v>
      </c>
      <c r="Q7039" t="s">
        <v>103</v>
      </c>
      <c r="R7039" t="s">
        <v>103</v>
      </c>
      <c r="S7039" t="s">
        <v>103</v>
      </c>
    </row>
    <row r="7040" spans="1:19" s="3" customFormat="1" x14ac:dyDescent="0.3">
      <c r="A7040" s="3" t="s">
        <v>28</v>
      </c>
      <c r="B7040" s="3" t="s">
        <v>764</v>
      </c>
      <c r="C7040" s="3">
        <v>13</v>
      </c>
      <c r="D7040" s="3" t="s">
        <v>837</v>
      </c>
      <c r="E7040" s="3" t="s">
        <v>103</v>
      </c>
      <c r="F7040" s="3" t="s">
        <v>103</v>
      </c>
      <c r="G7040" s="3" t="s">
        <v>103</v>
      </c>
      <c r="H7040" s="3" t="s">
        <v>195</v>
      </c>
      <c r="I7040" s="3" t="s">
        <v>103</v>
      </c>
      <c r="J7040" s="3" t="s">
        <v>103</v>
      </c>
      <c r="K7040" s="3" t="s">
        <v>103</v>
      </c>
      <c r="L7040" s="3" t="s">
        <v>103</v>
      </c>
      <c r="M7040" s="3" t="s">
        <v>103</v>
      </c>
      <c r="N7040" s="3" t="s">
        <v>103</v>
      </c>
      <c r="O7040" s="3" t="s">
        <v>103</v>
      </c>
      <c r="P7040" s="3" t="s">
        <v>103</v>
      </c>
      <c r="Q7040" s="3" t="s">
        <v>103</v>
      </c>
      <c r="R7040" s="3" t="s">
        <v>103</v>
      </c>
      <c r="S7040" s="3" t="s">
        <v>103</v>
      </c>
    </row>
    <row r="7041" spans="1:19" x14ac:dyDescent="0.3">
      <c r="A7041" t="s">
        <v>28</v>
      </c>
      <c r="B7041" t="s">
        <v>765</v>
      </c>
      <c r="C7041">
        <v>182</v>
      </c>
      <c r="D7041" t="s">
        <v>1239</v>
      </c>
      <c r="E7041" t="s">
        <v>101</v>
      </c>
      <c r="F7041" t="s">
        <v>103</v>
      </c>
      <c r="G7041" t="s">
        <v>190</v>
      </c>
      <c r="H7041" t="s">
        <v>558</v>
      </c>
      <c r="I7041" t="s">
        <v>120</v>
      </c>
      <c r="J7041" t="s">
        <v>120</v>
      </c>
      <c r="K7041" t="s">
        <v>195</v>
      </c>
      <c r="L7041" t="s">
        <v>97</v>
      </c>
      <c r="M7041" t="s">
        <v>103</v>
      </c>
      <c r="N7041" t="s">
        <v>270</v>
      </c>
      <c r="O7041" t="s">
        <v>105</v>
      </c>
      <c r="P7041" t="s">
        <v>103</v>
      </c>
      <c r="Q7041" t="s">
        <v>103</v>
      </c>
      <c r="R7041" t="s">
        <v>103</v>
      </c>
      <c r="S7041" t="s">
        <v>103</v>
      </c>
    </row>
    <row r="7042" spans="1:19" x14ac:dyDescent="0.3">
      <c r="A7042" t="s">
        <v>28</v>
      </c>
      <c r="B7042" t="s">
        <v>767</v>
      </c>
      <c r="C7042">
        <v>39</v>
      </c>
      <c r="D7042" t="s">
        <v>633</v>
      </c>
      <c r="E7042" t="s">
        <v>257</v>
      </c>
      <c r="F7042" t="s">
        <v>103</v>
      </c>
      <c r="G7042" t="s">
        <v>103</v>
      </c>
      <c r="H7042" t="s">
        <v>103</v>
      </c>
      <c r="I7042" t="s">
        <v>188</v>
      </c>
      <c r="J7042" t="s">
        <v>103</v>
      </c>
      <c r="K7042" t="s">
        <v>103</v>
      </c>
      <c r="L7042" t="s">
        <v>103</v>
      </c>
      <c r="M7042" t="s">
        <v>103</v>
      </c>
      <c r="N7042" t="s">
        <v>103</v>
      </c>
      <c r="O7042" t="s">
        <v>103</v>
      </c>
      <c r="P7042" t="s">
        <v>103</v>
      </c>
      <c r="Q7042" t="s">
        <v>103</v>
      </c>
      <c r="R7042" t="s">
        <v>103</v>
      </c>
      <c r="S7042" t="s">
        <v>103</v>
      </c>
    </row>
    <row r="7043" spans="1:19" s="3" customFormat="1" x14ac:dyDescent="0.3">
      <c r="A7043" s="3" t="s">
        <v>27</v>
      </c>
      <c r="B7043" s="3" t="s">
        <v>764</v>
      </c>
      <c r="C7043" s="3">
        <v>9</v>
      </c>
      <c r="D7043" s="3" t="s">
        <v>192</v>
      </c>
      <c r="E7043" s="3" t="s">
        <v>103</v>
      </c>
      <c r="F7043" s="3" t="s">
        <v>103</v>
      </c>
      <c r="G7043" s="3" t="s">
        <v>103</v>
      </c>
      <c r="H7043" s="3" t="s">
        <v>103</v>
      </c>
      <c r="I7043" s="3" t="s">
        <v>103</v>
      </c>
      <c r="J7043" s="3" t="s">
        <v>103</v>
      </c>
      <c r="K7043" s="3" t="s">
        <v>103</v>
      </c>
      <c r="L7043" s="3" t="s">
        <v>103</v>
      </c>
      <c r="M7043" s="3" t="s">
        <v>103</v>
      </c>
      <c r="N7043" s="3" t="s">
        <v>103</v>
      </c>
      <c r="O7043" s="3" t="s">
        <v>103</v>
      </c>
      <c r="P7043" s="3" t="s">
        <v>103</v>
      </c>
      <c r="Q7043" s="3" t="s">
        <v>103</v>
      </c>
      <c r="R7043" s="3" t="s">
        <v>103</v>
      </c>
      <c r="S7043" s="3" t="s">
        <v>103</v>
      </c>
    </row>
    <row r="7044" spans="1:19" x14ac:dyDescent="0.3">
      <c r="A7044" t="s">
        <v>27</v>
      </c>
      <c r="B7044" t="s">
        <v>765</v>
      </c>
      <c r="C7044">
        <v>153</v>
      </c>
      <c r="D7044" t="s">
        <v>1022</v>
      </c>
      <c r="E7044" t="s">
        <v>329</v>
      </c>
      <c r="F7044" t="s">
        <v>341</v>
      </c>
      <c r="G7044" t="s">
        <v>103</v>
      </c>
      <c r="H7044" t="s">
        <v>549</v>
      </c>
      <c r="I7044" t="s">
        <v>195</v>
      </c>
      <c r="J7044" t="s">
        <v>103</v>
      </c>
      <c r="K7044" t="s">
        <v>208</v>
      </c>
      <c r="L7044" t="s">
        <v>103</v>
      </c>
      <c r="M7044" t="s">
        <v>103</v>
      </c>
      <c r="N7044" t="s">
        <v>329</v>
      </c>
      <c r="O7044" t="s">
        <v>468</v>
      </c>
      <c r="P7044" t="s">
        <v>103</v>
      </c>
      <c r="Q7044" t="s">
        <v>103</v>
      </c>
      <c r="R7044" t="s">
        <v>103</v>
      </c>
      <c r="S7044" t="s">
        <v>103</v>
      </c>
    </row>
    <row r="7045" spans="1:19" x14ac:dyDescent="0.3">
      <c r="A7045" t="s">
        <v>27</v>
      </c>
      <c r="B7045" t="s">
        <v>767</v>
      </c>
      <c r="C7045">
        <v>54</v>
      </c>
      <c r="D7045" t="s">
        <v>1501</v>
      </c>
      <c r="E7045" t="s">
        <v>195</v>
      </c>
      <c r="F7045" t="s">
        <v>103</v>
      </c>
      <c r="G7045" t="s">
        <v>103</v>
      </c>
      <c r="H7045" t="s">
        <v>64</v>
      </c>
      <c r="I7045" t="s">
        <v>103</v>
      </c>
      <c r="J7045" t="s">
        <v>103</v>
      </c>
      <c r="K7045" t="s">
        <v>270</v>
      </c>
      <c r="L7045" t="s">
        <v>103</v>
      </c>
      <c r="M7045" t="s">
        <v>103</v>
      </c>
      <c r="N7045" t="s">
        <v>194</v>
      </c>
      <c r="O7045" t="s">
        <v>103</v>
      </c>
      <c r="P7045" t="s">
        <v>103</v>
      </c>
      <c r="Q7045" t="s">
        <v>103</v>
      </c>
      <c r="R7045" t="s">
        <v>103</v>
      </c>
      <c r="S7045" t="s">
        <v>103</v>
      </c>
    </row>
    <row r="7046" spans="1:19" x14ac:dyDescent="0.3">
      <c r="A7046" t="s">
        <v>41</v>
      </c>
      <c r="B7046" t="s">
        <v>764</v>
      </c>
      <c r="C7046">
        <v>62</v>
      </c>
      <c r="D7046" t="s">
        <v>1348</v>
      </c>
      <c r="E7046" t="s">
        <v>102</v>
      </c>
      <c r="F7046" t="s">
        <v>66</v>
      </c>
      <c r="G7046" t="s">
        <v>191</v>
      </c>
      <c r="H7046" t="s">
        <v>549</v>
      </c>
      <c r="I7046" t="s">
        <v>103</v>
      </c>
      <c r="J7046" t="s">
        <v>103</v>
      </c>
      <c r="K7046" t="s">
        <v>103</v>
      </c>
      <c r="L7046" t="s">
        <v>103</v>
      </c>
      <c r="M7046" t="s">
        <v>103</v>
      </c>
      <c r="N7046" t="s">
        <v>103</v>
      </c>
      <c r="O7046" t="s">
        <v>118</v>
      </c>
      <c r="P7046" t="s">
        <v>118</v>
      </c>
      <c r="Q7046" t="s">
        <v>103</v>
      </c>
      <c r="R7046" t="s">
        <v>103</v>
      </c>
      <c r="S7046" t="s">
        <v>103</v>
      </c>
    </row>
    <row r="7047" spans="1:19" x14ac:dyDescent="0.3">
      <c r="A7047" t="s">
        <v>41</v>
      </c>
      <c r="B7047" t="s">
        <v>765</v>
      </c>
      <c r="C7047">
        <v>1269</v>
      </c>
      <c r="D7047" t="s">
        <v>1135</v>
      </c>
      <c r="E7047" t="s">
        <v>113</v>
      </c>
      <c r="F7047" t="s">
        <v>98</v>
      </c>
      <c r="G7047" t="s">
        <v>329</v>
      </c>
      <c r="H7047" t="s">
        <v>254</v>
      </c>
      <c r="I7047" t="s">
        <v>245</v>
      </c>
      <c r="J7047" t="s">
        <v>468</v>
      </c>
      <c r="K7047" t="s">
        <v>105</v>
      </c>
      <c r="L7047" t="s">
        <v>103</v>
      </c>
      <c r="M7047" t="s">
        <v>66</v>
      </c>
      <c r="N7047" t="s">
        <v>245</v>
      </c>
      <c r="O7047" t="s">
        <v>341</v>
      </c>
      <c r="P7047" t="s">
        <v>120</v>
      </c>
      <c r="Q7047" t="s">
        <v>103</v>
      </c>
      <c r="R7047" t="s">
        <v>103</v>
      </c>
      <c r="S7047" t="s">
        <v>103</v>
      </c>
    </row>
    <row r="7048" spans="1:19" x14ac:dyDescent="0.3">
      <c r="A7048" t="s">
        <v>41</v>
      </c>
      <c r="B7048" t="s">
        <v>767</v>
      </c>
      <c r="C7048">
        <v>597</v>
      </c>
      <c r="D7048" t="s">
        <v>168</v>
      </c>
      <c r="E7048" t="s">
        <v>113</v>
      </c>
      <c r="F7048" t="s">
        <v>139</v>
      </c>
      <c r="G7048" t="s">
        <v>68</v>
      </c>
      <c r="H7048" t="s">
        <v>107</v>
      </c>
      <c r="I7048" t="s">
        <v>282</v>
      </c>
      <c r="J7048" t="s">
        <v>91</v>
      </c>
      <c r="K7048" t="s">
        <v>97</v>
      </c>
      <c r="L7048" t="s">
        <v>103</v>
      </c>
      <c r="M7048" t="s">
        <v>103</v>
      </c>
      <c r="N7048" t="s">
        <v>194</v>
      </c>
      <c r="O7048" t="s">
        <v>103</v>
      </c>
      <c r="P7048" t="s">
        <v>120</v>
      </c>
      <c r="Q7048" t="s">
        <v>103</v>
      </c>
      <c r="R7048" t="s">
        <v>103</v>
      </c>
      <c r="S7048" t="s">
        <v>103</v>
      </c>
    </row>
    <row r="7050" spans="1:19" x14ac:dyDescent="0.3">
      <c r="A7050" t="s">
        <v>2255</v>
      </c>
    </row>
    <row r="7051" spans="1:19" x14ac:dyDescent="0.3">
      <c r="A7051" t="s">
        <v>36</v>
      </c>
      <c r="B7051" t="s">
        <v>2157</v>
      </c>
      <c r="C7051" t="s">
        <v>24</v>
      </c>
      <c r="D7051" t="s">
        <v>2238</v>
      </c>
      <c r="E7051" t="s">
        <v>2239</v>
      </c>
      <c r="F7051" t="s">
        <v>2240</v>
      </c>
      <c r="G7051" t="s">
        <v>2241</v>
      </c>
      <c r="H7051" t="s">
        <v>2242</v>
      </c>
      <c r="I7051" t="s">
        <v>2243</v>
      </c>
      <c r="J7051" t="s">
        <v>2244</v>
      </c>
      <c r="K7051" t="s">
        <v>2245</v>
      </c>
      <c r="L7051" t="s">
        <v>2246</v>
      </c>
      <c r="M7051" t="s">
        <v>2247</v>
      </c>
      <c r="N7051" t="s">
        <v>2248</v>
      </c>
      <c r="O7051" t="s">
        <v>2249</v>
      </c>
      <c r="P7051" t="s">
        <v>2250</v>
      </c>
      <c r="Q7051" t="s">
        <v>183</v>
      </c>
      <c r="R7051" t="s">
        <v>87</v>
      </c>
      <c r="S7051" t="s">
        <v>181</v>
      </c>
    </row>
    <row r="7052" spans="1:19" x14ac:dyDescent="0.3">
      <c r="A7052" t="s">
        <v>25</v>
      </c>
      <c r="B7052" t="s">
        <v>2158</v>
      </c>
      <c r="C7052">
        <v>257</v>
      </c>
      <c r="D7052" t="s">
        <v>603</v>
      </c>
      <c r="E7052" t="s">
        <v>662</v>
      </c>
      <c r="F7052" t="s">
        <v>103</v>
      </c>
      <c r="G7052" t="s">
        <v>217</v>
      </c>
      <c r="H7052" t="s">
        <v>549</v>
      </c>
      <c r="I7052" t="s">
        <v>251</v>
      </c>
      <c r="J7052" t="s">
        <v>103</v>
      </c>
      <c r="K7052" t="s">
        <v>139</v>
      </c>
      <c r="L7052" t="s">
        <v>103</v>
      </c>
      <c r="M7052" t="s">
        <v>103</v>
      </c>
      <c r="N7052" t="s">
        <v>341</v>
      </c>
      <c r="O7052" t="s">
        <v>97</v>
      </c>
      <c r="P7052" t="s">
        <v>66</v>
      </c>
      <c r="Q7052" t="s">
        <v>103</v>
      </c>
      <c r="R7052" t="s">
        <v>103</v>
      </c>
      <c r="S7052" t="s">
        <v>103</v>
      </c>
    </row>
    <row r="7053" spans="1:19" x14ac:dyDescent="0.3">
      <c r="A7053" t="s">
        <v>25</v>
      </c>
      <c r="B7053" t="s">
        <v>2159</v>
      </c>
      <c r="C7053">
        <v>183</v>
      </c>
      <c r="D7053" t="s">
        <v>1393</v>
      </c>
      <c r="E7053" t="s">
        <v>140</v>
      </c>
      <c r="F7053" t="s">
        <v>91</v>
      </c>
      <c r="G7053" t="s">
        <v>93</v>
      </c>
      <c r="H7053" t="s">
        <v>813</v>
      </c>
      <c r="I7053" t="s">
        <v>468</v>
      </c>
      <c r="J7053" t="s">
        <v>95</v>
      </c>
      <c r="K7053" t="s">
        <v>239</v>
      </c>
      <c r="L7053" t="s">
        <v>103</v>
      </c>
      <c r="M7053" t="s">
        <v>103</v>
      </c>
      <c r="N7053" t="s">
        <v>91</v>
      </c>
      <c r="O7053" t="s">
        <v>245</v>
      </c>
      <c r="P7053" t="s">
        <v>103</v>
      </c>
      <c r="Q7053" t="s">
        <v>103</v>
      </c>
      <c r="R7053" t="s">
        <v>103</v>
      </c>
      <c r="S7053" t="s">
        <v>103</v>
      </c>
    </row>
    <row r="7054" spans="1:19" x14ac:dyDescent="0.3">
      <c r="A7054" t="s">
        <v>26</v>
      </c>
      <c r="B7054" t="s">
        <v>2158</v>
      </c>
      <c r="C7054">
        <v>193</v>
      </c>
      <c r="D7054" t="s">
        <v>149</v>
      </c>
      <c r="E7054" t="s">
        <v>139</v>
      </c>
      <c r="F7054" t="s">
        <v>116</v>
      </c>
      <c r="G7054" t="s">
        <v>122</v>
      </c>
      <c r="H7054" t="s">
        <v>90</v>
      </c>
      <c r="I7054" t="s">
        <v>103</v>
      </c>
      <c r="J7054" t="s">
        <v>103</v>
      </c>
      <c r="K7054" t="s">
        <v>110</v>
      </c>
      <c r="L7054" t="s">
        <v>103</v>
      </c>
      <c r="M7054" t="s">
        <v>98</v>
      </c>
      <c r="N7054" t="s">
        <v>329</v>
      </c>
      <c r="O7054" t="s">
        <v>98</v>
      </c>
      <c r="P7054" t="s">
        <v>341</v>
      </c>
      <c r="Q7054" t="s">
        <v>103</v>
      </c>
      <c r="R7054" t="s">
        <v>103</v>
      </c>
      <c r="S7054" t="s">
        <v>103</v>
      </c>
    </row>
    <row r="7055" spans="1:19" x14ac:dyDescent="0.3">
      <c r="A7055" t="s">
        <v>26</v>
      </c>
      <c r="B7055" t="s">
        <v>2159</v>
      </c>
      <c r="C7055">
        <v>211</v>
      </c>
      <c r="D7055" t="s">
        <v>1357</v>
      </c>
      <c r="E7055" t="s">
        <v>105</v>
      </c>
      <c r="F7055" t="s">
        <v>105</v>
      </c>
      <c r="G7055" t="s">
        <v>245</v>
      </c>
      <c r="H7055" t="s">
        <v>254</v>
      </c>
      <c r="I7055" t="s">
        <v>98</v>
      </c>
      <c r="J7055" t="s">
        <v>103</v>
      </c>
      <c r="K7055" t="s">
        <v>103</v>
      </c>
      <c r="L7055" t="s">
        <v>103</v>
      </c>
      <c r="M7055" t="s">
        <v>103</v>
      </c>
      <c r="N7055" t="s">
        <v>118</v>
      </c>
      <c r="O7055" t="s">
        <v>66</v>
      </c>
      <c r="P7055" t="s">
        <v>103</v>
      </c>
      <c r="Q7055" t="s">
        <v>103</v>
      </c>
      <c r="R7055" t="s">
        <v>103</v>
      </c>
      <c r="S7055" t="s">
        <v>103</v>
      </c>
    </row>
    <row r="7056" spans="1:19" x14ac:dyDescent="0.3">
      <c r="A7056" t="s">
        <v>29</v>
      </c>
      <c r="B7056" t="s">
        <v>2158</v>
      </c>
      <c r="C7056">
        <v>304</v>
      </c>
      <c r="D7056" t="s">
        <v>274</v>
      </c>
      <c r="E7056" t="s">
        <v>112</v>
      </c>
      <c r="F7056" t="s">
        <v>194</v>
      </c>
      <c r="G7056" t="s">
        <v>266</v>
      </c>
      <c r="H7056" t="s">
        <v>466</v>
      </c>
      <c r="I7056" t="s">
        <v>139</v>
      </c>
      <c r="J7056" t="s">
        <v>208</v>
      </c>
      <c r="K7056" t="s">
        <v>64</v>
      </c>
      <c r="L7056" t="s">
        <v>103</v>
      </c>
      <c r="M7056" t="s">
        <v>116</v>
      </c>
      <c r="N7056" t="s">
        <v>98</v>
      </c>
      <c r="O7056" t="s">
        <v>208</v>
      </c>
      <c r="P7056" t="s">
        <v>95</v>
      </c>
      <c r="Q7056" t="s">
        <v>103</v>
      </c>
      <c r="R7056" t="s">
        <v>103</v>
      </c>
      <c r="S7056" t="s">
        <v>103</v>
      </c>
    </row>
    <row r="7057" spans="1:19" x14ac:dyDescent="0.3">
      <c r="A7057" t="s">
        <v>29</v>
      </c>
      <c r="B7057" t="s">
        <v>2159</v>
      </c>
      <c r="C7057">
        <v>329</v>
      </c>
      <c r="D7057" t="s">
        <v>600</v>
      </c>
      <c r="E7057" t="s">
        <v>188</v>
      </c>
      <c r="F7057" t="s">
        <v>282</v>
      </c>
      <c r="G7057" t="s">
        <v>125</v>
      </c>
      <c r="H7057" t="s">
        <v>133</v>
      </c>
      <c r="I7057" t="s">
        <v>97</v>
      </c>
      <c r="J7057" t="s">
        <v>139</v>
      </c>
      <c r="K7057" t="s">
        <v>103</v>
      </c>
      <c r="L7057" t="s">
        <v>103</v>
      </c>
      <c r="M7057" t="s">
        <v>103</v>
      </c>
      <c r="N7057" t="s">
        <v>105</v>
      </c>
      <c r="O7057" t="s">
        <v>110</v>
      </c>
      <c r="P7057" t="s">
        <v>98</v>
      </c>
      <c r="Q7057" t="s">
        <v>103</v>
      </c>
      <c r="R7057" t="s">
        <v>103</v>
      </c>
      <c r="S7057" t="s">
        <v>103</v>
      </c>
    </row>
    <row r="7058" spans="1:19" x14ac:dyDescent="0.3">
      <c r="A7058" t="s">
        <v>29</v>
      </c>
      <c r="B7058" t="s">
        <v>308</v>
      </c>
      <c r="C7058">
        <v>1</v>
      </c>
      <c r="D7058" t="s">
        <v>103</v>
      </c>
      <c r="E7058" t="s">
        <v>192</v>
      </c>
      <c r="F7058" t="s">
        <v>103</v>
      </c>
      <c r="G7058" t="s">
        <v>103</v>
      </c>
      <c r="H7058" t="s">
        <v>192</v>
      </c>
      <c r="I7058" t="s">
        <v>103</v>
      </c>
      <c r="J7058" t="s">
        <v>103</v>
      </c>
      <c r="K7058" t="s">
        <v>192</v>
      </c>
      <c r="L7058" t="s">
        <v>103</v>
      </c>
      <c r="M7058" t="s">
        <v>103</v>
      </c>
      <c r="N7058" t="s">
        <v>103</v>
      </c>
      <c r="O7058" t="s">
        <v>103</v>
      </c>
      <c r="P7058" t="s">
        <v>103</v>
      </c>
      <c r="Q7058" t="s">
        <v>103</v>
      </c>
      <c r="R7058" t="s">
        <v>103</v>
      </c>
      <c r="S7058" t="s">
        <v>103</v>
      </c>
    </row>
    <row r="7059" spans="1:19" x14ac:dyDescent="0.3">
      <c r="A7059" t="s">
        <v>28</v>
      </c>
      <c r="B7059" t="s">
        <v>2158</v>
      </c>
      <c r="C7059">
        <v>102</v>
      </c>
      <c r="D7059" t="s">
        <v>774</v>
      </c>
      <c r="E7059" t="s">
        <v>245</v>
      </c>
      <c r="F7059" t="s">
        <v>103</v>
      </c>
      <c r="G7059" t="s">
        <v>341</v>
      </c>
      <c r="H7059" t="s">
        <v>107</v>
      </c>
      <c r="I7059" t="s">
        <v>208</v>
      </c>
      <c r="J7059" t="s">
        <v>282</v>
      </c>
      <c r="K7059" t="s">
        <v>32</v>
      </c>
      <c r="L7059" t="s">
        <v>103</v>
      </c>
      <c r="M7059" t="s">
        <v>103</v>
      </c>
      <c r="N7059" t="s">
        <v>105</v>
      </c>
      <c r="O7059" t="s">
        <v>468</v>
      </c>
      <c r="P7059" t="s">
        <v>103</v>
      </c>
      <c r="Q7059" t="s">
        <v>103</v>
      </c>
      <c r="R7059" t="s">
        <v>103</v>
      </c>
      <c r="S7059" t="s">
        <v>103</v>
      </c>
    </row>
    <row r="7060" spans="1:19" x14ac:dyDescent="0.3">
      <c r="A7060" t="s">
        <v>28</v>
      </c>
      <c r="B7060" t="s">
        <v>2159</v>
      </c>
      <c r="C7060">
        <v>132</v>
      </c>
      <c r="D7060" t="s">
        <v>618</v>
      </c>
      <c r="E7060" t="s">
        <v>191</v>
      </c>
      <c r="F7060" t="s">
        <v>103</v>
      </c>
      <c r="G7060" t="s">
        <v>571</v>
      </c>
      <c r="H7060" t="s">
        <v>281</v>
      </c>
      <c r="I7060" t="s">
        <v>103</v>
      </c>
      <c r="J7060" t="s">
        <v>103</v>
      </c>
      <c r="K7060" t="s">
        <v>103</v>
      </c>
      <c r="L7060" t="s">
        <v>95</v>
      </c>
      <c r="M7060" t="s">
        <v>103</v>
      </c>
      <c r="N7060" t="s">
        <v>266</v>
      </c>
      <c r="O7060" t="s">
        <v>216</v>
      </c>
      <c r="P7060" t="s">
        <v>103</v>
      </c>
      <c r="Q7060" t="s">
        <v>103</v>
      </c>
      <c r="R7060" t="s">
        <v>103</v>
      </c>
      <c r="S7060" t="s">
        <v>103</v>
      </c>
    </row>
    <row r="7061" spans="1:19" x14ac:dyDescent="0.3">
      <c r="A7061" t="s">
        <v>27</v>
      </c>
      <c r="B7061" t="s">
        <v>2158</v>
      </c>
      <c r="C7061">
        <v>142</v>
      </c>
      <c r="D7061" t="s">
        <v>274</v>
      </c>
      <c r="E7061" t="s">
        <v>195</v>
      </c>
      <c r="F7061" t="s">
        <v>468</v>
      </c>
      <c r="G7061" t="s">
        <v>103</v>
      </c>
      <c r="H7061" t="s">
        <v>460</v>
      </c>
      <c r="I7061" t="s">
        <v>272</v>
      </c>
      <c r="J7061" t="s">
        <v>103</v>
      </c>
      <c r="K7061" t="s">
        <v>125</v>
      </c>
      <c r="L7061" t="s">
        <v>103</v>
      </c>
      <c r="M7061" t="s">
        <v>103</v>
      </c>
      <c r="N7061" t="s">
        <v>195</v>
      </c>
      <c r="O7061" t="s">
        <v>468</v>
      </c>
      <c r="P7061" t="s">
        <v>103</v>
      </c>
      <c r="Q7061" t="s">
        <v>103</v>
      </c>
      <c r="R7061" t="s">
        <v>103</v>
      </c>
      <c r="S7061" t="s">
        <v>103</v>
      </c>
    </row>
    <row r="7062" spans="1:19" x14ac:dyDescent="0.3">
      <c r="A7062" t="s">
        <v>27</v>
      </c>
      <c r="B7062" t="s">
        <v>2159</v>
      </c>
      <c r="C7062">
        <v>74</v>
      </c>
      <c r="D7062" t="s">
        <v>1027</v>
      </c>
      <c r="E7062" t="s">
        <v>468</v>
      </c>
      <c r="F7062" t="s">
        <v>194</v>
      </c>
      <c r="G7062" t="s">
        <v>103</v>
      </c>
      <c r="H7062" t="s">
        <v>70</v>
      </c>
      <c r="I7062" t="s">
        <v>103</v>
      </c>
      <c r="J7062" t="s">
        <v>103</v>
      </c>
      <c r="K7062" t="s">
        <v>103</v>
      </c>
      <c r="L7062" t="s">
        <v>103</v>
      </c>
      <c r="M7062" t="s">
        <v>103</v>
      </c>
      <c r="N7062" t="s">
        <v>103</v>
      </c>
      <c r="O7062" t="s">
        <v>103</v>
      </c>
      <c r="P7062" t="s">
        <v>103</v>
      </c>
      <c r="Q7062" t="s">
        <v>103</v>
      </c>
      <c r="R7062" t="s">
        <v>103</v>
      </c>
      <c r="S7062" t="s">
        <v>103</v>
      </c>
    </row>
    <row r="7063" spans="1:19" x14ac:dyDescent="0.3">
      <c r="A7063" t="s">
        <v>41</v>
      </c>
      <c r="B7063" t="s">
        <v>2158</v>
      </c>
      <c r="C7063">
        <v>998</v>
      </c>
      <c r="D7063" t="s">
        <v>45</v>
      </c>
      <c r="E7063" t="s">
        <v>201</v>
      </c>
      <c r="F7063" t="s">
        <v>139</v>
      </c>
      <c r="G7063" t="s">
        <v>329</v>
      </c>
      <c r="H7063" t="s">
        <v>60</v>
      </c>
      <c r="I7063" t="s">
        <v>329</v>
      </c>
      <c r="J7063" t="s">
        <v>282</v>
      </c>
      <c r="K7063" t="s">
        <v>93</v>
      </c>
      <c r="L7063" t="s">
        <v>103</v>
      </c>
      <c r="M7063" t="s">
        <v>116</v>
      </c>
      <c r="N7063" t="s">
        <v>110</v>
      </c>
      <c r="O7063" t="s">
        <v>110</v>
      </c>
      <c r="P7063" t="s">
        <v>139</v>
      </c>
      <c r="Q7063" t="s">
        <v>103</v>
      </c>
      <c r="R7063" t="s">
        <v>103</v>
      </c>
      <c r="S7063" t="s">
        <v>103</v>
      </c>
    </row>
    <row r="7064" spans="1:19" x14ac:dyDescent="0.3">
      <c r="A7064" t="s">
        <v>41</v>
      </c>
      <c r="B7064" t="s">
        <v>2159</v>
      </c>
      <c r="C7064">
        <v>929</v>
      </c>
      <c r="D7064" t="s">
        <v>622</v>
      </c>
      <c r="E7064" t="s">
        <v>591</v>
      </c>
      <c r="F7064" t="s">
        <v>282</v>
      </c>
      <c r="G7064" t="s">
        <v>68</v>
      </c>
      <c r="H7064" t="s">
        <v>124</v>
      </c>
      <c r="I7064" t="s">
        <v>95</v>
      </c>
      <c r="J7064" t="s">
        <v>120</v>
      </c>
      <c r="K7064" t="s">
        <v>116</v>
      </c>
      <c r="L7064" t="s">
        <v>103</v>
      </c>
      <c r="M7064" t="s">
        <v>103</v>
      </c>
      <c r="N7064" t="s">
        <v>216</v>
      </c>
      <c r="O7064" t="s">
        <v>345</v>
      </c>
      <c r="P7064" t="s">
        <v>97</v>
      </c>
      <c r="Q7064" t="s">
        <v>103</v>
      </c>
      <c r="R7064" t="s">
        <v>103</v>
      </c>
      <c r="S7064" t="s">
        <v>103</v>
      </c>
    </row>
    <row r="7065" spans="1:19" x14ac:dyDescent="0.3">
      <c r="A7065" t="s">
        <v>41</v>
      </c>
      <c r="B7065" t="s">
        <v>308</v>
      </c>
      <c r="C7065">
        <v>1</v>
      </c>
      <c r="D7065" t="s">
        <v>103</v>
      </c>
      <c r="E7065" t="s">
        <v>192</v>
      </c>
      <c r="F7065" t="s">
        <v>103</v>
      </c>
      <c r="G7065" t="s">
        <v>103</v>
      </c>
      <c r="H7065" t="s">
        <v>192</v>
      </c>
      <c r="I7065" t="s">
        <v>103</v>
      </c>
      <c r="J7065" t="s">
        <v>103</v>
      </c>
      <c r="K7065" t="s">
        <v>192</v>
      </c>
      <c r="L7065" t="s">
        <v>103</v>
      </c>
      <c r="M7065" t="s">
        <v>103</v>
      </c>
      <c r="N7065" t="s">
        <v>103</v>
      </c>
      <c r="O7065" t="s">
        <v>103</v>
      </c>
      <c r="P7065" t="s">
        <v>103</v>
      </c>
      <c r="Q7065" t="s">
        <v>103</v>
      </c>
      <c r="R7065" t="s">
        <v>103</v>
      </c>
      <c r="S7065" t="s">
        <v>103</v>
      </c>
    </row>
    <row r="7067" spans="1:19" x14ac:dyDescent="0.3">
      <c r="A7067" t="s">
        <v>2256</v>
      </c>
    </row>
    <row r="7068" spans="1:19" x14ac:dyDescent="0.3">
      <c r="A7068" t="s">
        <v>36</v>
      </c>
      <c r="B7068" t="s">
        <v>307</v>
      </c>
      <c r="C7068" t="s">
        <v>24</v>
      </c>
      <c r="D7068" t="s">
        <v>2238</v>
      </c>
      <c r="E7068" t="s">
        <v>2239</v>
      </c>
      <c r="F7068" t="s">
        <v>2240</v>
      </c>
      <c r="G7068" t="s">
        <v>2241</v>
      </c>
      <c r="H7068" t="s">
        <v>2242</v>
      </c>
      <c r="I7068" t="s">
        <v>2243</v>
      </c>
      <c r="J7068" t="s">
        <v>2244</v>
      </c>
      <c r="K7068" t="s">
        <v>2245</v>
      </c>
      <c r="L7068" t="s">
        <v>2246</v>
      </c>
      <c r="M7068" t="s">
        <v>2247</v>
      </c>
      <c r="N7068" t="s">
        <v>2248</v>
      </c>
      <c r="O7068" t="s">
        <v>2249</v>
      </c>
      <c r="P7068" t="s">
        <v>2250</v>
      </c>
      <c r="Q7068" t="s">
        <v>183</v>
      </c>
      <c r="R7068" t="s">
        <v>87</v>
      </c>
      <c r="S7068" t="s">
        <v>181</v>
      </c>
    </row>
    <row r="7069" spans="1:19" x14ac:dyDescent="0.3">
      <c r="A7069" t="s">
        <v>25</v>
      </c>
      <c r="B7069" t="s">
        <v>291</v>
      </c>
      <c r="C7069">
        <v>209</v>
      </c>
      <c r="D7069" t="s">
        <v>761</v>
      </c>
      <c r="E7069" t="s">
        <v>217</v>
      </c>
      <c r="F7069" t="s">
        <v>103</v>
      </c>
      <c r="G7069" t="s">
        <v>345</v>
      </c>
      <c r="H7069" t="s">
        <v>566</v>
      </c>
      <c r="I7069" t="s">
        <v>107</v>
      </c>
      <c r="J7069" t="s">
        <v>120</v>
      </c>
      <c r="K7069" t="s">
        <v>194</v>
      </c>
      <c r="L7069" t="s">
        <v>103</v>
      </c>
      <c r="M7069" t="s">
        <v>103</v>
      </c>
      <c r="N7069" t="s">
        <v>95</v>
      </c>
      <c r="O7069" t="s">
        <v>103</v>
      </c>
      <c r="P7069" t="s">
        <v>66</v>
      </c>
      <c r="Q7069" t="s">
        <v>103</v>
      </c>
      <c r="R7069" t="s">
        <v>103</v>
      </c>
      <c r="S7069" t="s">
        <v>103</v>
      </c>
    </row>
    <row r="7070" spans="1:19" x14ac:dyDescent="0.3">
      <c r="A7070" t="s">
        <v>25</v>
      </c>
      <c r="B7070" t="s">
        <v>292</v>
      </c>
      <c r="C7070">
        <v>221</v>
      </c>
      <c r="D7070" t="s">
        <v>1016</v>
      </c>
      <c r="E7070" t="s">
        <v>137</v>
      </c>
      <c r="F7070" t="s">
        <v>91</v>
      </c>
      <c r="G7070" t="s">
        <v>114</v>
      </c>
      <c r="H7070" t="s">
        <v>100</v>
      </c>
      <c r="I7070" t="s">
        <v>214</v>
      </c>
      <c r="J7070" t="s">
        <v>103</v>
      </c>
      <c r="K7070" t="s">
        <v>98</v>
      </c>
      <c r="L7070" t="s">
        <v>103</v>
      </c>
      <c r="M7070" t="s">
        <v>103</v>
      </c>
      <c r="N7070" t="s">
        <v>216</v>
      </c>
      <c r="O7070" t="s">
        <v>329</v>
      </c>
      <c r="P7070" t="s">
        <v>103</v>
      </c>
      <c r="Q7070" t="s">
        <v>103</v>
      </c>
      <c r="R7070" t="s">
        <v>103</v>
      </c>
      <c r="S7070" t="s">
        <v>103</v>
      </c>
    </row>
    <row r="7071" spans="1:19" x14ac:dyDescent="0.3">
      <c r="A7071" t="s">
        <v>25</v>
      </c>
      <c r="B7071" t="s">
        <v>308</v>
      </c>
      <c r="C7071">
        <v>10</v>
      </c>
      <c r="D7071" t="s">
        <v>863</v>
      </c>
      <c r="E7071" t="s">
        <v>191</v>
      </c>
      <c r="F7071" t="s">
        <v>103</v>
      </c>
      <c r="G7071" t="s">
        <v>103</v>
      </c>
      <c r="H7071" t="s">
        <v>103</v>
      </c>
      <c r="I7071" t="s">
        <v>103</v>
      </c>
      <c r="J7071" t="s">
        <v>103</v>
      </c>
      <c r="K7071" t="s">
        <v>103</v>
      </c>
      <c r="L7071" t="s">
        <v>103</v>
      </c>
      <c r="M7071" t="s">
        <v>103</v>
      </c>
      <c r="N7071" t="s">
        <v>103</v>
      </c>
      <c r="O7071" t="s">
        <v>103</v>
      </c>
      <c r="P7071" t="s">
        <v>103</v>
      </c>
      <c r="Q7071" t="s">
        <v>103</v>
      </c>
      <c r="R7071" t="s">
        <v>103</v>
      </c>
      <c r="S7071" t="s">
        <v>103</v>
      </c>
    </row>
    <row r="7072" spans="1:19" x14ac:dyDescent="0.3">
      <c r="A7072" t="s">
        <v>26</v>
      </c>
      <c r="B7072" t="s">
        <v>291</v>
      </c>
      <c r="C7072">
        <v>134</v>
      </c>
      <c r="D7072" t="s">
        <v>1004</v>
      </c>
      <c r="E7072" t="s">
        <v>239</v>
      </c>
      <c r="F7072" t="s">
        <v>120</v>
      </c>
      <c r="G7072" t="s">
        <v>329</v>
      </c>
      <c r="H7072" t="s">
        <v>164</v>
      </c>
      <c r="I7072" t="s">
        <v>139</v>
      </c>
      <c r="J7072" t="s">
        <v>103</v>
      </c>
      <c r="K7072" t="s">
        <v>208</v>
      </c>
      <c r="L7072" t="s">
        <v>103</v>
      </c>
      <c r="M7072" t="s">
        <v>103</v>
      </c>
      <c r="N7072" t="s">
        <v>206</v>
      </c>
      <c r="O7072" t="s">
        <v>103</v>
      </c>
      <c r="P7072" t="s">
        <v>341</v>
      </c>
      <c r="Q7072" t="s">
        <v>103</v>
      </c>
      <c r="R7072" t="s">
        <v>103</v>
      </c>
      <c r="S7072" t="s">
        <v>103</v>
      </c>
    </row>
    <row r="7073" spans="1:19" x14ac:dyDescent="0.3">
      <c r="A7073" t="s">
        <v>26</v>
      </c>
      <c r="B7073" t="s">
        <v>292</v>
      </c>
      <c r="C7073">
        <v>266</v>
      </c>
      <c r="D7073" t="s">
        <v>280</v>
      </c>
      <c r="E7073" t="s">
        <v>468</v>
      </c>
      <c r="F7073" t="s">
        <v>194</v>
      </c>
      <c r="G7073" t="s">
        <v>95</v>
      </c>
      <c r="H7073" t="s">
        <v>94</v>
      </c>
      <c r="I7073" t="s">
        <v>116</v>
      </c>
      <c r="J7073" t="s">
        <v>103</v>
      </c>
      <c r="K7073" t="s">
        <v>103</v>
      </c>
      <c r="L7073" t="s">
        <v>103</v>
      </c>
      <c r="M7073" t="s">
        <v>120</v>
      </c>
      <c r="N7073" t="s">
        <v>122</v>
      </c>
      <c r="O7073" t="s">
        <v>139</v>
      </c>
      <c r="P7073" t="s">
        <v>122</v>
      </c>
      <c r="Q7073" t="s">
        <v>103</v>
      </c>
      <c r="R7073" t="s">
        <v>103</v>
      </c>
      <c r="S7073" t="s">
        <v>103</v>
      </c>
    </row>
    <row r="7074" spans="1:19" x14ac:dyDescent="0.3">
      <c r="A7074" t="s">
        <v>26</v>
      </c>
      <c r="B7074" t="s">
        <v>308</v>
      </c>
      <c r="C7074">
        <v>4</v>
      </c>
      <c r="D7074" t="s">
        <v>192</v>
      </c>
      <c r="E7074" t="s">
        <v>103</v>
      </c>
      <c r="F7074" t="s">
        <v>103</v>
      </c>
      <c r="G7074" t="s">
        <v>103</v>
      </c>
      <c r="H7074" t="s">
        <v>103</v>
      </c>
      <c r="I7074" t="s">
        <v>103</v>
      </c>
      <c r="J7074" t="s">
        <v>103</v>
      </c>
      <c r="K7074" t="s">
        <v>103</v>
      </c>
      <c r="L7074" t="s">
        <v>103</v>
      </c>
      <c r="M7074" t="s">
        <v>103</v>
      </c>
      <c r="N7074" t="s">
        <v>103</v>
      </c>
      <c r="O7074" t="s">
        <v>103</v>
      </c>
      <c r="P7074" t="s">
        <v>103</v>
      </c>
      <c r="Q7074" t="s">
        <v>103</v>
      </c>
      <c r="R7074" t="s">
        <v>103</v>
      </c>
      <c r="S7074" t="s">
        <v>103</v>
      </c>
    </row>
    <row r="7075" spans="1:19" x14ac:dyDescent="0.3">
      <c r="A7075" t="s">
        <v>29</v>
      </c>
      <c r="B7075" t="s">
        <v>291</v>
      </c>
      <c r="C7075">
        <v>281</v>
      </c>
      <c r="D7075" t="s">
        <v>634</v>
      </c>
      <c r="E7075" t="s">
        <v>284</v>
      </c>
      <c r="F7075" t="s">
        <v>245</v>
      </c>
      <c r="G7075" t="s">
        <v>113</v>
      </c>
      <c r="H7075" t="s">
        <v>190</v>
      </c>
      <c r="I7075" t="s">
        <v>239</v>
      </c>
      <c r="J7075" t="s">
        <v>194</v>
      </c>
      <c r="K7075" t="s">
        <v>467</v>
      </c>
      <c r="L7075" t="s">
        <v>103</v>
      </c>
      <c r="M7075" t="s">
        <v>116</v>
      </c>
      <c r="N7075" t="s">
        <v>98</v>
      </c>
      <c r="O7075" t="s">
        <v>216</v>
      </c>
      <c r="P7075" t="s">
        <v>122</v>
      </c>
      <c r="Q7075" t="s">
        <v>103</v>
      </c>
      <c r="R7075" t="s">
        <v>103</v>
      </c>
      <c r="S7075" t="s">
        <v>103</v>
      </c>
    </row>
    <row r="7076" spans="1:19" x14ac:dyDescent="0.3">
      <c r="A7076" t="s">
        <v>29</v>
      </c>
      <c r="B7076" t="s">
        <v>292</v>
      </c>
      <c r="C7076">
        <v>353</v>
      </c>
      <c r="D7076" t="s">
        <v>149</v>
      </c>
      <c r="E7076" t="s">
        <v>615</v>
      </c>
      <c r="F7076" t="s">
        <v>120</v>
      </c>
      <c r="G7076" t="s">
        <v>93</v>
      </c>
      <c r="H7076" t="s">
        <v>281</v>
      </c>
      <c r="I7076" t="s">
        <v>103</v>
      </c>
      <c r="J7076" t="s">
        <v>110</v>
      </c>
      <c r="K7076" t="s">
        <v>103</v>
      </c>
      <c r="L7076" t="s">
        <v>103</v>
      </c>
      <c r="M7076" t="s">
        <v>103</v>
      </c>
      <c r="N7076" t="s">
        <v>105</v>
      </c>
      <c r="O7076" t="s">
        <v>245</v>
      </c>
      <c r="P7076" t="s">
        <v>468</v>
      </c>
      <c r="Q7076" t="s">
        <v>103</v>
      </c>
      <c r="R7076" t="s">
        <v>103</v>
      </c>
      <c r="S7076" t="s">
        <v>103</v>
      </c>
    </row>
    <row r="7077" spans="1:19" x14ac:dyDescent="0.3">
      <c r="A7077" t="s">
        <v>28</v>
      </c>
      <c r="B7077" t="s">
        <v>291</v>
      </c>
      <c r="C7077">
        <v>112</v>
      </c>
      <c r="D7077" t="s">
        <v>886</v>
      </c>
      <c r="E7077" t="s">
        <v>270</v>
      </c>
      <c r="F7077" t="s">
        <v>103</v>
      </c>
      <c r="G7077" t="s">
        <v>107</v>
      </c>
      <c r="H7077" t="s">
        <v>278</v>
      </c>
      <c r="I7077" t="s">
        <v>208</v>
      </c>
      <c r="J7077" t="s">
        <v>98</v>
      </c>
      <c r="K7077" t="s">
        <v>214</v>
      </c>
      <c r="L7077" t="s">
        <v>103</v>
      </c>
      <c r="M7077" t="s">
        <v>103</v>
      </c>
      <c r="N7077" t="s">
        <v>64</v>
      </c>
      <c r="O7077" t="s">
        <v>345</v>
      </c>
      <c r="P7077" t="s">
        <v>103</v>
      </c>
      <c r="Q7077" t="s">
        <v>103</v>
      </c>
      <c r="R7077" t="s">
        <v>103</v>
      </c>
      <c r="S7077" t="s">
        <v>103</v>
      </c>
    </row>
    <row r="7078" spans="1:19" x14ac:dyDescent="0.3">
      <c r="A7078" t="s">
        <v>28</v>
      </c>
      <c r="B7078" t="s">
        <v>292</v>
      </c>
      <c r="C7078">
        <v>110</v>
      </c>
      <c r="D7078" t="s">
        <v>1357</v>
      </c>
      <c r="E7078" t="s">
        <v>114</v>
      </c>
      <c r="F7078" t="s">
        <v>103</v>
      </c>
      <c r="G7078" t="s">
        <v>266</v>
      </c>
      <c r="H7078" t="s">
        <v>32</v>
      </c>
      <c r="I7078" t="s">
        <v>103</v>
      </c>
      <c r="J7078" t="s">
        <v>103</v>
      </c>
      <c r="K7078" t="s">
        <v>103</v>
      </c>
      <c r="L7078" t="s">
        <v>139</v>
      </c>
      <c r="M7078" t="s">
        <v>103</v>
      </c>
      <c r="N7078" t="s">
        <v>341</v>
      </c>
      <c r="O7078" t="s">
        <v>341</v>
      </c>
      <c r="P7078" t="s">
        <v>103</v>
      </c>
      <c r="Q7078" t="s">
        <v>103</v>
      </c>
      <c r="R7078" t="s">
        <v>103</v>
      </c>
      <c r="S7078" t="s">
        <v>103</v>
      </c>
    </row>
    <row r="7079" spans="1:19" x14ac:dyDescent="0.3">
      <c r="A7079" t="s">
        <v>28</v>
      </c>
      <c r="B7079" t="s">
        <v>308</v>
      </c>
      <c r="C7079">
        <v>12</v>
      </c>
      <c r="D7079" t="s">
        <v>619</v>
      </c>
      <c r="E7079" t="s">
        <v>424</v>
      </c>
      <c r="F7079" t="s">
        <v>103</v>
      </c>
      <c r="G7079" t="s">
        <v>1229</v>
      </c>
      <c r="H7079" t="s">
        <v>103</v>
      </c>
      <c r="I7079" t="s">
        <v>103</v>
      </c>
      <c r="J7079" t="s">
        <v>103</v>
      </c>
      <c r="K7079" t="s">
        <v>103</v>
      </c>
      <c r="L7079" t="s">
        <v>103</v>
      </c>
      <c r="M7079" t="s">
        <v>103</v>
      </c>
      <c r="N7079" t="s">
        <v>103</v>
      </c>
      <c r="O7079" t="s">
        <v>103</v>
      </c>
      <c r="P7079" t="s">
        <v>103</v>
      </c>
      <c r="Q7079" t="s">
        <v>103</v>
      </c>
      <c r="R7079" t="s">
        <v>103</v>
      </c>
      <c r="S7079" t="s">
        <v>103</v>
      </c>
    </row>
    <row r="7080" spans="1:19" x14ac:dyDescent="0.3">
      <c r="A7080" t="s">
        <v>27</v>
      </c>
      <c r="B7080" t="s">
        <v>291</v>
      </c>
      <c r="C7080">
        <v>89</v>
      </c>
      <c r="D7080" t="s">
        <v>1016</v>
      </c>
      <c r="E7080" t="s">
        <v>284</v>
      </c>
      <c r="F7080" t="s">
        <v>329</v>
      </c>
      <c r="G7080" t="s">
        <v>103</v>
      </c>
      <c r="H7080" t="s">
        <v>607</v>
      </c>
      <c r="I7080" t="s">
        <v>70</v>
      </c>
      <c r="J7080" t="s">
        <v>103</v>
      </c>
      <c r="K7080" t="s">
        <v>452</v>
      </c>
      <c r="L7080" t="s">
        <v>103</v>
      </c>
      <c r="M7080" t="s">
        <v>103</v>
      </c>
      <c r="N7080" t="s">
        <v>493</v>
      </c>
      <c r="O7080" t="s">
        <v>329</v>
      </c>
      <c r="P7080" t="s">
        <v>103</v>
      </c>
      <c r="Q7080" t="s">
        <v>103</v>
      </c>
      <c r="R7080" t="s">
        <v>103</v>
      </c>
      <c r="S7080" t="s">
        <v>103</v>
      </c>
    </row>
    <row r="7081" spans="1:19" x14ac:dyDescent="0.3">
      <c r="A7081" t="s">
        <v>27</v>
      </c>
      <c r="B7081" t="s">
        <v>292</v>
      </c>
      <c r="C7081">
        <v>126</v>
      </c>
      <c r="D7081" t="s">
        <v>61</v>
      </c>
      <c r="E7081" t="s">
        <v>95</v>
      </c>
      <c r="F7081" t="s">
        <v>139</v>
      </c>
      <c r="G7081" t="s">
        <v>103</v>
      </c>
      <c r="H7081" t="s">
        <v>594</v>
      </c>
      <c r="I7081" t="s">
        <v>103</v>
      </c>
      <c r="J7081" t="s">
        <v>103</v>
      </c>
      <c r="K7081" t="s">
        <v>103</v>
      </c>
      <c r="L7081" t="s">
        <v>103</v>
      </c>
      <c r="M7081" t="s">
        <v>103</v>
      </c>
      <c r="N7081" t="s">
        <v>95</v>
      </c>
      <c r="O7081" t="s">
        <v>103</v>
      </c>
      <c r="P7081" t="s">
        <v>103</v>
      </c>
      <c r="Q7081" t="s">
        <v>103</v>
      </c>
      <c r="R7081" t="s">
        <v>103</v>
      </c>
      <c r="S7081" t="s">
        <v>103</v>
      </c>
    </row>
    <row r="7082" spans="1:19" x14ac:dyDescent="0.3">
      <c r="A7082" t="s">
        <v>27</v>
      </c>
      <c r="B7082" t="s">
        <v>308</v>
      </c>
      <c r="C7082">
        <v>1</v>
      </c>
      <c r="D7082" t="s">
        <v>192</v>
      </c>
      <c r="E7082" t="s">
        <v>103</v>
      </c>
      <c r="F7082" t="s">
        <v>103</v>
      </c>
      <c r="G7082" t="s">
        <v>103</v>
      </c>
      <c r="H7082" t="s">
        <v>103</v>
      </c>
      <c r="I7082" t="s">
        <v>103</v>
      </c>
      <c r="J7082" t="s">
        <v>103</v>
      </c>
      <c r="K7082" t="s">
        <v>103</v>
      </c>
      <c r="L7082" t="s">
        <v>103</v>
      </c>
      <c r="M7082" t="s">
        <v>103</v>
      </c>
      <c r="N7082" t="s">
        <v>103</v>
      </c>
      <c r="O7082" t="s">
        <v>103</v>
      </c>
      <c r="P7082" t="s">
        <v>103</v>
      </c>
      <c r="Q7082" t="s">
        <v>103</v>
      </c>
      <c r="R7082" t="s">
        <v>103</v>
      </c>
      <c r="S7082" t="s">
        <v>103</v>
      </c>
    </row>
    <row r="7083" spans="1:19" x14ac:dyDescent="0.3">
      <c r="A7083" t="s">
        <v>41</v>
      </c>
      <c r="B7083" t="s">
        <v>291</v>
      </c>
      <c r="C7083">
        <v>825</v>
      </c>
      <c r="D7083" t="s">
        <v>603</v>
      </c>
      <c r="E7083" t="s">
        <v>114</v>
      </c>
      <c r="F7083" t="s">
        <v>345</v>
      </c>
      <c r="G7083" t="s">
        <v>272</v>
      </c>
      <c r="H7083" t="s">
        <v>482</v>
      </c>
      <c r="I7083" t="s">
        <v>329</v>
      </c>
      <c r="J7083" t="s">
        <v>98</v>
      </c>
      <c r="K7083" t="s">
        <v>64</v>
      </c>
      <c r="L7083" t="s">
        <v>103</v>
      </c>
      <c r="M7083" t="s">
        <v>66</v>
      </c>
      <c r="N7083" t="s">
        <v>245</v>
      </c>
      <c r="O7083" t="s">
        <v>282</v>
      </c>
      <c r="P7083" t="s">
        <v>120</v>
      </c>
      <c r="Q7083" t="s">
        <v>103</v>
      </c>
      <c r="R7083" t="s">
        <v>103</v>
      </c>
      <c r="S7083" t="s">
        <v>103</v>
      </c>
    </row>
    <row r="7084" spans="1:19" x14ac:dyDescent="0.3">
      <c r="A7084" t="s">
        <v>41</v>
      </c>
      <c r="B7084" t="s">
        <v>292</v>
      </c>
      <c r="C7084">
        <v>1076</v>
      </c>
      <c r="D7084" t="s">
        <v>605</v>
      </c>
      <c r="E7084" t="s">
        <v>201</v>
      </c>
      <c r="F7084" t="s">
        <v>95</v>
      </c>
      <c r="G7084" t="s">
        <v>329</v>
      </c>
      <c r="H7084" t="s">
        <v>206</v>
      </c>
      <c r="I7084" t="s">
        <v>98</v>
      </c>
      <c r="J7084" t="s">
        <v>95</v>
      </c>
      <c r="K7084" t="s">
        <v>66</v>
      </c>
      <c r="L7084" t="s">
        <v>103</v>
      </c>
      <c r="M7084" t="s">
        <v>91</v>
      </c>
      <c r="N7084" t="s">
        <v>110</v>
      </c>
      <c r="O7084" t="s">
        <v>239</v>
      </c>
      <c r="P7084" t="s">
        <v>95</v>
      </c>
      <c r="Q7084" t="s">
        <v>103</v>
      </c>
      <c r="R7084" t="s">
        <v>103</v>
      </c>
      <c r="S7084" t="s">
        <v>103</v>
      </c>
    </row>
    <row r="7085" spans="1:19" x14ac:dyDescent="0.3">
      <c r="A7085" t="s">
        <v>41</v>
      </c>
      <c r="B7085" t="s">
        <v>308</v>
      </c>
      <c r="C7085">
        <v>27</v>
      </c>
      <c r="D7085" t="s">
        <v>49</v>
      </c>
      <c r="E7085" t="s">
        <v>687</v>
      </c>
      <c r="F7085" t="s">
        <v>103</v>
      </c>
      <c r="G7085" t="s">
        <v>126</v>
      </c>
      <c r="H7085" t="s">
        <v>103</v>
      </c>
      <c r="I7085" t="s">
        <v>103</v>
      </c>
      <c r="J7085" t="s">
        <v>103</v>
      </c>
      <c r="K7085" t="s">
        <v>103</v>
      </c>
      <c r="L7085" t="s">
        <v>103</v>
      </c>
      <c r="M7085" t="s">
        <v>103</v>
      </c>
      <c r="N7085" t="s">
        <v>103</v>
      </c>
      <c r="O7085" t="s">
        <v>103</v>
      </c>
      <c r="P7085" t="s">
        <v>103</v>
      </c>
      <c r="Q7085" t="s">
        <v>103</v>
      </c>
      <c r="R7085" t="s">
        <v>103</v>
      </c>
      <c r="S7085" t="s">
        <v>103</v>
      </c>
    </row>
    <row r="7087" spans="1:19" x14ac:dyDescent="0.3">
      <c r="A7087" t="s">
        <v>2257</v>
      </c>
    </row>
    <row r="7088" spans="1:19" x14ac:dyDescent="0.3">
      <c r="A7088" t="s">
        <v>36</v>
      </c>
      <c r="B7088" t="s">
        <v>210</v>
      </c>
      <c r="C7088" t="s">
        <v>24</v>
      </c>
      <c r="D7088" t="s">
        <v>2238</v>
      </c>
      <c r="E7088" t="s">
        <v>2239</v>
      </c>
      <c r="F7088" t="s">
        <v>2240</v>
      </c>
      <c r="G7088" t="s">
        <v>2241</v>
      </c>
      <c r="H7088" t="s">
        <v>2242</v>
      </c>
      <c r="I7088" t="s">
        <v>2243</v>
      </c>
      <c r="J7088" t="s">
        <v>2244</v>
      </c>
      <c r="K7088" t="s">
        <v>2245</v>
      </c>
      <c r="L7088" t="s">
        <v>2246</v>
      </c>
      <c r="M7088" t="s">
        <v>2247</v>
      </c>
      <c r="N7088" t="s">
        <v>2248</v>
      </c>
      <c r="O7088" t="s">
        <v>2249</v>
      </c>
      <c r="P7088" t="s">
        <v>2250</v>
      </c>
      <c r="Q7088" t="s">
        <v>183</v>
      </c>
      <c r="R7088" t="s">
        <v>87</v>
      </c>
      <c r="S7088" t="s">
        <v>181</v>
      </c>
    </row>
    <row r="7089" spans="1:19" x14ac:dyDescent="0.3">
      <c r="A7089" t="s">
        <v>25</v>
      </c>
      <c r="B7089" t="s">
        <v>211</v>
      </c>
      <c r="C7089">
        <v>440</v>
      </c>
      <c r="D7089" t="s">
        <v>1675</v>
      </c>
      <c r="E7089" t="s">
        <v>452</v>
      </c>
      <c r="F7089" t="s">
        <v>103</v>
      </c>
      <c r="G7089" t="s">
        <v>257</v>
      </c>
      <c r="H7089" t="s">
        <v>543</v>
      </c>
      <c r="I7089" t="s">
        <v>113</v>
      </c>
      <c r="J7089" t="s">
        <v>116</v>
      </c>
      <c r="K7089" t="s">
        <v>345</v>
      </c>
      <c r="L7089" t="s">
        <v>103</v>
      </c>
      <c r="M7089" t="s">
        <v>103</v>
      </c>
      <c r="N7089" t="s">
        <v>345</v>
      </c>
      <c r="O7089" t="s">
        <v>282</v>
      </c>
      <c r="P7089" t="s">
        <v>91</v>
      </c>
      <c r="Q7089" t="s">
        <v>103</v>
      </c>
      <c r="R7089" t="s">
        <v>103</v>
      </c>
      <c r="S7089" t="s">
        <v>103</v>
      </c>
    </row>
    <row r="7090" spans="1:19" x14ac:dyDescent="0.3">
      <c r="A7090" t="s">
        <v>26</v>
      </c>
      <c r="B7090" t="s">
        <v>211</v>
      </c>
      <c r="C7090">
        <v>153</v>
      </c>
      <c r="D7090" t="s">
        <v>744</v>
      </c>
      <c r="E7090" t="s">
        <v>105</v>
      </c>
      <c r="F7090" t="s">
        <v>282</v>
      </c>
      <c r="G7090" t="s">
        <v>282</v>
      </c>
      <c r="H7090" t="s">
        <v>493</v>
      </c>
      <c r="I7090" t="s">
        <v>194</v>
      </c>
      <c r="J7090" t="s">
        <v>103</v>
      </c>
      <c r="K7090" t="s">
        <v>95</v>
      </c>
      <c r="L7090" t="s">
        <v>103</v>
      </c>
      <c r="M7090" t="s">
        <v>103</v>
      </c>
      <c r="N7090" t="s">
        <v>195</v>
      </c>
      <c r="O7090" t="s">
        <v>66</v>
      </c>
      <c r="P7090" t="s">
        <v>118</v>
      </c>
      <c r="Q7090" t="s">
        <v>103</v>
      </c>
      <c r="R7090" t="s">
        <v>103</v>
      </c>
      <c r="S7090" t="s">
        <v>103</v>
      </c>
    </row>
    <row r="7091" spans="1:19" x14ac:dyDescent="0.3">
      <c r="A7091" t="s">
        <v>26</v>
      </c>
      <c r="B7091" t="s">
        <v>212</v>
      </c>
      <c r="C7091">
        <v>251</v>
      </c>
      <c r="D7091" t="s">
        <v>596</v>
      </c>
      <c r="E7091" t="s">
        <v>345</v>
      </c>
      <c r="F7091" t="s">
        <v>345</v>
      </c>
      <c r="G7091" t="s">
        <v>468</v>
      </c>
      <c r="H7091" t="s">
        <v>104</v>
      </c>
      <c r="I7091" t="s">
        <v>103</v>
      </c>
      <c r="J7091" t="s">
        <v>103</v>
      </c>
      <c r="K7091" t="s">
        <v>120</v>
      </c>
      <c r="L7091" t="s">
        <v>103</v>
      </c>
      <c r="M7091" t="s">
        <v>95</v>
      </c>
      <c r="N7091" t="s">
        <v>105</v>
      </c>
      <c r="O7091" t="s">
        <v>95</v>
      </c>
      <c r="P7091" t="s">
        <v>103</v>
      </c>
      <c r="Q7091" t="s">
        <v>103</v>
      </c>
      <c r="R7091" t="s">
        <v>103</v>
      </c>
      <c r="S7091" t="s">
        <v>103</v>
      </c>
    </row>
    <row r="7092" spans="1:19" x14ac:dyDescent="0.3">
      <c r="A7092" t="s">
        <v>29</v>
      </c>
      <c r="B7092" t="s">
        <v>211</v>
      </c>
      <c r="C7092">
        <v>634</v>
      </c>
      <c r="D7092" t="s">
        <v>903</v>
      </c>
      <c r="E7092" t="s">
        <v>32</v>
      </c>
      <c r="F7092" t="s">
        <v>345</v>
      </c>
      <c r="G7092" t="s">
        <v>272</v>
      </c>
      <c r="H7092" t="s">
        <v>206</v>
      </c>
      <c r="I7092" t="s">
        <v>95</v>
      </c>
      <c r="J7092" t="s">
        <v>110</v>
      </c>
      <c r="K7092" t="s">
        <v>239</v>
      </c>
      <c r="L7092" t="s">
        <v>103</v>
      </c>
      <c r="M7092" t="s">
        <v>91</v>
      </c>
      <c r="N7092" t="s">
        <v>110</v>
      </c>
      <c r="O7092" t="s">
        <v>245</v>
      </c>
      <c r="P7092" t="s">
        <v>139</v>
      </c>
      <c r="Q7092" t="s">
        <v>103</v>
      </c>
      <c r="R7092" t="s">
        <v>103</v>
      </c>
      <c r="S7092" t="s">
        <v>103</v>
      </c>
    </row>
    <row r="7093" spans="1:19" x14ac:dyDescent="0.3">
      <c r="A7093" t="s">
        <v>28</v>
      </c>
      <c r="B7093" t="s">
        <v>211</v>
      </c>
      <c r="C7093">
        <v>218</v>
      </c>
      <c r="D7093" t="s">
        <v>1154</v>
      </c>
      <c r="E7093" t="s">
        <v>232</v>
      </c>
      <c r="F7093" t="s">
        <v>103</v>
      </c>
      <c r="G7093" t="s">
        <v>112</v>
      </c>
      <c r="H7093" t="s">
        <v>615</v>
      </c>
      <c r="I7093" t="s">
        <v>282</v>
      </c>
      <c r="J7093" t="s">
        <v>97</v>
      </c>
      <c r="K7093" t="s">
        <v>118</v>
      </c>
      <c r="L7093" t="s">
        <v>122</v>
      </c>
      <c r="M7093" t="s">
        <v>103</v>
      </c>
      <c r="N7093" t="s">
        <v>118</v>
      </c>
      <c r="O7093" t="s">
        <v>239</v>
      </c>
      <c r="P7093" t="s">
        <v>103</v>
      </c>
      <c r="Q7093" t="s">
        <v>103</v>
      </c>
      <c r="R7093" t="s">
        <v>103</v>
      </c>
      <c r="S7093" t="s">
        <v>103</v>
      </c>
    </row>
    <row r="7094" spans="1:19" s="3" customFormat="1" x14ac:dyDescent="0.3">
      <c r="A7094" s="3" t="s">
        <v>28</v>
      </c>
      <c r="B7094" s="3" t="s">
        <v>212</v>
      </c>
      <c r="C7094" s="3">
        <v>16</v>
      </c>
      <c r="D7094" s="3" t="s">
        <v>153</v>
      </c>
      <c r="E7094" s="3" t="s">
        <v>594</v>
      </c>
      <c r="F7094" s="3" t="s">
        <v>103</v>
      </c>
      <c r="G7094" s="3" t="s">
        <v>103</v>
      </c>
      <c r="H7094" s="3" t="s">
        <v>466</v>
      </c>
      <c r="I7094" s="3" t="s">
        <v>103</v>
      </c>
      <c r="J7094" s="3" t="s">
        <v>103</v>
      </c>
      <c r="K7094" s="3" t="s">
        <v>103</v>
      </c>
      <c r="L7094" s="3" t="s">
        <v>103</v>
      </c>
      <c r="M7094" s="3" t="s">
        <v>103</v>
      </c>
      <c r="N7094" s="3" t="s">
        <v>103</v>
      </c>
      <c r="O7094" s="3" t="s">
        <v>103</v>
      </c>
      <c r="P7094" s="3" t="s">
        <v>103</v>
      </c>
      <c r="Q7094" s="3" t="s">
        <v>103</v>
      </c>
      <c r="R7094" s="3" t="s">
        <v>103</v>
      </c>
      <c r="S7094" s="3" t="s">
        <v>103</v>
      </c>
    </row>
    <row r="7095" spans="1:19" x14ac:dyDescent="0.3">
      <c r="A7095" t="s">
        <v>27</v>
      </c>
      <c r="B7095" t="s">
        <v>211</v>
      </c>
      <c r="C7095">
        <v>196</v>
      </c>
      <c r="D7095" t="s">
        <v>163</v>
      </c>
      <c r="E7095" t="s">
        <v>118</v>
      </c>
      <c r="F7095" t="s">
        <v>194</v>
      </c>
      <c r="G7095" t="s">
        <v>103</v>
      </c>
      <c r="H7095" t="s">
        <v>607</v>
      </c>
      <c r="I7095" t="s">
        <v>208</v>
      </c>
      <c r="J7095" t="s">
        <v>103</v>
      </c>
      <c r="K7095" t="s">
        <v>128</v>
      </c>
      <c r="L7095" t="s">
        <v>103</v>
      </c>
      <c r="M7095" t="s">
        <v>103</v>
      </c>
      <c r="N7095" t="s">
        <v>341</v>
      </c>
      <c r="O7095" t="s">
        <v>139</v>
      </c>
      <c r="P7095" t="s">
        <v>103</v>
      </c>
      <c r="Q7095" t="s">
        <v>103</v>
      </c>
      <c r="R7095" t="s">
        <v>103</v>
      </c>
      <c r="S7095" t="s">
        <v>103</v>
      </c>
    </row>
    <row r="7096" spans="1:19" s="3" customFormat="1" x14ac:dyDescent="0.3">
      <c r="A7096" s="3" t="s">
        <v>27</v>
      </c>
      <c r="B7096" s="3" t="s">
        <v>212</v>
      </c>
      <c r="C7096" s="3">
        <v>20</v>
      </c>
      <c r="D7096" s="3" t="s">
        <v>192</v>
      </c>
      <c r="E7096" s="3" t="s">
        <v>103</v>
      </c>
      <c r="F7096" s="3" t="s">
        <v>103</v>
      </c>
      <c r="G7096" s="3" t="s">
        <v>103</v>
      </c>
      <c r="H7096" s="3" t="s">
        <v>103</v>
      </c>
      <c r="I7096" s="3" t="s">
        <v>103</v>
      </c>
      <c r="J7096" s="3" t="s">
        <v>103</v>
      </c>
      <c r="K7096" s="3" t="s">
        <v>103</v>
      </c>
      <c r="L7096" s="3" t="s">
        <v>103</v>
      </c>
      <c r="M7096" s="3" t="s">
        <v>103</v>
      </c>
      <c r="N7096" s="3" t="s">
        <v>103</v>
      </c>
      <c r="O7096" s="3" t="s">
        <v>103</v>
      </c>
      <c r="P7096" s="3" t="s">
        <v>103</v>
      </c>
      <c r="Q7096" s="3" t="s">
        <v>103</v>
      </c>
      <c r="R7096" s="3" t="s">
        <v>103</v>
      </c>
      <c r="S7096" s="3" t="s">
        <v>103</v>
      </c>
    </row>
    <row r="7097" spans="1:19" x14ac:dyDescent="0.3">
      <c r="A7097" t="s">
        <v>41</v>
      </c>
      <c r="B7097" t="s">
        <v>211</v>
      </c>
      <c r="C7097">
        <v>1641</v>
      </c>
      <c r="D7097" t="s">
        <v>330</v>
      </c>
      <c r="E7097" t="s">
        <v>32</v>
      </c>
      <c r="F7097" t="s">
        <v>139</v>
      </c>
      <c r="G7097" t="s">
        <v>64</v>
      </c>
      <c r="H7097" t="s">
        <v>190</v>
      </c>
      <c r="I7097" t="s">
        <v>216</v>
      </c>
      <c r="J7097" t="s">
        <v>98</v>
      </c>
      <c r="K7097" t="s">
        <v>110</v>
      </c>
      <c r="L7097" t="s">
        <v>103</v>
      </c>
      <c r="M7097" t="s">
        <v>91</v>
      </c>
      <c r="N7097" t="s">
        <v>239</v>
      </c>
      <c r="O7097" t="s">
        <v>110</v>
      </c>
      <c r="P7097" t="s">
        <v>95</v>
      </c>
      <c r="Q7097" t="s">
        <v>103</v>
      </c>
      <c r="R7097" t="s">
        <v>103</v>
      </c>
      <c r="S7097" t="s">
        <v>103</v>
      </c>
    </row>
    <row r="7098" spans="1:19" x14ac:dyDescent="0.3">
      <c r="A7098" t="s">
        <v>41</v>
      </c>
      <c r="B7098" t="s">
        <v>212</v>
      </c>
      <c r="C7098">
        <v>287</v>
      </c>
      <c r="D7098" t="s">
        <v>994</v>
      </c>
      <c r="E7098" t="s">
        <v>345</v>
      </c>
      <c r="F7098" t="s">
        <v>345</v>
      </c>
      <c r="G7098" t="s">
        <v>468</v>
      </c>
      <c r="H7098" t="s">
        <v>517</v>
      </c>
      <c r="I7098" t="s">
        <v>103</v>
      </c>
      <c r="J7098" t="s">
        <v>103</v>
      </c>
      <c r="K7098" t="s">
        <v>120</v>
      </c>
      <c r="L7098" t="s">
        <v>103</v>
      </c>
      <c r="M7098" t="s">
        <v>120</v>
      </c>
      <c r="N7098" t="s">
        <v>245</v>
      </c>
      <c r="O7098" t="s">
        <v>120</v>
      </c>
      <c r="P7098" t="s">
        <v>103</v>
      </c>
      <c r="Q7098" t="s">
        <v>103</v>
      </c>
      <c r="R7098" t="s">
        <v>103</v>
      </c>
      <c r="S7098" t="s">
        <v>103</v>
      </c>
    </row>
    <row r="7100" spans="1:19" x14ac:dyDescent="0.3">
      <c r="A7100" t="s">
        <v>2258</v>
      </c>
    </row>
    <row r="7101" spans="1:19" x14ac:dyDescent="0.3">
      <c r="A7101" t="s">
        <v>36</v>
      </c>
      <c r="B7101" t="s">
        <v>1517</v>
      </c>
      <c r="C7101" t="s">
        <v>24</v>
      </c>
      <c r="D7101" t="s">
        <v>2238</v>
      </c>
      <c r="E7101" t="s">
        <v>2239</v>
      </c>
      <c r="F7101" t="s">
        <v>2240</v>
      </c>
      <c r="G7101" t="s">
        <v>2241</v>
      </c>
      <c r="H7101" t="s">
        <v>2242</v>
      </c>
      <c r="I7101" t="s">
        <v>2243</v>
      </c>
      <c r="J7101" t="s">
        <v>2244</v>
      </c>
      <c r="K7101" t="s">
        <v>2245</v>
      </c>
      <c r="L7101" t="s">
        <v>2246</v>
      </c>
      <c r="M7101" t="s">
        <v>2247</v>
      </c>
      <c r="N7101" t="s">
        <v>2248</v>
      </c>
      <c r="O7101" t="s">
        <v>2249</v>
      </c>
      <c r="P7101" t="s">
        <v>2250</v>
      </c>
      <c r="Q7101" t="s">
        <v>183</v>
      </c>
      <c r="R7101" t="s">
        <v>87</v>
      </c>
      <c r="S7101" t="s">
        <v>181</v>
      </c>
    </row>
    <row r="7102" spans="1:19" x14ac:dyDescent="0.3">
      <c r="A7102" t="s">
        <v>25</v>
      </c>
      <c r="B7102" t="s">
        <v>1518</v>
      </c>
      <c r="C7102">
        <v>280</v>
      </c>
      <c r="D7102" t="s">
        <v>1325</v>
      </c>
      <c r="E7102" t="s">
        <v>494</v>
      </c>
      <c r="F7102" t="s">
        <v>103</v>
      </c>
      <c r="G7102" t="s">
        <v>438</v>
      </c>
      <c r="H7102" t="s">
        <v>743</v>
      </c>
      <c r="I7102" t="s">
        <v>133</v>
      </c>
      <c r="J7102" t="s">
        <v>103</v>
      </c>
      <c r="K7102" t="s">
        <v>468</v>
      </c>
      <c r="L7102" t="s">
        <v>103</v>
      </c>
      <c r="M7102" t="s">
        <v>103</v>
      </c>
      <c r="N7102" t="s">
        <v>110</v>
      </c>
      <c r="O7102" t="s">
        <v>194</v>
      </c>
      <c r="P7102" t="s">
        <v>103</v>
      </c>
      <c r="Q7102" t="s">
        <v>103</v>
      </c>
      <c r="R7102" t="s">
        <v>103</v>
      </c>
      <c r="S7102" t="s">
        <v>103</v>
      </c>
    </row>
    <row r="7103" spans="1:19" x14ac:dyDescent="0.3">
      <c r="A7103" t="s">
        <v>25</v>
      </c>
      <c r="B7103" t="s">
        <v>1519</v>
      </c>
      <c r="C7103">
        <v>160</v>
      </c>
      <c r="D7103" t="s">
        <v>174</v>
      </c>
      <c r="E7103" t="s">
        <v>438</v>
      </c>
      <c r="F7103" t="s">
        <v>91</v>
      </c>
      <c r="G7103" t="s">
        <v>139</v>
      </c>
      <c r="H7103" t="s">
        <v>100</v>
      </c>
      <c r="I7103" t="s">
        <v>257</v>
      </c>
      <c r="J7103" t="s">
        <v>139</v>
      </c>
      <c r="K7103" t="s">
        <v>139</v>
      </c>
      <c r="L7103" t="s">
        <v>103</v>
      </c>
      <c r="M7103" t="s">
        <v>103</v>
      </c>
      <c r="N7103" t="s">
        <v>95</v>
      </c>
      <c r="O7103" t="s">
        <v>97</v>
      </c>
      <c r="P7103" t="s">
        <v>116</v>
      </c>
      <c r="Q7103" t="s">
        <v>103</v>
      </c>
      <c r="R7103" t="s">
        <v>103</v>
      </c>
      <c r="S7103" t="s">
        <v>103</v>
      </c>
    </row>
    <row r="7104" spans="1:19" x14ac:dyDescent="0.3">
      <c r="A7104" t="s">
        <v>26</v>
      </c>
      <c r="B7104" t="s">
        <v>1518</v>
      </c>
      <c r="C7104">
        <v>232</v>
      </c>
      <c r="D7104" t="s">
        <v>720</v>
      </c>
      <c r="E7104" t="s">
        <v>118</v>
      </c>
      <c r="F7104" t="s">
        <v>194</v>
      </c>
      <c r="G7104" t="s">
        <v>110</v>
      </c>
      <c r="H7104" t="s">
        <v>809</v>
      </c>
      <c r="I7104" t="s">
        <v>103</v>
      </c>
      <c r="J7104" t="s">
        <v>103</v>
      </c>
      <c r="K7104" t="s">
        <v>116</v>
      </c>
      <c r="L7104" t="s">
        <v>103</v>
      </c>
      <c r="M7104" t="s">
        <v>95</v>
      </c>
      <c r="N7104" t="s">
        <v>329</v>
      </c>
      <c r="O7104" t="s">
        <v>98</v>
      </c>
      <c r="P7104" t="s">
        <v>103</v>
      </c>
      <c r="Q7104" t="s">
        <v>103</v>
      </c>
      <c r="R7104" t="s">
        <v>103</v>
      </c>
      <c r="S7104" t="s">
        <v>103</v>
      </c>
    </row>
    <row r="7105" spans="1:19" x14ac:dyDescent="0.3">
      <c r="A7105" t="s">
        <v>26</v>
      </c>
      <c r="B7105" t="s">
        <v>1519</v>
      </c>
      <c r="C7105">
        <v>168</v>
      </c>
      <c r="D7105" t="s">
        <v>1177</v>
      </c>
      <c r="E7105" t="s">
        <v>103</v>
      </c>
      <c r="F7105" t="s">
        <v>139</v>
      </c>
      <c r="G7105" t="s">
        <v>139</v>
      </c>
      <c r="H7105" t="s">
        <v>128</v>
      </c>
      <c r="I7105" t="s">
        <v>345</v>
      </c>
      <c r="J7105" t="s">
        <v>103</v>
      </c>
      <c r="K7105" t="s">
        <v>468</v>
      </c>
      <c r="L7105" t="s">
        <v>103</v>
      </c>
      <c r="M7105" t="s">
        <v>103</v>
      </c>
      <c r="N7105" t="s">
        <v>257</v>
      </c>
      <c r="O7105" t="s">
        <v>103</v>
      </c>
      <c r="P7105" t="s">
        <v>208</v>
      </c>
      <c r="Q7105" t="s">
        <v>103</v>
      </c>
      <c r="R7105" t="s">
        <v>103</v>
      </c>
      <c r="S7105" t="s">
        <v>103</v>
      </c>
    </row>
    <row r="7106" spans="1:19" x14ac:dyDescent="0.3">
      <c r="A7106" t="s">
        <v>26</v>
      </c>
      <c r="B7106" t="s">
        <v>308</v>
      </c>
      <c r="C7106">
        <v>4</v>
      </c>
      <c r="D7106" t="s">
        <v>192</v>
      </c>
      <c r="E7106" t="s">
        <v>103</v>
      </c>
      <c r="F7106" t="s">
        <v>103</v>
      </c>
      <c r="G7106" t="s">
        <v>103</v>
      </c>
      <c r="H7106" t="s">
        <v>103</v>
      </c>
      <c r="I7106" t="s">
        <v>103</v>
      </c>
      <c r="J7106" t="s">
        <v>103</v>
      </c>
      <c r="K7106" t="s">
        <v>103</v>
      </c>
      <c r="L7106" t="s">
        <v>103</v>
      </c>
      <c r="M7106" t="s">
        <v>103</v>
      </c>
      <c r="N7106" t="s">
        <v>103</v>
      </c>
      <c r="O7106" t="s">
        <v>103</v>
      </c>
      <c r="P7106" t="s">
        <v>103</v>
      </c>
      <c r="Q7106" t="s">
        <v>103</v>
      </c>
      <c r="R7106" t="s">
        <v>103</v>
      </c>
      <c r="S7106" t="s">
        <v>103</v>
      </c>
    </row>
    <row r="7107" spans="1:19" x14ac:dyDescent="0.3">
      <c r="A7107" t="s">
        <v>29</v>
      </c>
      <c r="B7107" t="s">
        <v>1518</v>
      </c>
      <c r="C7107">
        <v>427</v>
      </c>
      <c r="D7107" t="s">
        <v>1056</v>
      </c>
      <c r="E7107" t="s">
        <v>232</v>
      </c>
      <c r="F7107" t="s">
        <v>216</v>
      </c>
      <c r="G7107" t="s">
        <v>102</v>
      </c>
      <c r="H7107" t="s">
        <v>460</v>
      </c>
      <c r="I7107" t="s">
        <v>282</v>
      </c>
      <c r="J7107" t="s">
        <v>208</v>
      </c>
      <c r="K7107" t="s">
        <v>341</v>
      </c>
      <c r="L7107" t="s">
        <v>103</v>
      </c>
      <c r="M7107" t="s">
        <v>66</v>
      </c>
      <c r="N7107" t="s">
        <v>194</v>
      </c>
      <c r="O7107" t="s">
        <v>118</v>
      </c>
      <c r="P7107" t="s">
        <v>98</v>
      </c>
      <c r="Q7107" t="s">
        <v>103</v>
      </c>
      <c r="R7107" t="s">
        <v>103</v>
      </c>
      <c r="S7107" t="s">
        <v>103</v>
      </c>
    </row>
    <row r="7108" spans="1:19" x14ac:dyDescent="0.3">
      <c r="A7108" t="s">
        <v>29</v>
      </c>
      <c r="B7108" t="s">
        <v>1519</v>
      </c>
      <c r="C7108">
        <v>200</v>
      </c>
      <c r="D7108" t="s">
        <v>869</v>
      </c>
      <c r="E7108" t="s">
        <v>257</v>
      </c>
      <c r="F7108" t="s">
        <v>103</v>
      </c>
      <c r="G7108" t="s">
        <v>118</v>
      </c>
      <c r="H7108" t="s">
        <v>217</v>
      </c>
      <c r="I7108" t="s">
        <v>103</v>
      </c>
      <c r="J7108" t="s">
        <v>103</v>
      </c>
      <c r="K7108" t="s">
        <v>120</v>
      </c>
      <c r="L7108" t="s">
        <v>103</v>
      </c>
      <c r="M7108" t="s">
        <v>103</v>
      </c>
      <c r="N7108" t="s">
        <v>216</v>
      </c>
      <c r="O7108" t="s">
        <v>103</v>
      </c>
      <c r="P7108" t="s">
        <v>120</v>
      </c>
      <c r="Q7108" t="s">
        <v>103</v>
      </c>
      <c r="R7108" t="s">
        <v>103</v>
      </c>
      <c r="S7108" t="s">
        <v>103</v>
      </c>
    </row>
    <row r="7109" spans="1:19" x14ac:dyDescent="0.3">
      <c r="A7109" t="s">
        <v>29</v>
      </c>
      <c r="B7109" t="s">
        <v>308</v>
      </c>
      <c r="C7109">
        <v>7</v>
      </c>
      <c r="D7109" t="s">
        <v>176</v>
      </c>
      <c r="E7109" t="s">
        <v>103</v>
      </c>
      <c r="F7109" t="s">
        <v>103</v>
      </c>
      <c r="G7109" t="s">
        <v>103</v>
      </c>
      <c r="H7109" t="s">
        <v>175</v>
      </c>
      <c r="I7109" t="s">
        <v>103</v>
      </c>
      <c r="J7109" t="s">
        <v>103</v>
      </c>
      <c r="K7109" t="s">
        <v>103</v>
      </c>
      <c r="L7109" t="s">
        <v>103</v>
      </c>
      <c r="M7109" t="s">
        <v>103</v>
      </c>
      <c r="N7109" t="s">
        <v>103</v>
      </c>
      <c r="O7109" t="s">
        <v>103</v>
      </c>
      <c r="P7109" t="s">
        <v>103</v>
      </c>
      <c r="Q7109" t="s">
        <v>103</v>
      </c>
      <c r="R7109" t="s">
        <v>103</v>
      </c>
      <c r="S7109" t="s">
        <v>103</v>
      </c>
    </row>
    <row r="7110" spans="1:19" x14ac:dyDescent="0.3">
      <c r="A7110" t="s">
        <v>28</v>
      </c>
      <c r="B7110" t="s">
        <v>1518</v>
      </c>
      <c r="C7110">
        <v>127</v>
      </c>
      <c r="D7110" t="s">
        <v>741</v>
      </c>
      <c r="E7110" t="s">
        <v>124</v>
      </c>
      <c r="F7110" t="s">
        <v>103</v>
      </c>
      <c r="G7110" t="s">
        <v>33</v>
      </c>
      <c r="H7110" t="s">
        <v>607</v>
      </c>
      <c r="I7110" t="s">
        <v>245</v>
      </c>
      <c r="J7110" t="s">
        <v>139</v>
      </c>
      <c r="K7110" t="s">
        <v>107</v>
      </c>
      <c r="L7110" t="s">
        <v>120</v>
      </c>
      <c r="M7110" t="s">
        <v>103</v>
      </c>
      <c r="N7110" t="s">
        <v>257</v>
      </c>
      <c r="O7110" t="s">
        <v>239</v>
      </c>
      <c r="P7110" t="s">
        <v>103</v>
      </c>
      <c r="Q7110" t="s">
        <v>103</v>
      </c>
      <c r="R7110" t="s">
        <v>103</v>
      </c>
      <c r="S7110" t="s">
        <v>103</v>
      </c>
    </row>
    <row r="7111" spans="1:19" x14ac:dyDescent="0.3">
      <c r="A7111" t="s">
        <v>28</v>
      </c>
      <c r="B7111" t="s">
        <v>1519</v>
      </c>
      <c r="C7111">
        <v>106</v>
      </c>
      <c r="D7111" t="s">
        <v>170</v>
      </c>
      <c r="E7111" t="s">
        <v>591</v>
      </c>
      <c r="F7111" t="s">
        <v>103</v>
      </c>
      <c r="G7111" t="s">
        <v>558</v>
      </c>
      <c r="H7111" t="s">
        <v>93</v>
      </c>
      <c r="I7111" t="s">
        <v>103</v>
      </c>
      <c r="J7111" t="s">
        <v>103</v>
      </c>
      <c r="K7111" t="s">
        <v>103</v>
      </c>
      <c r="L7111" t="s">
        <v>103</v>
      </c>
      <c r="M7111" t="s">
        <v>103</v>
      </c>
      <c r="N7111" t="s">
        <v>341</v>
      </c>
      <c r="O7111" t="s">
        <v>194</v>
      </c>
      <c r="P7111" t="s">
        <v>103</v>
      </c>
      <c r="Q7111" t="s">
        <v>103</v>
      </c>
      <c r="R7111" t="s">
        <v>103</v>
      </c>
      <c r="S7111" t="s">
        <v>103</v>
      </c>
    </row>
    <row r="7112" spans="1:19" x14ac:dyDescent="0.3">
      <c r="A7112" t="s">
        <v>28</v>
      </c>
      <c r="B7112" t="s">
        <v>308</v>
      </c>
      <c r="C7112">
        <v>1</v>
      </c>
      <c r="D7112" t="s">
        <v>192</v>
      </c>
      <c r="E7112" t="s">
        <v>103</v>
      </c>
      <c r="F7112" t="s">
        <v>103</v>
      </c>
      <c r="G7112" t="s">
        <v>103</v>
      </c>
      <c r="H7112" t="s">
        <v>103</v>
      </c>
      <c r="I7112" t="s">
        <v>103</v>
      </c>
      <c r="J7112" t="s">
        <v>103</v>
      </c>
      <c r="K7112" t="s">
        <v>103</v>
      </c>
      <c r="L7112" t="s">
        <v>103</v>
      </c>
      <c r="M7112" t="s">
        <v>103</v>
      </c>
      <c r="N7112" t="s">
        <v>103</v>
      </c>
      <c r="O7112" t="s">
        <v>103</v>
      </c>
      <c r="P7112" t="s">
        <v>103</v>
      </c>
      <c r="Q7112" t="s">
        <v>103</v>
      </c>
      <c r="R7112" t="s">
        <v>103</v>
      </c>
      <c r="S7112" t="s">
        <v>103</v>
      </c>
    </row>
    <row r="7113" spans="1:19" x14ac:dyDescent="0.3">
      <c r="A7113" t="s">
        <v>27</v>
      </c>
      <c r="B7113" t="s">
        <v>1518</v>
      </c>
      <c r="C7113">
        <v>124</v>
      </c>
      <c r="D7113" t="s">
        <v>1371</v>
      </c>
      <c r="E7113" t="s">
        <v>493</v>
      </c>
      <c r="F7113" t="s">
        <v>329</v>
      </c>
      <c r="G7113" t="s">
        <v>103</v>
      </c>
      <c r="H7113" t="s">
        <v>224</v>
      </c>
      <c r="I7113" t="s">
        <v>239</v>
      </c>
      <c r="J7113" t="s">
        <v>103</v>
      </c>
      <c r="K7113" t="s">
        <v>93</v>
      </c>
      <c r="L7113" t="s">
        <v>103</v>
      </c>
      <c r="M7113" t="s">
        <v>103</v>
      </c>
      <c r="N7113" t="s">
        <v>95</v>
      </c>
      <c r="O7113" t="s">
        <v>468</v>
      </c>
      <c r="P7113" t="s">
        <v>103</v>
      </c>
      <c r="Q7113" t="s">
        <v>103</v>
      </c>
      <c r="R7113" t="s">
        <v>103</v>
      </c>
      <c r="S7113" t="s">
        <v>103</v>
      </c>
    </row>
    <row r="7114" spans="1:19" x14ac:dyDescent="0.3">
      <c r="A7114" t="s">
        <v>27</v>
      </c>
      <c r="B7114" t="s">
        <v>1519</v>
      </c>
      <c r="C7114">
        <v>87</v>
      </c>
      <c r="D7114" t="s">
        <v>193</v>
      </c>
      <c r="E7114" t="s">
        <v>103</v>
      </c>
      <c r="F7114" t="s">
        <v>103</v>
      </c>
      <c r="G7114" t="s">
        <v>103</v>
      </c>
      <c r="H7114" t="s">
        <v>438</v>
      </c>
      <c r="I7114" t="s">
        <v>266</v>
      </c>
      <c r="J7114" t="s">
        <v>103</v>
      </c>
      <c r="K7114" t="s">
        <v>118</v>
      </c>
      <c r="L7114" t="s">
        <v>103</v>
      </c>
      <c r="M7114" t="s">
        <v>103</v>
      </c>
      <c r="N7114" t="s">
        <v>493</v>
      </c>
      <c r="O7114" t="s">
        <v>103</v>
      </c>
      <c r="P7114" t="s">
        <v>103</v>
      </c>
      <c r="Q7114" t="s">
        <v>103</v>
      </c>
      <c r="R7114" t="s">
        <v>103</v>
      </c>
      <c r="S7114" t="s">
        <v>103</v>
      </c>
    </row>
    <row r="7115" spans="1:19" x14ac:dyDescent="0.3">
      <c r="A7115" t="s">
        <v>27</v>
      </c>
      <c r="B7115" t="s">
        <v>308</v>
      </c>
      <c r="C7115">
        <v>5</v>
      </c>
      <c r="D7115" t="s">
        <v>192</v>
      </c>
      <c r="E7115" t="s">
        <v>103</v>
      </c>
      <c r="F7115" t="s">
        <v>103</v>
      </c>
      <c r="G7115" t="s">
        <v>103</v>
      </c>
      <c r="H7115" t="s">
        <v>103</v>
      </c>
      <c r="I7115" t="s">
        <v>103</v>
      </c>
      <c r="J7115" t="s">
        <v>103</v>
      </c>
      <c r="K7115" t="s">
        <v>103</v>
      </c>
      <c r="L7115" t="s">
        <v>103</v>
      </c>
      <c r="M7115" t="s">
        <v>103</v>
      </c>
      <c r="N7115" t="s">
        <v>103</v>
      </c>
      <c r="O7115" t="s">
        <v>103</v>
      </c>
      <c r="P7115" t="s">
        <v>103</v>
      </c>
      <c r="Q7115" t="s">
        <v>103</v>
      </c>
      <c r="R7115" t="s">
        <v>103</v>
      </c>
      <c r="S7115" t="s">
        <v>103</v>
      </c>
    </row>
    <row r="7116" spans="1:19" x14ac:dyDescent="0.3">
      <c r="A7116" t="s">
        <v>41</v>
      </c>
      <c r="B7116" t="s">
        <v>1518</v>
      </c>
      <c r="C7116">
        <v>1190</v>
      </c>
      <c r="D7116" t="s">
        <v>761</v>
      </c>
      <c r="E7116" t="s">
        <v>112</v>
      </c>
      <c r="F7116" t="s">
        <v>468</v>
      </c>
      <c r="G7116" t="s">
        <v>68</v>
      </c>
      <c r="H7116" t="s">
        <v>247</v>
      </c>
      <c r="I7116" t="s">
        <v>245</v>
      </c>
      <c r="J7116" t="s">
        <v>468</v>
      </c>
      <c r="K7116" t="s">
        <v>216</v>
      </c>
      <c r="L7116" t="s">
        <v>103</v>
      </c>
      <c r="M7116" t="s">
        <v>66</v>
      </c>
      <c r="N7116" t="s">
        <v>239</v>
      </c>
      <c r="O7116" t="s">
        <v>341</v>
      </c>
      <c r="P7116" t="s">
        <v>97</v>
      </c>
      <c r="Q7116" t="s">
        <v>103</v>
      </c>
      <c r="R7116" t="s">
        <v>103</v>
      </c>
      <c r="S7116" t="s">
        <v>103</v>
      </c>
    </row>
    <row r="7117" spans="1:19" x14ac:dyDescent="0.3">
      <c r="A7117" t="s">
        <v>41</v>
      </c>
      <c r="B7117" t="s">
        <v>1519</v>
      </c>
      <c r="C7117">
        <v>721</v>
      </c>
      <c r="D7117" t="s">
        <v>240</v>
      </c>
      <c r="E7117" t="s">
        <v>329</v>
      </c>
      <c r="F7117" t="s">
        <v>66</v>
      </c>
      <c r="G7117" t="s">
        <v>245</v>
      </c>
      <c r="H7117" t="s">
        <v>102</v>
      </c>
      <c r="I7117" t="s">
        <v>98</v>
      </c>
      <c r="J7117" t="s">
        <v>66</v>
      </c>
      <c r="K7117" t="s">
        <v>139</v>
      </c>
      <c r="L7117" t="s">
        <v>103</v>
      </c>
      <c r="M7117" t="s">
        <v>103</v>
      </c>
      <c r="N7117" t="s">
        <v>245</v>
      </c>
      <c r="O7117" t="s">
        <v>66</v>
      </c>
      <c r="P7117" t="s">
        <v>139</v>
      </c>
      <c r="Q7117" t="s">
        <v>103</v>
      </c>
      <c r="R7117" t="s">
        <v>103</v>
      </c>
      <c r="S7117" t="s">
        <v>103</v>
      </c>
    </row>
    <row r="7118" spans="1:19" x14ac:dyDescent="0.3">
      <c r="A7118" t="s">
        <v>41</v>
      </c>
      <c r="B7118" t="s">
        <v>308</v>
      </c>
      <c r="C7118">
        <v>17</v>
      </c>
      <c r="D7118" t="s">
        <v>598</v>
      </c>
      <c r="E7118" t="s">
        <v>103</v>
      </c>
      <c r="F7118" t="s">
        <v>103</v>
      </c>
      <c r="G7118" t="s">
        <v>103</v>
      </c>
      <c r="H7118" t="s">
        <v>254</v>
      </c>
      <c r="I7118" t="s">
        <v>103</v>
      </c>
      <c r="J7118" t="s">
        <v>103</v>
      </c>
      <c r="K7118" t="s">
        <v>103</v>
      </c>
      <c r="L7118" t="s">
        <v>103</v>
      </c>
      <c r="M7118" t="s">
        <v>103</v>
      </c>
      <c r="N7118" t="s">
        <v>103</v>
      </c>
      <c r="O7118" t="s">
        <v>103</v>
      </c>
      <c r="P7118" t="s">
        <v>103</v>
      </c>
      <c r="Q7118" t="s">
        <v>103</v>
      </c>
      <c r="R7118" t="s">
        <v>103</v>
      </c>
      <c r="S7118" t="s">
        <v>103</v>
      </c>
    </row>
    <row r="7120" spans="1:19" x14ac:dyDescent="0.3">
      <c r="A7120" t="s">
        <v>2259</v>
      </c>
    </row>
    <row r="7121" spans="1:7" x14ac:dyDescent="0.3">
      <c r="A7121" t="s">
        <v>36</v>
      </c>
      <c r="B7121" t="s">
        <v>24</v>
      </c>
      <c r="C7121" t="s">
        <v>348</v>
      </c>
      <c r="D7121" t="s">
        <v>58</v>
      </c>
      <c r="E7121" t="s">
        <v>181</v>
      </c>
      <c r="F7121" t="s">
        <v>59</v>
      </c>
    </row>
    <row r="7122" spans="1:7" x14ac:dyDescent="0.3">
      <c r="A7122" t="s">
        <v>25</v>
      </c>
      <c r="B7122">
        <v>963</v>
      </c>
      <c r="C7122" t="s">
        <v>103</v>
      </c>
      <c r="D7122" t="s">
        <v>1008</v>
      </c>
      <c r="E7122" t="s">
        <v>282</v>
      </c>
      <c r="F7122" t="s">
        <v>1317</v>
      </c>
    </row>
    <row r="7123" spans="1:7" x14ac:dyDescent="0.3">
      <c r="A7123" t="s">
        <v>26</v>
      </c>
      <c r="B7123">
        <v>1118</v>
      </c>
      <c r="C7123" t="s">
        <v>91</v>
      </c>
      <c r="D7123" t="s">
        <v>906</v>
      </c>
      <c r="E7123" t="s">
        <v>103</v>
      </c>
      <c r="F7123" t="s">
        <v>1037</v>
      </c>
    </row>
    <row r="7124" spans="1:7" x14ac:dyDescent="0.3">
      <c r="A7124" t="s">
        <v>29</v>
      </c>
      <c r="B7124">
        <v>1329</v>
      </c>
      <c r="C7124" t="s">
        <v>91</v>
      </c>
      <c r="D7124" t="s">
        <v>365</v>
      </c>
      <c r="E7124" t="s">
        <v>103</v>
      </c>
      <c r="F7124" t="s">
        <v>304</v>
      </c>
    </row>
    <row r="7125" spans="1:7" x14ac:dyDescent="0.3">
      <c r="A7125" t="s">
        <v>28</v>
      </c>
      <c r="B7125">
        <v>605</v>
      </c>
      <c r="C7125" t="s">
        <v>120</v>
      </c>
      <c r="D7125" t="s">
        <v>226</v>
      </c>
      <c r="E7125" t="s">
        <v>66</v>
      </c>
      <c r="F7125" t="s">
        <v>1039</v>
      </c>
    </row>
    <row r="7126" spans="1:7" x14ac:dyDescent="0.3">
      <c r="A7126" t="s">
        <v>27</v>
      </c>
      <c r="B7126">
        <v>572</v>
      </c>
      <c r="C7126" t="s">
        <v>66</v>
      </c>
      <c r="D7126" t="s">
        <v>361</v>
      </c>
      <c r="E7126" t="s">
        <v>103</v>
      </c>
      <c r="F7126" t="s">
        <v>1064</v>
      </c>
    </row>
    <row r="7127" spans="1:7" x14ac:dyDescent="0.3">
      <c r="A7127" t="s">
        <v>41</v>
      </c>
      <c r="B7127">
        <v>4587</v>
      </c>
      <c r="C7127" t="s">
        <v>91</v>
      </c>
      <c r="D7127" t="s">
        <v>1196</v>
      </c>
      <c r="E7127" t="s">
        <v>66</v>
      </c>
      <c r="F7127" t="s">
        <v>831</v>
      </c>
    </row>
    <row r="7129" spans="1:7" x14ac:dyDescent="0.3">
      <c r="A7129" t="s">
        <v>2260</v>
      </c>
    </row>
    <row r="7130" spans="1:7" x14ac:dyDescent="0.3">
      <c r="A7130" t="s">
        <v>36</v>
      </c>
      <c r="B7130" t="s">
        <v>2172</v>
      </c>
      <c r="C7130" t="s">
        <v>24</v>
      </c>
      <c r="D7130" t="s">
        <v>58</v>
      </c>
      <c r="E7130" t="s">
        <v>59</v>
      </c>
      <c r="F7130" t="s">
        <v>348</v>
      </c>
      <c r="G7130" t="s">
        <v>181</v>
      </c>
    </row>
    <row r="7131" spans="1:7" x14ac:dyDescent="0.3">
      <c r="A7131" t="s">
        <v>25</v>
      </c>
      <c r="B7131" t="s">
        <v>844</v>
      </c>
      <c r="C7131">
        <v>38</v>
      </c>
      <c r="D7131" t="s">
        <v>410</v>
      </c>
      <c r="E7131" t="s">
        <v>411</v>
      </c>
      <c r="F7131" t="s">
        <v>103</v>
      </c>
      <c r="G7131" t="s">
        <v>103</v>
      </c>
    </row>
    <row r="7132" spans="1:7" x14ac:dyDescent="0.3">
      <c r="A7132" t="s">
        <v>25</v>
      </c>
      <c r="B7132" t="s">
        <v>2173</v>
      </c>
      <c r="C7132">
        <v>46</v>
      </c>
      <c r="D7132" t="s">
        <v>390</v>
      </c>
      <c r="E7132" t="s">
        <v>389</v>
      </c>
      <c r="F7132" t="s">
        <v>103</v>
      </c>
      <c r="G7132" t="s">
        <v>103</v>
      </c>
    </row>
    <row r="7133" spans="1:7" s="3" customFormat="1" x14ac:dyDescent="0.3">
      <c r="A7133" s="3" t="s">
        <v>25</v>
      </c>
      <c r="B7133" s="3" t="s">
        <v>2174</v>
      </c>
      <c r="C7133" s="3">
        <v>19</v>
      </c>
      <c r="D7133" s="3" t="s">
        <v>658</v>
      </c>
      <c r="E7133" s="3" t="s">
        <v>204</v>
      </c>
      <c r="F7133" s="3" t="s">
        <v>103</v>
      </c>
      <c r="G7133" s="3" t="s">
        <v>103</v>
      </c>
    </row>
    <row r="7134" spans="1:7" s="3" customFormat="1" x14ac:dyDescent="0.3">
      <c r="A7134" s="3" t="s">
        <v>25</v>
      </c>
      <c r="B7134" s="3" t="s">
        <v>2175</v>
      </c>
      <c r="C7134" s="3">
        <v>25</v>
      </c>
      <c r="D7134" s="3" t="s">
        <v>1021</v>
      </c>
      <c r="E7134" s="3" t="s">
        <v>1295</v>
      </c>
      <c r="F7134" s="3" t="s">
        <v>103</v>
      </c>
      <c r="G7134" s="3" t="s">
        <v>103</v>
      </c>
    </row>
    <row r="7135" spans="1:7" x14ac:dyDescent="0.3">
      <c r="A7135" t="s">
        <v>25</v>
      </c>
      <c r="B7135" t="s">
        <v>2176</v>
      </c>
      <c r="C7135">
        <v>180</v>
      </c>
      <c r="D7135" t="s">
        <v>1218</v>
      </c>
      <c r="E7135" t="s">
        <v>378</v>
      </c>
      <c r="F7135" t="s">
        <v>66</v>
      </c>
      <c r="G7135" t="s">
        <v>103</v>
      </c>
    </row>
    <row r="7136" spans="1:7" x14ac:dyDescent="0.3">
      <c r="A7136" t="s">
        <v>25</v>
      </c>
      <c r="B7136" t="s">
        <v>2177</v>
      </c>
      <c r="C7136">
        <v>140</v>
      </c>
      <c r="D7136" t="s">
        <v>115</v>
      </c>
      <c r="E7136" t="s">
        <v>740</v>
      </c>
      <c r="F7136" t="s">
        <v>103</v>
      </c>
      <c r="G7136" t="s">
        <v>103</v>
      </c>
    </row>
    <row r="7137" spans="1:7" x14ac:dyDescent="0.3">
      <c r="A7137" t="s">
        <v>25</v>
      </c>
      <c r="B7137" t="s">
        <v>2178</v>
      </c>
      <c r="C7137">
        <v>154</v>
      </c>
      <c r="D7137" t="s">
        <v>460</v>
      </c>
      <c r="E7137" t="s">
        <v>738</v>
      </c>
      <c r="F7137" t="s">
        <v>103</v>
      </c>
      <c r="G7137" t="s">
        <v>468</v>
      </c>
    </row>
    <row r="7138" spans="1:7" x14ac:dyDescent="0.3">
      <c r="A7138" t="s">
        <v>25</v>
      </c>
      <c r="B7138" t="s">
        <v>846</v>
      </c>
      <c r="C7138">
        <v>46</v>
      </c>
      <c r="D7138" t="s">
        <v>1057</v>
      </c>
      <c r="E7138" t="s">
        <v>430</v>
      </c>
      <c r="F7138" t="s">
        <v>103</v>
      </c>
      <c r="G7138" t="s">
        <v>188</v>
      </c>
    </row>
    <row r="7139" spans="1:7" x14ac:dyDescent="0.3">
      <c r="A7139" t="s">
        <v>25</v>
      </c>
      <c r="B7139" t="s">
        <v>2179</v>
      </c>
      <c r="C7139">
        <v>43</v>
      </c>
      <c r="D7139" t="s">
        <v>121</v>
      </c>
      <c r="E7139" t="s">
        <v>822</v>
      </c>
      <c r="F7139" t="s">
        <v>103</v>
      </c>
      <c r="G7139" t="s">
        <v>103</v>
      </c>
    </row>
    <row r="7140" spans="1:7" s="3" customFormat="1" x14ac:dyDescent="0.3">
      <c r="A7140" s="3" t="s">
        <v>25</v>
      </c>
      <c r="B7140" s="3" t="s">
        <v>2180</v>
      </c>
      <c r="C7140" s="3">
        <v>22</v>
      </c>
      <c r="D7140" s="3" t="s">
        <v>1197</v>
      </c>
      <c r="E7140" s="3" t="s">
        <v>366</v>
      </c>
      <c r="F7140" s="3" t="s">
        <v>103</v>
      </c>
      <c r="G7140" s="3" t="s">
        <v>103</v>
      </c>
    </row>
    <row r="7141" spans="1:7" s="3" customFormat="1" x14ac:dyDescent="0.3">
      <c r="A7141" s="3" t="s">
        <v>25</v>
      </c>
      <c r="B7141" s="3" t="s">
        <v>2181</v>
      </c>
      <c r="C7141" s="3">
        <v>22</v>
      </c>
      <c r="D7141" s="3" t="s">
        <v>694</v>
      </c>
      <c r="E7141" s="3" t="s">
        <v>225</v>
      </c>
      <c r="F7141" s="3" t="s">
        <v>103</v>
      </c>
      <c r="G7141" s="3" t="s">
        <v>205</v>
      </c>
    </row>
    <row r="7142" spans="1:7" x14ac:dyDescent="0.3">
      <c r="A7142" t="s">
        <v>25</v>
      </c>
      <c r="B7142" t="s">
        <v>2182</v>
      </c>
      <c r="C7142">
        <v>96</v>
      </c>
      <c r="D7142" t="s">
        <v>359</v>
      </c>
      <c r="E7142" t="s">
        <v>928</v>
      </c>
      <c r="F7142" t="s">
        <v>103</v>
      </c>
      <c r="G7142" t="s">
        <v>532</v>
      </c>
    </row>
    <row r="7143" spans="1:7" x14ac:dyDescent="0.3">
      <c r="A7143" t="s">
        <v>25</v>
      </c>
      <c r="B7143" t="s">
        <v>2183</v>
      </c>
      <c r="C7143">
        <v>73</v>
      </c>
      <c r="D7143" t="s">
        <v>48</v>
      </c>
      <c r="E7143" t="s">
        <v>47</v>
      </c>
      <c r="F7143" t="s">
        <v>103</v>
      </c>
      <c r="G7143" t="s">
        <v>103</v>
      </c>
    </row>
    <row r="7144" spans="1:7" x14ac:dyDescent="0.3">
      <c r="A7144" t="s">
        <v>25</v>
      </c>
      <c r="B7144" t="s">
        <v>2184</v>
      </c>
      <c r="C7144">
        <v>59</v>
      </c>
      <c r="D7144" t="s">
        <v>485</v>
      </c>
      <c r="E7144" t="s">
        <v>739</v>
      </c>
      <c r="F7144" t="s">
        <v>103</v>
      </c>
      <c r="G7144" t="s">
        <v>103</v>
      </c>
    </row>
    <row r="7145" spans="1:7" x14ac:dyDescent="0.3">
      <c r="A7145" t="s">
        <v>26</v>
      </c>
      <c r="B7145" t="s">
        <v>844</v>
      </c>
      <c r="C7145">
        <v>49</v>
      </c>
      <c r="D7145" t="s">
        <v>1034</v>
      </c>
      <c r="E7145" t="s">
        <v>1212</v>
      </c>
      <c r="F7145" t="s">
        <v>103</v>
      </c>
      <c r="G7145" t="s">
        <v>103</v>
      </c>
    </row>
    <row r="7146" spans="1:7" x14ac:dyDescent="0.3">
      <c r="A7146" t="s">
        <v>26</v>
      </c>
      <c r="B7146" t="s">
        <v>2173</v>
      </c>
      <c r="C7146">
        <v>62</v>
      </c>
      <c r="D7146" t="s">
        <v>353</v>
      </c>
      <c r="E7146" t="s">
        <v>354</v>
      </c>
      <c r="F7146" t="s">
        <v>103</v>
      </c>
      <c r="G7146" t="s">
        <v>103</v>
      </c>
    </row>
    <row r="7147" spans="1:7" s="3" customFormat="1" x14ac:dyDescent="0.3">
      <c r="A7147" s="3" t="s">
        <v>26</v>
      </c>
      <c r="B7147" s="3" t="s">
        <v>2174</v>
      </c>
      <c r="C7147" s="3">
        <v>30</v>
      </c>
      <c r="D7147" s="3" t="s">
        <v>484</v>
      </c>
      <c r="E7147" s="3" t="s">
        <v>2108</v>
      </c>
      <c r="F7147" s="3" t="s">
        <v>103</v>
      </c>
      <c r="G7147" s="3" t="s">
        <v>103</v>
      </c>
    </row>
    <row r="7148" spans="1:7" s="3" customFormat="1" x14ac:dyDescent="0.3">
      <c r="A7148" s="3" t="s">
        <v>26</v>
      </c>
      <c r="B7148" s="3" t="s">
        <v>2175</v>
      </c>
      <c r="C7148" s="3">
        <v>25</v>
      </c>
      <c r="D7148" s="3" t="s">
        <v>443</v>
      </c>
      <c r="E7148" s="3" t="s">
        <v>354</v>
      </c>
      <c r="F7148" s="3" t="s">
        <v>216</v>
      </c>
      <c r="G7148" s="3" t="s">
        <v>103</v>
      </c>
    </row>
    <row r="7149" spans="1:7" x14ac:dyDescent="0.3">
      <c r="A7149" t="s">
        <v>26</v>
      </c>
      <c r="B7149" t="s">
        <v>2176</v>
      </c>
      <c r="C7149">
        <v>202</v>
      </c>
      <c r="D7149" t="s">
        <v>670</v>
      </c>
      <c r="E7149" t="s">
        <v>1679</v>
      </c>
      <c r="F7149" t="s">
        <v>103</v>
      </c>
      <c r="G7149" t="s">
        <v>103</v>
      </c>
    </row>
    <row r="7150" spans="1:7" x14ac:dyDescent="0.3">
      <c r="A7150" t="s">
        <v>26</v>
      </c>
      <c r="B7150" t="s">
        <v>2177</v>
      </c>
      <c r="C7150">
        <v>153</v>
      </c>
      <c r="D7150" t="s">
        <v>918</v>
      </c>
      <c r="E7150" t="s">
        <v>613</v>
      </c>
      <c r="F7150" t="s">
        <v>103</v>
      </c>
      <c r="G7150" t="s">
        <v>103</v>
      </c>
    </row>
    <row r="7151" spans="1:7" x14ac:dyDescent="0.3">
      <c r="A7151" t="s">
        <v>26</v>
      </c>
      <c r="B7151" t="s">
        <v>2178</v>
      </c>
      <c r="C7151">
        <v>141</v>
      </c>
      <c r="D7151" t="s">
        <v>438</v>
      </c>
      <c r="E7151" t="s">
        <v>840</v>
      </c>
      <c r="F7151" t="s">
        <v>103</v>
      </c>
      <c r="G7151" t="s">
        <v>103</v>
      </c>
    </row>
    <row r="7152" spans="1:7" x14ac:dyDescent="0.3">
      <c r="A7152" t="s">
        <v>26</v>
      </c>
      <c r="B7152" t="s">
        <v>846</v>
      </c>
      <c r="C7152">
        <v>59</v>
      </c>
      <c r="D7152" t="s">
        <v>572</v>
      </c>
      <c r="E7152" t="s">
        <v>1250</v>
      </c>
      <c r="F7152" t="s">
        <v>103</v>
      </c>
      <c r="G7152" t="s">
        <v>103</v>
      </c>
    </row>
    <row r="7153" spans="1:7" x14ac:dyDescent="0.3">
      <c r="A7153" t="s">
        <v>26</v>
      </c>
      <c r="B7153" t="s">
        <v>2179</v>
      </c>
      <c r="C7153">
        <v>54</v>
      </c>
      <c r="D7153" t="s">
        <v>694</v>
      </c>
      <c r="E7153" t="s">
        <v>1401</v>
      </c>
      <c r="F7153" t="s">
        <v>103</v>
      </c>
      <c r="G7153" t="s">
        <v>103</v>
      </c>
    </row>
    <row r="7154" spans="1:7" s="3" customFormat="1" x14ac:dyDescent="0.3">
      <c r="A7154" s="3" t="s">
        <v>26</v>
      </c>
      <c r="B7154" s="3" t="s">
        <v>2180</v>
      </c>
      <c r="C7154" s="3">
        <v>27</v>
      </c>
      <c r="D7154" s="3" t="s">
        <v>648</v>
      </c>
      <c r="E7154" s="3" t="s">
        <v>1377</v>
      </c>
      <c r="F7154" s="3" t="s">
        <v>103</v>
      </c>
      <c r="G7154" s="3" t="s">
        <v>103</v>
      </c>
    </row>
    <row r="7155" spans="1:7" x14ac:dyDescent="0.3">
      <c r="A7155" t="s">
        <v>26</v>
      </c>
      <c r="B7155" t="s">
        <v>2181</v>
      </c>
      <c r="C7155">
        <v>46</v>
      </c>
      <c r="D7155" t="s">
        <v>366</v>
      </c>
      <c r="E7155" t="s">
        <v>1197</v>
      </c>
      <c r="F7155" t="s">
        <v>103</v>
      </c>
      <c r="G7155" t="s">
        <v>103</v>
      </c>
    </row>
    <row r="7156" spans="1:7" x14ac:dyDescent="0.3">
      <c r="A7156" t="s">
        <v>26</v>
      </c>
      <c r="B7156" t="s">
        <v>2182</v>
      </c>
      <c r="C7156">
        <v>142</v>
      </c>
      <c r="D7156" t="s">
        <v>1024</v>
      </c>
      <c r="E7156" t="s">
        <v>1546</v>
      </c>
      <c r="F7156" t="s">
        <v>122</v>
      </c>
      <c r="G7156" t="s">
        <v>103</v>
      </c>
    </row>
    <row r="7157" spans="1:7" x14ac:dyDescent="0.3">
      <c r="A7157" t="s">
        <v>26</v>
      </c>
      <c r="B7157" t="s">
        <v>2183</v>
      </c>
      <c r="C7157">
        <v>82</v>
      </c>
      <c r="D7157" t="s">
        <v>1023</v>
      </c>
      <c r="E7157" t="s">
        <v>1052</v>
      </c>
      <c r="F7157" t="s">
        <v>103</v>
      </c>
      <c r="G7157" t="s">
        <v>103</v>
      </c>
    </row>
    <row r="7158" spans="1:7" x14ac:dyDescent="0.3">
      <c r="A7158" t="s">
        <v>26</v>
      </c>
      <c r="B7158" t="s">
        <v>2184</v>
      </c>
      <c r="C7158">
        <v>46</v>
      </c>
      <c r="D7158" t="s">
        <v>169</v>
      </c>
      <c r="E7158" t="s">
        <v>170</v>
      </c>
      <c r="F7158" t="s">
        <v>103</v>
      </c>
      <c r="G7158" t="s">
        <v>103</v>
      </c>
    </row>
    <row r="7159" spans="1:7" x14ac:dyDescent="0.3">
      <c r="A7159" t="s">
        <v>29</v>
      </c>
      <c r="B7159" t="s">
        <v>844</v>
      </c>
      <c r="C7159">
        <v>72</v>
      </c>
      <c r="D7159" t="s">
        <v>696</v>
      </c>
      <c r="E7159" t="s">
        <v>770</v>
      </c>
      <c r="F7159" t="s">
        <v>103</v>
      </c>
      <c r="G7159" t="s">
        <v>103</v>
      </c>
    </row>
    <row r="7160" spans="1:7" x14ac:dyDescent="0.3">
      <c r="A7160" t="s">
        <v>29</v>
      </c>
      <c r="B7160" t="s">
        <v>2173</v>
      </c>
      <c r="C7160">
        <v>96</v>
      </c>
      <c r="D7160" t="s">
        <v>643</v>
      </c>
      <c r="E7160" t="s">
        <v>1328</v>
      </c>
      <c r="F7160" t="s">
        <v>345</v>
      </c>
      <c r="G7160" t="s">
        <v>103</v>
      </c>
    </row>
    <row r="7161" spans="1:7" x14ac:dyDescent="0.3">
      <c r="A7161" t="s">
        <v>29</v>
      </c>
      <c r="B7161" t="s">
        <v>2174</v>
      </c>
      <c r="C7161">
        <v>52</v>
      </c>
      <c r="D7161" t="s">
        <v>1196</v>
      </c>
      <c r="E7161" t="s">
        <v>1283</v>
      </c>
      <c r="F7161" t="s">
        <v>103</v>
      </c>
      <c r="G7161" t="s">
        <v>103</v>
      </c>
    </row>
    <row r="7162" spans="1:7" x14ac:dyDescent="0.3">
      <c r="A7162" t="s">
        <v>29</v>
      </c>
      <c r="B7162" t="s">
        <v>2175</v>
      </c>
      <c r="C7162">
        <v>37</v>
      </c>
      <c r="D7162" t="s">
        <v>1009</v>
      </c>
      <c r="E7162" t="s">
        <v>1202</v>
      </c>
      <c r="F7162" t="s">
        <v>103</v>
      </c>
      <c r="G7162" t="s">
        <v>103</v>
      </c>
    </row>
    <row r="7163" spans="1:7" x14ac:dyDescent="0.3">
      <c r="A7163" t="s">
        <v>29</v>
      </c>
      <c r="B7163" t="s">
        <v>2176</v>
      </c>
      <c r="C7163">
        <v>280</v>
      </c>
      <c r="D7163" t="s">
        <v>393</v>
      </c>
      <c r="E7163" t="s">
        <v>394</v>
      </c>
      <c r="F7163" t="s">
        <v>103</v>
      </c>
      <c r="G7163" t="s">
        <v>103</v>
      </c>
    </row>
    <row r="7164" spans="1:7" x14ac:dyDescent="0.3">
      <c r="A7164" t="s">
        <v>29</v>
      </c>
      <c r="B7164" t="s">
        <v>2177</v>
      </c>
      <c r="C7164">
        <v>152</v>
      </c>
      <c r="D7164" t="s">
        <v>131</v>
      </c>
      <c r="E7164" t="s">
        <v>984</v>
      </c>
      <c r="F7164" t="s">
        <v>103</v>
      </c>
      <c r="G7164" t="s">
        <v>103</v>
      </c>
    </row>
    <row r="7165" spans="1:7" x14ac:dyDescent="0.3">
      <c r="A7165" t="s">
        <v>29</v>
      </c>
      <c r="B7165" t="s">
        <v>2178</v>
      </c>
      <c r="C7165">
        <v>165</v>
      </c>
      <c r="D7165" t="s">
        <v>591</v>
      </c>
      <c r="E7165" t="s">
        <v>287</v>
      </c>
      <c r="F7165" t="s">
        <v>103</v>
      </c>
      <c r="G7165" t="s">
        <v>103</v>
      </c>
    </row>
    <row r="7166" spans="1:7" x14ac:dyDescent="0.3">
      <c r="A7166" t="s">
        <v>29</v>
      </c>
      <c r="B7166" t="s">
        <v>846</v>
      </c>
      <c r="C7166">
        <v>88</v>
      </c>
      <c r="D7166" t="s">
        <v>1329</v>
      </c>
      <c r="E7166" t="s">
        <v>436</v>
      </c>
      <c r="F7166" t="s">
        <v>103</v>
      </c>
      <c r="G7166" t="s">
        <v>103</v>
      </c>
    </row>
    <row r="7167" spans="1:7" x14ac:dyDescent="0.3">
      <c r="A7167" t="s">
        <v>29</v>
      </c>
      <c r="B7167" t="s">
        <v>2179</v>
      </c>
      <c r="C7167">
        <v>63</v>
      </c>
      <c r="D7167" t="s">
        <v>1238</v>
      </c>
      <c r="E7167" t="s">
        <v>1425</v>
      </c>
      <c r="F7167" t="s">
        <v>103</v>
      </c>
      <c r="G7167" t="s">
        <v>103</v>
      </c>
    </row>
    <row r="7168" spans="1:7" x14ac:dyDescent="0.3">
      <c r="A7168" t="s">
        <v>29</v>
      </c>
      <c r="B7168" t="s">
        <v>2180</v>
      </c>
      <c r="C7168">
        <v>39</v>
      </c>
      <c r="D7168" t="s">
        <v>1006</v>
      </c>
      <c r="E7168" t="s">
        <v>1089</v>
      </c>
      <c r="F7168" t="s">
        <v>103</v>
      </c>
      <c r="G7168" t="s">
        <v>103</v>
      </c>
    </row>
    <row r="7169" spans="1:7" x14ac:dyDescent="0.3">
      <c r="A7169" t="s">
        <v>29</v>
      </c>
      <c r="B7169" t="s">
        <v>2181</v>
      </c>
      <c r="C7169">
        <v>31</v>
      </c>
      <c r="D7169" t="s">
        <v>294</v>
      </c>
      <c r="E7169" t="s">
        <v>293</v>
      </c>
      <c r="F7169" t="s">
        <v>103</v>
      </c>
      <c r="G7169" t="s">
        <v>103</v>
      </c>
    </row>
    <row r="7170" spans="1:7" x14ac:dyDescent="0.3">
      <c r="A7170" t="s">
        <v>29</v>
      </c>
      <c r="B7170" t="s">
        <v>2182</v>
      </c>
      <c r="C7170">
        <v>122</v>
      </c>
      <c r="D7170" t="s">
        <v>487</v>
      </c>
      <c r="E7170" t="s">
        <v>1236</v>
      </c>
      <c r="F7170" t="s">
        <v>103</v>
      </c>
      <c r="G7170" t="s">
        <v>103</v>
      </c>
    </row>
    <row r="7171" spans="1:7" x14ac:dyDescent="0.3">
      <c r="A7171" t="s">
        <v>29</v>
      </c>
      <c r="B7171" t="s">
        <v>2183</v>
      </c>
      <c r="C7171">
        <v>76</v>
      </c>
      <c r="D7171" t="s">
        <v>698</v>
      </c>
      <c r="E7171" t="s">
        <v>263</v>
      </c>
      <c r="F7171" t="s">
        <v>103</v>
      </c>
      <c r="G7171" t="s">
        <v>103</v>
      </c>
    </row>
    <row r="7172" spans="1:7" x14ac:dyDescent="0.3">
      <c r="A7172" t="s">
        <v>29</v>
      </c>
      <c r="B7172" t="s">
        <v>2184</v>
      </c>
      <c r="C7172">
        <v>55</v>
      </c>
      <c r="D7172" t="s">
        <v>544</v>
      </c>
      <c r="E7172" t="s">
        <v>246</v>
      </c>
      <c r="F7172" t="s">
        <v>103</v>
      </c>
      <c r="G7172" t="s">
        <v>103</v>
      </c>
    </row>
    <row r="7173" spans="1:7" x14ac:dyDescent="0.3">
      <c r="A7173" t="s">
        <v>29</v>
      </c>
      <c r="B7173" t="s">
        <v>308</v>
      </c>
      <c r="C7173">
        <v>1</v>
      </c>
      <c r="D7173" t="s">
        <v>192</v>
      </c>
      <c r="E7173" t="s">
        <v>103</v>
      </c>
      <c r="F7173" t="s">
        <v>103</v>
      </c>
      <c r="G7173" t="s">
        <v>103</v>
      </c>
    </row>
    <row r="7174" spans="1:7" s="3" customFormat="1" x14ac:dyDescent="0.3">
      <c r="A7174" s="3" t="s">
        <v>28</v>
      </c>
      <c r="B7174" s="3" t="s">
        <v>844</v>
      </c>
      <c r="C7174" s="3">
        <v>28</v>
      </c>
      <c r="D7174" s="3" t="s">
        <v>802</v>
      </c>
      <c r="E7174" s="3" t="s">
        <v>669</v>
      </c>
      <c r="F7174" s="3" t="s">
        <v>103</v>
      </c>
      <c r="G7174" s="3" t="s">
        <v>103</v>
      </c>
    </row>
    <row r="7175" spans="1:7" s="3" customFormat="1" x14ac:dyDescent="0.3">
      <c r="A7175" s="3" t="s">
        <v>28</v>
      </c>
      <c r="B7175" s="3" t="s">
        <v>2173</v>
      </c>
      <c r="C7175" s="3">
        <v>23</v>
      </c>
      <c r="D7175" s="3" t="s">
        <v>184</v>
      </c>
      <c r="E7175" s="3" t="s">
        <v>137</v>
      </c>
      <c r="F7175" s="3" t="s">
        <v>103</v>
      </c>
      <c r="G7175" s="3" t="s">
        <v>103</v>
      </c>
    </row>
    <row r="7176" spans="1:7" s="3" customFormat="1" x14ac:dyDescent="0.3">
      <c r="A7176" s="3" t="s">
        <v>28</v>
      </c>
      <c r="B7176" s="3" t="s">
        <v>2174</v>
      </c>
      <c r="C7176" s="3">
        <v>22</v>
      </c>
      <c r="D7176" s="3" t="s">
        <v>165</v>
      </c>
      <c r="E7176" s="3" t="s">
        <v>164</v>
      </c>
      <c r="F7176" s="3" t="s">
        <v>103</v>
      </c>
      <c r="G7176" s="3" t="s">
        <v>103</v>
      </c>
    </row>
    <row r="7177" spans="1:7" s="3" customFormat="1" x14ac:dyDescent="0.3">
      <c r="A7177" s="3" t="s">
        <v>28</v>
      </c>
      <c r="B7177" s="3" t="s">
        <v>2175</v>
      </c>
      <c r="C7177" s="3">
        <v>22</v>
      </c>
      <c r="D7177" s="3" t="s">
        <v>134</v>
      </c>
      <c r="E7177" s="3" t="s">
        <v>948</v>
      </c>
      <c r="F7177" s="3" t="s">
        <v>103</v>
      </c>
      <c r="G7177" s="3" t="s">
        <v>103</v>
      </c>
    </row>
    <row r="7178" spans="1:7" x14ac:dyDescent="0.3">
      <c r="A7178" t="s">
        <v>28</v>
      </c>
      <c r="B7178" t="s">
        <v>2176</v>
      </c>
      <c r="C7178">
        <v>100</v>
      </c>
      <c r="D7178" t="s">
        <v>943</v>
      </c>
      <c r="E7178" t="s">
        <v>943</v>
      </c>
      <c r="F7178" t="s">
        <v>266</v>
      </c>
      <c r="G7178" t="s">
        <v>95</v>
      </c>
    </row>
    <row r="7179" spans="1:7" x14ac:dyDescent="0.3">
      <c r="A7179" t="s">
        <v>28</v>
      </c>
      <c r="B7179" t="s">
        <v>2177</v>
      </c>
      <c r="C7179">
        <v>85</v>
      </c>
      <c r="D7179" t="s">
        <v>56</v>
      </c>
      <c r="E7179" t="s">
        <v>1381</v>
      </c>
      <c r="F7179" t="s">
        <v>103</v>
      </c>
      <c r="G7179" t="s">
        <v>139</v>
      </c>
    </row>
    <row r="7180" spans="1:7" x14ac:dyDescent="0.3">
      <c r="A7180" t="s">
        <v>28</v>
      </c>
      <c r="B7180" t="s">
        <v>2178</v>
      </c>
      <c r="C7180">
        <v>83</v>
      </c>
      <c r="D7180" t="s">
        <v>157</v>
      </c>
      <c r="E7180" t="s">
        <v>158</v>
      </c>
      <c r="F7180" t="s">
        <v>103</v>
      </c>
      <c r="G7180" t="s">
        <v>103</v>
      </c>
    </row>
    <row r="7181" spans="1:7" x14ac:dyDescent="0.3">
      <c r="A7181" t="s">
        <v>28</v>
      </c>
      <c r="B7181" t="s">
        <v>846</v>
      </c>
      <c r="C7181">
        <v>32</v>
      </c>
      <c r="D7181" t="s">
        <v>378</v>
      </c>
      <c r="E7181" t="s">
        <v>816</v>
      </c>
      <c r="F7181" t="s">
        <v>103</v>
      </c>
      <c r="G7181" t="s">
        <v>103</v>
      </c>
    </row>
    <row r="7182" spans="1:7" s="3" customFormat="1" x14ac:dyDescent="0.3">
      <c r="A7182" s="3" t="s">
        <v>28</v>
      </c>
      <c r="B7182" s="3" t="s">
        <v>2179</v>
      </c>
      <c r="C7182" s="3">
        <v>30</v>
      </c>
      <c r="D7182" s="3" t="s">
        <v>1062</v>
      </c>
      <c r="E7182" s="3" t="s">
        <v>480</v>
      </c>
      <c r="F7182" s="3" t="s">
        <v>103</v>
      </c>
      <c r="G7182" s="3" t="s">
        <v>103</v>
      </c>
    </row>
    <row r="7183" spans="1:7" s="3" customFormat="1" x14ac:dyDescent="0.3">
      <c r="A7183" s="3" t="s">
        <v>28</v>
      </c>
      <c r="B7183" s="3" t="s">
        <v>2180</v>
      </c>
      <c r="C7183" s="3">
        <v>11</v>
      </c>
      <c r="D7183" s="3" t="s">
        <v>1579</v>
      </c>
      <c r="E7183" s="3" t="s">
        <v>1257</v>
      </c>
      <c r="F7183" s="3" t="s">
        <v>103</v>
      </c>
      <c r="G7183" s="3" t="s">
        <v>103</v>
      </c>
    </row>
    <row r="7184" spans="1:7" s="3" customFormat="1" x14ac:dyDescent="0.3">
      <c r="A7184" s="3" t="s">
        <v>28</v>
      </c>
      <c r="B7184" s="3" t="s">
        <v>2181</v>
      </c>
      <c r="C7184" s="3">
        <v>30</v>
      </c>
      <c r="D7184" s="3" t="s">
        <v>1133</v>
      </c>
      <c r="E7184" s="3" t="s">
        <v>604</v>
      </c>
      <c r="F7184" s="3" t="s">
        <v>103</v>
      </c>
      <c r="G7184" s="3" t="s">
        <v>103</v>
      </c>
    </row>
    <row r="7185" spans="1:7" x14ac:dyDescent="0.3">
      <c r="A7185" t="s">
        <v>28</v>
      </c>
      <c r="B7185" t="s">
        <v>2182</v>
      </c>
      <c r="C7185">
        <v>63</v>
      </c>
      <c r="D7185" t="s">
        <v>358</v>
      </c>
      <c r="E7185" t="s">
        <v>770</v>
      </c>
      <c r="F7185" t="s">
        <v>208</v>
      </c>
      <c r="G7185" t="s">
        <v>103</v>
      </c>
    </row>
    <row r="7186" spans="1:7" x14ac:dyDescent="0.3">
      <c r="A7186" t="s">
        <v>28</v>
      </c>
      <c r="B7186" t="s">
        <v>2183</v>
      </c>
      <c r="C7186">
        <v>49</v>
      </c>
      <c r="D7186" t="s">
        <v>1200</v>
      </c>
      <c r="E7186" t="s">
        <v>235</v>
      </c>
      <c r="F7186" t="s">
        <v>103</v>
      </c>
      <c r="G7186" t="s">
        <v>103</v>
      </c>
    </row>
    <row r="7187" spans="1:7" s="3" customFormat="1" x14ac:dyDescent="0.3">
      <c r="A7187" s="3" t="s">
        <v>28</v>
      </c>
      <c r="B7187" s="3" t="s">
        <v>2184</v>
      </c>
      <c r="C7187" s="3">
        <v>27</v>
      </c>
      <c r="D7187" s="3" t="s">
        <v>516</v>
      </c>
      <c r="E7187" s="3" t="s">
        <v>766</v>
      </c>
      <c r="F7187" s="3" t="s">
        <v>103</v>
      </c>
      <c r="G7187" s="3" t="s">
        <v>103</v>
      </c>
    </row>
    <row r="7188" spans="1:7" s="3" customFormat="1" x14ac:dyDescent="0.3">
      <c r="A7188" s="3" t="s">
        <v>27</v>
      </c>
      <c r="B7188" s="3" t="s">
        <v>844</v>
      </c>
      <c r="C7188" s="3">
        <v>21</v>
      </c>
      <c r="D7188" s="3" t="s">
        <v>791</v>
      </c>
      <c r="E7188" s="3" t="s">
        <v>873</v>
      </c>
      <c r="F7188" s="3" t="s">
        <v>103</v>
      </c>
      <c r="G7188" s="3" t="s">
        <v>103</v>
      </c>
    </row>
    <row r="7189" spans="1:7" s="3" customFormat="1" x14ac:dyDescent="0.3">
      <c r="A7189" s="3" t="s">
        <v>27</v>
      </c>
      <c r="B7189" s="3" t="s">
        <v>2173</v>
      </c>
      <c r="C7189" s="3">
        <v>18</v>
      </c>
      <c r="D7189" s="3" t="s">
        <v>1418</v>
      </c>
      <c r="E7189" s="3" t="s">
        <v>540</v>
      </c>
      <c r="F7189" s="3" t="s">
        <v>103</v>
      </c>
      <c r="G7189" s="3" t="s">
        <v>103</v>
      </c>
    </row>
    <row r="7190" spans="1:7" s="3" customFormat="1" x14ac:dyDescent="0.3">
      <c r="A7190" s="3" t="s">
        <v>27</v>
      </c>
      <c r="B7190" s="3" t="s">
        <v>2174</v>
      </c>
      <c r="C7190" s="3">
        <v>10</v>
      </c>
      <c r="D7190" s="3" t="s">
        <v>385</v>
      </c>
      <c r="E7190" s="3" t="s">
        <v>384</v>
      </c>
      <c r="F7190" s="3" t="s">
        <v>103</v>
      </c>
      <c r="G7190" s="3" t="s">
        <v>103</v>
      </c>
    </row>
    <row r="7191" spans="1:7" s="3" customFormat="1" x14ac:dyDescent="0.3">
      <c r="A7191" s="3" t="s">
        <v>27</v>
      </c>
      <c r="B7191" s="3" t="s">
        <v>2175</v>
      </c>
      <c r="C7191" s="3">
        <v>15</v>
      </c>
      <c r="D7191" s="3" t="s">
        <v>296</v>
      </c>
      <c r="E7191" s="3" t="s">
        <v>295</v>
      </c>
      <c r="F7191" s="3" t="s">
        <v>103</v>
      </c>
      <c r="G7191" s="3" t="s">
        <v>103</v>
      </c>
    </row>
    <row r="7192" spans="1:7" x14ac:dyDescent="0.3">
      <c r="A7192" t="s">
        <v>27</v>
      </c>
      <c r="B7192" t="s">
        <v>2176</v>
      </c>
      <c r="C7192">
        <v>88</v>
      </c>
      <c r="D7192" t="s">
        <v>943</v>
      </c>
      <c r="E7192" t="s">
        <v>527</v>
      </c>
      <c r="F7192" t="s">
        <v>103</v>
      </c>
      <c r="G7192" t="s">
        <v>103</v>
      </c>
    </row>
    <row r="7193" spans="1:7" x14ac:dyDescent="0.3">
      <c r="A7193" t="s">
        <v>27</v>
      </c>
      <c r="B7193" t="s">
        <v>2177</v>
      </c>
      <c r="C7193">
        <v>77</v>
      </c>
      <c r="D7193" t="s">
        <v>684</v>
      </c>
      <c r="E7193" t="s">
        <v>1136</v>
      </c>
      <c r="F7193" t="s">
        <v>103</v>
      </c>
      <c r="G7193" t="s">
        <v>103</v>
      </c>
    </row>
    <row r="7194" spans="1:7" x14ac:dyDescent="0.3">
      <c r="A7194" t="s">
        <v>27</v>
      </c>
      <c r="B7194" t="s">
        <v>2178</v>
      </c>
      <c r="C7194">
        <v>124</v>
      </c>
      <c r="D7194" t="s">
        <v>262</v>
      </c>
      <c r="E7194" t="s">
        <v>280</v>
      </c>
      <c r="F7194" t="s">
        <v>66</v>
      </c>
      <c r="G7194" t="s">
        <v>103</v>
      </c>
    </row>
    <row r="7195" spans="1:7" s="3" customFormat="1" x14ac:dyDescent="0.3">
      <c r="A7195" s="3" t="s">
        <v>27</v>
      </c>
      <c r="B7195" s="3" t="s">
        <v>846</v>
      </c>
      <c r="C7195" s="3">
        <v>28</v>
      </c>
      <c r="D7195" s="3" t="s">
        <v>939</v>
      </c>
      <c r="E7195" s="3" t="s">
        <v>500</v>
      </c>
      <c r="F7195" s="3" t="s">
        <v>103</v>
      </c>
      <c r="G7195" s="3" t="s">
        <v>103</v>
      </c>
    </row>
    <row r="7196" spans="1:7" s="3" customFormat="1" x14ac:dyDescent="0.3">
      <c r="A7196" s="3" t="s">
        <v>27</v>
      </c>
      <c r="B7196" s="3" t="s">
        <v>2179</v>
      </c>
      <c r="C7196" s="3">
        <v>17</v>
      </c>
      <c r="D7196" s="3" t="s">
        <v>986</v>
      </c>
      <c r="E7196" s="3" t="s">
        <v>236</v>
      </c>
      <c r="F7196" s="3" t="s">
        <v>103</v>
      </c>
      <c r="G7196" s="3" t="s">
        <v>103</v>
      </c>
    </row>
    <row r="7197" spans="1:7" s="3" customFormat="1" x14ac:dyDescent="0.3">
      <c r="A7197" s="3" t="s">
        <v>27</v>
      </c>
      <c r="B7197" s="3" t="s">
        <v>2180</v>
      </c>
      <c r="C7197" s="3">
        <v>10</v>
      </c>
      <c r="D7197" s="3" t="s">
        <v>1295</v>
      </c>
      <c r="E7197" s="3" t="s">
        <v>1021</v>
      </c>
      <c r="F7197" s="3" t="s">
        <v>103</v>
      </c>
      <c r="G7197" s="3" t="s">
        <v>103</v>
      </c>
    </row>
    <row r="7198" spans="1:7" s="3" customFormat="1" x14ac:dyDescent="0.3">
      <c r="A7198" s="3" t="s">
        <v>27</v>
      </c>
      <c r="B7198" s="3" t="s">
        <v>2181</v>
      </c>
      <c r="C7198" s="3">
        <v>19</v>
      </c>
      <c r="D7198" s="3" t="s">
        <v>163</v>
      </c>
      <c r="E7198" s="3" t="s">
        <v>162</v>
      </c>
      <c r="F7198" s="3" t="s">
        <v>103</v>
      </c>
      <c r="G7198" s="3" t="s">
        <v>103</v>
      </c>
    </row>
    <row r="7199" spans="1:7" x14ac:dyDescent="0.3">
      <c r="A7199" t="s">
        <v>27</v>
      </c>
      <c r="B7199" t="s">
        <v>2182</v>
      </c>
      <c r="C7199">
        <v>53</v>
      </c>
      <c r="D7199" t="s">
        <v>866</v>
      </c>
      <c r="E7199" t="s">
        <v>938</v>
      </c>
      <c r="F7199" t="s">
        <v>245</v>
      </c>
      <c r="G7199" t="s">
        <v>103</v>
      </c>
    </row>
    <row r="7200" spans="1:7" x14ac:dyDescent="0.3">
      <c r="A7200" t="s">
        <v>27</v>
      </c>
      <c r="B7200" t="s">
        <v>2183</v>
      </c>
      <c r="C7200">
        <v>43</v>
      </c>
      <c r="D7200" t="s">
        <v>699</v>
      </c>
      <c r="E7200" t="s">
        <v>784</v>
      </c>
      <c r="F7200" t="s">
        <v>103</v>
      </c>
      <c r="G7200" t="s">
        <v>103</v>
      </c>
    </row>
    <row r="7201" spans="1:7" x14ac:dyDescent="0.3">
      <c r="A7201" t="s">
        <v>27</v>
      </c>
      <c r="B7201" t="s">
        <v>2184</v>
      </c>
      <c r="C7201">
        <v>49</v>
      </c>
      <c r="D7201" t="s">
        <v>157</v>
      </c>
      <c r="E7201" t="s">
        <v>158</v>
      </c>
      <c r="F7201" t="s">
        <v>103</v>
      </c>
      <c r="G7201" t="s">
        <v>103</v>
      </c>
    </row>
    <row r="7202" spans="1:7" x14ac:dyDescent="0.3">
      <c r="A7202" t="s">
        <v>41</v>
      </c>
      <c r="B7202" t="s">
        <v>844</v>
      </c>
      <c r="C7202">
        <v>208</v>
      </c>
      <c r="D7202" t="s">
        <v>1426</v>
      </c>
      <c r="E7202" t="s">
        <v>546</v>
      </c>
      <c r="F7202" t="s">
        <v>103</v>
      </c>
      <c r="G7202" t="s">
        <v>103</v>
      </c>
    </row>
    <row r="7203" spans="1:7" x14ac:dyDescent="0.3">
      <c r="A7203" t="s">
        <v>41</v>
      </c>
      <c r="B7203" t="s">
        <v>2173</v>
      </c>
      <c r="C7203">
        <v>245</v>
      </c>
      <c r="D7203" t="s">
        <v>797</v>
      </c>
      <c r="E7203" t="s">
        <v>1401</v>
      </c>
      <c r="F7203" t="s">
        <v>95</v>
      </c>
      <c r="G7203" t="s">
        <v>103</v>
      </c>
    </row>
    <row r="7204" spans="1:7" x14ac:dyDescent="0.3">
      <c r="A7204" t="s">
        <v>41</v>
      </c>
      <c r="B7204" t="s">
        <v>2174</v>
      </c>
      <c r="C7204">
        <v>133</v>
      </c>
      <c r="D7204" t="s">
        <v>382</v>
      </c>
      <c r="E7204" t="s">
        <v>381</v>
      </c>
      <c r="F7204" t="s">
        <v>103</v>
      </c>
      <c r="G7204" t="s">
        <v>103</v>
      </c>
    </row>
    <row r="7205" spans="1:7" x14ac:dyDescent="0.3">
      <c r="A7205" t="s">
        <v>41</v>
      </c>
      <c r="B7205" t="s">
        <v>2175</v>
      </c>
      <c r="C7205">
        <v>124</v>
      </c>
      <c r="D7205" t="s">
        <v>1032</v>
      </c>
      <c r="E7205" t="s">
        <v>500</v>
      </c>
      <c r="F7205" t="s">
        <v>116</v>
      </c>
      <c r="G7205" t="s">
        <v>103</v>
      </c>
    </row>
    <row r="7206" spans="1:7" x14ac:dyDescent="0.3">
      <c r="A7206" t="s">
        <v>41</v>
      </c>
      <c r="B7206" t="s">
        <v>2176</v>
      </c>
      <c r="C7206">
        <v>850</v>
      </c>
      <c r="D7206" t="s">
        <v>919</v>
      </c>
      <c r="E7206" t="s">
        <v>1044</v>
      </c>
      <c r="F7206" t="s">
        <v>91</v>
      </c>
      <c r="G7206" t="s">
        <v>103</v>
      </c>
    </row>
    <row r="7207" spans="1:7" x14ac:dyDescent="0.3">
      <c r="A7207" t="s">
        <v>41</v>
      </c>
      <c r="B7207" t="s">
        <v>2177</v>
      </c>
      <c r="C7207">
        <v>607</v>
      </c>
      <c r="D7207" t="s">
        <v>162</v>
      </c>
      <c r="E7207" t="s">
        <v>984</v>
      </c>
      <c r="F7207" t="s">
        <v>103</v>
      </c>
      <c r="G7207" t="s">
        <v>103</v>
      </c>
    </row>
    <row r="7208" spans="1:7" x14ac:dyDescent="0.3">
      <c r="A7208" t="s">
        <v>41</v>
      </c>
      <c r="B7208" t="s">
        <v>2178</v>
      </c>
      <c r="C7208">
        <v>667</v>
      </c>
      <c r="D7208" t="s">
        <v>281</v>
      </c>
      <c r="E7208" t="s">
        <v>859</v>
      </c>
      <c r="F7208" t="s">
        <v>103</v>
      </c>
      <c r="G7208" t="s">
        <v>116</v>
      </c>
    </row>
    <row r="7209" spans="1:7" x14ac:dyDescent="0.3">
      <c r="A7209" t="s">
        <v>41</v>
      </c>
      <c r="B7209" t="s">
        <v>846</v>
      </c>
      <c r="C7209">
        <v>253</v>
      </c>
      <c r="D7209" t="s">
        <v>665</v>
      </c>
      <c r="E7209" t="s">
        <v>1066</v>
      </c>
      <c r="F7209" t="s">
        <v>103</v>
      </c>
      <c r="G7209" t="s">
        <v>120</v>
      </c>
    </row>
    <row r="7210" spans="1:7" x14ac:dyDescent="0.3">
      <c r="A7210" t="s">
        <v>41</v>
      </c>
      <c r="B7210" t="s">
        <v>2179</v>
      </c>
      <c r="C7210">
        <v>207</v>
      </c>
      <c r="D7210" t="s">
        <v>359</v>
      </c>
      <c r="E7210" t="s">
        <v>798</v>
      </c>
      <c r="F7210" t="s">
        <v>103</v>
      </c>
      <c r="G7210" t="s">
        <v>103</v>
      </c>
    </row>
    <row r="7211" spans="1:7" x14ac:dyDescent="0.3">
      <c r="A7211" t="s">
        <v>41</v>
      </c>
      <c r="B7211" t="s">
        <v>2180</v>
      </c>
      <c r="C7211">
        <v>109</v>
      </c>
      <c r="D7211" t="s">
        <v>134</v>
      </c>
      <c r="E7211" t="s">
        <v>948</v>
      </c>
      <c r="F7211" t="s">
        <v>103</v>
      </c>
      <c r="G7211" t="s">
        <v>103</v>
      </c>
    </row>
    <row r="7212" spans="1:7" x14ac:dyDescent="0.3">
      <c r="A7212" t="s">
        <v>41</v>
      </c>
      <c r="B7212" t="s">
        <v>2181</v>
      </c>
      <c r="C7212">
        <v>148</v>
      </c>
      <c r="D7212" t="s">
        <v>300</v>
      </c>
      <c r="E7212" t="s">
        <v>373</v>
      </c>
      <c r="F7212" t="s">
        <v>103</v>
      </c>
      <c r="G7212" t="s">
        <v>468</v>
      </c>
    </row>
    <row r="7213" spans="1:7" x14ac:dyDescent="0.3">
      <c r="A7213" t="s">
        <v>41</v>
      </c>
      <c r="B7213" t="s">
        <v>2182</v>
      </c>
      <c r="C7213">
        <v>476</v>
      </c>
      <c r="D7213" t="s">
        <v>1461</v>
      </c>
      <c r="E7213" t="s">
        <v>225</v>
      </c>
      <c r="F7213" t="s">
        <v>116</v>
      </c>
      <c r="G7213" t="s">
        <v>139</v>
      </c>
    </row>
    <row r="7214" spans="1:7" x14ac:dyDescent="0.3">
      <c r="A7214" t="s">
        <v>41</v>
      </c>
      <c r="B7214" t="s">
        <v>2183</v>
      </c>
      <c r="C7214">
        <v>323</v>
      </c>
      <c r="D7214" t="s">
        <v>556</v>
      </c>
      <c r="E7214" t="s">
        <v>1282</v>
      </c>
      <c r="F7214" t="s">
        <v>103</v>
      </c>
      <c r="G7214" t="s">
        <v>103</v>
      </c>
    </row>
    <row r="7215" spans="1:7" x14ac:dyDescent="0.3">
      <c r="A7215" t="s">
        <v>41</v>
      </c>
      <c r="B7215" t="s">
        <v>2184</v>
      </c>
      <c r="C7215">
        <v>236</v>
      </c>
      <c r="D7215" t="s">
        <v>150</v>
      </c>
      <c r="E7215" t="s">
        <v>151</v>
      </c>
      <c r="F7215" t="s">
        <v>103</v>
      </c>
      <c r="G7215" t="s">
        <v>103</v>
      </c>
    </row>
    <row r="7216" spans="1:7" x14ac:dyDescent="0.3">
      <c r="A7216" t="s">
        <v>41</v>
      </c>
      <c r="B7216" t="s">
        <v>308</v>
      </c>
      <c r="C7216">
        <v>1</v>
      </c>
      <c r="D7216" t="s">
        <v>192</v>
      </c>
      <c r="E7216" t="s">
        <v>103</v>
      </c>
      <c r="F7216" t="s">
        <v>103</v>
      </c>
      <c r="G7216" t="s">
        <v>103</v>
      </c>
    </row>
    <row r="7218" spans="1:7" x14ac:dyDescent="0.3">
      <c r="A7218" t="s">
        <v>2261</v>
      </c>
    </row>
    <row r="7219" spans="1:7" x14ac:dyDescent="0.3">
      <c r="A7219" t="s">
        <v>36</v>
      </c>
      <c r="B7219" t="s">
        <v>2187</v>
      </c>
      <c r="C7219" t="s">
        <v>24</v>
      </c>
      <c r="D7219" t="s">
        <v>58</v>
      </c>
      <c r="E7219" t="s">
        <v>181</v>
      </c>
      <c r="F7219" t="s">
        <v>59</v>
      </c>
      <c r="G7219" t="s">
        <v>348</v>
      </c>
    </row>
    <row r="7220" spans="1:7" x14ac:dyDescent="0.3">
      <c r="A7220" t="s">
        <v>25</v>
      </c>
      <c r="B7220" t="s">
        <v>2188</v>
      </c>
      <c r="C7220">
        <v>187</v>
      </c>
      <c r="D7220" t="s">
        <v>488</v>
      </c>
      <c r="E7220" t="s">
        <v>216</v>
      </c>
      <c r="F7220" t="s">
        <v>774</v>
      </c>
      <c r="G7220" t="s">
        <v>103</v>
      </c>
    </row>
    <row r="7221" spans="1:7" x14ac:dyDescent="0.3">
      <c r="A7221" t="s">
        <v>25</v>
      </c>
      <c r="B7221" t="s">
        <v>2189</v>
      </c>
      <c r="C7221">
        <v>736</v>
      </c>
      <c r="D7221" t="s">
        <v>656</v>
      </c>
      <c r="E7221" t="s">
        <v>98</v>
      </c>
      <c r="F7221" t="s">
        <v>857</v>
      </c>
      <c r="G7221" t="s">
        <v>103</v>
      </c>
    </row>
    <row r="7222" spans="1:7" x14ac:dyDescent="0.3">
      <c r="A7222" t="s">
        <v>25</v>
      </c>
      <c r="B7222" t="s">
        <v>308</v>
      </c>
      <c r="C7222">
        <v>40</v>
      </c>
      <c r="D7222" t="s">
        <v>900</v>
      </c>
      <c r="E7222" t="s">
        <v>103</v>
      </c>
      <c r="F7222" t="s">
        <v>899</v>
      </c>
      <c r="G7222" t="s">
        <v>103</v>
      </c>
    </row>
    <row r="7223" spans="1:7" x14ac:dyDescent="0.3">
      <c r="A7223" t="s">
        <v>26</v>
      </c>
      <c r="B7223" t="s">
        <v>2188</v>
      </c>
      <c r="C7223">
        <v>130</v>
      </c>
      <c r="D7223" t="s">
        <v>60</v>
      </c>
      <c r="E7223" t="s">
        <v>103</v>
      </c>
      <c r="F7223" t="s">
        <v>624</v>
      </c>
      <c r="G7223" t="s">
        <v>122</v>
      </c>
    </row>
    <row r="7224" spans="1:7" x14ac:dyDescent="0.3">
      <c r="A7224" t="s">
        <v>26</v>
      </c>
      <c r="B7224" t="s">
        <v>2189</v>
      </c>
      <c r="C7224">
        <v>941</v>
      </c>
      <c r="D7224" t="s">
        <v>376</v>
      </c>
      <c r="E7224" t="s">
        <v>103</v>
      </c>
      <c r="F7224" t="s">
        <v>377</v>
      </c>
      <c r="G7224" t="s">
        <v>103</v>
      </c>
    </row>
    <row r="7225" spans="1:7" x14ac:dyDescent="0.3">
      <c r="A7225" t="s">
        <v>26</v>
      </c>
      <c r="B7225" t="s">
        <v>308</v>
      </c>
      <c r="C7225">
        <v>47</v>
      </c>
      <c r="D7225" t="s">
        <v>230</v>
      </c>
      <c r="E7225" t="s">
        <v>103</v>
      </c>
      <c r="F7225" t="s">
        <v>1137</v>
      </c>
      <c r="G7225" t="s">
        <v>103</v>
      </c>
    </row>
    <row r="7226" spans="1:7" x14ac:dyDescent="0.3">
      <c r="A7226" t="s">
        <v>29</v>
      </c>
      <c r="B7226" t="s">
        <v>2188</v>
      </c>
      <c r="C7226">
        <v>242</v>
      </c>
      <c r="D7226" t="s">
        <v>119</v>
      </c>
      <c r="E7226" t="s">
        <v>103</v>
      </c>
      <c r="F7226" t="s">
        <v>974</v>
      </c>
      <c r="G7226" t="s">
        <v>103</v>
      </c>
    </row>
    <row r="7227" spans="1:7" x14ac:dyDescent="0.3">
      <c r="A7227" t="s">
        <v>29</v>
      </c>
      <c r="B7227" t="s">
        <v>2189</v>
      </c>
      <c r="C7227">
        <v>1007</v>
      </c>
      <c r="D7227" t="s">
        <v>1202</v>
      </c>
      <c r="E7227" t="s">
        <v>103</v>
      </c>
      <c r="F7227" t="s">
        <v>948</v>
      </c>
      <c r="G7227" t="s">
        <v>91</v>
      </c>
    </row>
    <row r="7228" spans="1:7" x14ac:dyDescent="0.3">
      <c r="A7228" t="s">
        <v>29</v>
      </c>
      <c r="B7228" t="s">
        <v>308</v>
      </c>
      <c r="C7228">
        <v>80</v>
      </c>
      <c r="D7228" t="s">
        <v>1070</v>
      </c>
      <c r="E7228" t="s">
        <v>103</v>
      </c>
      <c r="F7228" t="s">
        <v>364</v>
      </c>
      <c r="G7228" t="s">
        <v>103</v>
      </c>
    </row>
    <row r="7229" spans="1:7" x14ac:dyDescent="0.3">
      <c r="A7229" t="s">
        <v>28</v>
      </c>
      <c r="B7229" t="s">
        <v>2188</v>
      </c>
      <c r="C7229">
        <v>127</v>
      </c>
      <c r="D7229" t="s">
        <v>247</v>
      </c>
      <c r="E7229" t="s">
        <v>103</v>
      </c>
      <c r="F7229" t="s">
        <v>1310</v>
      </c>
      <c r="G7229" t="s">
        <v>103</v>
      </c>
    </row>
    <row r="7230" spans="1:7" x14ac:dyDescent="0.3">
      <c r="A7230" t="s">
        <v>28</v>
      </c>
      <c r="B7230" t="s">
        <v>2189</v>
      </c>
      <c r="C7230">
        <v>425</v>
      </c>
      <c r="D7230" t="s">
        <v>424</v>
      </c>
      <c r="E7230" t="s">
        <v>103</v>
      </c>
      <c r="F7230" t="s">
        <v>838</v>
      </c>
      <c r="G7230" t="s">
        <v>98</v>
      </c>
    </row>
    <row r="7231" spans="1:7" x14ac:dyDescent="0.3">
      <c r="A7231" t="s">
        <v>28</v>
      </c>
      <c r="B7231" t="s">
        <v>308</v>
      </c>
      <c r="C7231">
        <v>53</v>
      </c>
      <c r="D7231" t="s">
        <v>826</v>
      </c>
      <c r="E7231" t="s">
        <v>64</v>
      </c>
      <c r="F7231" t="s">
        <v>583</v>
      </c>
      <c r="G7231" t="s">
        <v>103</v>
      </c>
    </row>
    <row r="7232" spans="1:7" x14ac:dyDescent="0.3">
      <c r="A7232" t="s">
        <v>27</v>
      </c>
      <c r="B7232" t="s">
        <v>2188</v>
      </c>
      <c r="C7232">
        <v>103</v>
      </c>
      <c r="D7232" t="s">
        <v>693</v>
      </c>
      <c r="E7232" t="s">
        <v>103</v>
      </c>
      <c r="F7232" t="s">
        <v>828</v>
      </c>
      <c r="G7232" t="s">
        <v>116</v>
      </c>
    </row>
    <row r="7233" spans="1:7" x14ac:dyDescent="0.3">
      <c r="A7233" t="s">
        <v>27</v>
      </c>
      <c r="B7233" t="s">
        <v>2189</v>
      </c>
      <c r="C7233">
        <v>438</v>
      </c>
      <c r="D7233" t="s">
        <v>1054</v>
      </c>
      <c r="E7233" t="s">
        <v>103</v>
      </c>
      <c r="F7233" t="s">
        <v>1292</v>
      </c>
      <c r="G7233" t="s">
        <v>66</v>
      </c>
    </row>
    <row r="7234" spans="1:7" x14ac:dyDescent="0.3">
      <c r="A7234" t="s">
        <v>27</v>
      </c>
      <c r="B7234" t="s">
        <v>308</v>
      </c>
      <c r="C7234">
        <v>31</v>
      </c>
      <c r="D7234" t="s">
        <v>1462</v>
      </c>
      <c r="E7234" t="s">
        <v>103</v>
      </c>
      <c r="F7234" t="s">
        <v>373</v>
      </c>
      <c r="G7234" t="s">
        <v>103</v>
      </c>
    </row>
    <row r="7235" spans="1:7" x14ac:dyDescent="0.3">
      <c r="A7235" t="s">
        <v>41</v>
      </c>
      <c r="B7235" t="s">
        <v>2188</v>
      </c>
      <c r="C7235">
        <v>789</v>
      </c>
      <c r="D7235" t="s">
        <v>136</v>
      </c>
      <c r="E7235" t="s">
        <v>116</v>
      </c>
      <c r="F7235" t="s">
        <v>241</v>
      </c>
      <c r="G7235" t="s">
        <v>91</v>
      </c>
    </row>
    <row r="7236" spans="1:7" x14ac:dyDescent="0.3">
      <c r="A7236" t="s">
        <v>41</v>
      </c>
      <c r="B7236" t="s">
        <v>2189</v>
      </c>
      <c r="C7236">
        <v>3547</v>
      </c>
      <c r="D7236" t="s">
        <v>393</v>
      </c>
      <c r="E7236" t="s">
        <v>66</v>
      </c>
      <c r="F7236" t="s">
        <v>1252</v>
      </c>
      <c r="G7236" t="s">
        <v>91</v>
      </c>
    </row>
    <row r="7237" spans="1:7" x14ac:dyDescent="0.3">
      <c r="A7237" t="s">
        <v>41</v>
      </c>
      <c r="B7237" t="s">
        <v>308</v>
      </c>
      <c r="C7237">
        <v>251</v>
      </c>
      <c r="D7237" t="s">
        <v>458</v>
      </c>
      <c r="E7237" t="s">
        <v>91</v>
      </c>
      <c r="F7237" t="s">
        <v>1321</v>
      </c>
      <c r="G7237" t="s">
        <v>103</v>
      </c>
    </row>
    <row r="7239" spans="1:7" x14ac:dyDescent="0.3">
      <c r="A7239" t="s">
        <v>2262</v>
      </c>
    </row>
    <row r="7240" spans="1:7" x14ac:dyDescent="0.3">
      <c r="A7240" t="s">
        <v>36</v>
      </c>
      <c r="B7240" t="s">
        <v>197</v>
      </c>
      <c r="C7240" t="s">
        <v>24</v>
      </c>
      <c r="D7240" t="s">
        <v>58</v>
      </c>
      <c r="E7240" t="s">
        <v>59</v>
      </c>
      <c r="F7240" t="s">
        <v>348</v>
      </c>
      <c r="G7240" t="s">
        <v>181</v>
      </c>
    </row>
    <row r="7241" spans="1:7" x14ac:dyDescent="0.3">
      <c r="A7241" t="s">
        <v>25</v>
      </c>
      <c r="B7241" t="s">
        <v>198</v>
      </c>
      <c r="C7241">
        <v>243</v>
      </c>
      <c r="D7241" t="s">
        <v>1227</v>
      </c>
      <c r="E7241" t="s">
        <v>1354</v>
      </c>
      <c r="F7241" t="s">
        <v>103</v>
      </c>
      <c r="G7241" t="s">
        <v>103</v>
      </c>
    </row>
    <row r="7242" spans="1:7" x14ac:dyDescent="0.3">
      <c r="A7242" t="s">
        <v>25</v>
      </c>
      <c r="B7242" t="s">
        <v>199</v>
      </c>
      <c r="C7242">
        <v>720</v>
      </c>
      <c r="D7242" t="s">
        <v>582</v>
      </c>
      <c r="E7242" t="s">
        <v>1373</v>
      </c>
      <c r="F7242" t="s">
        <v>103</v>
      </c>
      <c r="G7242" t="s">
        <v>194</v>
      </c>
    </row>
    <row r="7243" spans="1:7" x14ac:dyDescent="0.3">
      <c r="A7243" t="s">
        <v>26</v>
      </c>
      <c r="B7243" t="s">
        <v>198</v>
      </c>
      <c r="C7243">
        <v>86</v>
      </c>
      <c r="D7243" t="s">
        <v>138</v>
      </c>
      <c r="E7243" t="s">
        <v>2263</v>
      </c>
      <c r="F7243" t="s">
        <v>103</v>
      </c>
      <c r="G7243" t="s">
        <v>103</v>
      </c>
    </row>
    <row r="7244" spans="1:7" x14ac:dyDescent="0.3">
      <c r="A7244" t="s">
        <v>26</v>
      </c>
      <c r="B7244" t="s">
        <v>199</v>
      </c>
      <c r="C7244">
        <v>1032</v>
      </c>
      <c r="D7244" t="s">
        <v>674</v>
      </c>
      <c r="E7244" t="s">
        <v>905</v>
      </c>
      <c r="F7244" t="s">
        <v>91</v>
      </c>
      <c r="G7244" t="s">
        <v>103</v>
      </c>
    </row>
    <row r="7245" spans="1:7" x14ac:dyDescent="0.3">
      <c r="A7245" t="s">
        <v>29</v>
      </c>
      <c r="B7245" t="s">
        <v>198</v>
      </c>
      <c r="C7245">
        <v>436</v>
      </c>
      <c r="D7245" t="s">
        <v>352</v>
      </c>
      <c r="E7245" t="s">
        <v>1058</v>
      </c>
      <c r="F7245" t="s">
        <v>103</v>
      </c>
      <c r="G7245" t="s">
        <v>103</v>
      </c>
    </row>
    <row r="7246" spans="1:7" x14ac:dyDescent="0.3">
      <c r="A7246" t="s">
        <v>29</v>
      </c>
      <c r="B7246" t="s">
        <v>199</v>
      </c>
      <c r="C7246">
        <v>893</v>
      </c>
      <c r="D7246" t="s">
        <v>489</v>
      </c>
      <c r="E7246" t="s">
        <v>1133</v>
      </c>
      <c r="F7246" t="s">
        <v>91</v>
      </c>
      <c r="G7246" t="s">
        <v>103</v>
      </c>
    </row>
    <row r="7247" spans="1:7" x14ac:dyDescent="0.3">
      <c r="A7247" t="s">
        <v>28</v>
      </c>
      <c r="B7247" t="s">
        <v>198</v>
      </c>
      <c r="C7247">
        <v>164</v>
      </c>
      <c r="D7247" t="s">
        <v>454</v>
      </c>
      <c r="E7247" t="s">
        <v>1240</v>
      </c>
      <c r="F7247" t="s">
        <v>282</v>
      </c>
      <c r="G7247" t="s">
        <v>103</v>
      </c>
    </row>
    <row r="7248" spans="1:7" x14ac:dyDescent="0.3">
      <c r="A7248" t="s">
        <v>28</v>
      </c>
      <c r="B7248" t="s">
        <v>199</v>
      </c>
      <c r="C7248">
        <v>441</v>
      </c>
      <c r="D7248" t="s">
        <v>540</v>
      </c>
      <c r="E7248" t="s">
        <v>1059</v>
      </c>
      <c r="F7248" t="s">
        <v>97</v>
      </c>
      <c r="G7248" t="s">
        <v>116</v>
      </c>
    </row>
    <row r="7249" spans="1:7" x14ac:dyDescent="0.3">
      <c r="A7249" t="s">
        <v>27</v>
      </c>
      <c r="B7249" t="s">
        <v>198</v>
      </c>
      <c r="C7249">
        <v>271</v>
      </c>
      <c r="D7249" t="s">
        <v>1559</v>
      </c>
      <c r="E7249" t="s">
        <v>1404</v>
      </c>
      <c r="F7249" t="s">
        <v>103</v>
      </c>
      <c r="G7249" t="s">
        <v>103</v>
      </c>
    </row>
    <row r="7250" spans="1:7" x14ac:dyDescent="0.3">
      <c r="A7250" t="s">
        <v>27</v>
      </c>
      <c r="B7250" t="s">
        <v>199</v>
      </c>
      <c r="C7250">
        <v>301</v>
      </c>
      <c r="D7250" t="s">
        <v>699</v>
      </c>
      <c r="E7250" t="s">
        <v>794</v>
      </c>
      <c r="F7250" t="s">
        <v>122</v>
      </c>
      <c r="G7250" t="s">
        <v>103</v>
      </c>
    </row>
    <row r="7251" spans="1:7" x14ac:dyDescent="0.3">
      <c r="A7251" t="s">
        <v>41</v>
      </c>
      <c r="B7251" t="s">
        <v>198</v>
      </c>
      <c r="C7251">
        <v>1200</v>
      </c>
      <c r="D7251" t="s">
        <v>418</v>
      </c>
      <c r="E7251" t="s">
        <v>982</v>
      </c>
      <c r="F7251" t="s">
        <v>103</v>
      </c>
      <c r="G7251" t="s">
        <v>103</v>
      </c>
    </row>
    <row r="7252" spans="1:7" x14ac:dyDescent="0.3">
      <c r="A7252" t="s">
        <v>41</v>
      </c>
      <c r="B7252" t="s">
        <v>199</v>
      </c>
      <c r="C7252">
        <v>3387</v>
      </c>
      <c r="D7252" t="s">
        <v>626</v>
      </c>
      <c r="E7252" t="s">
        <v>381</v>
      </c>
      <c r="F7252" t="s">
        <v>91</v>
      </c>
      <c r="G7252" t="s">
        <v>116</v>
      </c>
    </row>
    <row r="7254" spans="1:7" x14ac:dyDescent="0.3">
      <c r="A7254" t="s">
        <v>2264</v>
      </c>
    </row>
    <row r="7255" spans="1:7" x14ac:dyDescent="0.3">
      <c r="A7255" t="s">
        <v>36</v>
      </c>
      <c r="B7255" t="s">
        <v>763</v>
      </c>
      <c r="C7255" t="s">
        <v>24</v>
      </c>
      <c r="D7255" t="s">
        <v>58</v>
      </c>
      <c r="E7255" t="s">
        <v>59</v>
      </c>
      <c r="F7255" t="s">
        <v>348</v>
      </c>
      <c r="G7255" t="s">
        <v>181</v>
      </c>
    </row>
    <row r="7256" spans="1:7" x14ac:dyDescent="0.3">
      <c r="A7256" t="s">
        <v>25</v>
      </c>
      <c r="B7256" t="s">
        <v>764</v>
      </c>
      <c r="C7256">
        <v>47</v>
      </c>
      <c r="D7256" t="s">
        <v>685</v>
      </c>
      <c r="E7256" t="s">
        <v>1317</v>
      </c>
      <c r="F7256" t="s">
        <v>103</v>
      </c>
      <c r="G7256" t="s">
        <v>103</v>
      </c>
    </row>
    <row r="7257" spans="1:7" x14ac:dyDescent="0.3">
      <c r="A7257" t="s">
        <v>25</v>
      </c>
      <c r="B7257" t="s">
        <v>765</v>
      </c>
      <c r="C7257">
        <v>548</v>
      </c>
      <c r="D7257" t="s">
        <v>1198</v>
      </c>
      <c r="E7257" t="s">
        <v>1001</v>
      </c>
      <c r="F7257" t="s">
        <v>103</v>
      </c>
      <c r="G7257" t="s">
        <v>103</v>
      </c>
    </row>
    <row r="7258" spans="1:7" x14ac:dyDescent="0.3">
      <c r="A7258" t="s">
        <v>25</v>
      </c>
      <c r="B7258" t="s">
        <v>767</v>
      </c>
      <c r="C7258">
        <v>368</v>
      </c>
      <c r="D7258" t="s">
        <v>666</v>
      </c>
      <c r="E7258" t="s">
        <v>1071</v>
      </c>
      <c r="F7258" t="s">
        <v>91</v>
      </c>
      <c r="G7258" t="s">
        <v>257</v>
      </c>
    </row>
    <row r="7259" spans="1:7" x14ac:dyDescent="0.3">
      <c r="A7259" t="s">
        <v>26</v>
      </c>
      <c r="B7259" t="s">
        <v>764</v>
      </c>
      <c r="C7259">
        <v>81</v>
      </c>
      <c r="D7259" t="s">
        <v>1422</v>
      </c>
      <c r="E7259" t="s">
        <v>1221</v>
      </c>
      <c r="F7259" t="s">
        <v>103</v>
      </c>
      <c r="G7259" t="s">
        <v>103</v>
      </c>
    </row>
    <row r="7260" spans="1:7" x14ac:dyDescent="0.3">
      <c r="A7260" t="s">
        <v>26</v>
      </c>
      <c r="B7260" t="s">
        <v>765</v>
      </c>
      <c r="C7260">
        <v>567</v>
      </c>
      <c r="D7260" t="s">
        <v>825</v>
      </c>
      <c r="E7260" t="s">
        <v>1016</v>
      </c>
      <c r="F7260" t="s">
        <v>91</v>
      </c>
      <c r="G7260" t="s">
        <v>103</v>
      </c>
    </row>
    <row r="7261" spans="1:7" x14ac:dyDescent="0.3">
      <c r="A7261" t="s">
        <v>26</v>
      </c>
      <c r="B7261" t="s">
        <v>767</v>
      </c>
      <c r="C7261">
        <v>470</v>
      </c>
      <c r="D7261" t="s">
        <v>421</v>
      </c>
      <c r="E7261" t="s">
        <v>419</v>
      </c>
      <c r="F7261" t="s">
        <v>91</v>
      </c>
      <c r="G7261" t="s">
        <v>103</v>
      </c>
    </row>
    <row r="7262" spans="1:7" s="3" customFormat="1" x14ac:dyDescent="0.3">
      <c r="A7262" s="3" t="s">
        <v>29</v>
      </c>
      <c r="B7262" s="3" t="s">
        <v>764</v>
      </c>
      <c r="C7262" s="3">
        <v>16</v>
      </c>
      <c r="D7262" s="3" t="s">
        <v>229</v>
      </c>
      <c r="E7262" s="3" t="s">
        <v>1011</v>
      </c>
      <c r="F7262" s="3" t="s">
        <v>103</v>
      </c>
      <c r="G7262" s="3" t="s">
        <v>103</v>
      </c>
    </row>
    <row r="7263" spans="1:7" x14ac:dyDescent="0.3">
      <c r="A7263" t="s">
        <v>29</v>
      </c>
      <c r="B7263" t="s">
        <v>765</v>
      </c>
      <c r="C7263">
        <v>818</v>
      </c>
      <c r="D7263" t="s">
        <v>236</v>
      </c>
      <c r="E7263" t="s">
        <v>986</v>
      </c>
      <c r="F7263" t="s">
        <v>103</v>
      </c>
      <c r="G7263" t="s">
        <v>103</v>
      </c>
    </row>
    <row r="7264" spans="1:7" x14ac:dyDescent="0.3">
      <c r="A7264" t="s">
        <v>29</v>
      </c>
      <c r="B7264" t="s">
        <v>767</v>
      </c>
      <c r="C7264">
        <v>495</v>
      </c>
      <c r="D7264" t="s">
        <v>432</v>
      </c>
      <c r="E7264" t="s">
        <v>374</v>
      </c>
      <c r="F7264" t="s">
        <v>66</v>
      </c>
      <c r="G7264" t="s">
        <v>103</v>
      </c>
    </row>
    <row r="7265" spans="1:7" s="3" customFormat="1" x14ac:dyDescent="0.3">
      <c r="A7265" s="3" t="s">
        <v>28</v>
      </c>
      <c r="B7265" s="3" t="s">
        <v>764</v>
      </c>
      <c r="C7265" s="3">
        <v>25</v>
      </c>
      <c r="D7265" s="3" t="s">
        <v>299</v>
      </c>
      <c r="E7265" s="3" t="s">
        <v>300</v>
      </c>
      <c r="F7265" s="3" t="s">
        <v>103</v>
      </c>
      <c r="G7265" s="3" t="s">
        <v>103</v>
      </c>
    </row>
    <row r="7266" spans="1:7" x14ac:dyDescent="0.3">
      <c r="A7266" t="s">
        <v>28</v>
      </c>
      <c r="B7266" t="s">
        <v>765</v>
      </c>
      <c r="C7266">
        <v>466</v>
      </c>
      <c r="D7266" t="s">
        <v>297</v>
      </c>
      <c r="E7266" t="s">
        <v>1071</v>
      </c>
      <c r="F7266" t="s">
        <v>95</v>
      </c>
      <c r="G7266" t="s">
        <v>116</v>
      </c>
    </row>
    <row r="7267" spans="1:7" x14ac:dyDescent="0.3">
      <c r="A7267" t="s">
        <v>28</v>
      </c>
      <c r="B7267" t="s">
        <v>767</v>
      </c>
      <c r="C7267">
        <v>114</v>
      </c>
      <c r="D7267" t="s">
        <v>1418</v>
      </c>
      <c r="E7267" t="s">
        <v>404</v>
      </c>
      <c r="F7267" t="s">
        <v>139</v>
      </c>
      <c r="G7267" t="s">
        <v>103</v>
      </c>
    </row>
    <row r="7268" spans="1:7" x14ac:dyDescent="0.3">
      <c r="A7268" t="s">
        <v>27</v>
      </c>
      <c r="B7268" t="s">
        <v>764</v>
      </c>
      <c r="C7268">
        <v>34</v>
      </c>
      <c r="D7268" t="s">
        <v>365</v>
      </c>
      <c r="E7268" t="s">
        <v>1321</v>
      </c>
      <c r="F7268" t="s">
        <v>103</v>
      </c>
      <c r="G7268" t="s">
        <v>103</v>
      </c>
    </row>
    <row r="7269" spans="1:7" x14ac:dyDescent="0.3">
      <c r="A7269" t="s">
        <v>27</v>
      </c>
      <c r="B7269" t="s">
        <v>765</v>
      </c>
      <c r="C7269">
        <v>353</v>
      </c>
      <c r="D7269" t="s">
        <v>1070</v>
      </c>
      <c r="E7269" t="s">
        <v>817</v>
      </c>
      <c r="F7269" t="s">
        <v>122</v>
      </c>
      <c r="G7269" t="s">
        <v>103</v>
      </c>
    </row>
    <row r="7270" spans="1:7" x14ac:dyDescent="0.3">
      <c r="A7270" t="s">
        <v>27</v>
      </c>
      <c r="B7270" t="s">
        <v>767</v>
      </c>
      <c r="C7270">
        <v>185</v>
      </c>
      <c r="D7270" t="s">
        <v>413</v>
      </c>
      <c r="E7270" t="s">
        <v>414</v>
      </c>
      <c r="F7270" t="s">
        <v>103</v>
      </c>
      <c r="G7270" t="s">
        <v>103</v>
      </c>
    </row>
    <row r="7271" spans="1:7" x14ac:dyDescent="0.3">
      <c r="A7271" t="s">
        <v>41</v>
      </c>
      <c r="B7271" t="s">
        <v>764</v>
      </c>
      <c r="C7271">
        <v>203</v>
      </c>
      <c r="D7271" t="s">
        <v>96</v>
      </c>
      <c r="E7271" t="s">
        <v>722</v>
      </c>
      <c r="F7271" t="s">
        <v>103</v>
      </c>
      <c r="G7271" t="s">
        <v>103</v>
      </c>
    </row>
    <row r="7272" spans="1:7" x14ac:dyDescent="0.3">
      <c r="A7272" t="s">
        <v>41</v>
      </c>
      <c r="B7272" t="s">
        <v>765</v>
      </c>
      <c r="C7272">
        <v>2752</v>
      </c>
      <c r="D7272" t="s">
        <v>1082</v>
      </c>
      <c r="E7272" t="s">
        <v>811</v>
      </c>
      <c r="F7272" t="s">
        <v>91</v>
      </c>
      <c r="G7272" t="s">
        <v>103</v>
      </c>
    </row>
    <row r="7273" spans="1:7" x14ac:dyDescent="0.3">
      <c r="A7273" t="s">
        <v>41</v>
      </c>
      <c r="B7273" t="s">
        <v>767</v>
      </c>
      <c r="C7273">
        <v>1632</v>
      </c>
      <c r="D7273" t="s">
        <v>1043</v>
      </c>
      <c r="E7273" t="s">
        <v>1251</v>
      </c>
      <c r="F7273" t="s">
        <v>66</v>
      </c>
      <c r="G7273" t="s">
        <v>97</v>
      </c>
    </row>
    <row r="7275" spans="1:7" x14ac:dyDescent="0.3">
      <c r="A7275" t="s">
        <v>2265</v>
      </c>
    </row>
    <row r="7276" spans="1:7" x14ac:dyDescent="0.3">
      <c r="A7276" t="s">
        <v>36</v>
      </c>
      <c r="B7276" t="s">
        <v>2157</v>
      </c>
      <c r="C7276" t="s">
        <v>24</v>
      </c>
      <c r="D7276" t="s">
        <v>348</v>
      </c>
      <c r="E7276" t="s">
        <v>58</v>
      </c>
      <c r="F7276" t="s">
        <v>181</v>
      </c>
      <c r="G7276" t="s">
        <v>59</v>
      </c>
    </row>
    <row r="7277" spans="1:7" x14ac:dyDescent="0.3">
      <c r="A7277" t="s">
        <v>25</v>
      </c>
      <c r="B7277" t="s">
        <v>2158</v>
      </c>
      <c r="C7277">
        <v>529</v>
      </c>
      <c r="D7277" t="s">
        <v>91</v>
      </c>
      <c r="E7277" t="s">
        <v>805</v>
      </c>
      <c r="F7277" t="s">
        <v>245</v>
      </c>
      <c r="G7277" t="s">
        <v>1012</v>
      </c>
    </row>
    <row r="7278" spans="1:7" x14ac:dyDescent="0.3">
      <c r="A7278" t="s">
        <v>25</v>
      </c>
      <c r="B7278" t="s">
        <v>2159</v>
      </c>
      <c r="C7278">
        <v>434</v>
      </c>
      <c r="D7278" t="s">
        <v>103</v>
      </c>
      <c r="E7278" t="s">
        <v>458</v>
      </c>
      <c r="F7278" t="s">
        <v>103</v>
      </c>
      <c r="G7278" t="s">
        <v>356</v>
      </c>
    </row>
    <row r="7279" spans="1:7" x14ac:dyDescent="0.3">
      <c r="A7279" t="s">
        <v>26</v>
      </c>
      <c r="B7279" t="s">
        <v>2158</v>
      </c>
      <c r="C7279">
        <v>455</v>
      </c>
      <c r="D7279" t="s">
        <v>91</v>
      </c>
      <c r="E7279" t="s">
        <v>551</v>
      </c>
      <c r="F7279" t="s">
        <v>103</v>
      </c>
      <c r="G7279" t="s">
        <v>45</v>
      </c>
    </row>
    <row r="7280" spans="1:7" x14ac:dyDescent="0.3">
      <c r="A7280" t="s">
        <v>26</v>
      </c>
      <c r="B7280" t="s">
        <v>2159</v>
      </c>
      <c r="C7280">
        <v>663</v>
      </c>
      <c r="D7280" t="s">
        <v>91</v>
      </c>
      <c r="E7280" t="s">
        <v>299</v>
      </c>
      <c r="F7280" t="s">
        <v>103</v>
      </c>
      <c r="G7280" t="s">
        <v>628</v>
      </c>
    </row>
    <row r="7281" spans="1:7" x14ac:dyDescent="0.3">
      <c r="A7281" t="s">
        <v>29</v>
      </c>
      <c r="B7281" t="s">
        <v>2158</v>
      </c>
      <c r="C7281">
        <v>578</v>
      </c>
      <c r="D7281" t="s">
        <v>103</v>
      </c>
      <c r="E7281" t="s">
        <v>825</v>
      </c>
      <c r="F7281" t="s">
        <v>103</v>
      </c>
      <c r="G7281" t="s">
        <v>1012</v>
      </c>
    </row>
    <row r="7282" spans="1:7" x14ac:dyDescent="0.3">
      <c r="A7282" t="s">
        <v>29</v>
      </c>
      <c r="B7282" t="s">
        <v>2159</v>
      </c>
      <c r="C7282">
        <v>748</v>
      </c>
      <c r="D7282" t="s">
        <v>91</v>
      </c>
      <c r="E7282" t="s">
        <v>512</v>
      </c>
      <c r="F7282" t="s">
        <v>103</v>
      </c>
      <c r="G7282" t="s">
        <v>748</v>
      </c>
    </row>
    <row r="7283" spans="1:7" x14ac:dyDescent="0.3">
      <c r="A7283" t="s">
        <v>29</v>
      </c>
      <c r="B7283" t="s">
        <v>308</v>
      </c>
      <c r="C7283">
        <v>3</v>
      </c>
      <c r="D7283" t="s">
        <v>103</v>
      </c>
      <c r="E7283" t="s">
        <v>831</v>
      </c>
      <c r="F7283" t="s">
        <v>103</v>
      </c>
      <c r="G7283" t="s">
        <v>1050</v>
      </c>
    </row>
    <row r="7284" spans="1:7" x14ac:dyDescent="0.3">
      <c r="A7284" t="s">
        <v>28</v>
      </c>
      <c r="B7284" t="s">
        <v>2158</v>
      </c>
      <c r="C7284">
        <v>236</v>
      </c>
      <c r="D7284" t="s">
        <v>97</v>
      </c>
      <c r="E7284" t="s">
        <v>1226</v>
      </c>
      <c r="F7284" t="s">
        <v>97</v>
      </c>
      <c r="G7284" t="s">
        <v>1035</v>
      </c>
    </row>
    <row r="7285" spans="1:7" x14ac:dyDescent="0.3">
      <c r="A7285" t="s">
        <v>28</v>
      </c>
      <c r="B7285" t="s">
        <v>2159</v>
      </c>
      <c r="C7285">
        <v>369</v>
      </c>
      <c r="D7285" t="s">
        <v>95</v>
      </c>
      <c r="E7285" t="s">
        <v>1096</v>
      </c>
      <c r="F7285" t="s">
        <v>103</v>
      </c>
      <c r="G7285" t="s">
        <v>932</v>
      </c>
    </row>
    <row r="7286" spans="1:7" x14ac:dyDescent="0.3">
      <c r="A7286" t="s">
        <v>27</v>
      </c>
      <c r="B7286" t="s">
        <v>2158</v>
      </c>
      <c r="C7286">
        <v>304</v>
      </c>
      <c r="D7286" t="s">
        <v>91</v>
      </c>
      <c r="E7286" t="s">
        <v>398</v>
      </c>
      <c r="F7286" t="s">
        <v>103</v>
      </c>
      <c r="G7286" t="s">
        <v>1046</v>
      </c>
    </row>
    <row r="7287" spans="1:7" x14ac:dyDescent="0.3">
      <c r="A7287" t="s">
        <v>27</v>
      </c>
      <c r="B7287" t="s">
        <v>2159</v>
      </c>
      <c r="C7287">
        <v>268</v>
      </c>
      <c r="D7287" t="s">
        <v>116</v>
      </c>
      <c r="E7287" t="s">
        <v>798</v>
      </c>
      <c r="F7287" t="s">
        <v>103</v>
      </c>
      <c r="G7287" t="s">
        <v>1065</v>
      </c>
    </row>
    <row r="7288" spans="1:7" x14ac:dyDescent="0.3">
      <c r="A7288" t="s">
        <v>41</v>
      </c>
      <c r="B7288" t="s">
        <v>2158</v>
      </c>
      <c r="C7288">
        <v>2102</v>
      </c>
      <c r="D7288" t="s">
        <v>91</v>
      </c>
      <c r="E7288" t="s">
        <v>805</v>
      </c>
      <c r="F7288" t="s">
        <v>122</v>
      </c>
      <c r="G7288" t="s">
        <v>1348</v>
      </c>
    </row>
    <row r="7289" spans="1:7" x14ac:dyDescent="0.3">
      <c r="A7289" t="s">
        <v>41</v>
      </c>
      <c r="B7289" t="s">
        <v>2159</v>
      </c>
      <c r="C7289">
        <v>2482</v>
      </c>
      <c r="D7289" t="s">
        <v>91</v>
      </c>
      <c r="E7289" t="s">
        <v>797</v>
      </c>
      <c r="F7289" t="s">
        <v>103</v>
      </c>
      <c r="G7289" t="s">
        <v>795</v>
      </c>
    </row>
    <row r="7290" spans="1:7" x14ac:dyDescent="0.3">
      <c r="A7290" t="s">
        <v>41</v>
      </c>
      <c r="B7290" t="s">
        <v>308</v>
      </c>
      <c r="C7290">
        <v>3</v>
      </c>
      <c r="D7290" t="s">
        <v>103</v>
      </c>
      <c r="E7290" t="s">
        <v>831</v>
      </c>
      <c r="F7290" t="s">
        <v>103</v>
      </c>
      <c r="G7290" t="s">
        <v>1050</v>
      </c>
    </row>
    <row r="7292" spans="1:7" x14ac:dyDescent="0.3">
      <c r="A7292" t="s">
        <v>2266</v>
      </c>
    </row>
    <row r="7293" spans="1:7" x14ac:dyDescent="0.3">
      <c r="A7293" t="s">
        <v>36</v>
      </c>
      <c r="B7293" t="s">
        <v>307</v>
      </c>
      <c r="C7293" t="s">
        <v>24</v>
      </c>
      <c r="D7293" t="s">
        <v>348</v>
      </c>
      <c r="E7293" t="s">
        <v>58</v>
      </c>
      <c r="F7293" t="s">
        <v>181</v>
      </c>
      <c r="G7293" t="s">
        <v>59</v>
      </c>
    </row>
    <row r="7294" spans="1:7" x14ac:dyDescent="0.3">
      <c r="A7294" t="s">
        <v>25</v>
      </c>
      <c r="B7294" t="s">
        <v>291</v>
      </c>
      <c r="C7294">
        <v>399</v>
      </c>
      <c r="D7294" t="s">
        <v>91</v>
      </c>
      <c r="E7294" t="s">
        <v>520</v>
      </c>
      <c r="F7294" t="s">
        <v>118</v>
      </c>
      <c r="G7294" t="s">
        <v>2109</v>
      </c>
    </row>
    <row r="7295" spans="1:7" x14ac:dyDescent="0.3">
      <c r="A7295" t="s">
        <v>25</v>
      </c>
      <c r="B7295" t="s">
        <v>292</v>
      </c>
      <c r="C7295">
        <v>550</v>
      </c>
      <c r="D7295" t="s">
        <v>103</v>
      </c>
      <c r="E7295" t="s">
        <v>645</v>
      </c>
      <c r="F7295" t="s">
        <v>103</v>
      </c>
      <c r="G7295" t="s">
        <v>703</v>
      </c>
    </row>
    <row r="7296" spans="1:7" x14ac:dyDescent="0.3">
      <c r="A7296" t="s">
        <v>25</v>
      </c>
      <c r="B7296" t="s">
        <v>308</v>
      </c>
      <c r="C7296">
        <v>14</v>
      </c>
      <c r="D7296" t="s">
        <v>103</v>
      </c>
      <c r="E7296" t="s">
        <v>132</v>
      </c>
      <c r="F7296" t="s">
        <v>103</v>
      </c>
      <c r="G7296" t="s">
        <v>592</v>
      </c>
    </row>
    <row r="7297" spans="1:7" x14ac:dyDescent="0.3">
      <c r="A7297" t="s">
        <v>26</v>
      </c>
      <c r="B7297" t="s">
        <v>291</v>
      </c>
      <c r="C7297">
        <v>284</v>
      </c>
      <c r="D7297" t="s">
        <v>66</v>
      </c>
      <c r="E7297" t="s">
        <v>819</v>
      </c>
      <c r="F7297" t="s">
        <v>103</v>
      </c>
      <c r="G7297" t="s">
        <v>143</v>
      </c>
    </row>
    <row r="7298" spans="1:7" x14ac:dyDescent="0.3">
      <c r="A7298" t="s">
        <v>26</v>
      </c>
      <c r="B7298" t="s">
        <v>292</v>
      </c>
      <c r="C7298">
        <v>824</v>
      </c>
      <c r="D7298" t="s">
        <v>103</v>
      </c>
      <c r="E7298" t="s">
        <v>303</v>
      </c>
      <c r="F7298" t="s">
        <v>103</v>
      </c>
      <c r="G7298" t="s">
        <v>379</v>
      </c>
    </row>
    <row r="7299" spans="1:7" x14ac:dyDescent="0.3">
      <c r="A7299" t="s">
        <v>26</v>
      </c>
      <c r="B7299" t="s">
        <v>308</v>
      </c>
      <c r="C7299">
        <v>10</v>
      </c>
      <c r="D7299" t="s">
        <v>103</v>
      </c>
      <c r="E7299" t="s">
        <v>134</v>
      </c>
      <c r="F7299" t="s">
        <v>103</v>
      </c>
      <c r="G7299" t="s">
        <v>948</v>
      </c>
    </row>
    <row r="7300" spans="1:7" x14ac:dyDescent="0.3">
      <c r="A7300" t="s">
        <v>29</v>
      </c>
      <c r="B7300" t="s">
        <v>291</v>
      </c>
      <c r="C7300">
        <v>501</v>
      </c>
      <c r="D7300" t="s">
        <v>103</v>
      </c>
      <c r="E7300" t="s">
        <v>31</v>
      </c>
      <c r="F7300" t="s">
        <v>103</v>
      </c>
      <c r="G7300" t="s">
        <v>1680</v>
      </c>
    </row>
    <row r="7301" spans="1:7" x14ac:dyDescent="0.3">
      <c r="A7301" t="s">
        <v>29</v>
      </c>
      <c r="B7301" t="s">
        <v>292</v>
      </c>
      <c r="C7301">
        <v>828</v>
      </c>
      <c r="D7301" t="s">
        <v>91</v>
      </c>
      <c r="E7301" t="s">
        <v>797</v>
      </c>
      <c r="F7301" t="s">
        <v>103</v>
      </c>
      <c r="G7301" t="s">
        <v>795</v>
      </c>
    </row>
    <row r="7302" spans="1:7" x14ac:dyDescent="0.3">
      <c r="A7302" t="s">
        <v>28</v>
      </c>
      <c r="B7302" t="s">
        <v>291</v>
      </c>
      <c r="C7302">
        <v>215</v>
      </c>
      <c r="D7302" t="s">
        <v>97</v>
      </c>
      <c r="E7302" t="s">
        <v>402</v>
      </c>
      <c r="F7302" t="s">
        <v>103</v>
      </c>
      <c r="G7302" t="s">
        <v>926</v>
      </c>
    </row>
    <row r="7303" spans="1:7" x14ac:dyDescent="0.3">
      <c r="A7303" t="s">
        <v>28</v>
      </c>
      <c r="B7303" t="s">
        <v>292</v>
      </c>
      <c r="C7303">
        <v>335</v>
      </c>
      <c r="D7303" t="s">
        <v>139</v>
      </c>
      <c r="E7303" t="s">
        <v>353</v>
      </c>
      <c r="F7303" t="s">
        <v>103</v>
      </c>
      <c r="G7303" t="s">
        <v>933</v>
      </c>
    </row>
    <row r="7304" spans="1:7" x14ac:dyDescent="0.3">
      <c r="A7304" t="s">
        <v>28</v>
      </c>
      <c r="B7304" t="s">
        <v>308</v>
      </c>
      <c r="C7304">
        <v>55</v>
      </c>
      <c r="D7304" t="s">
        <v>103</v>
      </c>
      <c r="E7304" t="s">
        <v>1328</v>
      </c>
      <c r="F7304" t="s">
        <v>257</v>
      </c>
      <c r="G7304" t="s">
        <v>303</v>
      </c>
    </row>
    <row r="7305" spans="1:7" x14ac:dyDescent="0.3">
      <c r="A7305" t="s">
        <v>27</v>
      </c>
      <c r="B7305" t="s">
        <v>291</v>
      </c>
      <c r="C7305">
        <v>166</v>
      </c>
      <c r="D7305" t="s">
        <v>139</v>
      </c>
      <c r="E7305" t="s">
        <v>1082</v>
      </c>
      <c r="F7305" t="s">
        <v>103</v>
      </c>
      <c r="G7305" t="s">
        <v>808</v>
      </c>
    </row>
    <row r="7306" spans="1:7" x14ac:dyDescent="0.3">
      <c r="A7306" t="s">
        <v>27</v>
      </c>
      <c r="B7306" t="s">
        <v>292</v>
      </c>
      <c r="C7306">
        <v>376</v>
      </c>
      <c r="D7306" t="s">
        <v>103</v>
      </c>
      <c r="E7306" t="s">
        <v>562</v>
      </c>
      <c r="F7306" t="s">
        <v>103</v>
      </c>
      <c r="G7306" t="s">
        <v>628</v>
      </c>
    </row>
    <row r="7307" spans="1:7" x14ac:dyDescent="0.3">
      <c r="A7307" t="s">
        <v>27</v>
      </c>
      <c r="B7307" t="s">
        <v>308</v>
      </c>
      <c r="C7307">
        <v>30</v>
      </c>
      <c r="D7307" t="s">
        <v>103</v>
      </c>
      <c r="E7307" t="s">
        <v>168</v>
      </c>
      <c r="F7307" t="s">
        <v>103</v>
      </c>
      <c r="G7307" t="s">
        <v>167</v>
      </c>
    </row>
    <row r="7308" spans="1:7" x14ac:dyDescent="0.3">
      <c r="A7308" t="s">
        <v>41</v>
      </c>
      <c r="B7308" t="s">
        <v>291</v>
      </c>
      <c r="C7308">
        <v>1565</v>
      </c>
      <c r="D7308" t="s">
        <v>91</v>
      </c>
      <c r="E7308" t="s">
        <v>975</v>
      </c>
      <c r="F7308" t="s">
        <v>97</v>
      </c>
      <c r="G7308" t="s">
        <v>1680</v>
      </c>
    </row>
    <row r="7309" spans="1:7" x14ac:dyDescent="0.3">
      <c r="A7309" t="s">
        <v>41</v>
      </c>
      <c r="B7309" t="s">
        <v>292</v>
      </c>
      <c r="C7309">
        <v>2913</v>
      </c>
      <c r="D7309" t="s">
        <v>91</v>
      </c>
      <c r="E7309" t="s">
        <v>420</v>
      </c>
      <c r="F7309" t="s">
        <v>103</v>
      </c>
      <c r="G7309" t="s">
        <v>1252</v>
      </c>
    </row>
    <row r="7310" spans="1:7" x14ac:dyDescent="0.3">
      <c r="A7310" t="s">
        <v>41</v>
      </c>
      <c r="B7310" t="s">
        <v>308</v>
      </c>
      <c r="C7310">
        <v>109</v>
      </c>
      <c r="D7310" t="s">
        <v>103</v>
      </c>
      <c r="E7310" t="s">
        <v>1000</v>
      </c>
      <c r="F7310" t="s">
        <v>139</v>
      </c>
      <c r="G7310" t="s">
        <v>359</v>
      </c>
    </row>
    <row r="7312" spans="1:7" x14ac:dyDescent="0.3">
      <c r="A7312" t="s">
        <v>2267</v>
      </c>
    </row>
    <row r="7313" spans="1:7" x14ac:dyDescent="0.3">
      <c r="A7313" t="s">
        <v>36</v>
      </c>
      <c r="B7313" t="s">
        <v>210</v>
      </c>
      <c r="C7313" t="s">
        <v>24</v>
      </c>
      <c r="D7313" t="s">
        <v>348</v>
      </c>
      <c r="E7313" t="s">
        <v>58</v>
      </c>
      <c r="F7313" t="s">
        <v>181</v>
      </c>
      <c r="G7313" t="s">
        <v>59</v>
      </c>
    </row>
    <row r="7314" spans="1:7" x14ac:dyDescent="0.3">
      <c r="A7314" t="s">
        <v>25</v>
      </c>
      <c r="B7314" t="s">
        <v>211</v>
      </c>
      <c r="C7314">
        <v>963</v>
      </c>
      <c r="D7314" t="s">
        <v>103</v>
      </c>
      <c r="E7314" t="s">
        <v>1008</v>
      </c>
      <c r="F7314" t="s">
        <v>282</v>
      </c>
      <c r="G7314" t="s">
        <v>1317</v>
      </c>
    </row>
    <row r="7315" spans="1:7" x14ac:dyDescent="0.3">
      <c r="A7315" t="s">
        <v>26</v>
      </c>
      <c r="B7315" t="s">
        <v>211</v>
      </c>
      <c r="C7315">
        <v>456</v>
      </c>
      <c r="D7315" t="s">
        <v>91</v>
      </c>
      <c r="E7315" t="s">
        <v>1097</v>
      </c>
      <c r="F7315" t="s">
        <v>103</v>
      </c>
      <c r="G7315" t="s">
        <v>378</v>
      </c>
    </row>
    <row r="7316" spans="1:7" x14ac:dyDescent="0.3">
      <c r="A7316" t="s">
        <v>26</v>
      </c>
      <c r="B7316" t="s">
        <v>212</v>
      </c>
      <c r="C7316">
        <v>662</v>
      </c>
      <c r="D7316" t="s">
        <v>91</v>
      </c>
      <c r="E7316" t="s">
        <v>507</v>
      </c>
      <c r="F7316" t="s">
        <v>103</v>
      </c>
      <c r="G7316" t="s">
        <v>1373</v>
      </c>
    </row>
    <row r="7317" spans="1:7" x14ac:dyDescent="0.3">
      <c r="A7317" t="s">
        <v>29</v>
      </c>
      <c r="B7317" t="s">
        <v>211</v>
      </c>
      <c r="C7317">
        <v>1329</v>
      </c>
      <c r="D7317" t="s">
        <v>91</v>
      </c>
      <c r="E7317" t="s">
        <v>365</v>
      </c>
      <c r="F7317" t="s">
        <v>103</v>
      </c>
      <c r="G7317" t="s">
        <v>304</v>
      </c>
    </row>
    <row r="7318" spans="1:7" x14ac:dyDescent="0.3">
      <c r="A7318" t="s">
        <v>28</v>
      </c>
      <c r="B7318" t="s">
        <v>211</v>
      </c>
      <c r="C7318">
        <v>553</v>
      </c>
      <c r="D7318" t="s">
        <v>95</v>
      </c>
      <c r="E7318" t="s">
        <v>1060</v>
      </c>
      <c r="F7318" t="s">
        <v>66</v>
      </c>
      <c r="G7318" t="s">
        <v>1279</v>
      </c>
    </row>
    <row r="7319" spans="1:7" x14ac:dyDescent="0.3">
      <c r="A7319" t="s">
        <v>28</v>
      </c>
      <c r="B7319" t="s">
        <v>212</v>
      </c>
      <c r="C7319">
        <v>52</v>
      </c>
      <c r="D7319" t="s">
        <v>103</v>
      </c>
      <c r="E7319" t="s">
        <v>646</v>
      </c>
      <c r="F7319" t="s">
        <v>103</v>
      </c>
      <c r="G7319" t="s">
        <v>1348</v>
      </c>
    </row>
    <row r="7320" spans="1:7" x14ac:dyDescent="0.3">
      <c r="A7320" t="s">
        <v>27</v>
      </c>
      <c r="B7320" t="s">
        <v>211</v>
      </c>
      <c r="C7320">
        <v>521</v>
      </c>
      <c r="D7320" t="s">
        <v>66</v>
      </c>
      <c r="E7320" t="s">
        <v>659</v>
      </c>
      <c r="F7320" t="s">
        <v>103</v>
      </c>
      <c r="G7320" t="s">
        <v>1230</v>
      </c>
    </row>
    <row r="7321" spans="1:7" x14ac:dyDescent="0.3">
      <c r="A7321" t="s">
        <v>27</v>
      </c>
      <c r="B7321" t="s">
        <v>212</v>
      </c>
      <c r="C7321">
        <v>51</v>
      </c>
      <c r="D7321" t="s">
        <v>103</v>
      </c>
      <c r="E7321" t="s">
        <v>573</v>
      </c>
      <c r="F7321" t="s">
        <v>103</v>
      </c>
      <c r="G7321" t="s">
        <v>372</v>
      </c>
    </row>
    <row r="7322" spans="1:7" x14ac:dyDescent="0.3">
      <c r="A7322" t="s">
        <v>41</v>
      </c>
      <c r="B7322" t="s">
        <v>211</v>
      </c>
      <c r="C7322">
        <v>3822</v>
      </c>
      <c r="D7322" t="s">
        <v>91</v>
      </c>
      <c r="E7322" t="s">
        <v>440</v>
      </c>
      <c r="F7322" t="s">
        <v>66</v>
      </c>
      <c r="G7322" t="s">
        <v>377</v>
      </c>
    </row>
    <row r="7323" spans="1:7" x14ac:dyDescent="0.3">
      <c r="A7323" t="s">
        <v>41</v>
      </c>
      <c r="B7323" t="s">
        <v>212</v>
      </c>
      <c r="C7323">
        <v>765</v>
      </c>
      <c r="D7323" t="s">
        <v>91</v>
      </c>
      <c r="E7323" t="s">
        <v>507</v>
      </c>
      <c r="F7323" t="s">
        <v>103</v>
      </c>
      <c r="G7323" t="s">
        <v>1317</v>
      </c>
    </row>
    <row r="7325" spans="1:7" x14ac:dyDescent="0.3">
      <c r="A7325" t="s">
        <v>2268</v>
      </c>
    </row>
    <row r="7326" spans="1:7" x14ac:dyDescent="0.3">
      <c r="A7326" t="s">
        <v>36</v>
      </c>
      <c r="B7326" t="s">
        <v>1517</v>
      </c>
      <c r="C7326" t="s">
        <v>24</v>
      </c>
      <c r="D7326" t="s">
        <v>348</v>
      </c>
      <c r="E7326" t="s">
        <v>58</v>
      </c>
      <c r="F7326" t="s">
        <v>181</v>
      </c>
      <c r="G7326" t="s">
        <v>59</v>
      </c>
    </row>
    <row r="7327" spans="1:7" x14ac:dyDescent="0.3">
      <c r="A7327" t="s">
        <v>25</v>
      </c>
      <c r="B7327" t="s">
        <v>1518</v>
      </c>
      <c r="C7327">
        <v>523</v>
      </c>
      <c r="D7327" t="s">
        <v>91</v>
      </c>
      <c r="E7327" t="s">
        <v>505</v>
      </c>
      <c r="F7327" t="s">
        <v>194</v>
      </c>
      <c r="G7327" t="s">
        <v>1046</v>
      </c>
    </row>
    <row r="7328" spans="1:7" x14ac:dyDescent="0.3">
      <c r="A7328" t="s">
        <v>25</v>
      </c>
      <c r="B7328" t="s">
        <v>1519</v>
      </c>
      <c r="C7328">
        <v>440</v>
      </c>
      <c r="D7328" t="s">
        <v>103</v>
      </c>
      <c r="E7328" t="s">
        <v>858</v>
      </c>
      <c r="F7328" t="s">
        <v>120</v>
      </c>
      <c r="G7328" t="s">
        <v>1283</v>
      </c>
    </row>
    <row r="7329" spans="1:7" x14ac:dyDescent="0.3">
      <c r="A7329" t="s">
        <v>26</v>
      </c>
      <c r="B7329" t="s">
        <v>1518</v>
      </c>
      <c r="C7329">
        <v>588</v>
      </c>
      <c r="D7329" t="s">
        <v>91</v>
      </c>
      <c r="E7329" t="s">
        <v>582</v>
      </c>
      <c r="F7329" t="s">
        <v>103</v>
      </c>
      <c r="G7329" t="s">
        <v>1035</v>
      </c>
    </row>
    <row r="7330" spans="1:7" x14ac:dyDescent="0.3">
      <c r="A7330" t="s">
        <v>26</v>
      </c>
      <c r="B7330" t="s">
        <v>1519</v>
      </c>
      <c r="C7330">
        <v>515</v>
      </c>
      <c r="D7330" t="s">
        <v>91</v>
      </c>
      <c r="E7330" t="s">
        <v>1097</v>
      </c>
      <c r="F7330" t="s">
        <v>103</v>
      </c>
      <c r="G7330" t="s">
        <v>378</v>
      </c>
    </row>
    <row r="7331" spans="1:7" x14ac:dyDescent="0.3">
      <c r="A7331" t="s">
        <v>26</v>
      </c>
      <c r="B7331" t="s">
        <v>308</v>
      </c>
      <c r="C7331">
        <v>15</v>
      </c>
      <c r="D7331" t="s">
        <v>103</v>
      </c>
      <c r="E7331" t="s">
        <v>404</v>
      </c>
      <c r="F7331" t="s">
        <v>103</v>
      </c>
      <c r="G7331" t="s">
        <v>795</v>
      </c>
    </row>
    <row r="7332" spans="1:7" x14ac:dyDescent="0.3">
      <c r="A7332" t="s">
        <v>29</v>
      </c>
      <c r="B7332" t="s">
        <v>1518</v>
      </c>
      <c r="C7332">
        <v>841</v>
      </c>
      <c r="D7332" t="s">
        <v>91</v>
      </c>
      <c r="E7332" t="s">
        <v>559</v>
      </c>
      <c r="F7332" t="s">
        <v>103</v>
      </c>
      <c r="G7332" t="s">
        <v>1369</v>
      </c>
    </row>
    <row r="7333" spans="1:7" x14ac:dyDescent="0.3">
      <c r="A7333" t="s">
        <v>29</v>
      </c>
      <c r="B7333" t="s">
        <v>1519</v>
      </c>
      <c r="C7333">
        <v>463</v>
      </c>
      <c r="D7333" t="s">
        <v>103</v>
      </c>
      <c r="E7333" t="s">
        <v>299</v>
      </c>
      <c r="F7333" t="s">
        <v>103</v>
      </c>
      <c r="G7333" t="s">
        <v>300</v>
      </c>
    </row>
    <row r="7334" spans="1:7" x14ac:dyDescent="0.3">
      <c r="A7334" t="s">
        <v>29</v>
      </c>
      <c r="B7334" t="s">
        <v>308</v>
      </c>
      <c r="C7334">
        <v>25</v>
      </c>
      <c r="D7334" t="s">
        <v>103</v>
      </c>
      <c r="E7334" t="s">
        <v>866</v>
      </c>
      <c r="F7334" t="s">
        <v>103</v>
      </c>
      <c r="G7334" t="s">
        <v>510</v>
      </c>
    </row>
    <row r="7335" spans="1:7" x14ac:dyDescent="0.3">
      <c r="A7335" t="s">
        <v>28</v>
      </c>
      <c r="B7335" t="s">
        <v>1518</v>
      </c>
      <c r="C7335">
        <v>317</v>
      </c>
      <c r="D7335" t="s">
        <v>122</v>
      </c>
      <c r="E7335" t="s">
        <v>498</v>
      </c>
      <c r="F7335" t="s">
        <v>103</v>
      </c>
      <c r="G7335" t="s">
        <v>258</v>
      </c>
    </row>
    <row r="7336" spans="1:7" x14ac:dyDescent="0.3">
      <c r="A7336" t="s">
        <v>28</v>
      </c>
      <c r="B7336" t="s">
        <v>1519</v>
      </c>
      <c r="C7336">
        <v>284</v>
      </c>
      <c r="D7336" t="s">
        <v>282</v>
      </c>
      <c r="E7336" t="s">
        <v>436</v>
      </c>
      <c r="F7336" t="s">
        <v>103</v>
      </c>
      <c r="G7336" t="s">
        <v>810</v>
      </c>
    </row>
    <row r="7337" spans="1:7" x14ac:dyDescent="0.3">
      <c r="A7337" t="s">
        <v>28</v>
      </c>
      <c r="B7337" t="s">
        <v>308</v>
      </c>
      <c r="C7337">
        <v>4</v>
      </c>
      <c r="D7337" t="s">
        <v>103</v>
      </c>
      <c r="E7337" t="s">
        <v>1198</v>
      </c>
      <c r="F7337" t="s">
        <v>1205</v>
      </c>
      <c r="G7337" t="s">
        <v>465</v>
      </c>
    </row>
    <row r="7338" spans="1:7" x14ac:dyDescent="0.3">
      <c r="A7338" t="s">
        <v>27</v>
      </c>
      <c r="B7338" t="s">
        <v>1518</v>
      </c>
      <c r="C7338">
        <v>348</v>
      </c>
      <c r="D7338" t="s">
        <v>116</v>
      </c>
      <c r="E7338" t="s">
        <v>635</v>
      </c>
      <c r="F7338" t="s">
        <v>103</v>
      </c>
      <c r="G7338" t="s">
        <v>1058</v>
      </c>
    </row>
    <row r="7339" spans="1:7" x14ac:dyDescent="0.3">
      <c r="A7339" t="s">
        <v>27</v>
      </c>
      <c r="B7339" t="s">
        <v>1519</v>
      </c>
      <c r="C7339">
        <v>213</v>
      </c>
      <c r="D7339" t="s">
        <v>103</v>
      </c>
      <c r="E7339" t="s">
        <v>661</v>
      </c>
      <c r="F7339" t="s">
        <v>103</v>
      </c>
      <c r="G7339" t="s">
        <v>782</v>
      </c>
    </row>
    <row r="7340" spans="1:7" x14ac:dyDescent="0.3">
      <c r="A7340" t="s">
        <v>27</v>
      </c>
      <c r="B7340" t="s">
        <v>308</v>
      </c>
      <c r="C7340">
        <v>11</v>
      </c>
      <c r="D7340" t="s">
        <v>68</v>
      </c>
      <c r="E7340" t="s">
        <v>918</v>
      </c>
      <c r="F7340" t="s">
        <v>103</v>
      </c>
      <c r="G7340" t="s">
        <v>630</v>
      </c>
    </row>
    <row r="7341" spans="1:7" x14ac:dyDescent="0.3">
      <c r="A7341" t="s">
        <v>41</v>
      </c>
      <c r="B7341" t="s">
        <v>1518</v>
      </c>
      <c r="C7341">
        <v>2617</v>
      </c>
      <c r="D7341" t="s">
        <v>91</v>
      </c>
      <c r="E7341" t="s">
        <v>435</v>
      </c>
      <c r="F7341" t="s">
        <v>66</v>
      </c>
      <c r="G7341" t="s">
        <v>1581</v>
      </c>
    </row>
    <row r="7342" spans="1:7" x14ac:dyDescent="0.3">
      <c r="A7342" t="s">
        <v>41</v>
      </c>
      <c r="B7342" t="s">
        <v>1519</v>
      </c>
      <c r="C7342">
        <v>1915</v>
      </c>
      <c r="D7342" t="s">
        <v>91</v>
      </c>
      <c r="E7342" t="s">
        <v>564</v>
      </c>
      <c r="F7342" t="s">
        <v>91</v>
      </c>
      <c r="G7342" t="s">
        <v>406</v>
      </c>
    </row>
    <row r="7343" spans="1:7" x14ac:dyDescent="0.3">
      <c r="A7343" t="s">
        <v>41</v>
      </c>
      <c r="B7343" t="s">
        <v>308</v>
      </c>
      <c r="C7343">
        <v>55</v>
      </c>
      <c r="D7343" t="s">
        <v>91</v>
      </c>
      <c r="E7343" t="s">
        <v>231</v>
      </c>
      <c r="F7343" t="s">
        <v>120</v>
      </c>
      <c r="G7343" t="s">
        <v>496</v>
      </c>
    </row>
    <row r="7345" spans="1:21" x14ac:dyDescent="0.3">
      <c r="A7345" t="s">
        <v>2269</v>
      </c>
    </row>
    <row r="7346" spans="1:21" x14ac:dyDescent="0.3">
      <c r="A7346" t="s">
        <v>36</v>
      </c>
      <c r="B7346" t="s">
        <v>24</v>
      </c>
      <c r="C7346" t="s">
        <v>2270</v>
      </c>
      <c r="D7346" t="s">
        <v>2271</v>
      </c>
      <c r="E7346" t="s">
        <v>2272</v>
      </c>
      <c r="F7346" t="s">
        <v>2273</v>
      </c>
      <c r="G7346" t="s">
        <v>2274</v>
      </c>
      <c r="H7346" t="s">
        <v>2275</v>
      </c>
      <c r="I7346" t="s">
        <v>2276</v>
      </c>
      <c r="J7346" t="s">
        <v>2277</v>
      </c>
      <c r="K7346" t="s">
        <v>2278</v>
      </c>
      <c r="L7346" t="s">
        <v>2279</v>
      </c>
      <c r="M7346" t="s">
        <v>2280</v>
      </c>
      <c r="N7346" t="s">
        <v>2281</v>
      </c>
      <c r="O7346" t="s">
        <v>2282</v>
      </c>
      <c r="P7346" t="s">
        <v>2283</v>
      </c>
      <c r="Q7346" t="s">
        <v>2284</v>
      </c>
      <c r="R7346" t="s">
        <v>848</v>
      </c>
      <c r="S7346" t="s">
        <v>181</v>
      </c>
      <c r="T7346" t="s">
        <v>2285</v>
      </c>
    </row>
    <row r="7347" spans="1:21" x14ac:dyDescent="0.3">
      <c r="A7347" t="s">
        <v>25</v>
      </c>
      <c r="B7347">
        <v>693</v>
      </c>
      <c r="C7347" t="s">
        <v>1394</v>
      </c>
      <c r="D7347" t="s">
        <v>54</v>
      </c>
      <c r="E7347" t="s">
        <v>97</v>
      </c>
      <c r="F7347" t="s">
        <v>188</v>
      </c>
      <c r="G7347" t="s">
        <v>507</v>
      </c>
      <c r="H7347" t="s">
        <v>498</v>
      </c>
      <c r="I7347" t="s">
        <v>127</v>
      </c>
      <c r="J7347" t="s">
        <v>116</v>
      </c>
      <c r="K7347" t="s">
        <v>341</v>
      </c>
      <c r="L7347" t="s">
        <v>54</v>
      </c>
      <c r="M7347" t="s">
        <v>693</v>
      </c>
      <c r="N7347" t="s">
        <v>438</v>
      </c>
      <c r="O7347" t="s">
        <v>1219</v>
      </c>
      <c r="P7347" t="s">
        <v>126</v>
      </c>
      <c r="Q7347" t="s">
        <v>345</v>
      </c>
      <c r="R7347" t="s">
        <v>62</v>
      </c>
      <c r="S7347" t="s">
        <v>95</v>
      </c>
      <c r="T7347" t="s">
        <v>66</v>
      </c>
    </row>
    <row r="7348" spans="1:21" x14ac:dyDescent="0.3">
      <c r="A7348" t="s">
        <v>26</v>
      </c>
      <c r="B7348">
        <v>774</v>
      </c>
      <c r="C7348" t="s">
        <v>1037</v>
      </c>
      <c r="D7348" t="s">
        <v>813</v>
      </c>
      <c r="E7348" t="s">
        <v>110</v>
      </c>
      <c r="F7348" t="s">
        <v>64</v>
      </c>
      <c r="G7348" t="s">
        <v>921</v>
      </c>
      <c r="H7348" t="s">
        <v>458</v>
      </c>
      <c r="I7348" t="s">
        <v>278</v>
      </c>
      <c r="J7348" t="s">
        <v>139</v>
      </c>
      <c r="K7348" t="s">
        <v>245</v>
      </c>
      <c r="L7348" t="s">
        <v>157</v>
      </c>
      <c r="M7348" t="s">
        <v>175</v>
      </c>
      <c r="N7348" t="s">
        <v>216</v>
      </c>
      <c r="O7348" t="s">
        <v>259</v>
      </c>
      <c r="P7348" t="s">
        <v>190</v>
      </c>
      <c r="Q7348" t="s">
        <v>615</v>
      </c>
      <c r="R7348" t="s">
        <v>140</v>
      </c>
      <c r="S7348" t="s">
        <v>91</v>
      </c>
      <c r="T7348" t="s">
        <v>66</v>
      </c>
    </row>
    <row r="7349" spans="1:21" x14ac:dyDescent="0.3">
      <c r="A7349" t="s">
        <v>29</v>
      </c>
      <c r="B7349">
        <v>871</v>
      </c>
      <c r="C7349" t="s">
        <v>392</v>
      </c>
      <c r="D7349" t="s">
        <v>106</v>
      </c>
      <c r="E7349" t="s">
        <v>208</v>
      </c>
      <c r="F7349" t="s">
        <v>284</v>
      </c>
      <c r="G7349" t="s">
        <v>1023</v>
      </c>
      <c r="H7349" t="s">
        <v>530</v>
      </c>
      <c r="I7349" t="s">
        <v>466</v>
      </c>
      <c r="J7349" t="s">
        <v>120</v>
      </c>
      <c r="K7349" t="s">
        <v>662</v>
      </c>
      <c r="L7349" t="s">
        <v>136</v>
      </c>
      <c r="M7349" t="s">
        <v>162</v>
      </c>
      <c r="N7349" t="s">
        <v>532</v>
      </c>
      <c r="O7349" t="s">
        <v>476</v>
      </c>
      <c r="P7349" t="s">
        <v>62</v>
      </c>
      <c r="Q7349" t="s">
        <v>341</v>
      </c>
      <c r="R7349" t="s">
        <v>62</v>
      </c>
      <c r="S7349" t="s">
        <v>120</v>
      </c>
      <c r="T7349" t="s">
        <v>122</v>
      </c>
    </row>
    <row r="7350" spans="1:21" x14ac:dyDescent="0.3">
      <c r="A7350" t="s">
        <v>28</v>
      </c>
      <c r="B7350">
        <v>351</v>
      </c>
      <c r="C7350" t="s">
        <v>375</v>
      </c>
      <c r="D7350" t="s">
        <v>478</v>
      </c>
      <c r="E7350" t="s">
        <v>217</v>
      </c>
      <c r="F7350" t="s">
        <v>110</v>
      </c>
      <c r="G7350" t="s">
        <v>705</v>
      </c>
      <c r="H7350" t="s">
        <v>666</v>
      </c>
      <c r="I7350" t="s">
        <v>242</v>
      </c>
      <c r="J7350" t="s">
        <v>468</v>
      </c>
      <c r="K7350" t="s">
        <v>282</v>
      </c>
      <c r="L7350" t="s">
        <v>517</v>
      </c>
      <c r="M7350" t="s">
        <v>693</v>
      </c>
      <c r="N7350" t="s">
        <v>217</v>
      </c>
      <c r="O7350" t="s">
        <v>629</v>
      </c>
      <c r="P7350" t="s">
        <v>511</v>
      </c>
      <c r="Q7350" t="s">
        <v>97</v>
      </c>
      <c r="R7350" t="s">
        <v>460</v>
      </c>
      <c r="S7350" t="s">
        <v>103</v>
      </c>
      <c r="T7350" t="s">
        <v>103</v>
      </c>
    </row>
    <row r="7351" spans="1:21" x14ac:dyDescent="0.3">
      <c r="A7351" t="s">
        <v>27</v>
      </c>
      <c r="B7351">
        <v>355</v>
      </c>
      <c r="C7351" t="s">
        <v>1053</v>
      </c>
      <c r="D7351" t="s">
        <v>514</v>
      </c>
      <c r="E7351" t="s">
        <v>438</v>
      </c>
      <c r="F7351" t="s">
        <v>208</v>
      </c>
      <c r="G7351" t="s">
        <v>427</v>
      </c>
      <c r="H7351" t="s">
        <v>2185</v>
      </c>
      <c r="I7351" t="s">
        <v>157</v>
      </c>
      <c r="J7351" t="s">
        <v>103</v>
      </c>
      <c r="K7351" t="s">
        <v>278</v>
      </c>
      <c r="L7351" t="s">
        <v>160</v>
      </c>
      <c r="M7351" t="s">
        <v>188</v>
      </c>
      <c r="N7351" t="s">
        <v>125</v>
      </c>
      <c r="O7351" t="s">
        <v>737</v>
      </c>
      <c r="P7351" t="s">
        <v>114</v>
      </c>
      <c r="Q7351" t="s">
        <v>95</v>
      </c>
      <c r="R7351" t="s">
        <v>169</v>
      </c>
      <c r="S7351" t="s">
        <v>91</v>
      </c>
      <c r="T7351" t="s">
        <v>116</v>
      </c>
    </row>
    <row r="7352" spans="1:21" x14ac:dyDescent="0.3">
      <c r="A7352" t="s">
        <v>41</v>
      </c>
      <c r="B7352">
        <v>3044</v>
      </c>
      <c r="C7352" t="s">
        <v>1034</v>
      </c>
      <c r="D7352" t="s">
        <v>528</v>
      </c>
      <c r="E7352" t="s">
        <v>216</v>
      </c>
      <c r="F7352" t="s">
        <v>591</v>
      </c>
      <c r="G7352" t="s">
        <v>577</v>
      </c>
      <c r="H7352" t="s">
        <v>564</v>
      </c>
      <c r="I7352" t="s">
        <v>94</v>
      </c>
      <c r="J7352" t="s">
        <v>120</v>
      </c>
      <c r="K7352" t="s">
        <v>493</v>
      </c>
      <c r="L7352" t="s">
        <v>918</v>
      </c>
      <c r="M7352" t="s">
        <v>271</v>
      </c>
      <c r="N7352" t="s">
        <v>102</v>
      </c>
      <c r="O7352" t="s">
        <v>697</v>
      </c>
      <c r="P7352" t="s">
        <v>224</v>
      </c>
      <c r="Q7352" t="s">
        <v>128</v>
      </c>
      <c r="R7352" t="s">
        <v>247</v>
      </c>
      <c r="S7352" t="s">
        <v>122</v>
      </c>
      <c r="T7352" t="s">
        <v>116</v>
      </c>
    </row>
    <row r="7354" spans="1:21" x14ac:dyDescent="0.3">
      <c r="A7354" t="s">
        <v>2286</v>
      </c>
    </row>
    <row r="7355" spans="1:21" x14ac:dyDescent="0.3">
      <c r="A7355" t="s">
        <v>36</v>
      </c>
      <c r="B7355" t="s">
        <v>2172</v>
      </c>
      <c r="C7355" t="s">
        <v>24</v>
      </c>
      <c r="D7355" t="s">
        <v>2270</v>
      </c>
      <c r="E7355" t="s">
        <v>2271</v>
      </c>
      <c r="F7355" t="s">
        <v>2272</v>
      </c>
      <c r="G7355" t="s">
        <v>2273</v>
      </c>
      <c r="H7355" t="s">
        <v>2274</v>
      </c>
      <c r="I7355" t="s">
        <v>2275</v>
      </c>
      <c r="J7355" t="s">
        <v>2276</v>
      </c>
      <c r="K7355" t="s">
        <v>2277</v>
      </c>
      <c r="L7355" t="s">
        <v>2278</v>
      </c>
      <c r="M7355" t="s">
        <v>2279</v>
      </c>
      <c r="N7355" t="s">
        <v>2280</v>
      </c>
      <c r="O7355" t="s">
        <v>2281</v>
      </c>
      <c r="P7355" t="s">
        <v>2282</v>
      </c>
      <c r="Q7355" t="s">
        <v>2283</v>
      </c>
      <c r="R7355" t="s">
        <v>2284</v>
      </c>
      <c r="S7355" t="s">
        <v>848</v>
      </c>
      <c r="T7355" t="s">
        <v>181</v>
      </c>
      <c r="U7355" t="s">
        <v>2285</v>
      </c>
    </row>
    <row r="7356" spans="1:21" s="3" customFormat="1" x14ac:dyDescent="0.3">
      <c r="A7356" s="3" t="s">
        <v>25</v>
      </c>
      <c r="B7356" s="3" t="s">
        <v>844</v>
      </c>
      <c r="C7356" s="3">
        <v>17</v>
      </c>
      <c r="D7356" s="3" t="s">
        <v>397</v>
      </c>
      <c r="E7356" s="3" t="s">
        <v>900</v>
      </c>
      <c r="F7356" s="3" t="s">
        <v>103</v>
      </c>
      <c r="G7356" s="3" t="s">
        <v>32</v>
      </c>
      <c r="H7356" s="3" t="s">
        <v>103</v>
      </c>
      <c r="I7356" s="3" t="s">
        <v>103</v>
      </c>
      <c r="J7356" s="3" t="s">
        <v>103</v>
      </c>
      <c r="K7356" s="3" t="s">
        <v>103</v>
      </c>
      <c r="L7356" s="3" t="s">
        <v>190</v>
      </c>
      <c r="M7356" s="3" t="s">
        <v>186</v>
      </c>
      <c r="N7356" s="3" t="s">
        <v>103</v>
      </c>
      <c r="O7356" s="3" t="s">
        <v>103</v>
      </c>
      <c r="P7356" s="3" t="s">
        <v>391</v>
      </c>
      <c r="Q7356" s="3" t="s">
        <v>485</v>
      </c>
      <c r="R7356" s="3" t="s">
        <v>112</v>
      </c>
      <c r="S7356" s="3" t="s">
        <v>171</v>
      </c>
      <c r="T7356" s="3" t="s">
        <v>103</v>
      </c>
      <c r="U7356" s="3" t="s">
        <v>103</v>
      </c>
    </row>
    <row r="7357" spans="1:21" s="3" customFormat="1" x14ac:dyDescent="0.3">
      <c r="A7357" s="3" t="s">
        <v>25</v>
      </c>
      <c r="B7357" s="3" t="s">
        <v>2173</v>
      </c>
      <c r="C7357" s="3">
        <v>24</v>
      </c>
      <c r="D7357" s="3" t="s">
        <v>1209</v>
      </c>
      <c r="E7357" s="3" t="s">
        <v>1223</v>
      </c>
      <c r="F7357" s="3" t="s">
        <v>103</v>
      </c>
      <c r="G7357" s="3" t="s">
        <v>103</v>
      </c>
      <c r="H7357" s="3" t="s">
        <v>103</v>
      </c>
      <c r="I7357" s="3" t="s">
        <v>103</v>
      </c>
      <c r="J7357" s="3" t="s">
        <v>103</v>
      </c>
      <c r="K7357" s="3" t="s">
        <v>103</v>
      </c>
      <c r="L7357" s="3" t="s">
        <v>571</v>
      </c>
      <c r="M7357" s="3" t="s">
        <v>467</v>
      </c>
      <c r="N7357" s="3" t="s">
        <v>110</v>
      </c>
      <c r="O7357" s="3" t="s">
        <v>103</v>
      </c>
      <c r="P7357" s="3" t="s">
        <v>399</v>
      </c>
      <c r="Q7357" s="3" t="s">
        <v>103</v>
      </c>
      <c r="R7357" s="3" t="s">
        <v>517</v>
      </c>
      <c r="S7357" s="3" t="s">
        <v>123</v>
      </c>
      <c r="T7357" s="3" t="s">
        <v>103</v>
      </c>
      <c r="U7357" s="3" t="s">
        <v>103</v>
      </c>
    </row>
    <row r="7358" spans="1:21" s="3" customFormat="1" x14ac:dyDescent="0.3">
      <c r="A7358" s="3" t="s">
        <v>25</v>
      </c>
      <c r="B7358" s="3" t="s">
        <v>2174</v>
      </c>
      <c r="C7358" s="3">
        <v>14</v>
      </c>
      <c r="D7358" s="3" t="s">
        <v>1071</v>
      </c>
      <c r="E7358" s="3" t="s">
        <v>103</v>
      </c>
      <c r="F7358" s="3" t="s">
        <v>103</v>
      </c>
      <c r="G7358" s="3" t="s">
        <v>575</v>
      </c>
      <c r="H7358" s="3" t="s">
        <v>103</v>
      </c>
      <c r="I7358" s="3" t="s">
        <v>103</v>
      </c>
      <c r="J7358" s="3" t="s">
        <v>103</v>
      </c>
      <c r="K7358" s="3" t="s">
        <v>103</v>
      </c>
      <c r="L7358" s="3" t="s">
        <v>511</v>
      </c>
      <c r="M7358" s="3" t="s">
        <v>148</v>
      </c>
      <c r="N7358" s="3" t="s">
        <v>103</v>
      </c>
      <c r="O7358" s="3" t="s">
        <v>103</v>
      </c>
      <c r="P7358" s="3" t="s">
        <v>1545</v>
      </c>
      <c r="Q7358" s="3" t="s">
        <v>103</v>
      </c>
      <c r="R7358" s="3" t="s">
        <v>103</v>
      </c>
      <c r="S7358" s="3" t="s">
        <v>99</v>
      </c>
      <c r="T7358" s="3" t="s">
        <v>103</v>
      </c>
      <c r="U7358" s="3" t="s">
        <v>103</v>
      </c>
    </row>
    <row r="7359" spans="1:21" s="3" customFormat="1" x14ac:dyDescent="0.3">
      <c r="A7359" s="3" t="s">
        <v>25</v>
      </c>
      <c r="B7359" s="3" t="s">
        <v>2175</v>
      </c>
      <c r="C7359" s="3">
        <v>11</v>
      </c>
      <c r="D7359" s="3" t="s">
        <v>1578</v>
      </c>
      <c r="E7359" s="3" t="s">
        <v>666</v>
      </c>
      <c r="F7359" s="3" t="s">
        <v>103</v>
      </c>
      <c r="G7359" s="3" t="s">
        <v>103</v>
      </c>
      <c r="H7359" s="3" t="s">
        <v>103</v>
      </c>
      <c r="I7359" s="3" t="s">
        <v>103</v>
      </c>
      <c r="J7359" s="3" t="s">
        <v>103</v>
      </c>
      <c r="K7359" s="3" t="s">
        <v>103</v>
      </c>
      <c r="L7359" s="3" t="s">
        <v>152</v>
      </c>
      <c r="M7359" s="3" t="s">
        <v>103</v>
      </c>
      <c r="N7359" s="3" t="s">
        <v>103</v>
      </c>
      <c r="O7359" s="3" t="s">
        <v>103</v>
      </c>
      <c r="P7359" s="3" t="s">
        <v>1205</v>
      </c>
      <c r="Q7359" s="3" t="s">
        <v>580</v>
      </c>
      <c r="R7359" s="3" t="s">
        <v>103</v>
      </c>
      <c r="S7359" s="3" t="s">
        <v>152</v>
      </c>
      <c r="T7359" s="3" t="s">
        <v>103</v>
      </c>
      <c r="U7359" s="3" t="s">
        <v>103</v>
      </c>
    </row>
    <row r="7360" spans="1:21" x14ac:dyDescent="0.3">
      <c r="A7360" t="s">
        <v>25</v>
      </c>
      <c r="B7360" t="s">
        <v>2176</v>
      </c>
      <c r="C7360">
        <v>120</v>
      </c>
      <c r="D7360" t="s">
        <v>817</v>
      </c>
      <c r="E7360" t="s">
        <v>253</v>
      </c>
      <c r="F7360" t="s">
        <v>103</v>
      </c>
      <c r="G7360" t="s">
        <v>217</v>
      </c>
      <c r="H7360" t="s">
        <v>524</v>
      </c>
      <c r="I7360" t="s">
        <v>50</v>
      </c>
      <c r="J7360" t="s">
        <v>468</v>
      </c>
      <c r="K7360" t="s">
        <v>245</v>
      </c>
      <c r="L7360" t="s">
        <v>64</v>
      </c>
      <c r="M7360" t="s">
        <v>234</v>
      </c>
      <c r="N7360" t="s">
        <v>281</v>
      </c>
      <c r="O7360" t="s">
        <v>272</v>
      </c>
      <c r="P7360" t="s">
        <v>554</v>
      </c>
      <c r="Q7360" t="s">
        <v>137</v>
      </c>
      <c r="R7360" t="s">
        <v>282</v>
      </c>
      <c r="S7360" t="s">
        <v>524</v>
      </c>
      <c r="T7360" t="s">
        <v>103</v>
      </c>
      <c r="U7360" t="s">
        <v>103</v>
      </c>
    </row>
    <row r="7361" spans="1:21" x14ac:dyDescent="0.3">
      <c r="A7361" t="s">
        <v>25</v>
      </c>
      <c r="B7361" t="s">
        <v>2177</v>
      </c>
      <c r="C7361">
        <v>122</v>
      </c>
      <c r="D7361" t="s">
        <v>225</v>
      </c>
      <c r="E7361" t="s">
        <v>550</v>
      </c>
      <c r="F7361" t="s">
        <v>120</v>
      </c>
      <c r="G7361" t="s">
        <v>125</v>
      </c>
      <c r="H7361" t="s">
        <v>604</v>
      </c>
      <c r="I7361" t="s">
        <v>368</v>
      </c>
      <c r="J7361" t="s">
        <v>737</v>
      </c>
      <c r="K7361" t="s">
        <v>103</v>
      </c>
      <c r="L7361" t="s">
        <v>208</v>
      </c>
      <c r="M7361" t="s">
        <v>543</v>
      </c>
      <c r="N7361" t="s">
        <v>925</v>
      </c>
      <c r="O7361" t="s">
        <v>284</v>
      </c>
      <c r="P7361" t="s">
        <v>475</v>
      </c>
      <c r="Q7361" t="s">
        <v>62</v>
      </c>
      <c r="R7361" t="s">
        <v>103</v>
      </c>
      <c r="S7361" t="s">
        <v>459</v>
      </c>
      <c r="T7361" t="s">
        <v>282</v>
      </c>
      <c r="U7361" t="s">
        <v>103</v>
      </c>
    </row>
    <row r="7362" spans="1:21" x14ac:dyDescent="0.3">
      <c r="A7362" t="s">
        <v>25</v>
      </c>
      <c r="B7362" t="s">
        <v>2178</v>
      </c>
      <c r="C7362">
        <v>143</v>
      </c>
      <c r="D7362" t="s">
        <v>1021</v>
      </c>
      <c r="E7362" t="s">
        <v>90</v>
      </c>
      <c r="F7362" t="s">
        <v>120</v>
      </c>
      <c r="G7362" t="s">
        <v>452</v>
      </c>
      <c r="H7362" t="s">
        <v>2185</v>
      </c>
      <c r="I7362" t="s">
        <v>156</v>
      </c>
      <c r="J7362" t="s">
        <v>228</v>
      </c>
      <c r="K7362" t="s">
        <v>103</v>
      </c>
      <c r="L7362" t="s">
        <v>122</v>
      </c>
      <c r="M7362" t="s">
        <v>1082</v>
      </c>
      <c r="N7362" t="s">
        <v>809</v>
      </c>
      <c r="O7362" t="s">
        <v>737</v>
      </c>
      <c r="P7362" t="s">
        <v>119</v>
      </c>
      <c r="Q7362" t="s">
        <v>99</v>
      </c>
      <c r="R7362" t="s">
        <v>105</v>
      </c>
      <c r="S7362" t="s">
        <v>531</v>
      </c>
      <c r="T7362" t="s">
        <v>98</v>
      </c>
      <c r="U7362" t="s">
        <v>103</v>
      </c>
    </row>
    <row r="7363" spans="1:21" s="3" customFormat="1" x14ac:dyDescent="0.3">
      <c r="A7363" s="3" t="s">
        <v>25</v>
      </c>
      <c r="B7363" s="3" t="s">
        <v>846</v>
      </c>
      <c r="C7363" s="3">
        <v>28</v>
      </c>
      <c r="D7363" s="3" t="s">
        <v>1258</v>
      </c>
      <c r="E7363" s="3" t="s">
        <v>482</v>
      </c>
      <c r="F7363" s="3" t="s">
        <v>103</v>
      </c>
      <c r="G7363" s="3" t="s">
        <v>103</v>
      </c>
      <c r="H7363" s="3" t="s">
        <v>125</v>
      </c>
      <c r="I7363" s="3" t="s">
        <v>103</v>
      </c>
      <c r="J7363" s="3" t="s">
        <v>103</v>
      </c>
      <c r="K7363" s="3" t="s">
        <v>103</v>
      </c>
      <c r="L7363" s="3" t="s">
        <v>270</v>
      </c>
      <c r="M7363" s="3" t="s">
        <v>101</v>
      </c>
      <c r="N7363" s="3" t="s">
        <v>257</v>
      </c>
      <c r="O7363" s="3" t="s">
        <v>103</v>
      </c>
      <c r="P7363" s="3" t="s">
        <v>367</v>
      </c>
      <c r="Q7363" s="3" t="s">
        <v>108</v>
      </c>
      <c r="R7363" s="3" t="s">
        <v>103</v>
      </c>
      <c r="S7363" s="3" t="s">
        <v>918</v>
      </c>
      <c r="T7363" s="3" t="s">
        <v>575</v>
      </c>
      <c r="U7363" s="3" t="s">
        <v>103</v>
      </c>
    </row>
    <row r="7364" spans="1:21" s="3" customFormat="1" x14ac:dyDescent="0.3">
      <c r="A7364" s="3" t="s">
        <v>25</v>
      </c>
      <c r="B7364" s="3" t="s">
        <v>2179</v>
      </c>
      <c r="C7364" s="3">
        <v>29</v>
      </c>
      <c r="D7364" s="3" t="s">
        <v>1418</v>
      </c>
      <c r="E7364" s="3" t="s">
        <v>578</v>
      </c>
      <c r="F7364" s="3" t="s">
        <v>103</v>
      </c>
      <c r="G7364" s="3" t="s">
        <v>114</v>
      </c>
      <c r="H7364" s="3" t="s">
        <v>103</v>
      </c>
      <c r="I7364" s="3" t="s">
        <v>103</v>
      </c>
      <c r="J7364" s="3" t="s">
        <v>186</v>
      </c>
      <c r="K7364" s="3" t="s">
        <v>103</v>
      </c>
      <c r="L7364" s="3" t="s">
        <v>103</v>
      </c>
      <c r="M7364" s="3" t="s">
        <v>100</v>
      </c>
      <c r="N7364" s="3" t="s">
        <v>191</v>
      </c>
      <c r="O7364" s="3" t="s">
        <v>103</v>
      </c>
      <c r="P7364" s="3" t="s">
        <v>537</v>
      </c>
      <c r="Q7364" s="3" t="s">
        <v>254</v>
      </c>
      <c r="R7364" s="3" t="s">
        <v>103</v>
      </c>
      <c r="S7364" s="3" t="s">
        <v>60</v>
      </c>
      <c r="T7364" s="3" t="s">
        <v>103</v>
      </c>
      <c r="U7364" s="3" t="s">
        <v>103</v>
      </c>
    </row>
    <row r="7365" spans="1:21" s="3" customFormat="1" x14ac:dyDescent="0.3">
      <c r="A7365" s="3" t="s">
        <v>25</v>
      </c>
      <c r="B7365" s="3" t="s">
        <v>2180</v>
      </c>
      <c r="C7365" s="3">
        <v>15</v>
      </c>
      <c r="D7365" s="3" t="s">
        <v>1509</v>
      </c>
      <c r="E7365" s="3" t="s">
        <v>301</v>
      </c>
      <c r="F7365" s="3" t="s">
        <v>103</v>
      </c>
      <c r="G7365" s="3" t="s">
        <v>103</v>
      </c>
      <c r="H7365" s="3" t="s">
        <v>103</v>
      </c>
      <c r="I7365" s="3" t="s">
        <v>103</v>
      </c>
      <c r="J7365" s="3" t="s">
        <v>103</v>
      </c>
      <c r="K7365" s="3" t="s">
        <v>103</v>
      </c>
      <c r="L7365" s="3" t="s">
        <v>103</v>
      </c>
      <c r="M7365" s="3" t="s">
        <v>103</v>
      </c>
      <c r="N7365" s="3" t="s">
        <v>128</v>
      </c>
      <c r="O7365" s="3" t="s">
        <v>103</v>
      </c>
      <c r="P7365" s="3" t="s">
        <v>427</v>
      </c>
      <c r="Q7365" s="3" t="s">
        <v>103</v>
      </c>
      <c r="R7365" s="3" t="s">
        <v>103</v>
      </c>
      <c r="S7365" s="3" t="s">
        <v>270</v>
      </c>
      <c r="T7365" s="3" t="s">
        <v>103</v>
      </c>
      <c r="U7365" s="3" t="s">
        <v>103</v>
      </c>
    </row>
    <row r="7366" spans="1:21" s="3" customFormat="1" x14ac:dyDescent="0.3">
      <c r="A7366" s="3" t="s">
        <v>25</v>
      </c>
      <c r="B7366" s="3" t="s">
        <v>2181</v>
      </c>
      <c r="C7366" s="3">
        <v>11</v>
      </c>
      <c r="D7366" s="3" t="s">
        <v>992</v>
      </c>
      <c r="E7366" s="3" t="s">
        <v>228</v>
      </c>
      <c r="F7366" s="3" t="s">
        <v>103</v>
      </c>
      <c r="G7366" s="3" t="s">
        <v>555</v>
      </c>
      <c r="H7366" s="3" t="s">
        <v>103</v>
      </c>
      <c r="I7366" s="3" t="s">
        <v>103</v>
      </c>
      <c r="J7366" s="3" t="s">
        <v>164</v>
      </c>
      <c r="K7366" s="3" t="s">
        <v>103</v>
      </c>
      <c r="L7366" s="3" t="s">
        <v>103</v>
      </c>
      <c r="M7366" s="3" t="s">
        <v>103</v>
      </c>
      <c r="N7366" s="3" t="s">
        <v>103</v>
      </c>
      <c r="O7366" s="3" t="s">
        <v>103</v>
      </c>
      <c r="P7366" s="3" t="s">
        <v>530</v>
      </c>
      <c r="Q7366" s="3" t="s">
        <v>205</v>
      </c>
      <c r="R7366" s="3" t="s">
        <v>103</v>
      </c>
      <c r="S7366" s="3" t="s">
        <v>162</v>
      </c>
      <c r="T7366" s="3" t="s">
        <v>103</v>
      </c>
      <c r="U7366" s="3" t="s">
        <v>103</v>
      </c>
    </row>
    <row r="7367" spans="1:21" x14ac:dyDescent="0.3">
      <c r="A7367" t="s">
        <v>25</v>
      </c>
      <c r="B7367" t="s">
        <v>2182</v>
      </c>
      <c r="C7367">
        <v>50</v>
      </c>
      <c r="D7367" t="s">
        <v>593</v>
      </c>
      <c r="E7367" t="s">
        <v>565</v>
      </c>
      <c r="F7367" t="s">
        <v>103</v>
      </c>
      <c r="G7367" t="s">
        <v>103</v>
      </c>
      <c r="H7367" t="s">
        <v>123</v>
      </c>
      <c r="I7367" t="s">
        <v>1083</v>
      </c>
      <c r="J7367" t="s">
        <v>591</v>
      </c>
      <c r="K7367" t="s">
        <v>103</v>
      </c>
      <c r="L7367" t="s">
        <v>139</v>
      </c>
      <c r="M7367" t="s">
        <v>144</v>
      </c>
      <c r="N7367" t="s">
        <v>524</v>
      </c>
      <c r="O7367" t="s">
        <v>103</v>
      </c>
      <c r="P7367" t="s">
        <v>48</v>
      </c>
      <c r="Q7367" t="s">
        <v>813</v>
      </c>
      <c r="R7367" t="s">
        <v>103</v>
      </c>
      <c r="S7367" t="s">
        <v>554</v>
      </c>
      <c r="T7367" t="s">
        <v>103</v>
      </c>
      <c r="U7367" t="s">
        <v>103</v>
      </c>
    </row>
    <row r="7368" spans="1:21" x14ac:dyDescent="0.3">
      <c r="A7368" t="s">
        <v>25</v>
      </c>
      <c r="B7368" t="s">
        <v>2183</v>
      </c>
      <c r="C7368">
        <v>58</v>
      </c>
      <c r="D7368" t="s">
        <v>1041</v>
      </c>
      <c r="E7368" t="s">
        <v>269</v>
      </c>
      <c r="F7368" t="s">
        <v>128</v>
      </c>
      <c r="G7368" t="s">
        <v>205</v>
      </c>
      <c r="H7368" t="s">
        <v>943</v>
      </c>
      <c r="I7368" t="s">
        <v>1556</v>
      </c>
      <c r="J7368" t="s">
        <v>101</v>
      </c>
      <c r="K7368" t="s">
        <v>103</v>
      </c>
      <c r="L7368" t="s">
        <v>103</v>
      </c>
      <c r="M7368" t="s">
        <v>575</v>
      </c>
      <c r="N7368" t="s">
        <v>130</v>
      </c>
      <c r="O7368" t="s">
        <v>103</v>
      </c>
      <c r="P7368" t="s">
        <v>155</v>
      </c>
      <c r="Q7368" t="s">
        <v>103</v>
      </c>
      <c r="R7368" t="s">
        <v>103</v>
      </c>
      <c r="S7368" t="s">
        <v>460</v>
      </c>
      <c r="T7368" t="s">
        <v>103</v>
      </c>
      <c r="U7368" t="s">
        <v>128</v>
      </c>
    </row>
    <row r="7369" spans="1:21" x14ac:dyDescent="0.3">
      <c r="A7369" t="s">
        <v>25</v>
      </c>
      <c r="B7369" t="s">
        <v>2184</v>
      </c>
      <c r="C7369">
        <v>51</v>
      </c>
      <c r="D7369" t="s">
        <v>1558</v>
      </c>
      <c r="E7369" t="s">
        <v>123</v>
      </c>
      <c r="F7369" t="s">
        <v>95</v>
      </c>
      <c r="G7369" t="s">
        <v>103</v>
      </c>
      <c r="H7369" t="s">
        <v>1358</v>
      </c>
      <c r="I7369" t="s">
        <v>1064</v>
      </c>
      <c r="J7369" t="s">
        <v>687</v>
      </c>
      <c r="K7369" t="s">
        <v>103</v>
      </c>
      <c r="L7369" t="s">
        <v>103</v>
      </c>
      <c r="M7369" t="s">
        <v>284</v>
      </c>
      <c r="N7369" t="s">
        <v>62</v>
      </c>
      <c r="O7369" t="s">
        <v>113</v>
      </c>
      <c r="P7369" t="s">
        <v>32</v>
      </c>
      <c r="Q7369" t="s">
        <v>103</v>
      </c>
      <c r="R7369" t="s">
        <v>103</v>
      </c>
      <c r="S7369" t="s">
        <v>662</v>
      </c>
      <c r="T7369" t="s">
        <v>103</v>
      </c>
      <c r="U7369" t="s">
        <v>103</v>
      </c>
    </row>
    <row r="7370" spans="1:21" s="3" customFormat="1" x14ac:dyDescent="0.3">
      <c r="A7370" s="3" t="s">
        <v>26</v>
      </c>
      <c r="B7370" s="3" t="s">
        <v>844</v>
      </c>
      <c r="C7370" s="3">
        <v>20</v>
      </c>
      <c r="D7370" s="3" t="s">
        <v>1094</v>
      </c>
      <c r="E7370" s="3" t="s">
        <v>493</v>
      </c>
      <c r="F7370" s="3" t="s">
        <v>103</v>
      </c>
      <c r="G7370" s="3" t="s">
        <v>103</v>
      </c>
      <c r="H7370" s="3" t="s">
        <v>60</v>
      </c>
      <c r="I7370" s="3" t="s">
        <v>103</v>
      </c>
      <c r="J7370" s="3" t="s">
        <v>493</v>
      </c>
      <c r="K7370" s="3" t="s">
        <v>103</v>
      </c>
      <c r="L7370" s="3" t="s">
        <v>438</v>
      </c>
      <c r="M7370" s="3" t="s">
        <v>148</v>
      </c>
      <c r="N7370" s="3" t="s">
        <v>119</v>
      </c>
      <c r="O7370" s="3" t="s">
        <v>103</v>
      </c>
      <c r="P7370" s="3" t="s">
        <v>1012</v>
      </c>
      <c r="Q7370" s="3" t="s">
        <v>473</v>
      </c>
      <c r="R7370" s="3" t="s">
        <v>615</v>
      </c>
      <c r="S7370" s="3" t="s">
        <v>615</v>
      </c>
      <c r="T7370" s="3" t="s">
        <v>103</v>
      </c>
      <c r="U7370" s="3" t="s">
        <v>103</v>
      </c>
    </row>
    <row r="7371" spans="1:21" x14ac:dyDescent="0.3">
      <c r="A7371" t="s">
        <v>26</v>
      </c>
      <c r="B7371" t="s">
        <v>2173</v>
      </c>
      <c r="C7371">
        <v>36</v>
      </c>
      <c r="D7371" t="s">
        <v>740</v>
      </c>
      <c r="E7371" t="s">
        <v>820</v>
      </c>
      <c r="F7371" t="s">
        <v>103</v>
      </c>
      <c r="G7371" t="s">
        <v>281</v>
      </c>
      <c r="H7371" t="s">
        <v>662</v>
      </c>
      <c r="I7371" t="s">
        <v>103</v>
      </c>
      <c r="J7371" t="s">
        <v>103</v>
      </c>
      <c r="K7371" t="s">
        <v>103</v>
      </c>
      <c r="L7371" t="s">
        <v>103</v>
      </c>
      <c r="M7371" t="s">
        <v>103</v>
      </c>
      <c r="N7371" t="s">
        <v>579</v>
      </c>
      <c r="O7371" t="s">
        <v>103</v>
      </c>
      <c r="P7371" t="s">
        <v>703</v>
      </c>
      <c r="Q7371" t="s">
        <v>750</v>
      </c>
      <c r="R7371" t="s">
        <v>103</v>
      </c>
      <c r="S7371" t="s">
        <v>519</v>
      </c>
      <c r="T7371" t="s">
        <v>103</v>
      </c>
      <c r="U7371" t="s">
        <v>103</v>
      </c>
    </row>
    <row r="7372" spans="1:21" s="3" customFormat="1" x14ac:dyDescent="0.3">
      <c r="A7372" s="3" t="s">
        <v>26</v>
      </c>
      <c r="B7372" s="3" t="s">
        <v>2174</v>
      </c>
      <c r="C7372" s="3">
        <v>20</v>
      </c>
      <c r="D7372" s="3" t="s">
        <v>147</v>
      </c>
      <c r="E7372" s="3" t="s">
        <v>516</v>
      </c>
      <c r="F7372" s="3" t="s">
        <v>103</v>
      </c>
      <c r="G7372" s="3" t="s">
        <v>103</v>
      </c>
      <c r="H7372" s="3" t="s">
        <v>103</v>
      </c>
      <c r="I7372" s="3" t="s">
        <v>103</v>
      </c>
      <c r="J7372" s="3" t="s">
        <v>103</v>
      </c>
      <c r="K7372" s="3" t="s">
        <v>103</v>
      </c>
      <c r="L7372" s="3" t="s">
        <v>103</v>
      </c>
      <c r="M7372" s="3" t="s">
        <v>103</v>
      </c>
      <c r="N7372" s="3" t="s">
        <v>232</v>
      </c>
      <c r="O7372" s="3" t="s">
        <v>103</v>
      </c>
      <c r="P7372" s="3" t="s">
        <v>204</v>
      </c>
      <c r="Q7372" s="3" t="s">
        <v>32</v>
      </c>
      <c r="R7372" s="3" t="s">
        <v>103</v>
      </c>
      <c r="S7372" s="3" t="s">
        <v>661</v>
      </c>
      <c r="T7372" s="3" t="s">
        <v>103</v>
      </c>
      <c r="U7372" s="3" t="s">
        <v>103</v>
      </c>
    </row>
    <row r="7373" spans="1:21" s="3" customFormat="1" x14ac:dyDescent="0.3">
      <c r="A7373" s="3" t="s">
        <v>26</v>
      </c>
      <c r="B7373" s="3" t="s">
        <v>2175</v>
      </c>
      <c r="C7373" s="3">
        <v>15</v>
      </c>
      <c r="D7373" s="3" t="s">
        <v>1259</v>
      </c>
      <c r="E7373" s="3" t="s">
        <v>660</v>
      </c>
      <c r="F7373" s="3" t="s">
        <v>103</v>
      </c>
      <c r="G7373" s="3" t="s">
        <v>103</v>
      </c>
      <c r="H7373" s="3" t="s">
        <v>103</v>
      </c>
      <c r="I7373" s="3" t="s">
        <v>482</v>
      </c>
      <c r="J7373" s="3" t="s">
        <v>103</v>
      </c>
      <c r="K7373" s="3" t="s">
        <v>103</v>
      </c>
      <c r="L7373" s="3" t="s">
        <v>103</v>
      </c>
      <c r="M7373" s="3" t="s">
        <v>532</v>
      </c>
      <c r="N7373" s="3" t="s">
        <v>103</v>
      </c>
      <c r="O7373" s="3" t="s">
        <v>103</v>
      </c>
      <c r="P7373" s="3" t="s">
        <v>532</v>
      </c>
      <c r="Q7373" s="3" t="s">
        <v>119</v>
      </c>
      <c r="R7373" s="3" t="s">
        <v>103</v>
      </c>
      <c r="S7373" s="3" t="s">
        <v>482</v>
      </c>
      <c r="T7373" s="3" t="s">
        <v>103</v>
      </c>
      <c r="U7373" s="3" t="s">
        <v>103</v>
      </c>
    </row>
    <row r="7374" spans="1:21" x14ac:dyDescent="0.3">
      <c r="A7374" t="s">
        <v>26</v>
      </c>
      <c r="B7374" t="s">
        <v>2176</v>
      </c>
      <c r="C7374">
        <v>137</v>
      </c>
      <c r="D7374" t="s">
        <v>790</v>
      </c>
      <c r="E7374" t="s">
        <v>54</v>
      </c>
      <c r="F7374" t="s">
        <v>120</v>
      </c>
      <c r="G7374" t="s">
        <v>245</v>
      </c>
      <c r="H7374" t="s">
        <v>106</v>
      </c>
      <c r="I7374" t="s">
        <v>819</v>
      </c>
      <c r="J7374" t="s">
        <v>282</v>
      </c>
      <c r="K7374" t="s">
        <v>467</v>
      </c>
      <c r="L7374" t="s">
        <v>125</v>
      </c>
      <c r="M7374" t="s">
        <v>474</v>
      </c>
      <c r="N7374" t="s">
        <v>737</v>
      </c>
      <c r="O7374" t="s">
        <v>591</v>
      </c>
      <c r="P7374" t="s">
        <v>526</v>
      </c>
      <c r="Q7374" t="s">
        <v>191</v>
      </c>
      <c r="R7374" t="s">
        <v>468</v>
      </c>
      <c r="S7374" t="s">
        <v>549</v>
      </c>
      <c r="T7374" t="s">
        <v>95</v>
      </c>
      <c r="U7374" t="s">
        <v>103</v>
      </c>
    </row>
    <row r="7375" spans="1:21" x14ac:dyDescent="0.3">
      <c r="A7375" t="s">
        <v>26</v>
      </c>
      <c r="B7375" t="s">
        <v>2177</v>
      </c>
      <c r="C7375">
        <v>133</v>
      </c>
      <c r="D7375" t="s">
        <v>822</v>
      </c>
      <c r="E7375" t="s">
        <v>119</v>
      </c>
      <c r="F7375" t="s">
        <v>98</v>
      </c>
      <c r="G7375" t="s">
        <v>64</v>
      </c>
      <c r="H7375" t="s">
        <v>391</v>
      </c>
      <c r="I7375" t="s">
        <v>430</v>
      </c>
      <c r="J7375" t="s">
        <v>60</v>
      </c>
      <c r="K7375" t="s">
        <v>103</v>
      </c>
      <c r="L7375" t="s">
        <v>66</v>
      </c>
      <c r="M7375" t="s">
        <v>695</v>
      </c>
      <c r="N7375" t="s">
        <v>925</v>
      </c>
      <c r="O7375" t="s">
        <v>110</v>
      </c>
      <c r="P7375" t="s">
        <v>119</v>
      </c>
      <c r="Q7375" t="s">
        <v>32</v>
      </c>
      <c r="R7375" t="s">
        <v>117</v>
      </c>
      <c r="S7375" t="s">
        <v>114</v>
      </c>
      <c r="T7375" t="s">
        <v>103</v>
      </c>
      <c r="U7375" t="s">
        <v>103</v>
      </c>
    </row>
    <row r="7376" spans="1:21" x14ac:dyDescent="0.3">
      <c r="A7376" t="s">
        <v>26</v>
      </c>
      <c r="B7376" t="s">
        <v>2178</v>
      </c>
      <c r="C7376">
        <v>137</v>
      </c>
      <c r="D7376" t="s">
        <v>1221</v>
      </c>
      <c r="E7376" t="s">
        <v>571</v>
      </c>
      <c r="F7376" t="s">
        <v>214</v>
      </c>
      <c r="G7376" t="s">
        <v>102</v>
      </c>
      <c r="H7376" t="s">
        <v>931</v>
      </c>
      <c r="I7376" t="s">
        <v>822</v>
      </c>
      <c r="J7376" t="s">
        <v>104</v>
      </c>
      <c r="K7376" t="s">
        <v>139</v>
      </c>
      <c r="L7376" t="s">
        <v>282</v>
      </c>
      <c r="M7376" t="s">
        <v>469</v>
      </c>
      <c r="N7376" t="s">
        <v>807</v>
      </c>
      <c r="O7376" t="s">
        <v>118</v>
      </c>
      <c r="P7376" t="s">
        <v>652</v>
      </c>
      <c r="Q7376" t="s">
        <v>118</v>
      </c>
      <c r="R7376" t="s">
        <v>242</v>
      </c>
      <c r="S7376" t="s">
        <v>33</v>
      </c>
      <c r="T7376" t="s">
        <v>103</v>
      </c>
      <c r="U7376" t="s">
        <v>103</v>
      </c>
    </row>
    <row r="7377" spans="1:21" s="3" customFormat="1" x14ac:dyDescent="0.3">
      <c r="A7377" s="3" t="s">
        <v>26</v>
      </c>
      <c r="B7377" s="3" t="s">
        <v>846</v>
      </c>
      <c r="C7377" s="3">
        <v>27</v>
      </c>
      <c r="D7377" s="3" t="s">
        <v>994</v>
      </c>
      <c r="E7377" s="3" t="s">
        <v>460</v>
      </c>
      <c r="F7377" s="3" t="s">
        <v>103</v>
      </c>
      <c r="G7377" s="3" t="s">
        <v>103</v>
      </c>
      <c r="H7377" s="3" t="s">
        <v>103</v>
      </c>
      <c r="I7377" s="3" t="s">
        <v>103</v>
      </c>
      <c r="J7377" s="3" t="s">
        <v>103</v>
      </c>
      <c r="K7377" s="3" t="s">
        <v>103</v>
      </c>
      <c r="L7377" s="3" t="s">
        <v>103</v>
      </c>
      <c r="M7377" s="3" t="s">
        <v>217</v>
      </c>
      <c r="N7377" s="3" t="s">
        <v>224</v>
      </c>
      <c r="O7377" s="3" t="s">
        <v>103</v>
      </c>
      <c r="P7377" s="3" t="s">
        <v>1034</v>
      </c>
      <c r="Q7377" s="3" t="s">
        <v>695</v>
      </c>
      <c r="R7377" s="3" t="s">
        <v>103</v>
      </c>
      <c r="S7377" s="3" t="s">
        <v>103</v>
      </c>
      <c r="T7377" s="3" t="s">
        <v>103</v>
      </c>
      <c r="U7377" s="3" t="s">
        <v>103</v>
      </c>
    </row>
    <row r="7378" spans="1:21" s="3" customFormat="1" x14ac:dyDescent="0.3">
      <c r="A7378" s="3" t="s">
        <v>26</v>
      </c>
      <c r="B7378" s="3" t="s">
        <v>2179</v>
      </c>
      <c r="C7378" s="3">
        <v>29</v>
      </c>
      <c r="D7378" s="3" t="s">
        <v>886</v>
      </c>
      <c r="E7378" s="3" t="s">
        <v>829</v>
      </c>
      <c r="F7378" s="3" t="s">
        <v>103</v>
      </c>
      <c r="G7378" s="3" t="s">
        <v>452</v>
      </c>
      <c r="H7378" s="3" t="s">
        <v>103</v>
      </c>
      <c r="I7378" s="3" t="s">
        <v>662</v>
      </c>
      <c r="J7378" s="3" t="s">
        <v>103</v>
      </c>
      <c r="K7378" s="3" t="s">
        <v>103</v>
      </c>
      <c r="L7378" s="3" t="s">
        <v>103</v>
      </c>
      <c r="M7378" s="3" t="s">
        <v>103</v>
      </c>
      <c r="N7378" s="3" t="s">
        <v>270</v>
      </c>
      <c r="O7378" s="3" t="s">
        <v>103</v>
      </c>
      <c r="P7378" s="3" t="s">
        <v>1555</v>
      </c>
      <c r="Q7378" s="3" t="s">
        <v>270</v>
      </c>
      <c r="R7378" s="3" t="s">
        <v>103</v>
      </c>
      <c r="S7378" s="3" t="s">
        <v>103</v>
      </c>
      <c r="T7378" s="3" t="s">
        <v>103</v>
      </c>
      <c r="U7378" s="3" t="s">
        <v>103</v>
      </c>
    </row>
    <row r="7379" spans="1:21" s="3" customFormat="1" x14ac:dyDescent="0.3">
      <c r="A7379" s="3" t="s">
        <v>26</v>
      </c>
      <c r="B7379" s="3" t="s">
        <v>2180</v>
      </c>
      <c r="C7379" s="3">
        <v>19</v>
      </c>
      <c r="D7379" s="3" t="s">
        <v>774</v>
      </c>
      <c r="E7379" s="3" t="s">
        <v>659</v>
      </c>
      <c r="F7379" s="3" t="s">
        <v>103</v>
      </c>
      <c r="G7379" s="3" t="s">
        <v>103</v>
      </c>
      <c r="H7379" s="3" t="s">
        <v>124</v>
      </c>
      <c r="I7379" s="3" t="s">
        <v>103</v>
      </c>
      <c r="J7379" s="3" t="s">
        <v>103</v>
      </c>
      <c r="K7379" s="3" t="s">
        <v>103</v>
      </c>
      <c r="L7379" s="3" t="s">
        <v>103</v>
      </c>
      <c r="M7379" s="3" t="s">
        <v>103</v>
      </c>
      <c r="N7379" s="3" t="s">
        <v>103</v>
      </c>
      <c r="O7379" s="3" t="s">
        <v>103</v>
      </c>
      <c r="P7379" s="3" t="s">
        <v>437</v>
      </c>
      <c r="Q7379" s="3" t="s">
        <v>157</v>
      </c>
      <c r="R7379" s="3" t="s">
        <v>103</v>
      </c>
      <c r="S7379" s="3" t="s">
        <v>103</v>
      </c>
      <c r="T7379" s="3" t="s">
        <v>103</v>
      </c>
      <c r="U7379" s="3" t="s">
        <v>103</v>
      </c>
    </row>
    <row r="7380" spans="1:21" s="3" customFormat="1" x14ac:dyDescent="0.3">
      <c r="A7380" s="3" t="s">
        <v>26</v>
      </c>
      <c r="B7380" s="3" t="s">
        <v>2181</v>
      </c>
      <c r="C7380" s="3">
        <v>18</v>
      </c>
      <c r="D7380" s="3" t="s">
        <v>1041</v>
      </c>
      <c r="E7380" s="3" t="s">
        <v>148</v>
      </c>
      <c r="F7380" s="3" t="s">
        <v>103</v>
      </c>
      <c r="G7380" s="3" t="s">
        <v>103</v>
      </c>
      <c r="H7380" s="3" t="s">
        <v>62</v>
      </c>
      <c r="I7380" s="3" t="s">
        <v>103</v>
      </c>
      <c r="J7380" s="3" t="s">
        <v>101</v>
      </c>
      <c r="K7380" s="3" t="s">
        <v>103</v>
      </c>
      <c r="L7380" s="3" t="s">
        <v>135</v>
      </c>
      <c r="M7380" s="3" t="s">
        <v>558</v>
      </c>
      <c r="N7380" s="3" t="s">
        <v>809</v>
      </c>
      <c r="O7380" s="3" t="s">
        <v>103</v>
      </c>
      <c r="P7380" s="3" t="s">
        <v>1227</v>
      </c>
      <c r="Q7380" s="3" t="s">
        <v>524</v>
      </c>
      <c r="R7380" s="3" t="s">
        <v>103</v>
      </c>
      <c r="S7380" s="3" t="s">
        <v>262</v>
      </c>
      <c r="T7380" s="3" t="s">
        <v>103</v>
      </c>
      <c r="U7380" s="3" t="s">
        <v>103</v>
      </c>
    </row>
    <row r="7381" spans="1:21" x14ac:dyDescent="0.3">
      <c r="A7381" t="s">
        <v>26</v>
      </c>
      <c r="B7381" t="s">
        <v>2182</v>
      </c>
      <c r="C7381">
        <v>80</v>
      </c>
      <c r="D7381" t="s">
        <v>1178</v>
      </c>
      <c r="E7381" t="s">
        <v>475</v>
      </c>
      <c r="F7381" t="s">
        <v>103</v>
      </c>
      <c r="G7381" t="s">
        <v>201</v>
      </c>
      <c r="H7381" t="s">
        <v>130</v>
      </c>
      <c r="I7381" t="s">
        <v>565</v>
      </c>
      <c r="J7381" t="s">
        <v>190</v>
      </c>
      <c r="K7381" t="s">
        <v>103</v>
      </c>
      <c r="L7381" t="s">
        <v>493</v>
      </c>
      <c r="M7381" t="s">
        <v>90</v>
      </c>
      <c r="N7381" t="s">
        <v>259</v>
      </c>
      <c r="O7381" t="s">
        <v>239</v>
      </c>
      <c r="P7381" t="s">
        <v>54</v>
      </c>
      <c r="Q7381" t="s">
        <v>284</v>
      </c>
      <c r="R7381" t="s">
        <v>101</v>
      </c>
      <c r="S7381" t="s">
        <v>270</v>
      </c>
      <c r="T7381" t="s">
        <v>103</v>
      </c>
      <c r="U7381" t="s">
        <v>245</v>
      </c>
    </row>
    <row r="7382" spans="1:21" x14ac:dyDescent="0.3">
      <c r="A7382" t="s">
        <v>26</v>
      </c>
      <c r="B7382" t="s">
        <v>2183</v>
      </c>
      <c r="C7382">
        <v>62</v>
      </c>
      <c r="D7382" t="s">
        <v>502</v>
      </c>
      <c r="E7382" t="s">
        <v>558</v>
      </c>
      <c r="F7382" t="s">
        <v>266</v>
      </c>
      <c r="G7382" t="s">
        <v>188</v>
      </c>
      <c r="H7382" t="s">
        <v>440</v>
      </c>
      <c r="I7382" t="s">
        <v>400</v>
      </c>
      <c r="J7382" t="s">
        <v>452</v>
      </c>
      <c r="K7382" t="s">
        <v>103</v>
      </c>
      <c r="L7382" t="s">
        <v>105</v>
      </c>
      <c r="M7382" t="s">
        <v>549</v>
      </c>
      <c r="N7382" t="s">
        <v>732</v>
      </c>
      <c r="O7382" t="s">
        <v>103</v>
      </c>
      <c r="P7382" t="s">
        <v>157</v>
      </c>
      <c r="Q7382" t="s">
        <v>103</v>
      </c>
      <c r="R7382" t="s">
        <v>493</v>
      </c>
      <c r="S7382" t="s">
        <v>128</v>
      </c>
      <c r="T7382" t="s">
        <v>103</v>
      </c>
      <c r="U7382" t="s">
        <v>103</v>
      </c>
    </row>
    <row r="7383" spans="1:21" x14ac:dyDescent="0.3">
      <c r="A7383" t="s">
        <v>26</v>
      </c>
      <c r="B7383" t="s">
        <v>2184</v>
      </c>
      <c r="C7383">
        <v>41</v>
      </c>
      <c r="D7383" t="s">
        <v>1402</v>
      </c>
      <c r="E7383" t="s">
        <v>693</v>
      </c>
      <c r="F7383" t="s">
        <v>257</v>
      </c>
      <c r="G7383" t="s">
        <v>281</v>
      </c>
      <c r="H7383" t="s">
        <v>1210</v>
      </c>
      <c r="I7383" t="s">
        <v>249</v>
      </c>
      <c r="J7383" t="s">
        <v>135</v>
      </c>
      <c r="K7383" t="s">
        <v>103</v>
      </c>
      <c r="L7383" t="s">
        <v>103</v>
      </c>
      <c r="M7383" t="s">
        <v>118</v>
      </c>
      <c r="N7383" t="s">
        <v>164</v>
      </c>
      <c r="O7383" t="s">
        <v>329</v>
      </c>
      <c r="P7383" t="s">
        <v>481</v>
      </c>
      <c r="Q7383" t="s">
        <v>93</v>
      </c>
      <c r="R7383" t="s">
        <v>532</v>
      </c>
      <c r="S7383" t="s">
        <v>251</v>
      </c>
      <c r="T7383" t="s">
        <v>103</v>
      </c>
      <c r="U7383" t="s">
        <v>103</v>
      </c>
    </row>
    <row r="7384" spans="1:21" x14ac:dyDescent="0.3">
      <c r="A7384" t="s">
        <v>29</v>
      </c>
      <c r="B7384" t="s">
        <v>844</v>
      </c>
      <c r="C7384">
        <v>33</v>
      </c>
      <c r="D7384" t="s">
        <v>381</v>
      </c>
      <c r="E7384" t="s">
        <v>555</v>
      </c>
      <c r="F7384" t="s">
        <v>103</v>
      </c>
      <c r="G7384" t="s">
        <v>536</v>
      </c>
      <c r="H7384" t="s">
        <v>64</v>
      </c>
      <c r="I7384" t="s">
        <v>103</v>
      </c>
      <c r="J7384" t="s">
        <v>103</v>
      </c>
      <c r="K7384" t="s">
        <v>103</v>
      </c>
      <c r="L7384" t="s">
        <v>257</v>
      </c>
      <c r="M7384" t="s">
        <v>466</v>
      </c>
      <c r="N7384" t="s">
        <v>524</v>
      </c>
      <c r="O7384" t="s">
        <v>103</v>
      </c>
      <c r="P7384" t="s">
        <v>685</v>
      </c>
      <c r="Q7384" t="s">
        <v>460</v>
      </c>
      <c r="R7384" t="s">
        <v>217</v>
      </c>
      <c r="S7384" t="s">
        <v>152</v>
      </c>
      <c r="T7384" t="s">
        <v>103</v>
      </c>
      <c r="U7384" t="s">
        <v>114</v>
      </c>
    </row>
    <row r="7385" spans="1:21" x14ac:dyDescent="0.3">
      <c r="A7385" t="s">
        <v>29</v>
      </c>
      <c r="B7385" t="s">
        <v>2173</v>
      </c>
      <c r="C7385">
        <v>56</v>
      </c>
      <c r="D7385" t="s">
        <v>802</v>
      </c>
      <c r="E7385" t="s">
        <v>525</v>
      </c>
      <c r="F7385" t="s">
        <v>103</v>
      </c>
      <c r="G7385" t="s">
        <v>70</v>
      </c>
      <c r="H7385" t="s">
        <v>341</v>
      </c>
      <c r="I7385" t="s">
        <v>103</v>
      </c>
      <c r="J7385" t="s">
        <v>341</v>
      </c>
      <c r="K7385" t="s">
        <v>103</v>
      </c>
      <c r="L7385" t="s">
        <v>124</v>
      </c>
      <c r="M7385" t="s">
        <v>124</v>
      </c>
      <c r="N7385" t="s">
        <v>100</v>
      </c>
      <c r="O7385" t="s">
        <v>245</v>
      </c>
      <c r="P7385" t="s">
        <v>797</v>
      </c>
      <c r="Q7385" t="s">
        <v>1008</v>
      </c>
      <c r="R7385" t="s">
        <v>118</v>
      </c>
      <c r="S7385" t="s">
        <v>100</v>
      </c>
      <c r="T7385" t="s">
        <v>103</v>
      </c>
      <c r="U7385" t="s">
        <v>103</v>
      </c>
    </row>
    <row r="7386" spans="1:21" x14ac:dyDescent="0.3">
      <c r="A7386" t="s">
        <v>29</v>
      </c>
      <c r="B7386" t="s">
        <v>2174</v>
      </c>
      <c r="C7386">
        <v>35</v>
      </c>
      <c r="D7386" t="s">
        <v>602</v>
      </c>
      <c r="E7386" t="s">
        <v>464</v>
      </c>
      <c r="F7386" t="s">
        <v>103</v>
      </c>
      <c r="G7386" t="s">
        <v>591</v>
      </c>
      <c r="H7386" t="s">
        <v>103</v>
      </c>
      <c r="I7386" t="s">
        <v>103</v>
      </c>
      <c r="J7386" t="s">
        <v>103</v>
      </c>
      <c r="K7386" t="s">
        <v>103</v>
      </c>
      <c r="L7386" t="s">
        <v>615</v>
      </c>
      <c r="M7386" t="s">
        <v>615</v>
      </c>
      <c r="N7386" t="s">
        <v>124</v>
      </c>
      <c r="O7386" t="s">
        <v>103</v>
      </c>
      <c r="P7386" t="s">
        <v>942</v>
      </c>
      <c r="Q7386" t="s">
        <v>707</v>
      </c>
      <c r="R7386" t="s">
        <v>190</v>
      </c>
      <c r="S7386" t="s">
        <v>99</v>
      </c>
      <c r="T7386" t="s">
        <v>103</v>
      </c>
      <c r="U7386" t="s">
        <v>195</v>
      </c>
    </row>
    <row r="7387" spans="1:21" s="3" customFormat="1" x14ac:dyDescent="0.3">
      <c r="A7387" s="3" t="s">
        <v>29</v>
      </c>
      <c r="B7387" s="3" t="s">
        <v>2175</v>
      </c>
      <c r="C7387" s="3">
        <v>14</v>
      </c>
      <c r="D7387" s="3" t="s">
        <v>1098</v>
      </c>
      <c r="E7387" s="3" t="s">
        <v>551</v>
      </c>
      <c r="F7387" s="3" t="s">
        <v>103</v>
      </c>
      <c r="G7387" s="3" t="s">
        <v>103</v>
      </c>
      <c r="H7387" s="3" t="s">
        <v>60</v>
      </c>
      <c r="I7387" s="3" t="s">
        <v>103</v>
      </c>
      <c r="J7387" s="3" t="s">
        <v>103</v>
      </c>
      <c r="K7387" s="3" t="s">
        <v>103</v>
      </c>
      <c r="L7387" s="3" t="s">
        <v>469</v>
      </c>
      <c r="M7387" s="3" t="s">
        <v>123</v>
      </c>
      <c r="N7387" s="3" t="s">
        <v>472</v>
      </c>
      <c r="O7387" s="3" t="s">
        <v>571</v>
      </c>
      <c r="P7387" s="3" t="s">
        <v>1211</v>
      </c>
      <c r="Q7387" s="3" t="s">
        <v>331</v>
      </c>
      <c r="R7387" s="3" t="s">
        <v>103</v>
      </c>
      <c r="S7387" s="3" t="s">
        <v>477</v>
      </c>
      <c r="T7387" s="3" t="s">
        <v>813</v>
      </c>
      <c r="U7387" s="3" t="s">
        <v>103</v>
      </c>
    </row>
    <row r="7388" spans="1:21" x14ac:dyDescent="0.3">
      <c r="A7388" t="s">
        <v>29</v>
      </c>
      <c r="B7388" t="s">
        <v>2176</v>
      </c>
      <c r="C7388">
        <v>173</v>
      </c>
      <c r="D7388" t="s">
        <v>2106</v>
      </c>
      <c r="E7388" t="s">
        <v>478</v>
      </c>
      <c r="F7388" t="s">
        <v>201</v>
      </c>
      <c r="G7388" t="s">
        <v>125</v>
      </c>
      <c r="H7388" t="s">
        <v>131</v>
      </c>
      <c r="I7388" t="s">
        <v>732</v>
      </c>
      <c r="J7388" t="s">
        <v>188</v>
      </c>
      <c r="K7388" t="s">
        <v>266</v>
      </c>
      <c r="L7388" t="s">
        <v>188</v>
      </c>
      <c r="M7388" t="s">
        <v>518</v>
      </c>
      <c r="N7388" t="s">
        <v>474</v>
      </c>
      <c r="O7388" t="s">
        <v>186</v>
      </c>
      <c r="P7388" t="s">
        <v>514</v>
      </c>
      <c r="Q7388" t="s">
        <v>119</v>
      </c>
      <c r="R7388" t="s">
        <v>103</v>
      </c>
      <c r="S7388" t="s">
        <v>127</v>
      </c>
      <c r="T7388" t="s">
        <v>120</v>
      </c>
      <c r="U7388" t="s">
        <v>103</v>
      </c>
    </row>
    <row r="7389" spans="1:21" x14ac:dyDescent="0.3">
      <c r="A7389" t="s">
        <v>29</v>
      </c>
      <c r="B7389" t="s">
        <v>2177</v>
      </c>
      <c r="C7389">
        <v>129</v>
      </c>
      <c r="D7389" t="s">
        <v>1208</v>
      </c>
      <c r="E7389" t="s">
        <v>571</v>
      </c>
      <c r="F7389" t="s">
        <v>272</v>
      </c>
      <c r="G7389" t="s">
        <v>125</v>
      </c>
      <c r="H7389" t="s">
        <v>1014</v>
      </c>
      <c r="I7389" t="s">
        <v>814</v>
      </c>
      <c r="J7389" t="s">
        <v>517</v>
      </c>
      <c r="K7389" t="s">
        <v>103</v>
      </c>
      <c r="L7389" t="s">
        <v>114</v>
      </c>
      <c r="M7389" t="s">
        <v>687</v>
      </c>
      <c r="N7389" t="s">
        <v>890</v>
      </c>
      <c r="O7389" t="s">
        <v>438</v>
      </c>
      <c r="P7389" t="s">
        <v>140</v>
      </c>
      <c r="Q7389" t="s">
        <v>460</v>
      </c>
      <c r="R7389" t="s">
        <v>468</v>
      </c>
      <c r="S7389" t="s">
        <v>566</v>
      </c>
      <c r="T7389" t="s">
        <v>103</v>
      </c>
      <c r="U7389" t="s">
        <v>103</v>
      </c>
    </row>
    <row r="7390" spans="1:21" x14ac:dyDescent="0.3">
      <c r="A7390" t="s">
        <v>29</v>
      </c>
      <c r="B7390" t="s">
        <v>2178</v>
      </c>
      <c r="C7390">
        <v>159</v>
      </c>
      <c r="D7390" t="s">
        <v>1041</v>
      </c>
      <c r="E7390" t="s">
        <v>190</v>
      </c>
      <c r="F7390" t="s">
        <v>282</v>
      </c>
      <c r="G7390" t="s">
        <v>662</v>
      </c>
      <c r="H7390" t="s">
        <v>664</v>
      </c>
      <c r="I7390" t="s">
        <v>724</v>
      </c>
      <c r="J7390" t="s">
        <v>687</v>
      </c>
      <c r="K7390" t="s">
        <v>103</v>
      </c>
      <c r="L7390" t="s">
        <v>216</v>
      </c>
      <c r="M7390" t="s">
        <v>117</v>
      </c>
      <c r="N7390" t="s">
        <v>518</v>
      </c>
      <c r="O7390" t="s">
        <v>531</v>
      </c>
      <c r="P7390" t="s">
        <v>466</v>
      </c>
      <c r="Q7390" t="s">
        <v>133</v>
      </c>
      <c r="R7390" t="s">
        <v>615</v>
      </c>
      <c r="S7390" t="s">
        <v>99</v>
      </c>
      <c r="T7390" t="s">
        <v>103</v>
      </c>
      <c r="U7390" t="s">
        <v>103</v>
      </c>
    </row>
    <row r="7391" spans="1:21" x14ac:dyDescent="0.3">
      <c r="A7391" t="s">
        <v>29</v>
      </c>
      <c r="B7391" t="s">
        <v>846</v>
      </c>
      <c r="C7391">
        <v>39</v>
      </c>
      <c r="D7391" t="s">
        <v>1058</v>
      </c>
      <c r="E7391" t="s">
        <v>1226</v>
      </c>
      <c r="F7391" t="s">
        <v>103</v>
      </c>
      <c r="G7391" t="s">
        <v>133</v>
      </c>
      <c r="H7391" t="s">
        <v>206</v>
      </c>
      <c r="I7391" t="s">
        <v>468</v>
      </c>
      <c r="J7391" t="s">
        <v>103</v>
      </c>
      <c r="K7391" t="s">
        <v>216</v>
      </c>
      <c r="L7391" t="s">
        <v>549</v>
      </c>
      <c r="M7391" t="s">
        <v>90</v>
      </c>
      <c r="N7391" t="s">
        <v>157</v>
      </c>
      <c r="O7391" t="s">
        <v>272</v>
      </c>
      <c r="P7391" t="s">
        <v>930</v>
      </c>
      <c r="Q7391" t="s">
        <v>651</v>
      </c>
      <c r="R7391" t="s">
        <v>103</v>
      </c>
      <c r="S7391" t="s">
        <v>119</v>
      </c>
      <c r="T7391" t="s">
        <v>103</v>
      </c>
      <c r="U7391" t="s">
        <v>103</v>
      </c>
    </row>
    <row r="7392" spans="1:21" s="3" customFormat="1" x14ac:dyDescent="0.3">
      <c r="A7392" s="3" t="s">
        <v>29</v>
      </c>
      <c r="B7392" s="3" t="s">
        <v>2179</v>
      </c>
      <c r="C7392" s="3">
        <v>30</v>
      </c>
      <c r="D7392" s="3" t="s">
        <v>1063</v>
      </c>
      <c r="E7392" s="3" t="s">
        <v>261</v>
      </c>
      <c r="F7392" s="3" t="s">
        <v>103</v>
      </c>
      <c r="G7392" s="3" t="s">
        <v>247</v>
      </c>
      <c r="H7392" s="3" t="s">
        <v>103</v>
      </c>
      <c r="I7392" s="3" t="s">
        <v>103</v>
      </c>
      <c r="J7392" s="3" t="s">
        <v>103</v>
      </c>
      <c r="K7392" s="3" t="s">
        <v>103</v>
      </c>
      <c r="L7392" s="3" t="s">
        <v>103</v>
      </c>
      <c r="M7392" s="3" t="s">
        <v>103</v>
      </c>
      <c r="N7392" s="3" t="s">
        <v>516</v>
      </c>
      <c r="O7392" s="3" t="s">
        <v>103</v>
      </c>
      <c r="P7392" s="3" t="s">
        <v>1549</v>
      </c>
      <c r="Q7392" s="3" t="s">
        <v>107</v>
      </c>
      <c r="R7392" s="3" t="s">
        <v>103</v>
      </c>
      <c r="S7392" s="3" t="s">
        <v>695</v>
      </c>
      <c r="T7392" s="3" t="s">
        <v>103</v>
      </c>
      <c r="U7392" s="3" t="s">
        <v>103</v>
      </c>
    </row>
    <row r="7393" spans="1:21" s="3" customFormat="1" x14ac:dyDescent="0.3">
      <c r="A7393" s="3" t="s">
        <v>29</v>
      </c>
      <c r="B7393" s="3" t="s">
        <v>2180</v>
      </c>
      <c r="C7393" s="3">
        <v>21</v>
      </c>
      <c r="D7393" s="3" t="s">
        <v>808</v>
      </c>
      <c r="E7393" s="3" t="s">
        <v>734</v>
      </c>
      <c r="F7393" s="3" t="s">
        <v>103</v>
      </c>
      <c r="G7393" s="3" t="s">
        <v>809</v>
      </c>
      <c r="H7393" s="3" t="s">
        <v>103</v>
      </c>
      <c r="I7393" s="3" t="s">
        <v>103</v>
      </c>
      <c r="J7393" s="3" t="s">
        <v>103</v>
      </c>
      <c r="K7393" s="3" t="s">
        <v>103</v>
      </c>
      <c r="L7393" s="3" t="s">
        <v>103</v>
      </c>
      <c r="M7393" s="3" t="s">
        <v>281</v>
      </c>
      <c r="N7393" s="3" t="s">
        <v>477</v>
      </c>
      <c r="O7393" s="3" t="s">
        <v>103</v>
      </c>
      <c r="P7393" s="3" t="s">
        <v>1420</v>
      </c>
      <c r="Q7393" s="3" t="s">
        <v>132</v>
      </c>
      <c r="R7393" s="3" t="s">
        <v>95</v>
      </c>
      <c r="S7393" s="3" t="s">
        <v>103</v>
      </c>
      <c r="T7393" s="3" t="s">
        <v>103</v>
      </c>
      <c r="U7393" s="3" t="s">
        <v>103</v>
      </c>
    </row>
    <row r="7394" spans="1:21" s="3" customFormat="1" x14ac:dyDescent="0.3">
      <c r="A7394" s="3" t="s">
        <v>29</v>
      </c>
      <c r="B7394" s="3" t="s">
        <v>2181</v>
      </c>
      <c r="C7394" s="3">
        <v>14</v>
      </c>
      <c r="D7394" s="3" t="s">
        <v>593</v>
      </c>
      <c r="E7394" s="3" t="s">
        <v>103</v>
      </c>
      <c r="F7394" s="3" t="s">
        <v>103</v>
      </c>
      <c r="G7394" s="3" t="s">
        <v>103</v>
      </c>
      <c r="H7394" s="3" t="s">
        <v>103</v>
      </c>
      <c r="I7394" s="3" t="s">
        <v>100</v>
      </c>
      <c r="J7394" s="3" t="s">
        <v>575</v>
      </c>
      <c r="K7394" s="3" t="s">
        <v>103</v>
      </c>
      <c r="L7394" s="3" t="s">
        <v>829</v>
      </c>
      <c r="M7394" s="3" t="s">
        <v>90</v>
      </c>
      <c r="N7394" s="3" t="s">
        <v>103</v>
      </c>
      <c r="O7394" s="3" t="s">
        <v>103</v>
      </c>
      <c r="P7394" s="3" t="s">
        <v>426</v>
      </c>
      <c r="Q7394" s="3" t="s">
        <v>228</v>
      </c>
      <c r="R7394" s="3" t="s">
        <v>103</v>
      </c>
      <c r="S7394" s="3" t="s">
        <v>1084</v>
      </c>
      <c r="T7394" s="3" t="s">
        <v>103</v>
      </c>
      <c r="U7394" s="3" t="s">
        <v>103</v>
      </c>
    </row>
    <row r="7395" spans="1:21" x14ac:dyDescent="0.3">
      <c r="A7395" t="s">
        <v>29</v>
      </c>
      <c r="B7395" t="s">
        <v>2182</v>
      </c>
      <c r="C7395">
        <v>65</v>
      </c>
      <c r="D7395" t="s">
        <v>394</v>
      </c>
      <c r="E7395" t="s">
        <v>254</v>
      </c>
      <c r="F7395" t="s">
        <v>68</v>
      </c>
      <c r="G7395" t="s">
        <v>110</v>
      </c>
      <c r="H7395" t="s">
        <v>242</v>
      </c>
      <c r="I7395" t="s">
        <v>483</v>
      </c>
      <c r="J7395" t="s">
        <v>195</v>
      </c>
      <c r="K7395" t="s">
        <v>103</v>
      </c>
      <c r="L7395" t="s">
        <v>706</v>
      </c>
      <c r="M7395" t="s">
        <v>737</v>
      </c>
      <c r="N7395" t="s">
        <v>131</v>
      </c>
      <c r="O7395" t="s">
        <v>251</v>
      </c>
      <c r="P7395" t="s">
        <v>99</v>
      </c>
      <c r="Q7395" t="s">
        <v>120</v>
      </c>
      <c r="R7395" t="s">
        <v>103</v>
      </c>
      <c r="S7395" t="s">
        <v>186</v>
      </c>
      <c r="T7395" t="s">
        <v>217</v>
      </c>
      <c r="U7395" t="s">
        <v>103</v>
      </c>
    </row>
    <row r="7396" spans="1:21" x14ac:dyDescent="0.3">
      <c r="A7396" t="s">
        <v>29</v>
      </c>
      <c r="B7396" t="s">
        <v>2183</v>
      </c>
      <c r="C7396">
        <v>53</v>
      </c>
      <c r="D7396" t="s">
        <v>572</v>
      </c>
      <c r="E7396" t="s">
        <v>119</v>
      </c>
      <c r="F7396" t="s">
        <v>345</v>
      </c>
      <c r="G7396" t="s">
        <v>460</v>
      </c>
      <c r="H7396" t="s">
        <v>513</v>
      </c>
      <c r="I7396" t="s">
        <v>387</v>
      </c>
      <c r="J7396" t="s">
        <v>272</v>
      </c>
      <c r="K7396" t="s">
        <v>103</v>
      </c>
      <c r="L7396" t="s">
        <v>146</v>
      </c>
      <c r="M7396" t="s">
        <v>115</v>
      </c>
      <c r="N7396" t="s">
        <v>750</v>
      </c>
      <c r="O7396" t="s">
        <v>108</v>
      </c>
      <c r="P7396" t="s">
        <v>136</v>
      </c>
      <c r="Q7396" t="s">
        <v>188</v>
      </c>
      <c r="R7396" t="s">
        <v>103</v>
      </c>
      <c r="S7396" t="s">
        <v>60</v>
      </c>
      <c r="T7396" t="s">
        <v>103</v>
      </c>
      <c r="U7396" t="s">
        <v>329</v>
      </c>
    </row>
    <row r="7397" spans="1:21" x14ac:dyDescent="0.3">
      <c r="A7397" t="s">
        <v>29</v>
      </c>
      <c r="B7397" t="s">
        <v>2184</v>
      </c>
      <c r="C7397">
        <v>50</v>
      </c>
      <c r="D7397" t="s">
        <v>299</v>
      </c>
      <c r="E7397" t="s">
        <v>575</v>
      </c>
      <c r="F7397" t="s">
        <v>467</v>
      </c>
      <c r="G7397" t="s">
        <v>100</v>
      </c>
      <c r="H7397" t="s">
        <v>1390</v>
      </c>
      <c r="I7397" t="s">
        <v>263</v>
      </c>
      <c r="J7397" t="s">
        <v>662</v>
      </c>
      <c r="K7397" t="s">
        <v>103</v>
      </c>
      <c r="L7397" t="s">
        <v>103</v>
      </c>
      <c r="M7397" t="s">
        <v>549</v>
      </c>
      <c r="N7397" t="s">
        <v>672</v>
      </c>
      <c r="O7397" t="s">
        <v>131</v>
      </c>
      <c r="P7397" t="s">
        <v>133</v>
      </c>
      <c r="Q7397" t="s">
        <v>133</v>
      </c>
      <c r="R7397" t="s">
        <v>460</v>
      </c>
      <c r="S7397" t="s">
        <v>519</v>
      </c>
      <c r="T7397" t="s">
        <v>103</v>
      </c>
      <c r="U7397" t="s">
        <v>103</v>
      </c>
    </row>
    <row r="7398" spans="1:21" s="3" customFormat="1" x14ac:dyDescent="0.3">
      <c r="A7398" s="3" t="s">
        <v>28</v>
      </c>
      <c r="B7398" s="3" t="s">
        <v>844</v>
      </c>
      <c r="C7398" s="3">
        <v>11</v>
      </c>
      <c r="D7398" s="3" t="s">
        <v>1577</v>
      </c>
      <c r="E7398" s="3" t="s">
        <v>235</v>
      </c>
      <c r="F7398" s="3" t="s">
        <v>743</v>
      </c>
      <c r="G7398" s="3" t="s">
        <v>103</v>
      </c>
      <c r="H7398" s="3" t="s">
        <v>103</v>
      </c>
      <c r="I7398" s="3" t="s">
        <v>103</v>
      </c>
      <c r="J7398" s="3" t="s">
        <v>103</v>
      </c>
      <c r="K7398" s="3" t="s">
        <v>103</v>
      </c>
      <c r="L7398" s="3" t="s">
        <v>103</v>
      </c>
      <c r="M7398" s="3" t="s">
        <v>103</v>
      </c>
      <c r="N7398" s="3" t="s">
        <v>101</v>
      </c>
      <c r="O7398" s="3" t="s">
        <v>206</v>
      </c>
      <c r="P7398" s="3" t="s">
        <v>472</v>
      </c>
      <c r="Q7398" s="3" t="s">
        <v>70</v>
      </c>
      <c r="R7398" s="3" t="s">
        <v>103</v>
      </c>
      <c r="S7398" s="3" t="s">
        <v>103</v>
      </c>
      <c r="T7398" s="3" t="s">
        <v>103</v>
      </c>
      <c r="U7398" s="3" t="s">
        <v>103</v>
      </c>
    </row>
    <row r="7399" spans="1:21" s="3" customFormat="1" x14ac:dyDescent="0.3">
      <c r="A7399" s="3" t="s">
        <v>28</v>
      </c>
      <c r="B7399" s="3" t="s">
        <v>2173</v>
      </c>
      <c r="C7399" s="3">
        <v>2</v>
      </c>
      <c r="D7399" s="3" t="s">
        <v>192</v>
      </c>
      <c r="E7399" s="3" t="s">
        <v>1329</v>
      </c>
      <c r="F7399" s="3" t="s">
        <v>103</v>
      </c>
      <c r="G7399" s="3" t="s">
        <v>103</v>
      </c>
      <c r="H7399" s="3" t="s">
        <v>103</v>
      </c>
      <c r="I7399" s="3" t="s">
        <v>103</v>
      </c>
      <c r="J7399" s="3" t="s">
        <v>103</v>
      </c>
      <c r="K7399" s="3" t="s">
        <v>103</v>
      </c>
      <c r="L7399" s="3" t="s">
        <v>103</v>
      </c>
      <c r="M7399" s="3" t="s">
        <v>103</v>
      </c>
      <c r="N7399" s="3" t="s">
        <v>103</v>
      </c>
      <c r="O7399" s="3" t="s">
        <v>103</v>
      </c>
      <c r="P7399" s="3" t="s">
        <v>103</v>
      </c>
      <c r="Q7399" s="3" t="s">
        <v>103</v>
      </c>
      <c r="R7399" s="3" t="s">
        <v>103</v>
      </c>
      <c r="S7399" s="3" t="s">
        <v>103</v>
      </c>
      <c r="T7399" s="3" t="s">
        <v>103</v>
      </c>
      <c r="U7399" s="3" t="s">
        <v>103</v>
      </c>
    </row>
    <row r="7400" spans="1:21" s="3" customFormat="1" x14ac:dyDescent="0.3">
      <c r="A7400" s="3" t="s">
        <v>28</v>
      </c>
      <c r="B7400" s="3" t="s">
        <v>2174</v>
      </c>
      <c r="C7400" s="3">
        <v>3</v>
      </c>
      <c r="D7400" s="3" t="s">
        <v>414</v>
      </c>
      <c r="E7400" s="3" t="s">
        <v>47</v>
      </c>
      <c r="F7400" s="3" t="s">
        <v>103</v>
      </c>
      <c r="G7400" s="3" t="s">
        <v>103</v>
      </c>
      <c r="H7400" s="3" t="s">
        <v>103</v>
      </c>
      <c r="I7400" s="3" t="s">
        <v>103</v>
      </c>
      <c r="J7400" s="3" t="s">
        <v>103</v>
      </c>
      <c r="K7400" s="3" t="s">
        <v>103</v>
      </c>
      <c r="L7400" s="3" t="s">
        <v>103</v>
      </c>
      <c r="M7400" s="3" t="s">
        <v>103</v>
      </c>
      <c r="N7400" s="3" t="s">
        <v>103</v>
      </c>
      <c r="O7400" s="3" t="s">
        <v>103</v>
      </c>
      <c r="P7400" s="3" t="s">
        <v>418</v>
      </c>
      <c r="Q7400" s="3" t="s">
        <v>103</v>
      </c>
      <c r="R7400" s="3" t="s">
        <v>103</v>
      </c>
      <c r="S7400" s="3" t="s">
        <v>103</v>
      </c>
      <c r="T7400" s="3" t="s">
        <v>103</v>
      </c>
      <c r="U7400" s="3" t="s">
        <v>103</v>
      </c>
    </row>
    <row r="7401" spans="1:21" s="3" customFormat="1" x14ac:dyDescent="0.3">
      <c r="A7401" s="3" t="s">
        <v>28</v>
      </c>
      <c r="B7401" s="3" t="s">
        <v>2175</v>
      </c>
      <c r="C7401" s="3">
        <v>14</v>
      </c>
      <c r="D7401" s="3" t="s">
        <v>635</v>
      </c>
      <c r="E7401" s="3" t="s">
        <v>1083</v>
      </c>
      <c r="F7401" s="3" t="s">
        <v>103</v>
      </c>
      <c r="G7401" s="3" t="s">
        <v>103</v>
      </c>
      <c r="H7401" s="3" t="s">
        <v>208</v>
      </c>
      <c r="I7401" s="3" t="s">
        <v>103</v>
      </c>
      <c r="J7401" s="3" t="s">
        <v>160</v>
      </c>
      <c r="K7401" s="3" t="s">
        <v>103</v>
      </c>
      <c r="L7401" s="3" t="s">
        <v>466</v>
      </c>
      <c r="M7401" s="3" t="s">
        <v>103</v>
      </c>
      <c r="N7401" s="3" t="s">
        <v>680</v>
      </c>
      <c r="O7401" s="3" t="s">
        <v>103</v>
      </c>
      <c r="P7401" s="3" t="s">
        <v>554</v>
      </c>
      <c r="Q7401" s="3" t="s">
        <v>103</v>
      </c>
      <c r="R7401" s="3" t="s">
        <v>103</v>
      </c>
      <c r="S7401" s="3" t="s">
        <v>466</v>
      </c>
      <c r="T7401" s="3" t="s">
        <v>103</v>
      </c>
      <c r="U7401" s="3" t="s">
        <v>103</v>
      </c>
    </row>
    <row r="7402" spans="1:21" x14ac:dyDescent="0.3">
      <c r="A7402" t="s">
        <v>28</v>
      </c>
      <c r="B7402" t="s">
        <v>2176</v>
      </c>
      <c r="C7402">
        <v>55</v>
      </c>
      <c r="D7402" t="s">
        <v>1242</v>
      </c>
      <c r="E7402" t="s">
        <v>167</v>
      </c>
      <c r="F7402" t="s">
        <v>103</v>
      </c>
      <c r="G7402" t="s">
        <v>103</v>
      </c>
      <c r="H7402" t="s">
        <v>144</v>
      </c>
      <c r="I7402" t="s">
        <v>568</v>
      </c>
      <c r="J7402" t="s">
        <v>101</v>
      </c>
      <c r="K7402" t="s">
        <v>118</v>
      </c>
      <c r="L7402" t="s">
        <v>118</v>
      </c>
      <c r="M7402" t="s">
        <v>548</v>
      </c>
      <c r="N7402" t="s">
        <v>482</v>
      </c>
      <c r="O7402" t="s">
        <v>214</v>
      </c>
      <c r="P7402" t="s">
        <v>155</v>
      </c>
      <c r="Q7402" t="s">
        <v>113</v>
      </c>
      <c r="R7402" t="s">
        <v>103</v>
      </c>
      <c r="S7402" t="s">
        <v>254</v>
      </c>
      <c r="T7402" t="s">
        <v>103</v>
      </c>
      <c r="U7402" t="s">
        <v>103</v>
      </c>
    </row>
    <row r="7403" spans="1:21" x14ac:dyDescent="0.3">
      <c r="A7403" t="s">
        <v>28</v>
      </c>
      <c r="B7403" t="s">
        <v>2177</v>
      </c>
      <c r="C7403">
        <v>67</v>
      </c>
      <c r="D7403" t="s">
        <v>838</v>
      </c>
      <c r="E7403" t="s">
        <v>920</v>
      </c>
      <c r="F7403" t="s">
        <v>186</v>
      </c>
      <c r="G7403" t="s">
        <v>125</v>
      </c>
      <c r="H7403" t="s">
        <v>509</v>
      </c>
      <c r="I7403" t="s">
        <v>573</v>
      </c>
      <c r="J7403" t="s">
        <v>117</v>
      </c>
      <c r="K7403" t="s">
        <v>272</v>
      </c>
      <c r="L7403" t="s">
        <v>103</v>
      </c>
      <c r="M7403" t="s">
        <v>649</v>
      </c>
      <c r="N7403" t="s">
        <v>108</v>
      </c>
      <c r="O7403" t="s">
        <v>245</v>
      </c>
      <c r="P7403" t="s">
        <v>112</v>
      </c>
      <c r="Q7403" t="s">
        <v>544</v>
      </c>
      <c r="R7403" t="s">
        <v>103</v>
      </c>
      <c r="S7403" t="s">
        <v>482</v>
      </c>
      <c r="T7403" t="s">
        <v>103</v>
      </c>
      <c r="U7403" t="s">
        <v>103</v>
      </c>
    </row>
    <row r="7404" spans="1:21" x14ac:dyDescent="0.3">
      <c r="A7404" t="s">
        <v>28</v>
      </c>
      <c r="B7404" t="s">
        <v>2178</v>
      </c>
      <c r="C7404">
        <v>77</v>
      </c>
      <c r="D7404" t="s">
        <v>1218</v>
      </c>
      <c r="E7404" t="s">
        <v>570</v>
      </c>
      <c r="F7404" t="s">
        <v>113</v>
      </c>
      <c r="G7404" t="s">
        <v>139</v>
      </c>
      <c r="H7404" t="s">
        <v>873</v>
      </c>
      <c r="I7404" t="s">
        <v>260</v>
      </c>
      <c r="J7404" t="s">
        <v>813</v>
      </c>
      <c r="K7404" t="s">
        <v>345</v>
      </c>
      <c r="L7404" t="s">
        <v>468</v>
      </c>
      <c r="M7404" t="s">
        <v>890</v>
      </c>
      <c r="N7404" t="s">
        <v>813</v>
      </c>
      <c r="O7404" t="s">
        <v>278</v>
      </c>
      <c r="P7404" t="s">
        <v>107</v>
      </c>
      <c r="Q7404" t="s">
        <v>232</v>
      </c>
      <c r="R7404" t="s">
        <v>208</v>
      </c>
      <c r="S7404" t="s">
        <v>452</v>
      </c>
      <c r="T7404" t="s">
        <v>103</v>
      </c>
      <c r="U7404" t="s">
        <v>103</v>
      </c>
    </row>
    <row r="7405" spans="1:21" s="3" customFormat="1" x14ac:dyDescent="0.3">
      <c r="A7405" s="3" t="s">
        <v>28</v>
      </c>
      <c r="B7405" s="3" t="s">
        <v>846</v>
      </c>
      <c r="C7405" s="3">
        <v>11</v>
      </c>
      <c r="D7405" s="3" t="s">
        <v>1015</v>
      </c>
      <c r="E7405" s="3" t="s">
        <v>682</v>
      </c>
      <c r="F7405" s="3" t="s">
        <v>103</v>
      </c>
      <c r="G7405" s="3" t="s">
        <v>103</v>
      </c>
      <c r="H7405" s="3" t="s">
        <v>257</v>
      </c>
      <c r="I7405" s="3" t="s">
        <v>486</v>
      </c>
      <c r="J7405" s="3" t="s">
        <v>103</v>
      </c>
      <c r="K7405" s="3" t="s">
        <v>103</v>
      </c>
      <c r="L7405" s="3" t="s">
        <v>103</v>
      </c>
      <c r="M7405" s="3" t="s">
        <v>257</v>
      </c>
      <c r="N7405" s="3" t="s">
        <v>146</v>
      </c>
      <c r="O7405" s="3" t="s">
        <v>103</v>
      </c>
      <c r="P7405" s="3" t="s">
        <v>131</v>
      </c>
      <c r="Q7405" s="3" t="s">
        <v>460</v>
      </c>
      <c r="R7405" s="3" t="s">
        <v>103</v>
      </c>
      <c r="S7405" s="3" t="s">
        <v>103</v>
      </c>
      <c r="T7405" s="3" t="s">
        <v>103</v>
      </c>
      <c r="U7405" s="3" t="s">
        <v>103</v>
      </c>
    </row>
    <row r="7406" spans="1:21" s="3" customFormat="1" x14ac:dyDescent="0.3">
      <c r="A7406" s="3" t="s">
        <v>28</v>
      </c>
      <c r="B7406" s="3" t="s">
        <v>2179</v>
      </c>
      <c r="C7406" s="3">
        <v>10</v>
      </c>
      <c r="D7406" s="3" t="s">
        <v>736</v>
      </c>
      <c r="E7406" s="3" t="s">
        <v>458</v>
      </c>
      <c r="F7406" s="3" t="s">
        <v>103</v>
      </c>
      <c r="G7406" s="3" t="s">
        <v>103</v>
      </c>
      <c r="H7406" s="3" t="s">
        <v>103</v>
      </c>
      <c r="I7406" s="3" t="s">
        <v>103</v>
      </c>
      <c r="J7406" s="3" t="s">
        <v>103</v>
      </c>
      <c r="K7406" s="3" t="s">
        <v>103</v>
      </c>
      <c r="L7406" s="3" t="s">
        <v>103</v>
      </c>
      <c r="M7406" s="3" t="s">
        <v>103</v>
      </c>
      <c r="N7406" s="3" t="s">
        <v>103</v>
      </c>
      <c r="O7406" s="3" t="s">
        <v>103</v>
      </c>
      <c r="P7406" s="3" t="s">
        <v>1054</v>
      </c>
      <c r="Q7406" s="3" t="s">
        <v>103</v>
      </c>
      <c r="R7406" s="3" t="s">
        <v>103</v>
      </c>
      <c r="S7406" s="3" t="s">
        <v>103</v>
      </c>
      <c r="T7406" s="3" t="s">
        <v>103</v>
      </c>
      <c r="U7406" s="3" t="s">
        <v>103</v>
      </c>
    </row>
    <row r="7407" spans="1:21" s="3" customFormat="1" x14ac:dyDescent="0.3">
      <c r="A7407" s="3" t="s">
        <v>28</v>
      </c>
      <c r="B7407" s="3" t="s">
        <v>2180</v>
      </c>
      <c r="C7407" s="3">
        <v>6</v>
      </c>
      <c r="D7407" s="3" t="s">
        <v>1244</v>
      </c>
      <c r="E7407" s="3" t="s">
        <v>1328</v>
      </c>
      <c r="F7407" s="3" t="s">
        <v>103</v>
      </c>
      <c r="G7407" s="3" t="s">
        <v>103</v>
      </c>
      <c r="H7407" s="3" t="s">
        <v>103</v>
      </c>
      <c r="I7407" s="3" t="s">
        <v>103</v>
      </c>
      <c r="J7407" s="3" t="s">
        <v>103</v>
      </c>
      <c r="K7407" s="3" t="s">
        <v>103</v>
      </c>
      <c r="L7407" s="3" t="s">
        <v>103</v>
      </c>
      <c r="M7407" s="3" t="s">
        <v>103</v>
      </c>
      <c r="N7407" s="3" t="s">
        <v>103</v>
      </c>
      <c r="O7407" s="3" t="s">
        <v>103</v>
      </c>
      <c r="P7407" s="3" t="s">
        <v>131</v>
      </c>
      <c r="Q7407" s="3" t="s">
        <v>523</v>
      </c>
      <c r="R7407" s="3" t="s">
        <v>103</v>
      </c>
      <c r="S7407" s="3" t="s">
        <v>103</v>
      </c>
      <c r="T7407" s="3" t="s">
        <v>103</v>
      </c>
      <c r="U7407" s="3" t="s">
        <v>103</v>
      </c>
    </row>
    <row r="7408" spans="1:21" s="3" customFormat="1" x14ac:dyDescent="0.3">
      <c r="A7408" s="3" t="s">
        <v>28</v>
      </c>
      <c r="B7408" s="3" t="s">
        <v>2181</v>
      </c>
      <c r="C7408" s="3">
        <v>11</v>
      </c>
      <c r="D7408" s="3" t="s">
        <v>652</v>
      </c>
      <c r="E7408" s="3" t="s">
        <v>789</v>
      </c>
      <c r="F7408" s="3" t="s">
        <v>103</v>
      </c>
      <c r="G7408" s="3" t="s">
        <v>103</v>
      </c>
      <c r="H7408" s="3" t="s">
        <v>103</v>
      </c>
      <c r="I7408" s="3" t="s">
        <v>103</v>
      </c>
      <c r="J7408" s="3" t="s">
        <v>103</v>
      </c>
      <c r="K7408" s="3" t="s">
        <v>103</v>
      </c>
      <c r="L7408" s="3" t="s">
        <v>103</v>
      </c>
      <c r="M7408" s="3" t="s">
        <v>103</v>
      </c>
      <c r="N7408" s="3" t="s">
        <v>68</v>
      </c>
      <c r="O7408" s="3" t="s">
        <v>103</v>
      </c>
      <c r="P7408" s="3" t="s">
        <v>503</v>
      </c>
      <c r="Q7408" s="3" t="s">
        <v>510</v>
      </c>
      <c r="R7408" s="3" t="s">
        <v>103</v>
      </c>
      <c r="S7408" s="3" t="s">
        <v>130</v>
      </c>
      <c r="T7408" s="3" t="s">
        <v>103</v>
      </c>
      <c r="U7408" s="3" t="s">
        <v>103</v>
      </c>
    </row>
    <row r="7409" spans="1:21" s="3" customFormat="1" x14ac:dyDescent="0.3">
      <c r="A7409" s="3" t="s">
        <v>28</v>
      </c>
      <c r="B7409" s="3" t="s">
        <v>2182</v>
      </c>
      <c r="C7409" s="3">
        <v>25</v>
      </c>
      <c r="D7409" s="3" t="s">
        <v>454</v>
      </c>
      <c r="E7409" s="3" t="s">
        <v>671</v>
      </c>
      <c r="F7409" s="3" t="s">
        <v>103</v>
      </c>
      <c r="G7409" s="3" t="s">
        <v>452</v>
      </c>
      <c r="H7409" s="3" t="s">
        <v>190</v>
      </c>
      <c r="I7409" s="3" t="s">
        <v>536</v>
      </c>
      <c r="J7409" s="3" t="s">
        <v>113</v>
      </c>
      <c r="K7409" s="3" t="s">
        <v>103</v>
      </c>
      <c r="L7409" s="3" t="s">
        <v>128</v>
      </c>
      <c r="M7409" s="3" t="s">
        <v>672</v>
      </c>
      <c r="N7409" s="3" t="s">
        <v>473</v>
      </c>
      <c r="O7409" s="3" t="s">
        <v>103</v>
      </c>
      <c r="P7409" s="3" t="s">
        <v>103</v>
      </c>
      <c r="Q7409" s="3" t="s">
        <v>341</v>
      </c>
      <c r="R7409" s="3" t="s">
        <v>103</v>
      </c>
      <c r="S7409" s="3" t="s">
        <v>1143</v>
      </c>
      <c r="T7409" s="3" t="s">
        <v>103</v>
      </c>
      <c r="U7409" s="3" t="s">
        <v>103</v>
      </c>
    </row>
    <row r="7410" spans="1:21" x14ac:dyDescent="0.3">
      <c r="A7410" t="s">
        <v>28</v>
      </c>
      <c r="B7410" t="s">
        <v>2183</v>
      </c>
      <c r="C7410">
        <v>36</v>
      </c>
      <c r="D7410" t="s">
        <v>1546</v>
      </c>
      <c r="E7410" t="s">
        <v>167</v>
      </c>
      <c r="F7410" t="s">
        <v>208</v>
      </c>
      <c r="G7410" t="s">
        <v>103</v>
      </c>
      <c r="H7410" t="s">
        <v>399</v>
      </c>
      <c r="I7410" t="s">
        <v>363</v>
      </c>
      <c r="J7410" t="s">
        <v>531</v>
      </c>
      <c r="K7410" t="s">
        <v>103</v>
      </c>
      <c r="L7410" t="s">
        <v>103</v>
      </c>
      <c r="M7410" t="s">
        <v>152</v>
      </c>
      <c r="N7410" t="s">
        <v>201</v>
      </c>
      <c r="O7410" t="s">
        <v>103</v>
      </c>
      <c r="P7410" t="s">
        <v>94</v>
      </c>
      <c r="Q7410" t="s">
        <v>284</v>
      </c>
      <c r="R7410" t="s">
        <v>103</v>
      </c>
      <c r="S7410" t="s">
        <v>103</v>
      </c>
      <c r="T7410" t="s">
        <v>103</v>
      </c>
      <c r="U7410" t="s">
        <v>103</v>
      </c>
    </row>
    <row r="7411" spans="1:21" s="3" customFormat="1" x14ac:dyDescent="0.3">
      <c r="A7411" s="3" t="s">
        <v>28</v>
      </c>
      <c r="B7411" s="3" t="s">
        <v>2184</v>
      </c>
      <c r="C7411" s="3">
        <v>23</v>
      </c>
      <c r="D7411" s="3" t="s">
        <v>442</v>
      </c>
      <c r="E7411" s="3" t="s">
        <v>205</v>
      </c>
      <c r="F7411" s="3" t="s">
        <v>68</v>
      </c>
      <c r="G7411" s="3" t="s">
        <v>103</v>
      </c>
      <c r="H7411" s="3" t="s">
        <v>2033</v>
      </c>
      <c r="I7411" s="3" t="s">
        <v>628</v>
      </c>
      <c r="J7411" s="3" t="s">
        <v>467</v>
      </c>
      <c r="K7411" s="3" t="s">
        <v>103</v>
      </c>
      <c r="L7411" s="3" t="s">
        <v>103</v>
      </c>
      <c r="M7411" s="3" t="s">
        <v>750</v>
      </c>
      <c r="N7411" s="3" t="s">
        <v>438</v>
      </c>
      <c r="O7411" s="3" t="s">
        <v>68</v>
      </c>
      <c r="P7411" s="3" t="s">
        <v>103</v>
      </c>
      <c r="Q7411" s="3" t="s">
        <v>68</v>
      </c>
      <c r="R7411" s="3" t="s">
        <v>103</v>
      </c>
      <c r="S7411" s="3" t="s">
        <v>103</v>
      </c>
      <c r="T7411" s="3" t="s">
        <v>103</v>
      </c>
      <c r="U7411" s="3" t="s">
        <v>103</v>
      </c>
    </row>
    <row r="7412" spans="1:21" s="3" customFormat="1" x14ac:dyDescent="0.3">
      <c r="A7412" s="3" t="s">
        <v>27</v>
      </c>
      <c r="B7412" s="3" t="s">
        <v>844</v>
      </c>
      <c r="C7412" s="3">
        <v>9</v>
      </c>
      <c r="D7412" s="3" t="s">
        <v>233</v>
      </c>
      <c r="E7412" s="3" t="s">
        <v>169</v>
      </c>
      <c r="F7412" s="3" t="s">
        <v>103</v>
      </c>
      <c r="G7412" s="3" t="s">
        <v>103</v>
      </c>
      <c r="H7412" s="3" t="s">
        <v>103</v>
      </c>
      <c r="I7412" s="3" t="s">
        <v>103</v>
      </c>
      <c r="J7412" s="3" t="s">
        <v>103</v>
      </c>
      <c r="K7412" s="3" t="s">
        <v>103</v>
      </c>
      <c r="L7412" s="3" t="s">
        <v>918</v>
      </c>
      <c r="M7412" s="3" t="s">
        <v>918</v>
      </c>
      <c r="N7412" s="3" t="s">
        <v>103</v>
      </c>
      <c r="O7412" s="3" t="s">
        <v>103</v>
      </c>
      <c r="P7412" s="3" t="s">
        <v>104</v>
      </c>
      <c r="Q7412" s="3" t="s">
        <v>789</v>
      </c>
      <c r="R7412" s="3" t="s">
        <v>103</v>
      </c>
      <c r="S7412" s="3" t="s">
        <v>136</v>
      </c>
      <c r="T7412" s="3" t="s">
        <v>103</v>
      </c>
      <c r="U7412" s="3" t="s">
        <v>103</v>
      </c>
    </row>
    <row r="7413" spans="1:21" s="3" customFormat="1" x14ac:dyDescent="0.3">
      <c r="A7413" s="3" t="s">
        <v>27</v>
      </c>
      <c r="B7413" s="3" t="s">
        <v>2173</v>
      </c>
      <c r="C7413" s="3">
        <v>5</v>
      </c>
      <c r="D7413" s="3" t="s">
        <v>137</v>
      </c>
      <c r="E7413" s="3" t="s">
        <v>103</v>
      </c>
      <c r="F7413" s="3" t="s">
        <v>103</v>
      </c>
      <c r="G7413" s="3" t="s">
        <v>103</v>
      </c>
      <c r="H7413" s="3" t="s">
        <v>103</v>
      </c>
      <c r="I7413" s="3" t="s">
        <v>103</v>
      </c>
      <c r="J7413" s="3" t="s">
        <v>103</v>
      </c>
      <c r="K7413" s="3" t="s">
        <v>103</v>
      </c>
      <c r="L7413" s="3" t="s">
        <v>622</v>
      </c>
      <c r="M7413" s="3" t="s">
        <v>814</v>
      </c>
      <c r="N7413" s="3" t="s">
        <v>103</v>
      </c>
      <c r="O7413" s="3" t="s">
        <v>103</v>
      </c>
      <c r="P7413" s="3" t="s">
        <v>103</v>
      </c>
      <c r="Q7413" s="3" t="s">
        <v>103</v>
      </c>
      <c r="R7413" s="3" t="s">
        <v>103</v>
      </c>
      <c r="S7413" s="3" t="s">
        <v>511</v>
      </c>
      <c r="T7413" s="3" t="s">
        <v>103</v>
      </c>
      <c r="U7413" s="3" t="s">
        <v>103</v>
      </c>
    </row>
    <row r="7414" spans="1:21" s="3" customFormat="1" x14ac:dyDescent="0.3">
      <c r="A7414" s="3" t="s">
        <v>27</v>
      </c>
      <c r="B7414" s="3" t="s">
        <v>2174</v>
      </c>
      <c r="C7414" s="3">
        <v>5</v>
      </c>
      <c r="D7414" s="3" t="s">
        <v>592</v>
      </c>
      <c r="E7414" s="3" t="s">
        <v>1081</v>
      </c>
      <c r="F7414" s="3" t="s">
        <v>103</v>
      </c>
      <c r="G7414" s="3" t="s">
        <v>103</v>
      </c>
      <c r="H7414" s="3" t="s">
        <v>103</v>
      </c>
      <c r="I7414" s="3" t="s">
        <v>103</v>
      </c>
      <c r="J7414" s="3" t="s">
        <v>103</v>
      </c>
      <c r="K7414" s="3" t="s">
        <v>103</v>
      </c>
      <c r="L7414" s="3" t="s">
        <v>103</v>
      </c>
      <c r="M7414" s="3" t="s">
        <v>103</v>
      </c>
      <c r="N7414" s="3" t="s">
        <v>103</v>
      </c>
      <c r="O7414" s="3" t="s">
        <v>103</v>
      </c>
      <c r="P7414" s="3" t="s">
        <v>383</v>
      </c>
      <c r="Q7414" s="3" t="s">
        <v>107</v>
      </c>
      <c r="R7414" s="3" t="s">
        <v>103</v>
      </c>
      <c r="S7414" s="3" t="s">
        <v>103</v>
      </c>
      <c r="T7414" s="3" t="s">
        <v>103</v>
      </c>
      <c r="U7414" s="3" t="s">
        <v>103</v>
      </c>
    </row>
    <row r="7415" spans="1:21" s="3" customFormat="1" x14ac:dyDescent="0.3">
      <c r="A7415" s="3" t="s">
        <v>27</v>
      </c>
      <c r="B7415" s="3" t="s">
        <v>2175</v>
      </c>
      <c r="C7415" s="3">
        <v>5</v>
      </c>
      <c r="D7415" s="3" t="s">
        <v>698</v>
      </c>
      <c r="E7415" s="3" t="s">
        <v>103</v>
      </c>
      <c r="F7415" s="3" t="s">
        <v>103</v>
      </c>
      <c r="G7415" s="3" t="s">
        <v>103</v>
      </c>
      <c r="H7415" s="3" t="s">
        <v>103</v>
      </c>
      <c r="I7415" s="3" t="s">
        <v>660</v>
      </c>
      <c r="J7415" s="3" t="s">
        <v>103</v>
      </c>
      <c r="K7415" s="3" t="s">
        <v>103</v>
      </c>
      <c r="L7415" s="3" t="s">
        <v>30</v>
      </c>
      <c r="M7415" s="3" t="s">
        <v>650</v>
      </c>
      <c r="N7415" s="3" t="s">
        <v>103</v>
      </c>
      <c r="O7415" s="3" t="s">
        <v>103</v>
      </c>
      <c r="P7415" s="3" t="s">
        <v>569</v>
      </c>
      <c r="Q7415" s="3" t="s">
        <v>569</v>
      </c>
      <c r="R7415" s="3" t="s">
        <v>103</v>
      </c>
      <c r="S7415" s="3" t="s">
        <v>30</v>
      </c>
      <c r="T7415" s="3" t="s">
        <v>103</v>
      </c>
      <c r="U7415" s="3" t="s">
        <v>103</v>
      </c>
    </row>
    <row r="7416" spans="1:21" x14ac:dyDescent="0.3">
      <c r="A7416" t="s">
        <v>27</v>
      </c>
      <c r="B7416" t="s">
        <v>2176</v>
      </c>
      <c r="C7416">
        <v>44</v>
      </c>
      <c r="D7416" t="s">
        <v>620</v>
      </c>
      <c r="E7416" t="s">
        <v>471</v>
      </c>
      <c r="F7416" t="s">
        <v>114</v>
      </c>
      <c r="G7416" t="s">
        <v>103</v>
      </c>
      <c r="H7416" t="s">
        <v>685</v>
      </c>
      <c r="I7416" t="s">
        <v>352</v>
      </c>
      <c r="J7416" t="s">
        <v>232</v>
      </c>
      <c r="K7416" t="s">
        <v>103</v>
      </c>
      <c r="L7416" t="s">
        <v>68</v>
      </c>
      <c r="M7416" t="s">
        <v>1226</v>
      </c>
      <c r="N7416" t="s">
        <v>128</v>
      </c>
      <c r="O7416" t="s">
        <v>549</v>
      </c>
      <c r="P7416" t="s">
        <v>649</v>
      </c>
      <c r="Q7416" t="s">
        <v>113</v>
      </c>
      <c r="R7416" t="s">
        <v>103</v>
      </c>
      <c r="S7416" t="s">
        <v>191</v>
      </c>
      <c r="T7416" t="s">
        <v>103</v>
      </c>
      <c r="U7416" t="s">
        <v>103</v>
      </c>
    </row>
    <row r="7417" spans="1:21" x14ac:dyDescent="0.3">
      <c r="A7417" t="s">
        <v>27</v>
      </c>
      <c r="B7417" t="s">
        <v>2177</v>
      </c>
      <c r="C7417">
        <v>59</v>
      </c>
      <c r="D7417" t="s">
        <v>1401</v>
      </c>
      <c r="E7417" t="s">
        <v>706</v>
      </c>
      <c r="F7417" t="s">
        <v>195</v>
      </c>
      <c r="G7417" t="s">
        <v>128</v>
      </c>
      <c r="H7417" t="s">
        <v>498</v>
      </c>
      <c r="I7417" t="s">
        <v>426</v>
      </c>
      <c r="J7417" t="s">
        <v>649</v>
      </c>
      <c r="K7417" t="s">
        <v>103</v>
      </c>
      <c r="L7417" t="s">
        <v>270</v>
      </c>
      <c r="M7417" t="s">
        <v>1219</v>
      </c>
      <c r="N7417" t="s">
        <v>245</v>
      </c>
      <c r="O7417" t="s">
        <v>113</v>
      </c>
      <c r="P7417" t="s">
        <v>32</v>
      </c>
      <c r="Q7417" t="s">
        <v>214</v>
      </c>
      <c r="R7417" t="s">
        <v>103</v>
      </c>
      <c r="S7417" t="s">
        <v>100</v>
      </c>
      <c r="T7417" t="s">
        <v>103</v>
      </c>
      <c r="U7417" t="s">
        <v>103</v>
      </c>
    </row>
    <row r="7418" spans="1:21" x14ac:dyDescent="0.3">
      <c r="A7418" t="s">
        <v>27</v>
      </c>
      <c r="B7418" t="s">
        <v>2178</v>
      </c>
      <c r="C7418">
        <v>113</v>
      </c>
      <c r="D7418" t="s">
        <v>1199</v>
      </c>
      <c r="E7418" t="s">
        <v>519</v>
      </c>
      <c r="F7418" t="s">
        <v>201</v>
      </c>
      <c r="G7418" t="s">
        <v>188</v>
      </c>
      <c r="H7418" t="s">
        <v>260</v>
      </c>
      <c r="I7418" t="s">
        <v>1310</v>
      </c>
      <c r="J7418" t="s">
        <v>526</v>
      </c>
      <c r="K7418" t="s">
        <v>103</v>
      </c>
      <c r="L7418" t="s">
        <v>282</v>
      </c>
      <c r="M7418" t="s">
        <v>146</v>
      </c>
      <c r="N7418" t="s">
        <v>33</v>
      </c>
      <c r="O7418" t="s">
        <v>214</v>
      </c>
      <c r="P7418" t="s">
        <v>217</v>
      </c>
      <c r="Q7418" t="s">
        <v>341</v>
      </c>
      <c r="R7418" t="s">
        <v>97</v>
      </c>
      <c r="S7418" t="s">
        <v>92</v>
      </c>
      <c r="T7418" t="s">
        <v>66</v>
      </c>
      <c r="U7418" t="s">
        <v>103</v>
      </c>
    </row>
    <row r="7419" spans="1:21" s="3" customFormat="1" x14ac:dyDescent="0.3">
      <c r="A7419" s="3" t="s">
        <v>27</v>
      </c>
      <c r="B7419" s="3" t="s">
        <v>846</v>
      </c>
      <c r="C7419" s="3">
        <v>9</v>
      </c>
      <c r="D7419" s="3" t="s">
        <v>417</v>
      </c>
      <c r="E7419" s="3" t="s">
        <v>540</v>
      </c>
      <c r="F7419" s="3" t="s">
        <v>103</v>
      </c>
      <c r="G7419" s="3" t="s">
        <v>103</v>
      </c>
      <c r="H7419" s="3" t="s">
        <v>103</v>
      </c>
      <c r="I7419" s="3" t="s">
        <v>103</v>
      </c>
      <c r="J7419" s="3" t="s">
        <v>607</v>
      </c>
      <c r="K7419" s="3" t="s">
        <v>103</v>
      </c>
      <c r="L7419" s="3" t="s">
        <v>70</v>
      </c>
      <c r="M7419" s="3" t="s">
        <v>700</v>
      </c>
      <c r="N7419" s="3" t="s">
        <v>103</v>
      </c>
      <c r="O7419" s="3" t="s">
        <v>103</v>
      </c>
      <c r="P7419" s="3" t="s">
        <v>386</v>
      </c>
      <c r="Q7419" s="3" t="s">
        <v>103</v>
      </c>
      <c r="R7419" s="3" t="s">
        <v>103</v>
      </c>
      <c r="S7419" s="3" t="s">
        <v>688</v>
      </c>
      <c r="T7419" s="3" t="s">
        <v>103</v>
      </c>
      <c r="U7419" s="3" t="s">
        <v>232</v>
      </c>
    </row>
    <row r="7420" spans="1:21" s="3" customFormat="1" x14ac:dyDescent="0.3">
      <c r="A7420" s="3" t="s">
        <v>27</v>
      </c>
      <c r="B7420" s="3" t="s">
        <v>2179</v>
      </c>
      <c r="C7420" s="3">
        <v>6</v>
      </c>
      <c r="D7420" s="3" t="s">
        <v>377</v>
      </c>
      <c r="E7420" s="3" t="s">
        <v>819</v>
      </c>
      <c r="F7420" s="3" t="s">
        <v>819</v>
      </c>
      <c r="G7420" s="3" t="s">
        <v>103</v>
      </c>
      <c r="H7420" s="3" t="s">
        <v>103</v>
      </c>
      <c r="I7420" s="3" t="s">
        <v>103</v>
      </c>
      <c r="J7420" s="3" t="s">
        <v>103</v>
      </c>
      <c r="K7420" s="3" t="s">
        <v>103</v>
      </c>
      <c r="L7420" s="3" t="s">
        <v>103</v>
      </c>
      <c r="M7420" s="3" t="s">
        <v>103</v>
      </c>
      <c r="N7420" s="3" t="s">
        <v>103</v>
      </c>
      <c r="O7420" s="3" t="s">
        <v>103</v>
      </c>
      <c r="P7420" s="3" t="s">
        <v>376</v>
      </c>
      <c r="Q7420" s="3" t="s">
        <v>103</v>
      </c>
      <c r="R7420" s="3" t="s">
        <v>103</v>
      </c>
      <c r="S7420" s="3" t="s">
        <v>103</v>
      </c>
      <c r="T7420" s="3" t="s">
        <v>103</v>
      </c>
      <c r="U7420" s="3" t="s">
        <v>103</v>
      </c>
    </row>
    <row r="7421" spans="1:21" s="3" customFormat="1" x14ac:dyDescent="0.3">
      <c r="A7421" s="3" t="s">
        <v>27</v>
      </c>
      <c r="B7421" s="3" t="s">
        <v>2180</v>
      </c>
      <c r="C7421" s="3">
        <v>5</v>
      </c>
      <c r="D7421" s="3" t="s">
        <v>385</v>
      </c>
      <c r="E7421" s="3" t="s">
        <v>103</v>
      </c>
      <c r="F7421" s="3" t="s">
        <v>103</v>
      </c>
      <c r="G7421" s="3" t="s">
        <v>103</v>
      </c>
      <c r="H7421" s="3" t="s">
        <v>103</v>
      </c>
      <c r="I7421" s="3" t="s">
        <v>103</v>
      </c>
      <c r="J7421" s="3" t="s">
        <v>103</v>
      </c>
      <c r="K7421" s="3" t="s">
        <v>103</v>
      </c>
      <c r="L7421" s="3" t="s">
        <v>103</v>
      </c>
      <c r="M7421" s="3" t="s">
        <v>103</v>
      </c>
      <c r="N7421" s="3" t="s">
        <v>142</v>
      </c>
      <c r="O7421" s="3" t="s">
        <v>103</v>
      </c>
      <c r="P7421" s="3" t="s">
        <v>382</v>
      </c>
      <c r="Q7421" s="3" t="s">
        <v>646</v>
      </c>
      <c r="R7421" s="3" t="s">
        <v>103</v>
      </c>
      <c r="S7421" s="3" t="s">
        <v>646</v>
      </c>
      <c r="T7421" s="3" t="s">
        <v>103</v>
      </c>
      <c r="U7421" s="3" t="s">
        <v>103</v>
      </c>
    </row>
    <row r="7422" spans="1:21" s="3" customFormat="1" x14ac:dyDescent="0.3">
      <c r="A7422" s="3" t="s">
        <v>27</v>
      </c>
      <c r="B7422" s="3" t="s">
        <v>2181</v>
      </c>
      <c r="C7422" s="3">
        <v>3</v>
      </c>
      <c r="D7422" s="3" t="s">
        <v>420</v>
      </c>
      <c r="E7422" s="3" t="s">
        <v>103</v>
      </c>
      <c r="F7422" s="3" t="s">
        <v>103</v>
      </c>
      <c r="G7422" s="3" t="s">
        <v>103</v>
      </c>
      <c r="H7422" s="3" t="s">
        <v>103</v>
      </c>
      <c r="I7422" s="3" t="s">
        <v>565</v>
      </c>
      <c r="J7422" s="3" t="s">
        <v>103</v>
      </c>
      <c r="K7422" s="3" t="s">
        <v>103</v>
      </c>
      <c r="L7422" s="3" t="s">
        <v>666</v>
      </c>
      <c r="M7422" s="3" t="s">
        <v>103</v>
      </c>
      <c r="N7422" s="3" t="s">
        <v>103</v>
      </c>
      <c r="O7422" s="3" t="s">
        <v>103</v>
      </c>
      <c r="P7422" s="3" t="s">
        <v>420</v>
      </c>
      <c r="Q7422" s="3" t="s">
        <v>103</v>
      </c>
      <c r="R7422" s="3" t="s">
        <v>103</v>
      </c>
      <c r="S7422" s="3" t="s">
        <v>103</v>
      </c>
      <c r="T7422" s="3" t="s">
        <v>103</v>
      </c>
      <c r="U7422" s="3" t="s">
        <v>103</v>
      </c>
    </row>
    <row r="7423" spans="1:21" s="3" customFormat="1" x14ac:dyDescent="0.3">
      <c r="A7423" s="3" t="s">
        <v>27</v>
      </c>
      <c r="B7423" s="3" t="s">
        <v>2182</v>
      </c>
      <c r="C7423" s="3">
        <v>18</v>
      </c>
      <c r="D7423" s="3" t="s">
        <v>1137</v>
      </c>
      <c r="E7423" s="3" t="s">
        <v>103</v>
      </c>
      <c r="F7423" s="3" t="s">
        <v>549</v>
      </c>
      <c r="G7423" s="3" t="s">
        <v>103</v>
      </c>
      <c r="H7423" s="3" t="s">
        <v>206</v>
      </c>
      <c r="I7423" s="3" t="s">
        <v>128</v>
      </c>
      <c r="J7423" s="3" t="s">
        <v>466</v>
      </c>
      <c r="K7423" s="3" t="s">
        <v>103</v>
      </c>
      <c r="L7423" s="3" t="s">
        <v>128</v>
      </c>
      <c r="M7423" s="3" t="s">
        <v>549</v>
      </c>
      <c r="N7423" s="3" t="s">
        <v>516</v>
      </c>
      <c r="O7423" s="3" t="s">
        <v>103</v>
      </c>
      <c r="P7423" s="3" t="s">
        <v>281</v>
      </c>
      <c r="Q7423" s="3" t="s">
        <v>133</v>
      </c>
      <c r="R7423" s="3" t="s">
        <v>103</v>
      </c>
      <c r="S7423" s="3" t="s">
        <v>92</v>
      </c>
      <c r="T7423" s="3" t="s">
        <v>103</v>
      </c>
      <c r="U7423" s="3" t="s">
        <v>103</v>
      </c>
    </row>
    <row r="7424" spans="1:21" s="3" customFormat="1" x14ac:dyDescent="0.3">
      <c r="A7424" s="3" t="s">
        <v>27</v>
      </c>
      <c r="B7424" s="3" t="s">
        <v>2183</v>
      </c>
      <c r="C7424" s="3">
        <v>29</v>
      </c>
      <c r="D7424" s="3" t="s">
        <v>249</v>
      </c>
      <c r="E7424" s="3" t="s">
        <v>656</v>
      </c>
      <c r="F7424" s="3" t="s">
        <v>64</v>
      </c>
      <c r="G7424" s="3" t="s">
        <v>103</v>
      </c>
      <c r="H7424" s="3" t="s">
        <v>1250</v>
      </c>
      <c r="I7424" s="3" t="s">
        <v>508</v>
      </c>
      <c r="J7424" s="3" t="s">
        <v>115</v>
      </c>
      <c r="K7424" s="3" t="s">
        <v>103</v>
      </c>
      <c r="L7424" s="3" t="s">
        <v>467</v>
      </c>
      <c r="M7424" s="3" t="s">
        <v>571</v>
      </c>
      <c r="N7424" s="3" t="s">
        <v>272</v>
      </c>
      <c r="O7424" s="3" t="s">
        <v>467</v>
      </c>
      <c r="P7424" s="3" t="s">
        <v>103</v>
      </c>
      <c r="Q7424" s="3" t="s">
        <v>452</v>
      </c>
      <c r="R7424" s="3" t="s">
        <v>103</v>
      </c>
      <c r="S7424" s="3" t="s">
        <v>493</v>
      </c>
      <c r="T7424" s="3" t="s">
        <v>103</v>
      </c>
      <c r="U7424" s="3" t="s">
        <v>103</v>
      </c>
    </row>
    <row r="7425" spans="1:21" x14ac:dyDescent="0.3">
      <c r="A7425" t="s">
        <v>27</v>
      </c>
      <c r="B7425" t="s">
        <v>2184</v>
      </c>
      <c r="C7425">
        <v>45</v>
      </c>
      <c r="D7425" t="s">
        <v>249</v>
      </c>
      <c r="E7425" t="s">
        <v>819</v>
      </c>
      <c r="F7425" t="s">
        <v>103</v>
      </c>
      <c r="G7425" t="s">
        <v>662</v>
      </c>
      <c r="H7425" t="s">
        <v>1675</v>
      </c>
      <c r="I7425" t="s">
        <v>761</v>
      </c>
      <c r="J7425" t="s">
        <v>273</v>
      </c>
      <c r="K7425" t="s">
        <v>103</v>
      </c>
      <c r="L7425" t="s">
        <v>103</v>
      </c>
      <c r="M7425" t="s">
        <v>136</v>
      </c>
      <c r="N7425" t="s">
        <v>133</v>
      </c>
      <c r="O7425" t="s">
        <v>103</v>
      </c>
      <c r="P7425" t="s">
        <v>239</v>
      </c>
      <c r="Q7425" t="s">
        <v>103</v>
      </c>
      <c r="R7425" t="s">
        <v>251</v>
      </c>
      <c r="S7425" t="s">
        <v>242</v>
      </c>
      <c r="T7425" t="s">
        <v>103</v>
      </c>
      <c r="U7425" t="s">
        <v>103</v>
      </c>
    </row>
    <row r="7426" spans="1:21" x14ac:dyDescent="0.3">
      <c r="A7426" t="s">
        <v>41</v>
      </c>
      <c r="B7426" t="s">
        <v>844</v>
      </c>
      <c r="C7426">
        <v>90</v>
      </c>
      <c r="D7426" t="s">
        <v>799</v>
      </c>
      <c r="E7426" t="s">
        <v>228</v>
      </c>
      <c r="F7426" t="s">
        <v>122</v>
      </c>
      <c r="G7426" t="s">
        <v>124</v>
      </c>
      <c r="H7426" t="s">
        <v>68</v>
      </c>
      <c r="I7426" t="s">
        <v>103</v>
      </c>
      <c r="J7426" t="s">
        <v>139</v>
      </c>
      <c r="K7426" t="s">
        <v>103</v>
      </c>
      <c r="L7426" t="s">
        <v>102</v>
      </c>
      <c r="M7426" t="s">
        <v>124</v>
      </c>
      <c r="N7426" t="s">
        <v>136</v>
      </c>
      <c r="O7426" t="s">
        <v>66</v>
      </c>
      <c r="P7426" t="s">
        <v>1637</v>
      </c>
      <c r="Q7426" t="s">
        <v>111</v>
      </c>
      <c r="R7426" t="s">
        <v>467</v>
      </c>
      <c r="S7426" t="s">
        <v>890</v>
      </c>
      <c r="T7426" t="s">
        <v>103</v>
      </c>
      <c r="U7426" t="s">
        <v>93</v>
      </c>
    </row>
    <row r="7427" spans="1:21" x14ac:dyDescent="0.3">
      <c r="A7427" t="s">
        <v>41</v>
      </c>
      <c r="B7427" t="s">
        <v>2173</v>
      </c>
      <c r="C7427">
        <v>123</v>
      </c>
      <c r="D7427" t="s">
        <v>229</v>
      </c>
      <c r="E7427" t="s">
        <v>975</v>
      </c>
      <c r="F7427" t="s">
        <v>103</v>
      </c>
      <c r="G7427" t="s">
        <v>201</v>
      </c>
      <c r="H7427" t="s">
        <v>118</v>
      </c>
      <c r="I7427" t="s">
        <v>103</v>
      </c>
      <c r="J7427" t="s">
        <v>345</v>
      </c>
      <c r="K7427" t="s">
        <v>103</v>
      </c>
      <c r="L7427" t="s">
        <v>494</v>
      </c>
      <c r="M7427" t="s">
        <v>594</v>
      </c>
      <c r="N7427" t="s">
        <v>254</v>
      </c>
      <c r="O7427" t="s">
        <v>282</v>
      </c>
      <c r="P7427" t="s">
        <v>1356</v>
      </c>
      <c r="Q7427" t="s">
        <v>756</v>
      </c>
      <c r="R7427" t="s">
        <v>195</v>
      </c>
      <c r="S7427" t="s">
        <v>99</v>
      </c>
      <c r="T7427" t="s">
        <v>103</v>
      </c>
      <c r="U7427" t="s">
        <v>103</v>
      </c>
    </row>
    <row r="7428" spans="1:21" x14ac:dyDescent="0.3">
      <c r="A7428" t="s">
        <v>41</v>
      </c>
      <c r="B7428" t="s">
        <v>2174</v>
      </c>
      <c r="C7428">
        <v>77</v>
      </c>
      <c r="D7428" t="s">
        <v>884</v>
      </c>
      <c r="E7428" t="s">
        <v>577</v>
      </c>
      <c r="F7428" t="s">
        <v>103</v>
      </c>
      <c r="G7428" t="s">
        <v>467</v>
      </c>
      <c r="H7428" t="s">
        <v>103</v>
      </c>
      <c r="I7428" t="s">
        <v>103</v>
      </c>
      <c r="J7428" t="s">
        <v>103</v>
      </c>
      <c r="K7428" t="s">
        <v>103</v>
      </c>
      <c r="L7428" t="s">
        <v>125</v>
      </c>
      <c r="M7428" t="s">
        <v>201</v>
      </c>
      <c r="N7428" t="s">
        <v>558</v>
      </c>
      <c r="O7428" t="s">
        <v>103</v>
      </c>
      <c r="P7428" t="s">
        <v>1390</v>
      </c>
      <c r="Q7428" t="s">
        <v>566</v>
      </c>
      <c r="R7428" t="s">
        <v>114</v>
      </c>
      <c r="S7428" t="s">
        <v>472</v>
      </c>
      <c r="T7428" t="s">
        <v>103</v>
      </c>
      <c r="U7428" t="s">
        <v>245</v>
      </c>
    </row>
    <row r="7429" spans="1:21" x14ac:dyDescent="0.3">
      <c r="A7429" t="s">
        <v>41</v>
      </c>
      <c r="B7429" t="s">
        <v>2175</v>
      </c>
      <c r="C7429">
        <v>59</v>
      </c>
      <c r="D7429" t="s">
        <v>349</v>
      </c>
      <c r="E7429" t="s">
        <v>557</v>
      </c>
      <c r="F7429" t="s">
        <v>103</v>
      </c>
      <c r="G7429" t="s">
        <v>103</v>
      </c>
      <c r="H7429" t="s">
        <v>102</v>
      </c>
      <c r="I7429" t="s">
        <v>266</v>
      </c>
      <c r="J7429" t="s">
        <v>345</v>
      </c>
      <c r="K7429" t="s">
        <v>103</v>
      </c>
      <c r="L7429" t="s">
        <v>123</v>
      </c>
      <c r="M7429" t="s">
        <v>190</v>
      </c>
      <c r="N7429" t="s">
        <v>135</v>
      </c>
      <c r="O7429" t="s">
        <v>114</v>
      </c>
      <c r="P7429" t="s">
        <v>523</v>
      </c>
      <c r="Q7429" t="s">
        <v>273</v>
      </c>
      <c r="R7429" t="s">
        <v>103</v>
      </c>
      <c r="S7429" t="s">
        <v>680</v>
      </c>
      <c r="T7429" t="s">
        <v>531</v>
      </c>
      <c r="U7429" t="s">
        <v>103</v>
      </c>
    </row>
    <row r="7430" spans="1:21" x14ac:dyDescent="0.3">
      <c r="A7430" t="s">
        <v>41</v>
      </c>
      <c r="B7430" t="s">
        <v>2176</v>
      </c>
      <c r="C7430">
        <v>529</v>
      </c>
      <c r="D7430" t="s">
        <v>866</v>
      </c>
      <c r="E7430" t="s">
        <v>471</v>
      </c>
      <c r="F7430" t="s">
        <v>257</v>
      </c>
      <c r="G7430" t="s">
        <v>266</v>
      </c>
      <c r="H7430" t="s">
        <v>518</v>
      </c>
      <c r="I7430" t="s">
        <v>672</v>
      </c>
      <c r="J7430" t="s">
        <v>266</v>
      </c>
      <c r="K7430" t="s">
        <v>217</v>
      </c>
      <c r="L7430" t="s">
        <v>102</v>
      </c>
      <c r="M7430" t="s">
        <v>514</v>
      </c>
      <c r="N7430" t="s">
        <v>700</v>
      </c>
      <c r="O7430" t="s">
        <v>186</v>
      </c>
      <c r="P7430" t="s">
        <v>548</v>
      </c>
      <c r="Q7430" t="s">
        <v>652</v>
      </c>
      <c r="R7430" t="s">
        <v>97</v>
      </c>
      <c r="S7430" t="s">
        <v>247</v>
      </c>
      <c r="T7430" t="s">
        <v>97</v>
      </c>
      <c r="U7430" t="s">
        <v>103</v>
      </c>
    </row>
    <row r="7431" spans="1:21" x14ac:dyDescent="0.3">
      <c r="A7431" t="s">
        <v>41</v>
      </c>
      <c r="B7431" t="s">
        <v>2177</v>
      </c>
      <c r="C7431">
        <v>510</v>
      </c>
      <c r="D7431" t="s">
        <v>1556</v>
      </c>
      <c r="E7431" t="s">
        <v>144</v>
      </c>
      <c r="F7431" t="s">
        <v>329</v>
      </c>
      <c r="G7431" t="s">
        <v>438</v>
      </c>
      <c r="H7431" t="s">
        <v>501</v>
      </c>
      <c r="I7431" t="s">
        <v>1048</v>
      </c>
      <c r="J7431" t="s">
        <v>629</v>
      </c>
      <c r="K7431" t="s">
        <v>91</v>
      </c>
      <c r="L7431" t="s">
        <v>128</v>
      </c>
      <c r="M7431" t="s">
        <v>1319</v>
      </c>
      <c r="N7431" t="s">
        <v>157</v>
      </c>
      <c r="O7431" t="s">
        <v>272</v>
      </c>
      <c r="P7431" t="s">
        <v>99</v>
      </c>
      <c r="Q7431" t="s">
        <v>494</v>
      </c>
      <c r="R7431" t="s">
        <v>272</v>
      </c>
      <c r="S7431" t="s">
        <v>652</v>
      </c>
      <c r="T7431" t="s">
        <v>66</v>
      </c>
      <c r="U7431" t="s">
        <v>103</v>
      </c>
    </row>
    <row r="7432" spans="1:21" x14ac:dyDescent="0.3">
      <c r="A7432" t="s">
        <v>41</v>
      </c>
      <c r="B7432" t="s">
        <v>2178</v>
      </c>
      <c r="C7432">
        <v>629</v>
      </c>
      <c r="D7432" t="s">
        <v>1006</v>
      </c>
      <c r="E7432" t="s">
        <v>737</v>
      </c>
      <c r="F7432" t="s">
        <v>329</v>
      </c>
      <c r="G7432" t="s">
        <v>33</v>
      </c>
      <c r="H7432" t="s">
        <v>441</v>
      </c>
      <c r="I7432" t="s">
        <v>618</v>
      </c>
      <c r="J7432" t="s">
        <v>273</v>
      </c>
      <c r="K7432" t="s">
        <v>66</v>
      </c>
      <c r="L7432" t="s">
        <v>345</v>
      </c>
      <c r="M7432" t="s">
        <v>273</v>
      </c>
      <c r="N7432" t="s">
        <v>750</v>
      </c>
      <c r="O7432" t="s">
        <v>662</v>
      </c>
      <c r="P7432" t="s">
        <v>126</v>
      </c>
      <c r="Q7432" t="s">
        <v>133</v>
      </c>
      <c r="R7432" t="s">
        <v>201</v>
      </c>
      <c r="S7432" t="s">
        <v>126</v>
      </c>
      <c r="T7432" t="s">
        <v>66</v>
      </c>
      <c r="U7432" t="s">
        <v>103</v>
      </c>
    </row>
    <row r="7433" spans="1:21" x14ac:dyDescent="0.3">
      <c r="A7433" t="s">
        <v>41</v>
      </c>
      <c r="B7433" t="s">
        <v>846</v>
      </c>
      <c r="C7433">
        <v>114</v>
      </c>
      <c r="D7433" t="s">
        <v>799</v>
      </c>
      <c r="E7433" t="s">
        <v>50</v>
      </c>
      <c r="F7433" t="s">
        <v>103</v>
      </c>
      <c r="G7433" t="s">
        <v>64</v>
      </c>
      <c r="H7433" t="s">
        <v>188</v>
      </c>
      <c r="I7433" t="s">
        <v>345</v>
      </c>
      <c r="J7433" t="s">
        <v>116</v>
      </c>
      <c r="K7433" t="s">
        <v>139</v>
      </c>
      <c r="L7433" t="s">
        <v>281</v>
      </c>
      <c r="M7433" t="s">
        <v>190</v>
      </c>
      <c r="N7433" t="s">
        <v>224</v>
      </c>
      <c r="O7433" t="s">
        <v>245</v>
      </c>
      <c r="P7433" t="s">
        <v>1066</v>
      </c>
      <c r="Q7433" t="s">
        <v>548</v>
      </c>
      <c r="R7433" t="s">
        <v>103</v>
      </c>
      <c r="S7433" t="s">
        <v>482</v>
      </c>
      <c r="T7433" t="s">
        <v>239</v>
      </c>
      <c r="U7433" t="s">
        <v>66</v>
      </c>
    </row>
    <row r="7434" spans="1:21" x14ac:dyDescent="0.3">
      <c r="A7434" t="s">
        <v>41</v>
      </c>
      <c r="B7434" t="s">
        <v>2179</v>
      </c>
      <c r="C7434">
        <v>104</v>
      </c>
      <c r="D7434" t="s">
        <v>1373</v>
      </c>
      <c r="E7434" t="s">
        <v>789</v>
      </c>
      <c r="F7434" t="s">
        <v>116</v>
      </c>
      <c r="G7434" t="s">
        <v>140</v>
      </c>
      <c r="H7434" t="s">
        <v>103</v>
      </c>
      <c r="I7434" t="s">
        <v>216</v>
      </c>
      <c r="J7434" t="s">
        <v>282</v>
      </c>
      <c r="K7434" t="s">
        <v>103</v>
      </c>
      <c r="L7434" t="s">
        <v>103</v>
      </c>
      <c r="M7434" t="s">
        <v>341</v>
      </c>
      <c r="N7434" t="s">
        <v>247</v>
      </c>
      <c r="O7434" t="s">
        <v>103</v>
      </c>
      <c r="P7434" t="s">
        <v>2010</v>
      </c>
      <c r="Q7434" t="s">
        <v>32</v>
      </c>
      <c r="R7434" t="s">
        <v>103</v>
      </c>
      <c r="S7434" t="s">
        <v>890</v>
      </c>
      <c r="T7434" t="s">
        <v>103</v>
      </c>
      <c r="U7434" t="s">
        <v>103</v>
      </c>
    </row>
    <row r="7435" spans="1:21" x14ac:dyDescent="0.3">
      <c r="A7435" t="s">
        <v>41</v>
      </c>
      <c r="B7435" t="s">
        <v>2180</v>
      </c>
      <c r="C7435">
        <v>66</v>
      </c>
      <c r="D7435" t="s">
        <v>753</v>
      </c>
      <c r="E7435" t="s">
        <v>684</v>
      </c>
      <c r="F7435" t="s">
        <v>103</v>
      </c>
      <c r="G7435" t="s">
        <v>251</v>
      </c>
      <c r="H7435" t="s">
        <v>329</v>
      </c>
      <c r="I7435" t="s">
        <v>103</v>
      </c>
      <c r="J7435" t="s">
        <v>103</v>
      </c>
      <c r="K7435" t="s">
        <v>103</v>
      </c>
      <c r="L7435" t="s">
        <v>103</v>
      </c>
      <c r="M7435" t="s">
        <v>257</v>
      </c>
      <c r="N7435" t="s">
        <v>131</v>
      </c>
      <c r="O7435" t="s">
        <v>103</v>
      </c>
      <c r="P7435" t="s">
        <v>1044</v>
      </c>
      <c r="Q7435" t="s">
        <v>809</v>
      </c>
      <c r="R7435" t="s">
        <v>116</v>
      </c>
      <c r="S7435" t="s">
        <v>282</v>
      </c>
      <c r="T7435" t="s">
        <v>103</v>
      </c>
      <c r="U7435" t="s">
        <v>103</v>
      </c>
    </row>
    <row r="7436" spans="1:21" x14ac:dyDescent="0.3">
      <c r="A7436" t="s">
        <v>41</v>
      </c>
      <c r="B7436" t="s">
        <v>2181</v>
      </c>
      <c r="C7436">
        <v>57</v>
      </c>
      <c r="D7436" t="s">
        <v>1549</v>
      </c>
      <c r="E7436" t="s">
        <v>549</v>
      </c>
      <c r="F7436" t="s">
        <v>103</v>
      </c>
      <c r="G7436" t="s">
        <v>125</v>
      </c>
      <c r="H7436" t="s">
        <v>438</v>
      </c>
      <c r="I7436" t="s">
        <v>102</v>
      </c>
      <c r="J7436" t="s">
        <v>242</v>
      </c>
      <c r="K7436" t="s">
        <v>103</v>
      </c>
      <c r="L7436" t="s">
        <v>123</v>
      </c>
      <c r="M7436" t="s">
        <v>70</v>
      </c>
      <c r="N7436" t="s">
        <v>615</v>
      </c>
      <c r="O7436" t="s">
        <v>103</v>
      </c>
      <c r="P7436" t="s">
        <v>411</v>
      </c>
      <c r="Q7436" t="s">
        <v>273</v>
      </c>
      <c r="R7436" t="s">
        <v>103</v>
      </c>
      <c r="S7436" t="s">
        <v>687</v>
      </c>
      <c r="T7436" t="s">
        <v>103</v>
      </c>
      <c r="U7436" t="s">
        <v>103</v>
      </c>
    </row>
    <row r="7437" spans="1:21" x14ac:dyDescent="0.3">
      <c r="A7437" t="s">
        <v>41</v>
      </c>
      <c r="B7437" t="s">
        <v>2182</v>
      </c>
      <c r="C7437">
        <v>238</v>
      </c>
      <c r="D7437" t="s">
        <v>726</v>
      </c>
      <c r="E7437" t="s">
        <v>566</v>
      </c>
      <c r="F7437" t="s">
        <v>245</v>
      </c>
      <c r="G7437" t="s">
        <v>93</v>
      </c>
      <c r="H7437" t="s">
        <v>649</v>
      </c>
      <c r="I7437" t="s">
        <v>526</v>
      </c>
      <c r="J7437" t="s">
        <v>201</v>
      </c>
      <c r="K7437" t="s">
        <v>103</v>
      </c>
      <c r="L7437" t="s">
        <v>536</v>
      </c>
      <c r="M7437" t="s">
        <v>693</v>
      </c>
      <c r="N7437" t="s">
        <v>819</v>
      </c>
      <c r="O7437" t="s">
        <v>102</v>
      </c>
      <c r="P7437" t="s">
        <v>700</v>
      </c>
      <c r="Q7437" t="s">
        <v>107</v>
      </c>
      <c r="R7437" t="s">
        <v>329</v>
      </c>
      <c r="S7437" t="s">
        <v>126</v>
      </c>
      <c r="T7437" t="s">
        <v>468</v>
      </c>
      <c r="U7437" t="s">
        <v>97</v>
      </c>
    </row>
    <row r="7438" spans="1:21" x14ac:dyDescent="0.3">
      <c r="A7438" t="s">
        <v>41</v>
      </c>
      <c r="B7438" t="s">
        <v>2183</v>
      </c>
      <c r="C7438">
        <v>238</v>
      </c>
      <c r="D7438" t="s">
        <v>798</v>
      </c>
      <c r="E7438" t="s">
        <v>169</v>
      </c>
      <c r="F7438" t="s">
        <v>341</v>
      </c>
      <c r="G7438" t="s">
        <v>206</v>
      </c>
      <c r="H7438" t="s">
        <v>797</v>
      </c>
      <c r="I7438" t="s">
        <v>791</v>
      </c>
      <c r="J7438" t="s">
        <v>133</v>
      </c>
      <c r="K7438" t="s">
        <v>103</v>
      </c>
      <c r="L7438" t="s">
        <v>214</v>
      </c>
      <c r="M7438" t="s">
        <v>62</v>
      </c>
      <c r="N7438" t="s">
        <v>495</v>
      </c>
      <c r="O7438" t="s">
        <v>467</v>
      </c>
      <c r="P7438" t="s">
        <v>271</v>
      </c>
      <c r="Q7438" t="s">
        <v>329</v>
      </c>
      <c r="R7438" t="s">
        <v>282</v>
      </c>
      <c r="S7438" t="s">
        <v>133</v>
      </c>
      <c r="T7438" t="s">
        <v>103</v>
      </c>
      <c r="U7438" t="s">
        <v>110</v>
      </c>
    </row>
    <row r="7439" spans="1:21" x14ac:dyDescent="0.3">
      <c r="A7439" t="s">
        <v>41</v>
      </c>
      <c r="B7439" t="s">
        <v>2184</v>
      </c>
      <c r="C7439">
        <v>210</v>
      </c>
      <c r="D7439" t="s">
        <v>1024</v>
      </c>
      <c r="E7439" t="s">
        <v>99</v>
      </c>
      <c r="F7439" t="s">
        <v>93</v>
      </c>
      <c r="G7439" t="s">
        <v>214</v>
      </c>
      <c r="H7439" t="s">
        <v>1029</v>
      </c>
      <c r="I7439" t="s">
        <v>726</v>
      </c>
      <c r="J7439" t="s">
        <v>649</v>
      </c>
      <c r="K7439" t="s">
        <v>103</v>
      </c>
      <c r="L7439" t="s">
        <v>103</v>
      </c>
      <c r="M7439" t="s">
        <v>140</v>
      </c>
      <c r="N7439" t="s">
        <v>495</v>
      </c>
      <c r="O7439" t="s">
        <v>127</v>
      </c>
      <c r="P7439" t="s">
        <v>466</v>
      </c>
      <c r="Q7439" t="s">
        <v>270</v>
      </c>
      <c r="R7439" t="s">
        <v>532</v>
      </c>
      <c r="S7439" t="s">
        <v>191</v>
      </c>
      <c r="T7439" t="s">
        <v>103</v>
      </c>
      <c r="U7439" t="s">
        <v>103</v>
      </c>
    </row>
    <row r="7441" spans="1:21" x14ac:dyDescent="0.3">
      <c r="A7441" t="s">
        <v>2287</v>
      </c>
    </row>
    <row r="7442" spans="1:21" x14ac:dyDescent="0.3">
      <c r="A7442" t="s">
        <v>36</v>
      </c>
      <c r="B7442" t="s">
        <v>2187</v>
      </c>
      <c r="C7442" t="s">
        <v>24</v>
      </c>
      <c r="D7442" t="s">
        <v>2270</v>
      </c>
      <c r="E7442" t="s">
        <v>2271</v>
      </c>
      <c r="F7442" t="s">
        <v>2272</v>
      </c>
      <c r="G7442" t="s">
        <v>2273</v>
      </c>
      <c r="H7442" t="s">
        <v>2274</v>
      </c>
      <c r="I7442" t="s">
        <v>2275</v>
      </c>
      <c r="J7442" t="s">
        <v>2276</v>
      </c>
      <c r="K7442" t="s">
        <v>2277</v>
      </c>
      <c r="L7442" t="s">
        <v>2278</v>
      </c>
      <c r="M7442" t="s">
        <v>2279</v>
      </c>
      <c r="N7442" t="s">
        <v>2280</v>
      </c>
      <c r="O7442" t="s">
        <v>2281</v>
      </c>
      <c r="P7442" t="s">
        <v>2282</v>
      </c>
      <c r="Q7442" t="s">
        <v>2283</v>
      </c>
      <c r="R7442" t="s">
        <v>2284</v>
      </c>
      <c r="S7442" t="s">
        <v>848</v>
      </c>
      <c r="T7442" t="s">
        <v>181</v>
      </c>
      <c r="U7442" t="s">
        <v>2285</v>
      </c>
    </row>
    <row r="7443" spans="1:21" x14ac:dyDescent="0.3">
      <c r="A7443" t="s">
        <v>25</v>
      </c>
      <c r="B7443" t="s">
        <v>2188</v>
      </c>
      <c r="C7443">
        <v>160</v>
      </c>
      <c r="D7443" t="s">
        <v>696</v>
      </c>
      <c r="E7443" t="s">
        <v>536</v>
      </c>
      <c r="F7443" t="s">
        <v>116</v>
      </c>
      <c r="G7443" t="s">
        <v>112</v>
      </c>
      <c r="H7443" t="s">
        <v>512</v>
      </c>
      <c r="I7443" t="s">
        <v>1053</v>
      </c>
      <c r="J7443" t="s">
        <v>570</v>
      </c>
      <c r="K7443" t="s">
        <v>103</v>
      </c>
      <c r="L7443" t="s">
        <v>186</v>
      </c>
      <c r="M7443" t="s">
        <v>1319</v>
      </c>
      <c r="N7443" t="s">
        <v>483</v>
      </c>
      <c r="O7443" t="s">
        <v>232</v>
      </c>
      <c r="P7443" t="s">
        <v>146</v>
      </c>
      <c r="Q7443" t="s">
        <v>190</v>
      </c>
      <c r="R7443" t="s">
        <v>110</v>
      </c>
      <c r="S7443" t="s">
        <v>550</v>
      </c>
      <c r="T7443" t="s">
        <v>139</v>
      </c>
      <c r="U7443" t="s">
        <v>98</v>
      </c>
    </row>
    <row r="7444" spans="1:21" x14ac:dyDescent="0.3">
      <c r="A7444" t="s">
        <v>25</v>
      </c>
      <c r="B7444" t="s">
        <v>2189</v>
      </c>
      <c r="C7444">
        <v>502</v>
      </c>
      <c r="D7444" t="s">
        <v>414</v>
      </c>
      <c r="E7444" t="s">
        <v>550</v>
      </c>
      <c r="F7444" t="s">
        <v>120</v>
      </c>
      <c r="G7444" t="s">
        <v>272</v>
      </c>
      <c r="H7444" t="s">
        <v>461</v>
      </c>
      <c r="I7444" t="s">
        <v>1070</v>
      </c>
      <c r="J7444" t="s">
        <v>70</v>
      </c>
      <c r="K7444" t="s">
        <v>122</v>
      </c>
      <c r="L7444" t="s">
        <v>468</v>
      </c>
      <c r="M7444" t="s">
        <v>469</v>
      </c>
      <c r="N7444" t="s">
        <v>124</v>
      </c>
      <c r="O7444" t="s">
        <v>270</v>
      </c>
      <c r="P7444" t="s">
        <v>702</v>
      </c>
      <c r="Q7444" t="s">
        <v>262</v>
      </c>
      <c r="R7444" t="s">
        <v>282</v>
      </c>
      <c r="S7444" t="s">
        <v>262</v>
      </c>
      <c r="T7444" t="s">
        <v>95</v>
      </c>
      <c r="U7444" t="s">
        <v>103</v>
      </c>
    </row>
    <row r="7445" spans="1:21" x14ac:dyDescent="0.3">
      <c r="A7445" t="s">
        <v>25</v>
      </c>
      <c r="B7445" t="s">
        <v>308</v>
      </c>
      <c r="C7445">
        <v>31</v>
      </c>
      <c r="D7445" t="s">
        <v>252</v>
      </c>
      <c r="E7445" t="s">
        <v>273</v>
      </c>
      <c r="F7445" t="s">
        <v>103</v>
      </c>
      <c r="G7445" t="s">
        <v>125</v>
      </c>
      <c r="H7445" t="s">
        <v>103</v>
      </c>
      <c r="I7445" t="s">
        <v>452</v>
      </c>
      <c r="J7445" t="s">
        <v>103</v>
      </c>
      <c r="K7445" t="s">
        <v>103</v>
      </c>
      <c r="L7445" t="s">
        <v>272</v>
      </c>
      <c r="M7445" t="s">
        <v>101</v>
      </c>
      <c r="N7445" t="s">
        <v>103</v>
      </c>
      <c r="O7445" t="s">
        <v>103</v>
      </c>
      <c r="P7445" t="s">
        <v>404</v>
      </c>
      <c r="Q7445" t="s">
        <v>103</v>
      </c>
      <c r="R7445" t="s">
        <v>103</v>
      </c>
      <c r="S7445" t="s">
        <v>201</v>
      </c>
      <c r="T7445" t="s">
        <v>103</v>
      </c>
      <c r="U7445" t="s">
        <v>103</v>
      </c>
    </row>
    <row r="7446" spans="1:21" x14ac:dyDescent="0.3">
      <c r="A7446" t="s">
        <v>26</v>
      </c>
      <c r="B7446" t="s">
        <v>2188</v>
      </c>
      <c r="C7446">
        <v>119</v>
      </c>
      <c r="D7446" t="s">
        <v>1062</v>
      </c>
      <c r="E7446" t="s">
        <v>271</v>
      </c>
      <c r="F7446" t="s">
        <v>68</v>
      </c>
      <c r="G7446" t="s">
        <v>195</v>
      </c>
      <c r="H7446" t="s">
        <v>659</v>
      </c>
      <c r="I7446" t="s">
        <v>1294</v>
      </c>
      <c r="J7446" t="s">
        <v>459</v>
      </c>
      <c r="K7446" t="s">
        <v>103</v>
      </c>
      <c r="L7446" t="s">
        <v>140</v>
      </c>
      <c r="M7446" t="s">
        <v>548</v>
      </c>
      <c r="N7446" t="s">
        <v>829</v>
      </c>
      <c r="O7446" t="s">
        <v>105</v>
      </c>
      <c r="P7446" t="s">
        <v>495</v>
      </c>
      <c r="Q7446" t="s">
        <v>33</v>
      </c>
      <c r="R7446" t="s">
        <v>543</v>
      </c>
      <c r="S7446" t="s">
        <v>70</v>
      </c>
      <c r="T7446" t="s">
        <v>103</v>
      </c>
      <c r="U7446" t="s">
        <v>103</v>
      </c>
    </row>
    <row r="7447" spans="1:21" x14ac:dyDescent="0.3">
      <c r="A7447" t="s">
        <v>26</v>
      </c>
      <c r="B7447" t="s">
        <v>2189</v>
      </c>
      <c r="C7447">
        <v>624</v>
      </c>
      <c r="D7447" t="s">
        <v>381</v>
      </c>
      <c r="E7447" t="s">
        <v>152</v>
      </c>
      <c r="F7447" t="s">
        <v>345</v>
      </c>
      <c r="G7447" t="s">
        <v>195</v>
      </c>
      <c r="H7447" t="s">
        <v>565</v>
      </c>
      <c r="I7447" t="s">
        <v>561</v>
      </c>
      <c r="J7447" t="s">
        <v>201</v>
      </c>
      <c r="K7447" t="s">
        <v>282</v>
      </c>
      <c r="L7447" t="s">
        <v>98</v>
      </c>
      <c r="M7447" t="s">
        <v>123</v>
      </c>
      <c r="N7447" t="s">
        <v>150</v>
      </c>
      <c r="O7447" t="s">
        <v>245</v>
      </c>
      <c r="P7447" t="s">
        <v>660</v>
      </c>
      <c r="Q7447" t="s">
        <v>60</v>
      </c>
      <c r="R7447" t="s">
        <v>188</v>
      </c>
      <c r="S7447" t="s">
        <v>558</v>
      </c>
      <c r="T7447" t="s">
        <v>66</v>
      </c>
      <c r="U7447" t="s">
        <v>66</v>
      </c>
    </row>
    <row r="7448" spans="1:21" x14ac:dyDescent="0.3">
      <c r="A7448" t="s">
        <v>26</v>
      </c>
      <c r="B7448" t="s">
        <v>308</v>
      </c>
      <c r="C7448">
        <v>31</v>
      </c>
      <c r="D7448" t="s">
        <v>776</v>
      </c>
      <c r="E7448" t="s">
        <v>479</v>
      </c>
      <c r="F7448" t="s">
        <v>103</v>
      </c>
      <c r="G7448" t="s">
        <v>103</v>
      </c>
      <c r="H7448" t="s">
        <v>188</v>
      </c>
      <c r="I7448" t="s">
        <v>103</v>
      </c>
      <c r="J7448" t="s">
        <v>329</v>
      </c>
      <c r="K7448" t="s">
        <v>103</v>
      </c>
      <c r="L7448" t="s">
        <v>103</v>
      </c>
      <c r="M7448" t="s">
        <v>103</v>
      </c>
      <c r="N7448" t="s">
        <v>216</v>
      </c>
      <c r="O7448" t="s">
        <v>103</v>
      </c>
      <c r="P7448" t="s">
        <v>1031</v>
      </c>
      <c r="Q7448" t="s">
        <v>107</v>
      </c>
      <c r="R7448" t="s">
        <v>103</v>
      </c>
      <c r="S7448" t="s">
        <v>825</v>
      </c>
      <c r="T7448" t="s">
        <v>103</v>
      </c>
      <c r="U7448" t="s">
        <v>103</v>
      </c>
    </row>
    <row r="7449" spans="1:21" x14ac:dyDescent="0.3">
      <c r="A7449" t="s">
        <v>29</v>
      </c>
      <c r="B7449" t="s">
        <v>2188</v>
      </c>
      <c r="C7449">
        <v>215</v>
      </c>
      <c r="D7449" t="s">
        <v>664</v>
      </c>
      <c r="E7449" t="s">
        <v>460</v>
      </c>
      <c r="F7449" t="s">
        <v>591</v>
      </c>
      <c r="G7449" t="s">
        <v>32</v>
      </c>
      <c r="H7449" t="s">
        <v>729</v>
      </c>
      <c r="I7449" t="s">
        <v>673</v>
      </c>
      <c r="J7449" t="s">
        <v>144</v>
      </c>
      <c r="K7449" t="s">
        <v>103</v>
      </c>
      <c r="L7449" t="s">
        <v>117</v>
      </c>
      <c r="M7449" t="s">
        <v>62</v>
      </c>
      <c r="N7449" t="s">
        <v>273</v>
      </c>
      <c r="O7449" t="s">
        <v>460</v>
      </c>
      <c r="P7449" t="s">
        <v>511</v>
      </c>
      <c r="Q7449" t="s">
        <v>493</v>
      </c>
      <c r="R7449" t="s">
        <v>125</v>
      </c>
      <c r="S7449" t="s">
        <v>700</v>
      </c>
      <c r="T7449" t="s">
        <v>139</v>
      </c>
      <c r="U7449" t="s">
        <v>97</v>
      </c>
    </row>
    <row r="7450" spans="1:21" x14ac:dyDescent="0.3">
      <c r="A7450" t="s">
        <v>29</v>
      </c>
      <c r="B7450" t="s">
        <v>2189</v>
      </c>
      <c r="C7450">
        <v>604</v>
      </c>
      <c r="D7450" t="s">
        <v>1426</v>
      </c>
      <c r="E7450" t="s">
        <v>253</v>
      </c>
      <c r="F7450" t="s">
        <v>239</v>
      </c>
      <c r="G7450" t="s">
        <v>32</v>
      </c>
      <c r="H7450" t="s">
        <v>568</v>
      </c>
      <c r="I7450" t="s">
        <v>1196</v>
      </c>
      <c r="J7450" t="s">
        <v>532</v>
      </c>
      <c r="K7450" t="s">
        <v>98</v>
      </c>
      <c r="L7450" t="s">
        <v>114</v>
      </c>
      <c r="M7450" t="s">
        <v>481</v>
      </c>
      <c r="N7450" t="s">
        <v>171</v>
      </c>
      <c r="O7450" t="s">
        <v>114</v>
      </c>
      <c r="P7450" t="s">
        <v>522</v>
      </c>
      <c r="Q7450" t="s">
        <v>244</v>
      </c>
      <c r="R7450" t="s">
        <v>282</v>
      </c>
      <c r="S7450" t="s">
        <v>459</v>
      </c>
      <c r="T7450" t="s">
        <v>97</v>
      </c>
      <c r="U7450" t="s">
        <v>66</v>
      </c>
    </row>
    <row r="7451" spans="1:21" x14ac:dyDescent="0.3">
      <c r="A7451" t="s">
        <v>29</v>
      </c>
      <c r="B7451" t="s">
        <v>308</v>
      </c>
      <c r="C7451">
        <v>52</v>
      </c>
      <c r="D7451" t="s">
        <v>1140</v>
      </c>
      <c r="E7451" t="s">
        <v>1090</v>
      </c>
      <c r="F7451" t="s">
        <v>103</v>
      </c>
      <c r="G7451" t="s">
        <v>126</v>
      </c>
      <c r="H7451" t="s">
        <v>103</v>
      </c>
      <c r="I7451" t="s">
        <v>103</v>
      </c>
      <c r="J7451" t="s">
        <v>103</v>
      </c>
      <c r="K7451" t="s">
        <v>103</v>
      </c>
      <c r="L7451" t="s">
        <v>272</v>
      </c>
      <c r="M7451" t="s">
        <v>278</v>
      </c>
      <c r="N7451" t="s">
        <v>469</v>
      </c>
      <c r="O7451" t="s">
        <v>103</v>
      </c>
      <c r="P7451" t="s">
        <v>1064</v>
      </c>
      <c r="Q7451" t="s">
        <v>555</v>
      </c>
      <c r="R7451" t="s">
        <v>33</v>
      </c>
      <c r="S7451" t="s">
        <v>615</v>
      </c>
      <c r="T7451" t="s">
        <v>103</v>
      </c>
      <c r="U7451" t="s">
        <v>329</v>
      </c>
    </row>
    <row r="7452" spans="1:21" x14ac:dyDescent="0.3">
      <c r="A7452" t="s">
        <v>28</v>
      </c>
      <c r="B7452" t="s">
        <v>2188</v>
      </c>
      <c r="C7452">
        <v>115</v>
      </c>
      <c r="D7452" t="s">
        <v>546</v>
      </c>
      <c r="E7452" t="s">
        <v>820</v>
      </c>
      <c r="F7452" t="s">
        <v>195</v>
      </c>
      <c r="G7452" t="s">
        <v>118</v>
      </c>
      <c r="H7452" t="s">
        <v>405</v>
      </c>
      <c r="I7452" t="s">
        <v>1199</v>
      </c>
      <c r="J7452" t="s">
        <v>205</v>
      </c>
      <c r="K7452" t="s">
        <v>103</v>
      </c>
      <c r="L7452" t="s">
        <v>105</v>
      </c>
      <c r="M7452" t="s">
        <v>543</v>
      </c>
      <c r="N7452" t="s">
        <v>162</v>
      </c>
      <c r="O7452" t="s">
        <v>214</v>
      </c>
      <c r="P7452" t="s">
        <v>615</v>
      </c>
      <c r="Q7452" t="s">
        <v>112</v>
      </c>
      <c r="R7452" t="s">
        <v>110</v>
      </c>
      <c r="S7452" t="s">
        <v>737</v>
      </c>
      <c r="T7452" t="s">
        <v>103</v>
      </c>
      <c r="U7452" t="s">
        <v>103</v>
      </c>
    </row>
    <row r="7453" spans="1:21" x14ac:dyDescent="0.3">
      <c r="A7453" t="s">
        <v>28</v>
      </c>
      <c r="B7453" t="s">
        <v>2189</v>
      </c>
      <c r="C7453">
        <v>219</v>
      </c>
      <c r="D7453" t="s">
        <v>1559</v>
      </c>
      <c r="E7453" t="s">
        <v>486</v>
      </c>
      <c r="F7453" t="s">
        <v>266</v>
      </c>
      <c r="G7453" t="s">
        <v>98</v>
      </c>
      <c r="H7453" t="s">
        <v>644</v>
      </c>
      <c r="I7453" t="s">
        <v>1223</v>
      </c>
      <c r="J7453" t="s">
        <v>224</v>
      </c>
      <c r="K7453" t="s">
        <v>216</v>
      </c>
      <c r="L7453" t="s">
        <v>122</v>
      </c>
      <c r="M7453" t="s">
        <v>144</v>
      </c>
      <c r="N7453" t="s">
        <v>124</v>
      </c>
      <c r="O7453" t="s">
        <v>216</v>
      </c>
      <c r="P7453" t="s">
        <v>111</v>
      </c>
      <c r="Q7453" t="s">
        <v>124</v>
      </c>
      <c r="R7453" t="s">
        <v>103</v>
      </c>
      <c r="S7453" t="s">
        <v>251</v>
      </c>
      <c r="T7453" t="s">
        <v>103</v>
      </c>
      <c r="U7453" t="s">
        <v>103</v>
      </c>
    </row>
    <row r="7454" spans="1:21" x14ac:dyDescent="0.3">
      <c r="A7454" t="s">
        <v>28</v>
      </c>
      <c r="B7454" t="s">
        <v>308</v>
      </c>
      <c r="C7454">
        <v>17</v>
      </c>
      <c r="D7454" t="s">
        <v>424</v>
      </c>
      <c r="E7454" t="s">
        <v>1546</v>
      </c>
      <c r="F7454" t="s">
        <v>103</v>
      </c>
      <c r="G7454" t="s">
        <v>103</v>
      </c>
      <c r="H7454" t="s">
        <v>594</v>
      </c>
      <c r="I7454" t="s">
        <v>152</v>
      </c>
      <c r="J7454" t="s">
        <v>103</v>
      </c>
      <c r="K7454" t="s">
        <v>594</v>
      </c>
      <c r="L7454" t="s">
        <v>532</v>
      </c>
      <c r="M7454" t="s">
        <v>103</v>
      </c>
      <c r="N7454" t="s">
        <v>103</v>
      </c>
      <c r="O7454" t="s">
        <v>103</v>
      </c>
      <c r="P7454" t="s">
        <v>56</v>
      </c>
      <c r="Q7454" t="s">
        <v>123</v>
      </c>
      <c r="R7454" t="s">
        <v>103</v>
      </c>
      <c r="S7454" t="s">
        <v>101</v>
      </c>
      <c r="T7454" t="s">
        <v>103</v>
      </c>
      <c r="U7454" t="s">
        <v>103</v>
      </c>
    </row>
    <row r="7455" spans="1:21" x14ac:dyDescent="0.3">
      <c r="A7455" t="s">
        <v>27</v>
      </c>
      <c r="B7455" t="s">
        <v>2188</v>
      </c>
      <c r="C7455">
        <v>95</v>
      </c>
      <c r="D7455" t="s">
        <v>1064</v>
      </c>
      <c r="E7455" t="s">
        <v>171</v>
      </c>
      <c r="F7455" t="s">
        <v>107</v>
      </c>
      <c r="G7455" t="s">
        <v>217</v>
      </c>
      <c r="H7455" t="s">
        <v>722</v>
      </c>
      <c r="I7455" t="s">
        <v>1244</v>
      </c>
      <c r="J7455" t="s">
        <v>471</v>
      </c>
      <c r="K7455" t="s">
        <v>103</v>
      </c>
      <c r="L7455" t="s">
        <v>278</v>
      </c>
      <c r="M7455" t="s">
        <v>1083</v>
      </c>
      <c r="N7455" t="s">
        <v>459</v>
      </c>
      <c r="O7455" t="s">
        <v>466</v>
      </c>
      <c r="P7455" t="s">
        <v>70</v>
      </c>
      <c r="Q7455" t="s">
        <v>591</v>
      </c>
      <c r="R7455" t="s">
        <v>270</v>
      </c>
      <c r="S7455" t="s">
        <v>474</v>
      </c>
      <c r="T7455" t="s">
        <v>116</v>
      </c>
      <c r="U7455" t="s">
        <v>103</v>
      </c>
    </row>
    <row r="7456" spans="1:21" x14ac:dyDescent="0.3">
      <c r="A7456" t="s">
        <v>27</v>
      </c>
      <c r="B7456" t="s">
        <v>2189</v>
      </c>
      <c r="C7456">
        <v>248</v>
      </c>
      <c r="D7456" t="s">
        <v>2185</v>
      </c>
      <c r="E7456" t="s">
        <v>580</v>
      </c>
      <c r="F7456" t="s">
        <v>272</v>
      </c>
      <c r="G7456" t="s">
        <v>208</v>
      </c>
      <c r="H7456" t="s">
        <v>545</v>
      </c>
      <c r="I7456" t="s">
        <v>804</v>
      </c>
      <c r="J7456" t="s">
        <v>693</v>
      </c>
      <c r="K7456" t="s">
        <v>103</v>
      </c>
      <c r="L7456" t="s">
        <v>133</v>
      </c>
      <c r="M7456" t="s">
        <v>173</v>
      </c>
      <c r="N7456" t="s">
        <v>105</v>
      </c>
      <c r="O7456" t="s">
        <v>195</v>
      </c>
      <c r="P7456" t="s">
        <v>108</v>
      </c>
      <c r="Q7456" t="s">
        <v>493</v>
      </c>
      <c r="R7456" t="s">
        <v>91</v>
      </c>
      <c r="S7456" t="s">
        <v>126</v>
      </c>
      <c r="T7456" t="s">
        <v>103</v>
      </c>
      <c r="U7456" t="s">
        <v>122</v>
      </c>
    </row>
    <row r="7457" spans="1:21" x14ac:dyDescent="0.3">
      <c r="A7457" t="s">
        <v>27</v>
      </c>
      <c r="B7457" t="s">
        <v>308</v>
      </c>
      <c r="C7457">
        <v>12</v>
      </c>
      <c r="D7457" t="s">
        <v>233</v>
      </c>
      <c r="E7457" t="s">
        <v>486</v>
      </c>
      <c r="F7457" t="s">
        <v>103</v>
      </c>
      <c r="G7457" t="s">
        <v>103</v>
      </c>
      <c r="H7457" t="s">
        <v>925</v>
      </c>
      <c r="I7457" t="s">
        <v>925</v>
      </c>
      <c r="J7457" t="s">
        <v>629</v>
      </c>
      <c r="K7457" t="s">
        <v>103</v>
      </c>
      <c r="L7457" t="s">
        <v>103</v>
      </c>
      <c r="M7457" t="s">
        <v>103</v>
      </c>
      <c r="N7457" t="s">
        <v>94</v>
      </c>
      <c r="O7457" t="s">
        <v>103</v>
      </c>
      <c r="P7457" t="s">
        <v>1057</v>
      </c>
      <c r="Q7457" t="s">
        <v>135</v>
      </c>
      <c r="R7457" t="s">
        <v>103</v>
      </c>
      <c r="S7457" t="s">
        <v>1143</v>
      </c>
      <c r="T7457" t="s">
        <v>103</v>
      </c>
      <c r="U7457" t="s">
        <v>103</v>
      </c>
    </row>
    <row r="7458" spans="1:21" x14ac:dyDescent="0.3">
      <c r="A7458" t="s">
        <v>41</v>
      </c>
      <c r="B7458" t="s">
        <v>2188</v>
      </c>
      <c r="C7458">
        <v>704</v>
      </c>
      <c r="D7458" t="s">
        <v>1257</v>
      </c>
      <c r="E7458" t="s">
        <v>146</v>
      </c>
      <c r="F7458" t="s">
        <v>195</v>
      </c>
      <c r="G7458" t="s">
        <v>201</v>
      </c>
      <c r="H7458" t="s">
        <v>573</v>
      </c>
      <c r="I7458" t="s">
        <v>939</v>
      </c>
      <c r="J7458" t="s">
        <v>115</v>
      </c>
      <c r="K7458" t="s">
        <v>103</v>
      </c>
      <c r="L7458" t="s">
        <v>108</v>
      </c>
      <c r="M7458" t="s">
        <v>150</v>
      </c>
      <c r="N7458" t="s">
        <v>515</v>
      </c>
      <c r="O7458" t="s">
        <v>206</v>
      </c>
      <c r="P7458" t="s">
        <v>549</v>
      </c>
      <c r="Q7458" t="s">
        <v>615</v>
      </c>
      <c r="R7458" t="s">
        <v>186</v>
      </c>
      <c r="S7458" t="s">
        <v>743</v>
      </c>
      <c r="T7458" t="s">
        <v>120</v>
      </c>
      <c r="U7458" t="s">
        <v>122</v>
      </c>
    </row>
    <row r="7459" spans="1:21" x14ac:dyDescent="0.3">
      <c r="A7459" t="s">
        <v>41</v>
      </c>
      <c r="B7459" t="s">
        <v>2189</v>
      </c>
      <c r="C7459">
        <v>2197</v>
      </c>
      <c r="D7459" t="s">
        <v>1327</v>
      </c>
      <c r="E7459" t="s">
        <v>1319</v>
      </c>
      <c r="F7459" t="s">
        <v>194</v>
      </c>
      <c r="G7459" t="s">
        <v>188</v>
      </c>
      <c r="H7459" t="s">
        <v>975</v>
      </c>
      <c r="I7459" t="s">
        <v>1218</v>
      </c>
      <c r="J7459" t="s">
        <v>33</v>
      </c>
      <c r="K7459" t="s">
        <v>139</v>
      </c>
      <c r="L7459" t="s">
        <v>257</v>
      </c>
      <c r="M7459" t="s">
        <v>700</v>
      </c>
      <c r="N7459" t="s">
        <v>481</v>
      </c>
      <c r="O7459" t="s">
        <v>195</v>
      </c>
      <c r="P7459" t="s">
        <v>900</v>
      </c>
      <c r="Q7459" t="s">
        <v>693</v>
      </c>
      <c r="R7459" t="s">
        <v>245</v>
      </c>
      <c r="S7459" t="s">
        <v>737</v>
      </c>
      <c r="T7459" t="s">
        <v>122</v>
      </c>
      <c r="U7459" t="s">
        <v>66</v>
      </c>
    </row>
    <row r="7460" spans="1:21" x14ac:dyDescent="0.3">
      <c r="A7460" t="s">
        <v>41</v>
      </c>
      <c r="B7460" t="s">
        <v>308</v>
      </c>
      <c r="C7460">
        <v>143</v>
      </c>
      <c r="D7460" t="s">
        <v>608</v>
      </c>
      <c r="E7460" t="s">
        <v>660</v>
      </c>
      <c r="F7460" t="s">
        <v>103</v>
      </c>
      <c r="G7460" t="s">
        <v>32</v>
      </c>
      <c r="H7460" t="s">
        <v>110</v>
      </c>
      <c r="I7460" t="s">
        <v>105</v>
      </c>
      <c r="J7460" t="s">
        <v>95</v>
      </c>
      <c r="K7460" t="s">
        <v>66</v>
      </c>
      <c r="L7460" t="s">
        <v>118</v>
      </c>
      <c r="M7460" t="s">
        <v>591</v>
      </c>
      <c r="N7460" t="s">
        <v>254</v>
      </c>
      <c r="O7460" t="s">
        <v>103</v>
      </c>
      <c r="P7460" t="s">
        <v>793</v>
      </c>
      <c r="Q7460" t="s">
        <v>536</v>
      </c>
      <c r="R7460" t="s">
        <v>217</v>
      </c>
      <c r="S7460" t="s">
        <v>191</v>
      </c>
      <c r="T7460" t="s">
        <v>103</v>
      </c>
      <c r="U7460" t="s">
        <v>345</v>
      </c>
    </row>
    <row r="7462" spans="1:21" x14ac:dyDescent="0.3">
      <c r="A7462" t="s">
        <v>2288</v>
      </c>
    </row>
    <row r="7463" spans="1:21" x14ac:dyDescent="0.3">
      <c r="A7463" t="s">
        <v>36</v>
      </c>
      <c r="B7463" t="s">
        <v>197</v>
      </c>
      <c r="C7463" t="s">
        <v>24</v>
      </c>
      <c r="D7463" t="s">
        <v>2270</v>
      </c>
      <c r="E7463" t="s">
        <v>2271</v>
      </c>
      <c r="F7463" t="s">
        <v>2272</v>
      </c>
      <c r="G7463" t="s">
        <v>2273</v>
      </c>
      <c r="H7463" t="s">
        <v>2274</v>
      </c>
      <c r="I7463" t="s">
        <v>2275</v>
      </c>
      <c r="J7463" t="s">
        <v>2276</v>
      </c>
      <c r="K7463" t="s">
        <v>2277</v>
      </c>
      <c r="L7463" t="s">
        <v>2278</v>
      </c>
      <c r="M7463" t="s">
        <v>2279</v>
      </c>
      <c r="N7463" t="s">
        <v>2280</v>
      </c>
      <c r="O7463" t="s">
        <v>2281</v>
      </c>
      <c r="P7463" t="s">
        <v>2282</v>
      </c>
      <c r="Q7463" t="s">
        <v>2283</v>
      </c>
      <c r="R7463" t="s">
        <v>2284</v>
      </c>
      <c r="S7463" t="s">
        <v>848</v>
      </c>
      <c r="T7463" t="s">
        <v>181</v>
      </c>
      <c r="U7463" t="s">
        <v>2285</v>
      </c>
    </row>
    <row r="7464" spans="1:21" x14ac:dyDescent="0.3">
      <c r="A7464" t="s">
        <v>25</v>
      </c>
      <c r="B7464" t="s">
        <v>198</v>
      </c>
      <c r="C7464">
        <v>176</v>
      </c>
      <c r="D7464" t="s">
        <v>424</v>
      </c>
      <c r="E7464" t="s">
        <v>92</v>
      </c>
      <c r="F7464" t="s">
        <v>103</v>
      </c>
      <c r="G7464" t="s">
        <v>201</v>
      </c>
      <c r="H7464" t="s">
        <v>261</v>
      </c>
      <c r="I7464" t="s">
        <v>1028</v>
      </c>
      <c r="J7464" t="s">
        <v>531</v>
      </c>
      <c r="K7464" t="s">
        <v>103</v>
      </c>
      <c r="L7464" t="s">
        <v>239</v>
      </c>
      <c r="M7464" t="s">
        <v>543</v>
      </c>
      <c r="N7464" t="s">
        <v>108</v>
      </c>
      <c r="O7464" t="s">
        <v>257</v>
      </c>
      <c r="P7464" t="s">
        <v>478</v>
      </c>
      <c r="Q7464" t="s">
        <v>575</v>
      </c>
      <c r="R7464" t="s">
        <v>95</v>
      </c>
      <c r="S7464" t="s">
        <v>558</v>
      </c>
      <c r="T7464" t="s">
        <v>103</v>
      </c>
      <c r="U7464" t="s">
        <v>103</v>
      </c>
    </row>
    <row r="7465" spans="1:21" x14ac:dyDescent="0.3">
      <c r="A7465" t="s">
        <v>25</v>
      </c>
      <c r="B7465" t="s">
        <v>199</v>
      </c>
      <c r="C7465">
        <v>517</v>
      </c>
      <c r="D7465" t="s">
        <v>1676</v>
      </c>
      <c r="E7465" t="s">
        <v>469</v>
      </c>
      <c r="F7465" t="s">
        <v>120</v>
      </c>
      <c r="G7465" t="s">
        <v>125</v>
      </c>
      <c r="H7465" t="s">
        <v>301</v>
      </c>
      <c r="I7465" t="s">
        <v>361</v>
      </c>
      <c r="J7465" t="s">
        <v>242</v>
      </c>
      <c r="K7465" t="s">
        <v>122</v>
      </c>
      <c r="L7465" t="s">
        <v>329</v>
      </c>
      <c r="M7465" t="s">
        <v>734</v>
      </c>
      <c r="N7465" t="s">
        <v>459</v>
      </c>
      <c r="O7465" t="s">
        <v>493</v>
      </c>
      <c r="P7465" t="s">
        <v>476</v>
      </c>
      <c r="Q7465" t="s">
        <v>126</v>
      </c>
      <c r="R7465" t="s">
        <v>345</v>
      </c>
      <c r="S7465" t="s">
        <v>157</v>
      </c>
      <c r="T7465" t="s">
        <v>98</v>
      </c>
      <c r="U7465" t="s">
        <v>116</v>
      </c>
    </row>
    <row r="7466" spans="1:21" x14ac:dyDescent="0.3">
      <c r="A7466" t="s">
        <v>26</v>
      </c>
      <c r="B7466" t="s">
        <v>198</v>
      </c>
      <c r="C7466">
        <v>62</v>
      </c>
      <c r="D7466" t="s">
        <v>1142</v>
      </c>
      <c r="E7466" t="s">
        <v>900</v>
      </c>
      <c r="F7466" t="s">
        <v>195</v>
      </c>
      <c r="G7466" t="s">
        <v>125</v>
      </c>
      <c r="H7466" t="s">
        <v>523</v>
      </c>
      <c r="I7466" t="s">
        <v>1208</v>
      </c>
      <c r="J7466" t="s">
        <v>208</v>
      </c>
      <c r="K7466" t="s">
        <v>103</v>
      </c>
      <c r="L7466" t="s">
        <v>116</v>
      </c>
      <c r="M7466" t="s">
        <v>601</v>
      </c>
      <c r="N7466" t="s">
        <v>805</v>
      </c>
      <c r="O7466" t="s">
        <v>103</v>
      </c>
      <c r="P7466" t="s">
        <v>524</v>
      </c>
      <c r="Q7466" t="s">
        <v>482</v>
      </c>
      <c r="R7466" t="s">
        <v>460</v>
      </c>
      <c r="S7466" t="s">
        <v>460</v>
      </c>
      <c r="T7466" t="s">
        <v>103</v>
      </c>
      <c r="U7466" t="s">
        <v>103</v>
      </c>
    </row>
    <row r="7467" spans="1:21" x14ac:dyDescent="0.3">
      <c r="A7467" t="s">
        <v>26</v>
      </c>
      <c r="B7467" t="s">
        <v>199</v>
      </c>
      <c r="C7467">
        <v>712</v>
      </c>
      <c r="D7467" t="s">
        <v>1258</v>
      </c>
      <c r="E7467" t="s">
        <v>271</v>
      </c>
      <c r="F7467" t="s">
        <v>194</v>
      </c>
      <c r="G7467" t="s">
        <v>64</v>
      </c>
      <c r="H7467" t="s">
        <v>688</v>
      </c>
      <c r="I7467" t="s">
        <v>1218</v>
      </c>
      <c r="J7467" t="s">
        <v>70</v>
      </c>
      <c r="K7467" t="s">
        <v>139</v>
      </c>
      <c r="L7467" t="s">
        <v>245</v>
      </c>
      <c r="M7467" t="s">
        <v>481</v>
      </c>
      <c r="N7467" t="s">
        <v>148</v>
      </c>
      <c r="O7467" t="s">
        <v>245</v>
      </c>
      <c r="P7467" t="s">
        <v>921</v>
      </c>
      <c r="Q7467" t="s">
        <v>251</v>
      </c>
      <c r="R7467" t="s">
        <v>532</v>
      </c>
      <c r="S7467" t="s">
        <v>140</v>
      </c>
      <c r="T7467" t="s">
        <v>91</v>
      </c>
      <c r="U7467" t="s">
        <v>66</v>
      </c>
    </row>
    <row r="7468" spans="1:21" x14ac:dyDescent="0.3">
      <c r="A7468" t="s">
        <v>29</v>
      </c>
      <c r="B7468" t="s">
        <v>198</v>
      </c>
      <c r="C7468">
        <v>278</v>
      </c>
      <c r="D7468" t="s">
        <v>942</v>
      </c>
      <c r="E7468" t="s">
        <v>727</v>
      </c>
      <c r="F7468" t="s">
        <v>120</v>
      </c>
      <c r="G7468" t="s">
        <v>549</v>
      </c>
      <c r="H7468" t="s">
        <v>820</v>
      </c>
      <c r="I7468" t="s">
        <v>893</v>
      </c>
      <c r="J7468" t="s">
        <v>493</v>
      </c>
      <c r="K7468" t="s">
        <v>103</v>
      </c>
      <c r="L7468" t="s">
        <v>127</v>
      </c>
      <c r="M7468" t="s">
        <v>809</v>
      </c>
      <c r="N7468" t="s">
        <v>253</v>
      </c>
      <c r="O7468" t="s">
        <v>33</v>
      </c>
      <c r="P7468" t="s">
        <v>900</v>
      </c>
      <c r="Q7468" t="s">
        <v>517</v>
      </c>
      <c r="R7468" t="s">
        <v>257</v>
      </c>
      <c r="S7468" t="s">
        <v>62</v>
      </c>
      <c r="T7468" t="s">
        <v>103</v>
      </c>
      <c r="U7468" t="s">
        <v>103</v>
      </c>
    </row>
    <row r="7469" spans="1:21" x14ac:dyDescent="0.3">
      <c r="A7469" t="s">
        <v>29</v>
      </c>
      <c r="B7469" t="s">
        <v>199</v>
      </c>
      <c r="C7469">
        <v>593</v>
      </c>
      <c r="D7469" t="s">
        <v>1025</v>
      </c>
      <c r="E7469" t="s">
        <v>150</v>
      </c>
      <c r="F7469" t="s">
        <v>266</v>
      </c>
      <c r="G7469" t="s">
        <v>438</v>
      </c>
      <c r="H7469" t="s">
        <v>702</v>
      </c>
      <c r="I7469" t="s">
        <v>1011</v>
      </c>
      <c r="J7469" t="s">
        <v>460</v>
      </c>
      <c r="K7469" t="s">
        <v>98</v>
      </c>
      <c r="L7469" t="s">
        <v>214</v>
      </c>
      <c r="M7469" t="s">
        <v>135</v>
      </c>
      <c r="N7469" t="s">
        <v>148</v>
      </c>
      <c r="O7469" t="s">
        <v>201</v>
      </c>
      <c r="P7469" t="s">
        <v>756</v>
      </c>
      <c r="Q7469" t="s">
        <v>135</v>
      </c>
      <c r="R7469" t="s">
        <v>245</v>
      </c>
      <c r="S7469" t="s">
        <v>62</v>
      </c>
      <c r="T7469" t="s">
        <v>139</v>
      </c>
      <c r="U7469" t="s">
        <v>120</v>
      </c>
    </row>
    <row r="7470" spans="1:21" x14ac:dyDescent="0.3">
      <c r="A7470" t="s">
        <v>28</v>
      </c>
      <c r="B7470" t="s">
        <v>198</v>
      </c>
      <c r="C7470">
        <v>95</v>
      </c>
      <c r="D7470" t="s">
        <v>545</v>
      </c>
      <c r="E7470" t="s">
        <v>581</v>
      </c>
      <c r="F7470" t="s">
        <v>329</v>
      </c>
      <c r="G7470" t="s">
        <v>105</v>
      </c>
      <c r="H7470" t="s">
        <v>507</v>
      </c>
      <c r="I7470" t="s">
        <v>443</v>
      </c>
      <c r="J7470" t="s">
        <v>607</v>
      </c>
      <c r="K7470" t="s">
        <v>98</v>
      </c>
      <c r="L7470" t="s">
        <v>103</v>
      </c>
      <c r="M7470" t="s">
        <v>239</v>
      </c>
      <c r="N7470" t="s">
        <v>341</v>
      </c>
      <c r="O7470" t="s">
        <v>103</v>
      </c>
      <c r="P7470" t="s">
        <v>536</v>
      </c>
      <c r="Q7470" t="s">
        <v>186</v>
      </c>
      <c r="R7470" t="s">
        <v>103</v>
      </c>
      <c r="S7470" t="s">
        <v>652</v>
      </c>
      <c r="T7470" t="s">
        <v>103</v>
      </c>
      <c r="U7470" t="s">
        <v>103</v>
      </c>
    </row>
    <row r="7471" spans="1:21" x14ac:dyDescent="0.3">
      <c r="A7471" t="s">
        <v>28</v>
      </c>
      <c r="B7471" t="s">
        <v>199</v>
      </c>
      <c r="C7471">
        <v>256</v>
      </c>
      <c r="D7471" t="s">
        <v>1250</v>
      </c>
      <c r="E7471" t="s">
        <v>697</v>
      </c>
      <c r="F7471" t="s">
        <v>270</v>
      </c>
      <c r="G7471" t="s">
        <v>194</v>
      </c>
      <c r="H7471" t="s">
        <v>402</v>
      </c>
      <c r="I7471" t="s">
        <v>440</v>
      </c>
      <c r="J7471" t="s">
        <v>224</v>
      </c>
      <c r="K7471" t="s">
        <v>194</v>
      </c>
      <c r="L7471" t="s">
        <v>239</v>
      </c>
      <c r="M7471" t="s">
        <v>528</v>
      </c>
      <c r="N7471" t="s">
        <v>152</v>
      </c>
      <c r="O7471" t="s">
        <v>493</v>
      </c>
      <c r="P7471" t="s">
        <v>737</v>
      </c>
      <c r="Q7471" t="s">
        <v>242</v>
      </c>
      <c r="R7471" t="s">
        <v>95</v>
      </c>
      <c r="S7471" t="s">
        <v>452</v>
      </c>
      <c r="T7471" t="s">
        <v>103</v>
      </c>
      <c r="U7471" t="s">
        <v>103</v>
      </c>
    </row>
    <row r="7472" spans="1:21" x14ac:dyDescent="0.3">
      <c r="A7472" t="s">
        <v>27</v>
      </c>
      <c r="B7472" t="s">
        <v>198</v>
      </c>
      <c r="C7472">
        <v>158</v>
      </c>
      <c r="D7472" t="s">
        <v>804</v>
      </c>
      <c r="E7472" t="s">
        <v>160</v>
      </c>
      <c r="F7472" t="s">
        <v>32</v>
      </c>
      <c r="G7472" t="s">
        <v>120</v>
      </c>
      <c r="H7472" t="s">
        <v>407</v>
      </c>
      <c r="I7472" t="s">
        <v>1238</v>
      </c>
      <c r="J7472" t="s">
        <v>157</v>
      </c>
      <c r="K7472" t="s">
        <v>103</v>
      </c>
      <c r="L7472" t="s">
        <v>532</v>
      </c>
      <c r="M7472" t="s">
        <v>681</v>
      </c>
      <c r="N7472" t="s">
        <v>201</v>
      </c>
      <c r="O7472" t="s">
        <v>284</v>
      </c>
      <c r="P7472" t="s">
        <v>607</v>
      </c>
      <c r="Q7472" t="s">
        <v>188</v>
      </c>
      <c r="R7472" t="s">
        <v>103</v>
      </c>
      <c r="S7472" t="s">
        <v>743</v>
      </c>
      <c r="T7472" t="s">
        <v>103</v>
      </c>
      <c r="U7472" t="s">
        <v>103</v>
      </c>
    </row>
    <row r="7473" spans="1:21" x14ac:dyDescent="0.3">
      <c r="A7473" t="s">
        <v>27</v>
      </c>
      <c r="B7473" t="s">
        <v>199</v>
      </c>
      <c r="C7473">
        <v>197</v>
      </c>
      <c r="D7473" t="s">
        <v>1230</v>
      </c>
      <c r="E7473" t="s">
        <v>695</v>
      </c>
      <c r="F7473" t="s">
        <v>93</v>
      </c>
      <c r="G7473" t="s">
        <v>272</v>
      </c>
      <c r="H7473" t="s">
        <v>1396</v>
      </c>
      <c r="I7473" t="s">
        <v>1294</v>
      </c>
      <c r="J7473" t="s">
        <v>157</v>
      </c>
      <c r="K7473" t="s">
        <v>103</v>
      </c>
      <c r="L7473" t="s">
        <v>662</v>
      </c>
      <c r="M7473" t="s">
        <v>148</v>
      </c>
      <c r="N7473" t="s">
        <v>467</v>
      </c>
      <c r="O7473" t="s">
        <v>257</v>
      </c>
      <c r="P7473" t="s">
        <v>693</v>
      </c>
      <c r="Q7473" t="s">
        <v>186</v>
      </c>
      <c r="R7473" t="s">
        <v>194</v>
      </c>
      <c r="S7473" t="s">
        <v>191</v>
      </c>
      <c r="T7473" t="s">
        <v>91</v>
      </c>
      <c r="U7473" t="s">
        <v>97</v>
      </c>
    </row>
    <row r="7474" spans="1:21" x14ac:dyDescent="0.3">
      <c r="A7474" t="s">
        <v>41</v>
      </c>
      <c r="B7474" t="s">
        <v>198</v>
      </c>
      <c r="C7474">
        <v>769</v>
      </c>
      <c r="D7474" t="s">
        <v>374</v>
      </c>
      <c r="E7474" t="s">
        <v>514</v>
      </c>
      <c r="F7474" t="s">
        <v>282</v>
      </c>
      <c r="G7474" t="s">
        <v>140</v>
      </c>
      <c r="H7474" t="s">
        <v>577</v>
      </c>
      <c r="I7474" t="s">
        <v>1576</v>
      </c>
      <c r="J7474" t="s">
        <v>32</v>
      </c>
      <c r="K7474" t="s">
        <v>103</v>
      </c>
      <c r="L7474" t="s">
        <v>133</v>
      </c>
      <c r="M7474" t="s">
        <v>271</v>
      </c>
      <c r="N7474" t="s">
        <v>566</v>
      </c>
      <c r="O7474" t="s">
        <v>114</v>
      </c>
      <c r="P7474" t="s">
        <v>552</v>
      </c>
      <c r="Q7474" t="s">
        <v>693</v>
      </c>
      <c r="R7474" t="s">
        <v>329</v>
      </c>
      <c r="S7474" t="s">
        <v>629</v>
      </c>
      <c r="T7474" t="s">
        <v>103</v>
      </c>
      <c r="U7474" t="s">
        <v>103</v>
      </c>
    </row>
    <row r="7475" spans="1:21" x14ac:dyDescent="0.3">
      <c r="A7475" t="s">
        <v>41</v>
      </c>
      <c r="B7475" t="s">
        <v>199</v>
      </c>
      <c r="C7475">
        <v>2275</v>
      </c>
      <c r="D7475" t="s">
        <v>1209</v>
      </c>
      <c r="E7475" t="s">
        <v>92</v>
      </c>
      <c r="F7475" t="s">
        <v>105</v>
      </c>
      <c r="G7475" t="s">
        <v>272</v>
      </c>
      <c r="H7475" t="s">
        <v>577</v>
      </c>
      <c r="I7475" t="s">
        <v>729</v>
      </c>
      <c r="J7475" t="s">
        <v>511</v>
      </c>
      <c r="K7475" t="s">
        <v>139</v>
      </c>
      <c r="L7475" t="s">
        <v>272</v>
      </c>
      <c r="M7475" t="s">
        <v>544</v>
      </c>
      <c r="N7475" t="s">
        <v>743</v>
      </c>
      <c r="O7475" t="s">
        <v>438</v>
      </c>
      <c r="P7475" t="s">
        <v>789</v>
      </c>
      <c r="Q7475" t="s">
        <v>90</v>
      </c>
      <c r="R7475" t="s">
        <v>118</v>
      </c>
      <c r="S7475" t="s">
        <v>247</v>
      </c>
      <c r="T7475" t="s">
        <v>120</v>
      </c>
      <c r="U7475" t="s">
        <v>122</v>
      </c>
    </row>
    <row r="7477" spans="1:21" x14ac:dyDescent="0.3">
      <c r="A7477" t="s">
        <v>2289</v>
      </c>
    </row>
    <row r="7478" spans="1:21" x14ac:dyDescent="0.3">
      <c r="A7478" t="s">
        <v>36</v>
      </c>
      <c r="B7478" t="s">
        <v>763</v>
      </c>
      <c r="C7478" t="s">
        <v>24</v>
      </c>
      <c r="D7478" t="s">
        <v>2270</v>
      </c>
      <c r="E7478" t="s">
        <v>2271</v>
      </c>
      <c r="F7478" t="s">
        <v>2272</v>
      </c>
      <c r="G7478" t="s">
        <v>2273</v>
      </c>
      <c r="H7478" t="s">
        <v>2274</v>
      </c>
      <c r="I7478" t="s">
        <v>2275</v>
      </c>
      <c r="J7478" t="s">
        <v>2276</v>
      </c>
      <c r="K7478" t="s">
        <v>2277</v>
      </c>
      <c r="L7478" t="s">
        <v>2278</v>
      </c>
      <c r="M7478" t="s">
        <v>2279</v>
      </c>
      <c r="N7478" t="s">
        <v>2280</v>
      </c>
      <c r="O7478" t="s">
        <v>2281</v>
      </c>
      <c r="P7478" t="s">
        <v>2282</v>
      </c>
      <c r="Q7478" t="s">
        <v>2283</v>
      </c>
      <c r="R7478" t="s">
        <v>2284</v>
      </c>
      <c r="S7478" t="s">
        <v>848</v>
      </c>
      <c r="T7478" t="s">
        <v>181</v>
      </c>
      <c r="U7478" t="s">
        <v>2285</v>
      </c>
    </row>
    <row r="7479" spans="1:21" x14ac:dyDescent="0.3">
      <c r="A7479" t="s">
        <v>25</v>
      </c>
      <c r="B7479" t="s">
        <v>764</v>
      </c>
      <c r="C7479">
        <v>34</v>
      </c>
      <c r="D7479" t="s">
        <v>1581</v>
      </c>
      <c r="E7479" t="s">
        <v>684</v>
      </c>
      <c r="F7479" t="s">
        <v>103</v>
      </c>
      <c r="G7479" t="s">
        <v>122</v>
      </c>
      <c r="H7479" t="s">
        <v>94</v>
      </c>
      <c r="I7479" t="s">
        <v>46</v>
      </c>
      <c r="J7479" t="s">
        <v>60</v>
      </c>
      <c r="K7479" t="s">
        <v>103</v>
      </c>
      <c r="L7479" t="s">
        <v>103</v>
      </c>
      <c r="M7479" t="s">
        <v>254</v>
      </c>
      <c r="N7479" t="s">
        <v>601</v>
      </c>
      <c r="O7479" t="s">
        <v>103</v>
      </c>
      <c r="P7479" t="s">
        <v>520</v>
      </c>
      <c r="Q7479" t="s">
        <v>494</v>
      </c>
      <c r="R7479" t="s">
        <v>103</v>
      </c>
      <c r="S7479" t="s">
        <v>526</v>
      </c>
      <c r="T7479" t="s">
        <v>103</v>
      </c>
      <c r="U7479" t="s">
        <v>103</v>
      </c>
    </row>
    <row r="7480" spans="1:21" x14ac:dyDescent="0.3">
      <c r="A7480" t="s">
        <v>25</v>
      </c>
      <c r="B7480" t="s">
        <v>765</v>
      </c>
      <c r="C7480">
        <v>435</v>
      </c>
      <c r="D7480" t="s">
        <v>2185</v>
      </c>
      <c r="E7480" t="s">
        <v>175</v>
      </c>
      <c r="F7480" t="s">
        <v>122</v>
      </c>
      <c r="G7480" t="s">
        <v>113</v>
      </c>
      <c r="H7480" t="s">
        <v>541</v>
      </c>
      <c r="I7480" t="s">
        <v>405</v>
      </c>
      <c r="J7480" t="s">
        <v>549</v>
      </c>
      <c r="K7480" t="s">
        <v>122</v>
      </c>
      <c r="L7480" t="s">
        <v>128</v>
      </c>
      <c r="M7480" t="s">
        <v>521</v>
      </c>
      <c r="N7480" t="s">
        <v>136</v>
      </c>
      <c r="O7480" t="s">
        <v>107</v>
      </c>
      <c r="P7480" t="s">
        <v>548</v>
      </c>
      <c r="Q7480" t="s">
        <v>101</v>
      </c>
      <c r="R7480" t="s">
        <v>194</v>
      </c>
      <c r="S7480" t="s">
        <v>119</v>
      </c>
      <c r="T7480" t="s">
        <v>116</v>
      </c>
      <c r="U7480" t="s">
        <v>103</v>
      </c>
    </row>
    <row r="7481" spans="1:21" x14ac:dyDescent="0.3">
      <c r="A7481" t="s">
        <v>25</v>
      </c>
      <c r="B7481" t="s">
        <v>767</v>
      </c>
      <c r="C7481">
        <v>224</v>
      </c>
      <c r="D7481" t="s">
        <v>1426</v>
      </c>
      <c r="E7481" t="s">
        <v>331</v>
      </c>
      <c r="F7481" t="s">
        <v>139</v>
      </c>
      <c r="G7481" t="s">
        <v>272</v>
      </c>
      <c r="H7481" t="s">
        <v>581</v>
      </c>
      <c r="I7481" t="s">
        <v>504</v>
      </c>
      <c r="J7481" t="s">
        <v>232</v>
      </c>
      <c r="K7481" t="s">
        <v>66</v>
      </c>
      <c r="L7481" t="s">
        <v>110</v>
      </c>
      <c r="M7481" t="s">
        <v>175</v>
      </c>
      <c r="N7481" t="s">
        <v>607</v>
      </c>
      <c r="O7481" t="s">
        <v>118</v>
      </c>
      <c r="P7481" t="s">
        <v>409</v>
      </c>
      <c r="Q7481" t="s">
        <v>629</v>
      </c>
      <c r="R7481" t="s">
        <v>139</v>
      </c>
      <c r="S7481" t="s">
        <v>60</v>
      </c>
      <c r="T7481" t="s">
        <v>239</v>
      </c>
      <c r="U7481" t="s">
        <v>120</v>
      </c>
    </row>
    <row r="7482" spans="1:21" x14ac:dyDescent="0.3">
      <c r="A7482" t="s">
        <v>26</v>
      </c>
      <c r="B7482" t="s">
        <v>764</v>
      </c>
      <c r="C7482">
        <v>48</v>
      </c>
      <c r="D7482" t="s">
        <v>761</v>
      </c>
      <c r="E7482" t="s">
        <v>131</v>
      </c>
      <c r="F7482" t="s">
        <v>105</v>
      </c>
      <c r="G7482" t="s">
        <v>103</v>
      </c>
      <c r="H7482" t="s">
        <v>1014</v>
      </c>
      <c r="I7482" t="s">
        <v>138</v>
      </c>
      <c r="J7482" t="s">
        <v>245</v>
      </c>
      <c r="K7482" t="s">
        <v>103</v>
      </c>
      <c r="L7482" t="s">
        <v>208</v>
      </c>
      <c r="M7482" t="s">
        <v>789</v>
      </c>
      <c r="N7482" t="s">
        <v>737</v>
      </c>
      <c r="O7482" t="s">
        <v>103</v>
      </c>
      <c r="P7482" t="s">
        <v>470</v>
      </c>
      <c r="Q7482" t="s">
        <v>116</v>
      </c>
      <c r="R7482" t="s">
        <v>245</v>
      </c>
      <c r="S7482" t="s">
        <v>329</v>
      </c>
      <c r="T7482" t="s">
        <v>103</v>
      </c>
      <c r="U7482" t="s">
        <v>103</v>
      </c>
    </row>
    <row r="7483" spans="1:21" x14ac:dyDescent="0.3">
      <c r="A7483" t="s">
        <v>26</v>
      </c>
      <c r="B7483" t="s">
        <v>765</v>
      </c>
      <c r="C7483">
        <v>429</v>
      </c>
      <c r="D7483" t="s">
        <v>378</v>
      </c>
      <c r="E7483" t="s">
        <v>536</v>
      </c>
      <c r="F7483" t="s">
        <v>341</v>
      </c>
      <c r="G7483" t="s">
        <v>438</v>
      </c>
      <c r="H7483" t="s">
        <v>674</v>
      </c>
      <c r="I7483" t="s">
        <v>411</v>
      </c>
      <c r="J7483" t="s">
        <v>140</v>
      </c>
      <c r="K7483" t="s">
        <v>66</v>
      </c>
      <c r="L7483" t="s">
        <v>105</v>
      </c>
      <c r="M7483" t="s">
        <v>130</v>
      </c>
      <c r="N7483" t="s">
        <v>175</v>
      </c>
      <c r="O7483" t="s">
        <v>105</v>
      </c>
      <c r="P7483" t="s">
        <v>52</v>
      </c>
      <c r="Q7483" t="s">
        <v>591</v>
      </c>
      <c r="R7483" t="s">
        <v>94</v>
      </c>
      <c r="S7483" t="s">
        <v>90</v>
      </c>
      <c r="T7483" t="s">
        <v>66</v>
      </c>
      <c r="U7483" t="s">
        <v>116</v>
      </c>
    </row>
    <row r="7484" spans="1:21" x14ac:dyDescent="0.3">
      <c r="A7484" t="s">
        <v>26</v>
      </c>
      <c r="B7484" t="s">
        <v>767</v>
      </c>
      <c r="C7484">
        <v>297</v>
      </c>
      <c r="D7484" t="s">
        <v>741</v>
      </c>
      <c r="E7484" t="s">
        <v>495</v>
      </c>
      <c r="F7484" t="s">
        <v>122</v>
      </c>
      <c r="G7484" t="s">
        <v>257</v>
      </c>
      <c r="H7484" t="s">
        <v>473</v>
      </c>
      <c r="I7484" t="s">
        <v>522</v>
      </c>
      <c r="J7484" t="s">
        <v>467</v>
      </c>
      <c r="K7484" t="s">
        <v>105</v>
      </c>
      <c r="L7484" t="s">
        <v>239</v>
      </c>
      <c r="M7484" t="s">
        <v>575</v>
      </c>
      <c r="N7484" t="s">
        <v>750</v>
      </c>
      <c r="O7484" t="s">
        <v>105</v>
      </c>
      <c r="P7484" t="s">
        <v>52</v>
      </c>
      <c r="Q7484" t="s">
        <v>144</v>
      </c>
      <c r="R7484" t="s">
        <v>128</v>
      </c>
      <c r="S7484" t="s">
        <v>33</v>
      </c>
      <c r="T7484" t="s">
        <v>103</v>
      </c>
      <c r="U7484" t="s">
        <v>103</v>
      </c>
    </row>
    <row r="7485" spans="1:21" s="3" customFormat="1" x14ac:dyDescent="0.3">
      <c r="A7485" s="3" t="s">
        <v>29</v>
      </c>
      <c r="B7485" s="3" t="s">
        <v>764</v>
      </c>
      <c r="C7485" s="3">
        <v>8</v>
      </c>
      <c r="D7485" s="3" t="s">
        <v>1305</v>
      </c>
      <c r="E7485" s="3" t="s">
        <v>538</v>
      </c>
      <c r="F7485" s="3" t="s">
        <v>103</v>
      </c>
      <c r="G7485" s="3" t="s">
        <v>90</v>
      </c>
      <c r="H7485" s="3" t="s">
        <v>103</v>
      </c>
      <c r="I7485" s="3" t="s">
        <v>1216</v>
      </c>
      <c r="J7485" s="3" t="s">
        <v>650</v>
      </c>
      <c r="K7485" s="3" t="s">
        <v>103</v>
      </c>
      <c r="L7485" s="3" t="s">
        <v>103</v>
      </c>
      <c r="M7485" s="3" t="s">
        <v>150</v>
      </c>
      <c r="N7485" s="3" t="s">
        <v>103</v>
      </c>
      <c r="O7485" s="3" t="s">
        <v>103</v>
      </c>
      <c r="P7485" s="3" t="s">
        <v>62</v>
      </c>
      <c r="Q7485" s="3" t="s">
        <v>473</v>
      </c>
      <c r="R7485" s="3" t="s">
        <v>103</v>
      </c>
      <c r="S7485" s="3" t="s">
        <v>103</v>
      </c>
      <c r="T7485" s="3" t="s">
        <v>103</v>
      </c>
      <c r="U7485" s="3" t="s">
        <v>103</v>
      </c>
    </row>
    <row r="7486" spans="1:21" x14ac:dyDescent="0.3">
      <c r="A7486" t="s">
        <v>29</v>
      </c>
      <c r="B7486" t="s">
        <v>765</v>
      </c>
      <c r="C7486">
        <v>581</v>
      </c>
      <c r="D7486" t="s">
        <v>1257</v>
      </c>
      <c r="E7486" t="s">
        <v>750</v>
      </c>
      <c r="F7486" t="s">
        <v>128</v>
      </c>
      <c r="G7486" t="s">
        <v>206</v>
      </c>
      <c r="H7486" t="s">
        <v>429</v>
      </c>
      <c r="I7486" t="s">
        <v>411</v>
      </c>
      <c r="J7486" t="s">
        <v>100</v>
      </c>
      <c r="K7486" t="s">
        <v>120</v>
      </c>
      <c r="L7486" t="s">
        <v>190</v>
      </c>
      <c r="M7486" t="s">
        <v>157</v>
      </c>
      <c r="N7486" t="s">
        <v>518</v>
      </c>
      <c r="O7486" t="s">
        <v>232</v>
      </c>
      <c r="P7486" t="s">
        <v>526</v>
      </c>
      <c r="Q7486" t="s">
        <v>146</v>
      </c>
      <c r="R7486" t="s">
        <v>118</v>
      </c>
      <c r="S7486" t="s">
        <v>123</v>
      </c>
      <c r="T7486" t="s">
        <v>139</v>
      </c>
      <c r="U7486" t="s">
        <v>122</v>
      </c>
    </row>
    <row r="7487" spans="1:21" x14ac:dyDescent="0.3">
      <c r="A7487" t="s">
        <v>29</v>
      </c>
      <c r="B7487" t="s">
        <v>767</v>
      </c>
      <c r="C7487">
        <v>282</v>
      </c>
      <c r="D7487" t="s">
        <v>1327</v>
      </c>
      <c r="E7487" t="s">
        <v>521</v>
      </c>
      <c r="F7487" t="s">
        <v>110</v>
      </c>
      <c r="G7487" t="s">
        <v>195</v>
      </c>
      <c r="H7487" t="s">
        <v>743</v>
      </c>
      <c r="I7487" t="s">
        <v>1083</v>
      </c>
      <c r="J7487" t="s">
        <v>195</v>
      </c>
      <c r="K7487" t="s">
        <v>139</v>
      </c>
      <c r="L7487" t="s">
        <v>467</v>
      </c>
      <c r="M7487" t="s">
        <v>693</v>
      </c>
      <c r="N7487" t="s">
        <v>115</v>
      </c>
      <c r="O7487" t="s">
        <v>341</v>
      </c>
      <c r="P7487" t="s">
        <v>522</v>
      </c>
      <c r="Q7487" t="s">
        <v>543</v>
      </c>
      <c r="R7487" t="s">
        <v>139</v>
      </c>
      <c r="S7487" t="s">
        <v>482</v>
      </c>
      <c r="T7487" t="s">
        <v>103</v>
      </c>
      <c r="U7487" t="s">
        <v>97</v>
      </c>
    </row>
    <row r="7488" spans="1:21" s="3" customFormat="1" x14ac:dyDescent="0.3">
      <c r="A7488" s="3" t="s">
        <v>28</v>
      </c>
      <c r="B7488" s="3" t="s">
        <v>764</v>
      </c>
      <c r="C7488" s="3">
        <v>18</v>
      </c>
      <c r="D7488" s="3" t="s">
        <v>138</v>
      </c>
      <c r="E7488" s="3" t="s">
        <v>677</v>
      </c>
      <c r="F7488" s="3" t="s">
        <v>217</v>
      </c>
      <c r="G7488" s="3" t="s">
        <v>103</v>
      </c>
      <c r="H7488" s="3" t="s">
        <v>133</v>
      </c>
      <c r="I7488" s="3" t="s">
        <v>133</v>
      </c>
      <c r="J7488" s="3" t="s">
        <v>232</v>
      </c>
      <c r="K7488" s="3" t="s">
        <v>103</v>
      </c>
      <c r="L7488" s="3" t="s">
        <v>345</v>
      </c>
      <c r="M7488" s="3" t="s">
        <v>266</v>
      </c>
      <c r="N7488" s="3" t="s">
        <v>549</v>
      </c>
      <c r="O7488" s="3" t="s">
        <v>103</v>
      </c>
      <c r="P7488" s="3" t="s">
        <v>217</v>
      </c>
      <c r="Q7488" s="3" t="s">
        <v>539</v>
      </c>
      <c r="R7488" s="3" t="s">
        <v>103</v>
      </c>
      <c r="S7488" s="3" t="s">
        <v>539</v>
      </c>
      <c r="T7488" s="3" t="s">
        <v>103</v>
      </c>
      <c r="U7488" s="3" t="s">
        <v>103</v>
      </c>
    </row>
    <row r="7489" spans="1:21" x14ac:dyDescent="0.3">
      <c r="A7489" t="s">
        <v>28</v>
      </c>
      <c r="B7489" t="s">
        <v>765</v>
      </c>
      <c r="C7489">
        <v>283</v>
      </c>
      <c r="D7489" t="s">
        <v>369</v>
      </c>
      <c r="E7489" t="s">
        <v>478</v>
      </c>
      <c r="F7489" t="s">
        <v>217</v>
      </c>
      <c r="G7489" t="s">
        <v>245</v>
      </c>
      <c r="H7489" t="s">
        <v>357</v>
      </c>
      <c r="I7489" t="s">
        <v>573</v>
      </c>
      <c r="J7489" t="s">
        <v>224</v>
      </c>
      <c r="K7489" t="s">
        <v>239</v>
      </c>
      <c r="L7489" t="s">
        <v>120</v>
      </c>
      <c r="M7489" t="s">
        <v>123</v>
      </c>
      <c r="N7489" t="s">
        <v>146</v>
      </c>
      <c r="O7489" t="s">
        <v>93</v>
      </c>
      <c r="P7489" t="s">
        <v>459</v>
      </c>
      <c r="Q7489" t="s">
        <v>278</v>
      </c>
      <c r="R7489" t="s">
        <v>120</v>
      </c>
      <c r="S7489" t="s">
        <v>70</v>
      </c>
      <c r="T7489" t="s">
        <v>103</v>
      </c>
      <c r="U7489" t="s">
        <v>103</v>
      </c>
    </row>
    <row r="7490" spans="1:21" x14ac:dyDescent="0.3">
      <c r="A7490" t="s">
        <v>28</v>
      </c>
      <c r="B7490" t="s">
        <v>767</v>
      </c>
      <c r="C7490">
        <v>50</v>
      </c>
      <c r="D7490" t="s">
        <v>496</v>
      </c>
      <c r="E7490" t="s">
        <v>517</v>
      </c>
      <c r="F7490" t="s">
        <v>272</v>
      </c>
      <c r="G7490" t="s">
        <v>103</v>
      </c>
      <c r="H7490" t="s">
        <v>568</v>
      </c>
      <c r="I7490" t="s">
        <v>537</v>
      </c>
      <c r="J7490" t="s">
        <v>112</v>
      </c>
      <c r="K7490" t="s">
        <v>103</v>
      </c>
      <c r="L7490" t="s">
        <v>114</v>
      </c>
      <c r="M7490" t="s">
        <v>578</v>
      </c>
      <c r="N7490" t="s">
        <v>281</v>
      </c>
      <c r="O7490" t="s">
        <v>190</v>
      </c>
      <c r="P7490" t="s">
        <v>254</v>
      </c>
      <c r="Q7490" t="s">
        <v>90</v>
      </c>
      <c r="R7490" t="s">
        <v>103</v>
      </c>
      <c r="S7490" t="s">
        <v>629</v>
      </c>
      <c r="T7490" t="s">
        <v>103</v>
      </c>
      <c r="U7490" t="s">
        <v>103</v>
      </c>
    </row>
    <row r="7491" spans="1:21" s="3" customFormat="1" x14ac:dyDescent="0.3">
      <c r="A7491" s="3" t="s">
        <v>27</v>
      </c>
      <c r="B7491" s="3" t="s">
        <v>764</v>
      </c>
      <c r="C7491" s="3">
        <v>23</v>
      </c>
      <c r="D7491" s="3" t="s">
        <v>678</v>
      </c>
      <c r="E7491" s="3" t="s">
        <v>568</v>
      </c>
      <c r="F7491" s="3" t="s">
        <v>103</v>
      </c>
      <c r="G7491" s="3" t="s">
        <v>103</v>
      </c>
      <c r="H7491" s="3" t="s">
        <v>413</v>
      </c>
      <c r="I7491" s="3" t="s">
        <v>375</v>
      </c>
      <c r="J7491" s="3" t="s">
        <v>734</v>
      </c>
      <c r="K7491" s="3" t="s">
        <v>103</v>
      </c>
      <c r="L7491" s="3" t="s">
        <v>103</v>
      </c>
      <c r="M7491" s="3" t="s">
        <v>526</v>
      </c>
      <c r="N7491" s="3" t="s">
        <v>103</v>
      </c>
      <c r="O7491" s="3" t="s">
        <v>186</v>
      </c>
      <c r="P7491" s="3" t="s">
        <v>90</v>
      </c>
      <c r="Q7491" s="3" t="s">
        <v>244</v>
      </c>
      <c r="R7491" s="3" t="s">
        <v>103</v>
      </c>
      <c r="S7491" s="3" t="s">
        <v>591</v>
      </c>
      <c r="T7491" s="3" t="s">
        <v>103</v>
      </c>
      <c r="U7491" s="3" t="s">
        <v>103</v>
      </c>
    </row>
    <row r="7492" spans="1:21" x14ac:dyDescent="0.3">
      <c r="A7492" t="s">
        <v>27</v>
      </c>
      <c r="B7492" t="s">
        <v>765</v>
      </c>
      <c r="C7492">
        <v>237</v>
      </c>
      <c r="D7492" t="s">
        <v>933</v>
      </c>
      <c r="E7492" t="s">
        <v>472</v>
      </c>
      <c r="F7492" t="s">
        <v>615</v>
      </c>
      <c r="G7492" t="s">
        <v>270</v>
      </c>
      <c r="H7492" t="s">
        <v>385</v>
      </c>
      <c r="I7492" t="s">
        <v>379</v>
      </c>
      <c r="J7492" t="s">
        <v>475</v>
      </c>
      <c r="K7492" t="s">
        <v>103</v>
      </c>
      <c r="L7492" t="s">
        <v>201</v>
      </c>
      <c r="M7492" t="s">
        <v>173</v>
      </c>
      <c r="N7492" t="s">
        <v>33</v>
      </c>
      <c r="O7492" t="s">
        <v>107</v>
      </c>
      <c r="P7492" t="s">
        <v>186</v>
      </c>
      <c r="Q7492" t="s">
        <v>97</v>
      </c>
      <c r="R7492" t="s">
        <v>468</v>
      </c>
      <c r="S7492" t="s">
        <v>131</v>
      </c>
      <c r="T7492" t="s">
        <v>91</v>
      </c>
      <c r="U7492" t="s">
        <v>122</v>
      </c>
    </row>
    <row r="7493" spans="1:21" x14ac:dyDescent="0.3">
      <c r="A7493" t="s">
        <v>27</v>
      </c>
      <c r="B7493" t="s">
        <v>767</v>
      </c>
      <c r="C7493">
        <v>95</v>
      </c>
      <c r="D7493" t="s">
        <v>1245</v>
      </c>
      <c r="E7493" t="s">
        <v>579</v>
      </c>
      <c r="F7493" t="s">
        <v>245</v>
      </c>
      <c r="G7493" t="s">
        <v>98</v>
      </c>
      <c r="H7493" t="s">
        <v>825</v>
      </c>
      <c r="I7493" t="s">
        <v>96</v>
      </c>
      <c r="J7493" t="s">
        <v>107</v>
      </c>
      <c r="K7493" t="s">
        <v>103</v>
      </c>
      <c r="L7493" t="s">
        <v>494</v>
      </c>
      <c r="M7493" t="s">
        <v>829</v>
      </c>
      <c r="N7493" t="s">
        <v>257</v>
      </c>
      <c r="O7493" t="s">
        <v>257</v>
      </c>
      <c r="P7493" t="s">
        <v>515</v>
      </c>
      <c r="Q7493" t="s">
        <v>224</v>
      </c>
      <c r="R7493" t="s">
        <v>103</v>
      </c>
      <c r="S7493" t="s">
        <v>558</v>
      </c>
      <c r="T7493" t="s">
        <v>103</v>
      </c>
      <c r="U7493" t="s">
        <v>103</v>
      </c>
    </row>
    <row r="7494" spans="1:21" x14ac:dyDescent="0.3">
      <c r="A7494" t="s">
        <v>41</v>
      </c>
      <c r="B7494" t="s">
        <v>764</v>
      </c>
      <c r="C7494">
        <v>131</v>
      </c>
      <c r="D7494" t="s">
        <v>1322</v>
      </c>
      <c r="E7494" t="s">
        <v>654</v>
      </c>
      <c r="F7494" t="s">
        <v>345</v>
      </c>
      <c r="G7494" t="s">
        <v>95</v>
      </c>
      <c r="H7494" t="s">
        <v>646</v>
      </c>
      <c r="I7494" t="s">
        <v>534</v>
      </c>
      <c r="J7494" t="s">
        <v>94</v>
      </c>
      <c r="K7494" t="s">
        <v>103</v>
      </c>
      <c r="L7494" t="s">
        <v>345</v>
      </c>
      <c r="M7494" t="s">
        <v>470</v>
      </c>
      <c r="N7494" t="s">
        <v>460</v>
      </c>
      <c r="O7494" t="s">
        <v>116</v>
      </c>
      <c r="P7494" t="s">
        <v>570</v>
      </c>
      <c r="Q7494" t="s">
        <v>452</v>
      </c>
      <c r="R7494" t="s">
        <v>98</v>
      </c>
      <c r="S7494" t="s">
        <v>224</v>
      </c>
      <c r="T7494" t="s">
        <v>103</v>
      </c>
      <c r="U7494" t="s">
        <v>103</v>
      </c>
    </row>
    <row r="7495" spans="1:21" x14ac:dyDescent="0.3">
      <c r="A7495" t="s">
        <v>41</v>
      </c>
      <c r="B7495" t="s">
        <v>765</v>
      </c>
      <c r="C7495">
        <v>1965</v>
      </c>
      <c r="D7495" t="s">
        <v>231</v>
      </c>
      <c r="E7495" t="s">
        <v>92</v>
      </c>
      <c r="F7495" t="s">
        <v>341</v>
      </c>
      <c r="G7495" t="s">
        <v>32</v>
      </c>
      <c r="H7495" t="s">
        <v>698</v>
      </c>
      <c r="I7495" t="s">
        <v>443</v>
      </c>
      <c r="J7495" t="s">
        <v>126</v>
      </c>
      <c r="K7495" t="s">
        <v>97</v>
      </c>
      <c r="L7495" t="s">
        <v>201</v>
      </c>
      <c r="M7495" t="s">
        <v>813</v>
      </c>
      <c r="N7495" t="s">
        <v>167</v>
      </c>
      <c r="O7495" t="s">
        <v>201</v>
      </c>
      <c r="P7495" t="s">
        <v>732</v>
      </c>
      <c r="Q7495" t="s">
        <v>127</v>
      </c>
      <c r="R7495" t="s">
        <v>195</v>
      </c>
      <c r="S7495" t="s">
        <v>62</v>
      </c>
      <c r="T7495" t="s">
        <v>97</v>
      </c>
      <c r="U7495" t="s">
        <v>116</v>
      </c>
    </row>
    <row r="7496" spans="1:21" x14ac:dyDescent="0.3">
      <c r="A7496" t="s">
        <v>41</v>
      </c>
      <c r="B7496" t="s">
        <v>767</v>
      </c>
      <c r="C7496">
        <v>948</v>
      </c>
      <c r="D7496" t="s">
        <v>1252</v>
      </c>
      <c r="E7496" t="s">
        <v>550</v>
      </c>
      <c r="F7496" t="s">
        <v>282</v>
      </c>
      <c r="G7496" t="s">
        <v>64</v>
      </c>
      <c r="H7496" t="s">
        <v>807</v>
      </c>
      <c r="I7496" t="s">
        <v>505</v>
      </c>
      <c r="J7496" t="s">
        <v>493</v>
      </c>
      <c r="K7496" t="s">
        <v>98</v>
      </c>
      <c r="L7496" t="s">
        <v>217</v>
      </c>
      <c r="M7496" t="s">
        <v>146</v>
      </c>
      <c r="N7496" t="s">
        <v>111</v>
      </c>
      <c r="O7496" t="s">
        <v>208</v>
      </c>
      <c r="P7496" t="s">
        <v>1084</v>
      </c>
      <c r="Q7496" t="s">
        <v>269</v>
      </c>
      <c r="R7496" t="s">
        <v>468</v>
      </c>
      <c r="S7496" t="s">
        <v>494</v>
      </c>
      <c r="T7496" t="s">
        <v>116</v>
      </c>
      <c r="U7496" t="s">
        <v>116</v>
      </c>
    </row>
    <row r="7498" spans="1:21" x14ac:dyDescent="0.3">
      <c r="A7498" t="s">
        <v>2290</v>
      </c>
    </row>
    <row r="7499" spans="1:21" x14ac:dyDescent="0.3">
      <c r="A7499" t="s">
        <v>36</v>
      </c>
      <c r="B7499" t="s">
        <v>1106</v>
      </c>
      <c r="C7499" t="s">
        <v>24</v>
      </c>
      <c r="D7499" t="s">
        <v>2270</v>
      </c>
      <c r="E7499" t="s">
        <v>2271</v>
      </c>
      <c r="F7499" t="s">
        <v>2272</v>
      </c>
      <c r="G7499" t="s">
        <v>2273</v>
      </c>
      <c r="H7499" t="s">
        <v>2274</v>
      </c>
      <c r="I7499" t="s">
        <v>2275</v>
      </c>
      <c r="J7499" t="s">
        <v>2276</v>
      </c>
      <c r="K7499" t="s">
        <v>2277</v>
      </c>
      <c r="L7499" t="s">
        <v>2278</v>
      </c>
      <c r="M7499" t="s">
        <v>2279</v>
      </c>
      <c r="N7499" t="s">
        <v>2280</v>
      </c>
      <c r="O7499" t="s">
        <v>2281</v>
      </c>
      <c r="P7499" t="s">
        <v>2282</v>
      </c>
      <c r="Q7499" t="s">
        <v>2283</v>
      </c>
      <c r="R7499" t="s">
        <v>2284</v>
      </c>
      <c r="S7499" t="s">
        <v>848</v>
      </c>
      <c r="T7499" t="s">
        <v>181</v>
      </c>
      <c r="U7499" t="s">
        <v>2285</v>
      </c>
    </row>
    <row r="7500" spans="1:21" x14ac:dyDescent="0.3">
      <c r="A7500" t="s">
        <v>25</v>
      </c>
      <c r="B7500" t="s">
        <v>1107</v>
      </c>
      <c r="C7500">
        <v>693</v>
      </c>
      <c r="D7500" t="s">
        <v>1394</v>
      </c>
      <c r="E7500" t="s">
        <v>54</v>
      </c>
      <c r="F7500" t="s">
        <v>97</v>
      </c>
      <c r="G7500" t="s">
        <v>188</v>
      </c>
      <c r="H7500" t="s">
        <v>507</v>
      </c>
      <c r="I7500" t="s">
        <v>498</v>
      </c>
      <c r="J7500" t="s">
        <v>127</v>
      </c>
      <c r="K7500" t="s">
        <v>116</v>
      </c>
      <c r="L7500" t="s">
        <v>341</v>
      </c>
      <c r="M7500" t="s">
        <v>54</v>
      </c>
      <c r="N7500" t="s">
        <v>693</v>
      </c>
      <c r="O7500" t="s">
        <v>438</v>
      </c>
      <c r="P7500" t="s">
        <v>1219</v>
      </c>
      <c r="Q7500" t="s">
        <v>126</v>
      </c>
      <c r="R7500" t="s">
        <v>345</v>
      </c>
      <c r="S7500" t="s">
        <v>62</v>
      </c>
      <c r="T7500" t="s">
        <v>95</v>
      </c>
      <c r="U7500" t="s">
        <v>66</v>
      </c>
    </row>
    <row r="7501" spans="1:21" x14ac:dyDescent="0.3">
      <c r="A7501" t="s">
        <v>26</v>
      </c>
      <c r="B7501" t="s">
        <v>1107</v>
      </c>
      <c r="C7501">
        <v>772</v>
      </c>
      <c r="D7501" t="s">
        <v>1222</v>
      </c>
      <c r="E7501" t="s">
        <v>813</v>
      </c>
      <c r="F7501" t="s">
        <v>110</v>
      </c>
      <c r="G7501" t="s">
        <v>270</v>
      </c>
      <c r="H7501" t="s">
        <v>1226</v>
      </c>
      <c r="I7501" t="s">
        <v>357</v>
      </c>
      <c r="J7501" t="s">
        <v>278</v>
      </c>
      <c r="K7501" t="s">
        <v>139</v>
      </c>
      <c r="L7501" t="s">
        <v>245</v>
      </c>
      <c r="M7501" t="s">
        <v>157</v>
      </c>
      <c r="N7501" t="s">
        <v>175</v>
      </c>
      <c r="O7501" t="s">
        <v>216</v>
      </c>
      <c r="P7501" t="s">
        <v>259</v>
      </c>
      <c r="Q7501" t="s">
        <v>190</v>
      </c>
      <c r="R7501" t="s">
        <v>615</v>
      </c>
      <c r="S7501" t="s">
        <v>251</v>
      </c>
      <c r="T7501" t="s">
        <v>91</v>
      </c>
      <c r="U7501" t="s">
        <v>66</v>
      </c>
    </row>
    <row r="7502" spans="1:21" s="3" customFormat="1" x14ac:dyDescent="0.3">
      <c r="A7502" s="3" t="s">
        <v>26</v>
      </c>
      <c r="B7502" s="3" t="s">
        <v>1108</v>
      </c>
      <c r="C7502" s="3">
        <v>2</v>
      </c>
      <c r="D7502" s="3" t="s">
        <v>103</v>
      </c>
      <c r="E7502" s="3" t="s">
        <v>103</v>
      </c>
      <c r="F7502" s="3" t="s">
        <v>103</v>
      </c>
      <c r="G7502" s="3" t="s">
        <v>103</v>
      </c>
      <c r="H7502" s="3" t="s">
        <v>103</v>
      </c>
      <c r="I7502" s="3" t="s">
        <v>993</v>
      </c>
      <c r="J7502" s="3" t="s">
        <v>103</v>
      </c>
      <c r="K7502" s="3" t="s">
        <v>103</v>
      </c>
      <c r="L7502" s="3" t="s">
        <v>103</v>
      </c>
      <c r="M7502" s="3" t="s">
        <v>103</v>
      </c>
      <c r="N7502" s="3" t="s">
        <v>993</v>
      </c>
      <c r="O7502" s="3" t="s">
        <v>103</v>
      </c>
      <c r="P7502" s="3" t="s">
        <v>103</v>
      </c>
      <c r="Q7502" s="3" t="s">
        <v>103</v>
      </c>
      <c r="R7502" s="3" t="s">
        <v>103</v>
      </c>
      <c r="S7502" s="3" t="s">
        <v>993</v>
      </c>
      <c r="T7502" s="3" t="s">
        <v>103</v>
      </c>
      <c r="U7502" s="3" t="s">
        <v>103</v>
      </c>
    </row>
    <row r="7503" spans="1:21" x14ac:dyDescent="0.3">
      <c r="A7503" t="s">
        <v>29</v>
      </c>
      <c r="B7503" t="s">
        <v>1107</v>
      </c>
      <c r="C7503">
        <v>867</v>
      </c>
      <c r="D7503" t="s">
        <v>392</v>
      </c>
      <c r="E7503" t="s">
        <v>273</v>
      </c>
      <c r="F7503" t="s">
        <v>341</v>
      </c>
      <c r="G7503" t="s">
        <v>284</v>
      </c>
      <c r="H7503" t="s">
        <v>1084</v>
      </c>
      <c r="I7503" t="s">
        <v>1070</v>
      </c>
      <c r="J7503" t="s">
        <v>466</v>
      </c>
      <c r="K7503" t="s">
        <v>120</v>
      </c>
      <c r="L7503" t="s">
        <v>662</v>
      </c>
      <c r="M7503" t="s">
        <v>136</v>
      </c>
      <c r="N7503" t="s">
        <v>162</v>
      </c>
      <c r="O7503" t="s">
        <v>532</v>
      </c>
      <c r="P7503" t="s">
        <v>264</v>
      </c>
      <c r="Q7503" t="s">
        <v>62</v>
      </c>
      <c r="R7503" t="s">
        <v>341</v>
      </c>
      <c r="S7503" t="s">
        <v>62</v>
      </c>
      <c r="T7503" t="s">
        <v>120</v>
      </c>
      <c r="U7503" t="s">
        <v>122</v>
      </c>
    </row>
    <row r="7504" spans="1:21" s="3" customFormat="1" x14ac:dyDescent="0.3">
      <c r="A7504" s="3" t="s">
        <v>29</v>
      </c>
      <c r="B7504" s="3" t="s">
        <v>1109</v>
      </c>
      <c r="C7504" s="3">
        <v>2</v>
      </c>
      <c r="D7504" s="3" t="s">
        <v>103</v>
      </c>
      <c r="E7504" s="3" t="s">
        <v>103</v>
      </c>
      <c r="F7504" s="3" t="s">
        <v>103</v>
      </c>
      <c r="G7504" s="3" t="s">
        <v>103</v>
      </c>
      <c r="H7504" s="3" t="s">
        <v>103</v>
      </c>
      <c r="I7504" s="3" t="s">
        <v>103</v>
      </c>
      <c r="J7504" s="3" t="s">
        <v>103</v>
      </c>
      <c r="K7504" s="3" t="s">
        <v>103</v>
      </c>
      <c r="L7504" s="3" t="s">
        <v>103</v>
      </c>
      <c r="M7504" s="3" t="s">
        <v>103</v>
      </c>
      <c r="N7504" s="3" t="s">
        <v>993</v>
      </c>
      <c r="O7504" s="3" t="s">
        <v>103</v>
      </c>
      <c r="P7504" s="3" t="s">
        <v>103</v>
      </c>
      <c r="Q7504" s="3" t="s">
        <v>103</v>
      </c>
      <c r="R7504" s="3" t="s">
        <v>103</v>
      </c>
      <c r="S7504" s="3" t="s">
        <v>993</v>
      </c>
      <c r="T7504" s="3" t="s">
        <v>103</v>
      </c>
      <c r="U7504" s="3" t="s">
        <v>103</v>
      </c>
    </row>
    <row r="7505" spans="1:21" s="3" customFormat="1" x14ac:dyDescent="0.3">
      <c r="A7505" s="3" t="s">
        <v>29</v>
      </c>
      <c r="B7505" s="3" t="s">
        <v>1108</v>
      </c>
      <c r="C7505" s="3">
        <v>2</v>
      </c>
      <c r="D7505" s="3" t="s">
        <v>931</v>
      </c>
      <c r="E7505" s="3" t="s">
        <v>103</v>
      </c>
      <c r="F7505" s="3" t="s">
        <v>932</v>
      </c>
      <c r="G7505" s="3" t="s">
        <v>103</v>
      </c>
      <c r="H7505" s="3" t="s">
        <v>103</v>
      </c>
      <c r="I7505" s="3" t="s">
        <v>103</v>
      </c>
      <c r="J7505" s="3" t="s">
        <v>103</v>
      </c>
      <c r="K7505" s="3" t="s">
        <v>103</v>
      </c>
      <c r="L7505" s="3" t="s">
        <v>103</v>
      </c>
      <c r="M7505" s="3" t="s">
        <v>103</v>
      </c>
      <c r="N7505" s="3" t="s">
        <v>103</v>
      </c>
      <c r="O7505" s="3" t="s">
        <v>103</v>
      </c>
      <c r="P7505" s="3" t="s">
        <v>103</v>
      </c>
      <c r="Q7505" s="3" t="s">
        <v>103</v>
      </c>
      <c r="R7505" s="3" t="s">
        <v>103</v>
      </c>
      <c r="S7505" s="3" t="s">
        <v>103</v>
      </c>
      <c r="T7505" s="3" t="s">
        <v>103</v>
      </c>
      <c r="U7505" s="3" t="s">
        <v>103</v>
      </c>
    </row>
    <row r="7506" spans="1:21" x14ac:dyDescent="0.3">
      <c r="A7506" t="s">
        <v>28</v>
      </c>
      <c r="B7506" t="s">
        <v>1107</v>
      </c>
      <c r="C7506">
        <v>351</v>
      </c>
      <c r="D7506" t="s">
        <v>375</v>
      </c>
      <c r="E7506" t="s">
        <v>478</v>
      </c>
      <c r="F7506" t="s">
        <v>217</v>
      </c>
      <c r="G7506" t="s">
        <v>110</v>
      </c>
      <c r="H7506" t="s">
        <v>705</v>
      </c>
      <c r="I7506" t="s">
        <v>666</v>
      </c>
      <c r="J7506" t="s">
        <v>242</v>
      </c>
      <c r="K7506" t="s">
        <v>468</v>
      </c>
      <c r="L7506" t="s">
        <v>282</v>
      </c>
      <c r="M7506" t="s">
        <v>517</v>
      </c>
      <c r="N7506" t="s">
        <v>693</v>
      </c>
      <c r="O7506" t="s">
        <v>217</v>
      </c>
      <c r="P7506" t="s">
        <v>629</v>
      </c>
      <c r="Q7506" t="s">
        <v>511</v>
      </c>
      <c r="R7506" t="s">
        <v>97</v>
      </c>
      <c r="S7506" t="s">
        <v>460</v>
      </c>
      <c r="T7506" t="s">
        <v>103</v>
      </c>
      <c r="U7506" t="s">
        <v>103</v>
      </c>
    </row>
    <row r="7507" spans="1:21" x14ac:dyDescent="0.3">
      <c r="A7507" t="s">
        <v>27</v>
      </c>
      <c r="B7507" t="s">
        <v>1107</v>
      </c>
      <c r="C7507">
        <v>344</v>
      </c>
      <c r="D7507" t="s">
        <v>1059</v>
      </c>
      <c r="E7507" t="s">
        <v>555</v>
      </c>
      <c r="F7507" t="s">
        <v>195</v>
      </c>
      <c r="G7507" t="s">
        <v>329</v>
      </c>
      <c r="H7507" t="s">
        <v>677</v>
      </c>
      <c r="I7507" t="s">
        <v>1025</v>
      </c>
      <c r="J7507" t="s">
        <v>544</v>
      </c>
      <c r="K7507" t="s">
        <v>103</v>
      </c>
      <c r="L7507" t="s">
        <v>70</v>
      </c>
      <c r="M7507" t="s">
        <v>273</v>
      </c>
      <c r="N7507" t="s">
        <v>493</v>
      </c>
      <c r="O7507" t="s">
        <v>493</v>
      </c>
      <c r="P7507" t="s">
        <v>549</v>
      </c>
      <c r="Q7507" t="s">
        <v>186</v>
      </c>
      <c r="R7507" t="s">
        <v>139</v>
      </c>
      <c r="S7507" t="s">
        <v>269</v>
      </c>
      <c r="T7507" t="s">
        <v>91</v>
      </c>
      <c r="U7507" t="s">
        <v>116</v>
      </c>
    </row>
    <row r="7508" spans="1:21" s="3" customFormat="1" x14ac:dyDescent="0.3">
      <c r="A7508" s="3" t="s">
        <v>27</v>
      </c>
      <c r="B7508" s="3" t="s">
        <v>1109</v>
      </c>
      <c r="C7508" s="3">
        <v>6</v>
      </c>
      <c r="D7508" s="3" t="s">
        <v>805</v>
      </c>
      <c r="E7508" s="3" t="s">
        <v>103</v>
      </c>
      <c r="F7508" s="3" t="s">
        <v>805</v>
      </c>
      <c r="G7508" s="3" t="s">
        <v>103</v>
      </c>
      <c r="H7508" s="3" t="s">
        <v>92</v>
      </c>
      <c r="I7508" s="3" t="s">
        <v>260</v>
      </c>
      <c r="J7508" s="3" t="s">
        <v>103</v>
      </c>
      <c r="K7508" s="3" t="s">
        <v>103</v>
      </c>
      <c r="L7508" s="3" t="s">
        <v>103</v>
      </c>
      <c r="M7508" s="3" t="s">
        <v>1396</v>
      </c>
      <c r="N7508" s="3" t="s">
        <v>103</v>
      </c>
      <c r="O7508" s="3" t="s">
        <v>103</v>
      </c>
      <c r="P7508" s="3" t="s">
        <v>103</v>
      </c>
      <c r="Q7508" s="3" t="s">
        <v>103</v>
      </c>
      <c r="R7508" s="3" t="s">
        <v>103</v>
      </c>
      <c r="S7508" s="3" t="s">
        <v>553</v>
      </c>
      <c r="T7508" s="3" t="s">
        <v>103</v>
      </c>
      <c r="U7508" s="3" t="s">
        <v>103</v>
      </c>
    </row>
    <row r="7509" spans="1:21" s="3" customFormat="1" x14ac:dyDescent="0.3">
      <c r="A7509" s="3" t="s">
        <v>27</v>
      </c>
      <c r="B7509" s="3" t="s">
        <v>1108</v>
      </c>
      <c r="C7509" s="3">
        <v>4</v>
      </c>
      <c r="D7509" s="3" t="s">
        <v>192</v>
      </c>
      <c r="E7509" s="3" t="s">
        <v>103</v>
      </c>
      <c r="F7509" s="3" t="s">
        <v>103</v>
      </c>
      <c r="G7509" s="3" t="s">
        <v>103</v>
      </c>
      <c r="H7509" s="3" t="s">
        <v>189</v>
      </c>
      <c r="I7509" s="3" t="s">
        <v>189</v>
      </c>
      <c r="J7509" s="3" t="s">
        <v>103</v>
      </c>
      <c r="K7509" s="3" t="s">
        <v>103</v>
      </c>
      <c r="L7509" s="3" t="s">
        <v>103</v>
      </c>
      <c r="M7509" s="3" t="s">
        <v>103</v>
      </c>
      <c r="N7509" s="3" t="s">
        <v>103</v>
      </c>
      <c r="O7509" s="3" t="s">
        <v>103</v>
      </c>
      <c r="P7509" s="3" t="s">
        <v>103</v>
      </c>
      <c r="Q7509" s="3" t="s">
        <v>103</v>
      </c>
      <c r="R7509" s="3" t="s">
        <v>103</v>
      </c>
      <c r="S7509" s="3" t="s">
        <v>103</v>
      </c>
      <c r="T7509" s="3" t="s">
        <v>103</v>
      </c>
      <c r="U7509" s="3" t="s">
        <v>103</v>
      </c>
    </row>
    <row r="7510" spans="1:21" x14ac:dyDescent="0.3">
      <c r="A7510" t="s">
        <v>27</v>
      </c>
      <c r="B7510" t="s">
        <v>308</v>
      </c>
      <c r="C7510">
        <v>1</v>
      </c>
      <c r="D7510" t="s">
        <v>192</v>
      </c>
      <c r="E7510" t="s">
        <v>103</v>
      </c>
      <c r="F7510" t="s">
        <v>103</v>
      </c>
      <c r="G7510" t="s">
        <v>103</v>
      </c>
      <c r="H7510" t="s">
        <v>103</v>
      </c>
      <c r="I7510" t="s">
        <v>103</v>
      </c>
      <c r="J7510" t="s">
        <v>103</v>
      </c>
      <c r="K7510" t="s">
        <v>103</v>
      </c>
      <c r="L7510" t="s">
        <v>103</v>
      </c>
      <c r="M7510" t="s">
        <v>103</v>
      </c>
      <c r="N7510" t="s">
        <v>192</v>
      </c>
      <c r="O7510" t="s">
        <v>103</v>
      </c>
      <c r="P7510" t="s">
        <v>103</v>
      </c>
      <c r="Q7510" t="s">
        <v>103</v>
      </c>
      <c r="R7510" t="s">
        <v>103</v>
      </c>
      <c r="S7510" t="s">
        <v>103</v>
      </c>
      <c r="T7510" t="s">
        <v>103</v>
      </c>
      <c r="U7510" t="s">
        <v>103</v>
      </c>
    </row>
    <row r="7511" spans="1:21" x14ac:dyDescent="0.3">
      <c r="A7511" t="s">
        <v>41</v>
      </c>
      <c r="B7511" t="s">
        <v>1107</v>
      </c>
      <c r="C7511">
        <v>3027</v>
      </c>
      <c r="D7511" t="s">
        <v>1240</v>
      </c>
      <c r="E7511" t="s">
        <v>475</v>
      </c>
      <c r="F7511" t="s">
        <v>239</v>
      </c>
      <c r="G7511" t="s">
        <v>591</v>
      </c>
      <c r="H7511" t="s">
        <v>577</v>
      </c>
      <c r="I7511" t="s">
        <v>564</v>
      </c>
      <c r="J7511" t="s">
        <v>251</v>
      </c>
      <c r="K7511" t="s">
        <v>120</v>
      </c>
      <c r="L7511" t="s">
        <v>493</v>
      </c>
      <c r="M7511" t="s">
        <v>918</v>
      </c>
      <c r="N7511" t="s">
        <v>700</v>
      </c>
      <c r="O7511" t="s">
        <v>102</v>
      </c>
      <c r="P7511" t="s">
        <v>1083</v>
      </c>
      <c r="Q7511" t="s">
        <v>224</v>
      </c>
      <c r="R7511" t="s">
        <v>128</v>
      </c>
      <c r="S7511" t="s">
        <v>247</v>
      </c>
      <c r="T7511" t="s">
        <v>122</v>
      </c>
      <c r="U7511" t="s">
        <v>116</v>
      </c>
    </row>
    <row r="7512" spans="1:21" s="3" customFormat="1" x14ac:dyDescent="0.3">
      <c r="A7512" s="3" t="s">
        <v>41</v>
      </c>
      <c r="B7512" s="3" t="s">
        <v>1109</v>
      </c>
      <c r="C7512" s="3">
        <v>8</v>
      </c>
      <c r="D7512" s="3" t="s">
        <v>271</v>
      </c>
      <c r="E7512" s="3" t="s">
        <v>103</v>
      </c>
      <c r="F7512" s="3" t="s">
        <v>271</v>
      </c>
      <c r="G7512" s="3" t="s">
        <v>103</v>
      </c>
      <c r="H7512" s="3" t="s">
        <v>126</v>
      </c>
      <c r="I7512" s="3" t="s">
        <v>510</v>
      </c>
      <c r="J7512" s="3" t="s">
        <v>103</v>
      </c>
      <c r="K7512" s="3" t="s">
        <v>103</v>
      </c>
      <c r="L7512" s="3" t="s">
        <v>103</v>
      </c>
      <c r="M7512" s="3" t="s">
        <v>746</v>
      </c>
      <c r="N7512" s="3" t="s">
        <v>706</v>
      </c>
      <c r="O7512" s="3" t="s">
        <v>103</v>
      </c>
      <c r="P7512" s="3" t="s">
        <v>103</v>
      </c>
      <c r="Q7512" s="3" t="s">
        <v>103</v>
      </c>
      <c r="R7512" s="3" t="s">
        <v>103</v>
      </c>
      <c r="S7512" s="3" t="s">
        <v>635</v>
      </c>
      <c r="T7512" s="3" t="s">
        <v>103</v>
      </c>
      <c r="U7512" s="3" t="s">
        <v>103</v>
      </c>
    </row>
    <row r="7513" spans="1:21" s="3" customFormat="1" x14ac:dyDescent="0.3">
      <c r="A7513" s="3" t="s">
        <v>41</v>
      </c>
      <c r="B7513" s="3" t="s">
        <v>1108</v>
      </c>
      <c r="C7513" s="3">
        <v>8</v>
      </c>
      <c r="D7513" s="3" t="s">
        <v>810</v>
      </c>
      <c r="E7513" s="3" t="s">
        <v>103</v>
      </c>
      <c r="F7513" s="3" t="s">
        <v>398</v>
      </c>
      <c r="G7513" s="3" t="s">
        <v>103</v>
      </c>
      <c r="H7513" s="3" t="s">
        <v>552</v>
      </c>
      <c r="I7513" s="3" t="s">
        <v>906</v>
      </c>
      <c r="J7513" s="3" t="s">
        <v>103</v>
      </c>
      <c r="K7513" s="3" t="s">
        <v>103</v>
      </c>
      <c r="L7513" s="3" t="s">
        <v>103</v>
      </c>
      <c r="M7513" s="3" t="s">
        <v>103</v>
      </c>
      <c r="N7513" s="3" t="s">
        <v>269</v>
      </c>
      <c r="O7513" s="3" t="s">
        <v>103</v>
      </c>
      <c r="P7513" s="3" t="s">
        <v>103</v>
      </c>
      <c r="Q7513" s="3" t="s">
        <v>103</v>
      </c>
      <c r="R7513" s="3" t="s">
        <v>103</v>
      </c>
      <c r="S7513" s="3" t="s">
        <v>269</v>
      </c>
      <c r="T7513" s="3" t="s">
        <v>103</v>
      </c>
      <c r="U7513" s="3" t="s">
        <v>103</v>
      </c>
    </row>
    <row r="7514" spans="1:21" x14ac:dyDescent="0.3">
      <c r="A7514" t="s">
        <v>41</v>
      </c>
      <c r="B7514" t="s">
        <v>308</v>
      </c>
      <c r="C7514">
        <v>1</v>
      </c>
      <c r="D7514" t="s">
        <v>192</v>
      </c>
      <c r="E7514" t="s">
        <v>103</v>
      </c>
      <c r="F7514" t="s">
        <v>103</v>
      </c>
      <c r="G7514" t="s">
        <v>103</v>
      </c>
      <c r="H7514" t="s">
        <v>103</v>
      </c>
      <c r="I7514" t="s">
        <v>103</v>
      </c>
      <c r="J7514" t="s">
        <v>103</v>
      </c>
      <c r="K7514" t="s">
        <v>103</v>
      </c>
      <c r="L7514" t="s">
        <v>103</v>
      </c>
      <c r="M7514" t="s">
        <v>103</v>
      </c>
      <c r="N7514" t="s">
        <v>192</v>
      </c>
      <c r="O7514" t="s">
        <v>103</v>
      </c>
      <c r="P7514" t="s">
        <v>103</v>
      </c>
      <c r="Q7514" t="s">
        <v>103</v>
      </c>
      <c r="R7514" t="s">
        <v>103</v>
      </c>
      <c r="S7514" t="s">
        <v>103</v>
      </c>
      <c r="T7514" t="s">
        <v>103</v>
      </c>
      <c r="U7514" t="s">
        <v>103</v>
      </c>
    </row>
    <row r="7516" spans="1:21" x14ac:dyDescent="0.3">
      <c r="A7516" t="s">
        <v>2291</v>
      </c>
    </row>
    <row r="7517" spans="1:21" x14ac:dyDescent="0.3">
      <c r="A7517" t="s">
        <v>36</v>
      </c>
      <c r="B7517" t="s">
        <v>2157</v>
      </c>
      <c r="C7517" t="s">
        <v>24</v>
      </c>
      <c r="D7517" t="s">
        <v>2270</v>
      </c>
      <c r="E7517" t="s">
        <v>2271</v>
      </c>
      <c r="F7517" t="s">
        <v>2272</v>
      </c>
      <c r="G7517" t="s">
        <v>2273</v>
      </c>
      <c r="H7517" t="s">
        <v>2274</v>
      </c>
      <c r="I7517" t="s">
        <v>2275</v>
      </c>
      <c r="J7517" t="s">
        <v>2276</v>
      </c>
      <c r="K7517" t="s">
        <v>2277</v>
      </c>
      <c r="L7517" t="s">
        <v>2278</v>
      </c>
      <c r="M7517" t="s">
        <v>2279</v>
      </c>
      <c r="N7517" t="s">
        <v>2280</v>
      </c>
      <c r="O7517" t="s">
        <v>2281</v>
      </c>
      <c r="P7517" t="s">
        <v>2282</v>
      </c>
      <c r="Q7517" t="s">
        <v>2283</v>
      </c>
      <c r="R7517" t="s">
        <v>2284</v>
      </c>
      <c r="S7517" t="s">
        <v>848</v>
      </c>
      <c r="T7517" t="s">
        <v>181</v>
      </c>
      <c r="U7517" t="s">
        <v>2285</v>
      </c>
    </row>
    <row r="7518" spans="1:21" x14ac:dyDescent="0.3">
      <c r="A7518" t="s">
        <v>25</v>
      </c>
      <c r="B7518" t="s">
        <v>2158</v>
      </c>
      <c r="C7518">
        <v>410</v>
      </c>
      <c r="D7518" t="s">
        <v>572</v>
      </c>
      <c r="E7518" t="s">
        <v>164</v>
      </c>
      <c r="F7518" t="s">
        <v>120</v>
      </c>
      <c r="G7518" t="s">
        <v>102</v>
      </c>
      <c r="H7518" t="s">
        <v>677</v>
      </c>
      <c r="I7518" t="s">
        <v>1329</v>
      </c>
      <c r="J7518" t="s">
        <v>136</v>
      </c>
      <c r="K7518" t="s">
        <v>103</v>
      </c>
      <c r="L7518" t="s">
        <v>239</v>
      </c>
      <c r="M7518" t="s">
        <v>519</v>
      </c>
      <c r="N7518" t="s">
        <v>191</v>
      </c>
      <c r="O7518" t="s">
        <v>102</v>
      </c>
      <c r="P7518" t="s">
        <v>160</v>
      </c>
      <c r="Q7518" t="s">
        <v>460</v>
      </c>
      <c r="R7518" t="s">
        <v>282</v>
      </c>
      <c r="S7518" t="s">
        <v>127</v>
      </c>
      <c r="T7518" t="s">
        <v>97</v>
      </c>
      <c r="U7518" t="s">
        <v>116</v>
      </c>
    </row>
    <row r="7519" spans="1:21" x14ac:dyDescent="0.3">
      <c r="A7519" t="s">
        <v>25</v>
      </c>
      <c r="B7519" t="s">
        <v>2159</v>
      </c>
      <c r="C7519">
        <v>283</v>
      </c>
      <c r="D7519" t="s">
        <v>982</v>
      </c>
      <c r="E7519" t="s">
        <v>514</v>
      </c>
      <c r="F7519" t="s">
        <v>116</v>
      </c>
      <c r="G7519" t="s">
        <v>107</v>
      </c>
      <c r="H7519" t="s">
        <v>247</v>
      </c>
      <c r="I7519" t="s">
        <v>1319</v>
      </c>
      <c r="J7519" t="s">
        <v>217</v>
      </c>
      <c r="K7519" t="s">
        <v>139</v>
      </c>
      <c r="L7519" t="s">
        <v>266</v>
      </c>
      <c r="M7519" t="s">
        <v>515</v>
      </c>
      <c r="N7519" t="s">
        <v>482</v>
      </c>
      <c r="O7519" t="s">
        <v>467</v>
      </c>
      <c r="P7519" t="s">
        <v>456</v>
      </c>
      <c r="Q7519" t="s">
        <v>262</v>
      </c>
      <c r="R7519" t="s">
        <v>345</v>
      </c>
      <c r="S7519" t="s">
        <v>131</v>
      </c>
      <c r="T7519" t="s">
        <v>98</v>
      </c>
      <c r="U7519" t="s">
        <v>103</v>
      </c>
    </row>
    <row r="7520" spans="1:21" x14ac:dyDescent="0.3">
      <c r="A7520" t="s">
        <v>26</v>
      </c>
      <c r="B7520" t="s">
        <v>2158</v>
      </c>
      <c r="C7520">
        <v>375</v>
      </c>
      <c r="D7520" t="s">
        <v>1462</v>
      </c>
      <c r="E7520" t="s">
        <v>224</v>
      </c>
      <c r="F7520" t="s">
        <v>266</v>
      </c>
      <c r="G7520" t="s">
        <v>114</v>
      </c>
      <c r="H7520" t="s">
        <v>627</v>
      </c>
      <c r="I7520" t="s">
        <v>441</v>
      </c>
      <c r="J7520" t="s">
        <v>90</v>
      </c>
      <c r="K7520" t="s">
        <v>97</v>
      </c>
      <c r="L7520" t="s">
        <v>93</v>
      </c>
      <c r="M7520" t="s">
        <v>813</v>
      </c>
      <c r="N7520" t="s">
        <v>273</v>
      </c>
      <c r="O7520" t="s">
        <v>105</v>
      </c>
      <c r="P7520" t="s">
        <v>829</v>
      </c>
      <c r="Q7520" t="s">
        <v>438</v>
      </c>
      <c r="R7520" t="s">
        <v>251</v>
      </c>
      <c r="S7520" t="s">
        <v>262</v>
      </c>
      <c r="T7520" t="s">
        <v>116</v>
      </c>
      <c r="U7520" t="s">
        <v>103</v>
      </c>
    </row>
    <row r="7521" spans="1:21" x14ac:dyDescent="0.3">
      <c r="A7521" t="s">
        <v>26</v>
      </c>
      <c r="B7521" t="s">
        <v>2159</v>
      </c>
      <c r="C7521">
        <v>399</v>
      </c>
      <c r="D7521" t="s">
        <v>1368</v>
      </c>
      <c r="E7521" t="s">
        <v>253</v>
      </c>
      <c r="F7521" t="s">
        <v>66</v>
      </c>
      <c r="G7521" t="s">
        <v>341</v>
      </c>
      <c r="H7521" t="s">
        <v>750</v>
      </c>
      <c r="I7521" t="s">
        <v>56</v>
      </c>
      <c r="J7521" t="s">
        <v>93</v>
      </c>
      <c r="K7521" t="s">
        <v>282</v>
      </c>
      <c r="L7521" t="s">
        <v>468</v>
      </c>
      <c r="M7521" t="s">
        <v>62</v>
      </c>
      <c r="N7521" t="s">
        <v>463</v>
      </c>
      <c r="O7521" t="s">
        <v>239</v>
      </c>
      <c r="P7521" t="s">
        <v>1014</v>
      </c>
      <c r="Q7521" t="s">
        <v>191</v>
      </c>
      <c r="R7521" t="s">
        <v>64</v>
      </c>
      <c r="S7521" t="s">
        <v>615</v>
      </c>
      <c r="T7521" t="s">
        <v>103</v>
      </c>
      <c r="U7521" t="s">
        <v>116</v>
      </c>
    </row>
    <row r="7522" spans="1:21" x14ac:dyDescent="0.3">
      <c r="A7522" t="s">
        <v>29</v>
      </c>
      <c r="B7522" t="s">
        <v>2158</v>
      </c>
      <c r="C7522">
        <v>435</v>
      </c>
      <c r="D7522" t="s">
        <v>770</v>
      </c>
      <c r="E7522" t="s">
        <v>123</v>
      </c>
      <c r="F7522" t="s">
        <v>93</v>
      </c>
      <c r="G7522" t="s">
        <v>133</v>
      </c>
      <c r="H7522" t="s">
        <v>465</v>
      </c>
      <c r="I7522" t="s">
        <v>1294</v>
      </c>
      <c r="J7522" t="s">
        <v>649</v>
      </c>
      <c r="K7522" t="s">
        <v>122</v>
      </c>
      <c r="L7522" t="s">
        <v>127</v>
      </c>
      <c r="M7522" t="s">
        <v>167</v>
      </c>
      <c r="N7522" t="s">
        <v>750</v>
      </c>
      <c r="O7522" t="s">
        <v>251</v>
      </c>
      <c r="P7522" t="s">
        <v>104</v>
      </c>
      <c r="Q7522" t="s">
        <v>94</v>
      </c>
      <c r="R7522" t="s">
        <v>270</v>
      </c>
      <c r="S7522" t="s">
        <v>629</v>
      </c>
      <c r="T7522" t="s">
        <v>103</v>
      </c>
      <c r="U7522" t="s">
        <v>116</v>
      </c>
    </row>
    <row r="7523" spans="1:21" x14ac:dyDescent="0.3">
      <c r="A7523" t="s">
        <v>29</v>
      </c>
      <c r="B7523" t="s">
        <v>2159</v>
      </c>
      <c r="C7523">
        <v>435</v>
      </c>
      <c r="D7523" t="s">
        <v>379</v>
      </c>
      <c r="E7523" t="s">
        <v>727</v>
      </c>
      <c r="F7523" t="s">
        <v>341</v>
      </c>
      <c r="G7523" t="s">
        <v>615</v>
      </c>
      <c r="H7523" t="s">
        <v>543</v>
      </c>
      <c r="I7523" t="s">
        <v>682</v>
      </c>
      <c r="J7523" t="s">
        <v>64</v>
      </c>
      <c r="K7523" t="s">
        <v>98</v>
      </c>
      <c r="L7523" t="s">
        <v>125</v>
      </c>
      <c r="M7523" t="s">
        <v>262</v>
      </c>
      <c r="N7523" t="s">
        <v>92</v>
      </c>
      <c r="O7523" t="s">
        <v>266</v>
      </c>
      <c r="P7523" t="s">
        <v>1204</v>
      </c>
      <c r="Q7523" t="s">
        <v>566</v>
      </c>
      <c r="R7523" t="s">
        <v>98</v>
      </c>
      <c r="S7523" t="s">
        <v>123</v>
      </c>
      <c r="T7523" t="s">
        <v>345</v>
      </c>
      <c r="U7523" t="s">
        <v>97</v>
      </c>
    </row>
    <row r="7524" spans="1:21" x14ac:dyDescent="0.3">
      <c r="A7524" t="s">
        <v>29</v>
      </c>
      <c r="B7524" t="s">
        <v>308</v>
      </c>
      <c r="C7524">
        <v>1</v>
      </c>
      <c r="D7524" t="s">
        <v>103</v>
      </c>
      <c r="E7524" t="s">
        <v>103</v>
      </c>
      <c r="F7524" t="s">
        <v>103</v>
      </c>
      <c r="G7524" t="s">
        <v>103</v>
      </c>
      <c r="H7524" t="s">
        <v>103</v>
      </c>
      <c r="I7524" t="s">
        <v>103</v>
      </c>
      <c r="J7524" t="s">
        <v>103</v>
      </c>
      <c r="K7524" t="s">
        <v>103</v>
      </c>
      <c r="L7524" t="s">
        <v>103</v>
      </c>
      <c r="M7524" t="s">
        <v>103</v>
      </c>
      <c r="N7524" t="s">
        <v>103</v>
      </c>
      <c r="O7524" t="s">
        <v>103</v>
      </c>
      <c r="P7524" t="s">
        <v>103</v>
      </c>
      <c r="Q7524" t="s">
        <v>103</v>
      </c>
      <c r="R7524" t="s">
        <v>103</v>
      </c>
      <c r="S7524" t="s">
        <v>192</v>
      </c>
      <c r="T7524" t="s">
        <v>103</v>
      </c>
      <c r="U7524" t="s">
        <v>103</v>
      </c>
    </row>
    <row r="7525" spans="1:21" x14ac:dyDescent="0.3">
      <c r="A7525" t="s">
        <v>28</v>
      </c>
      <c r="B7525" t="s">
        <v>2158</v>
      </c>
      <c r="C7525">
        <v>177</v>
      </c>
      <c r="D7525" t="s">
        <v>627</v>
      </c>
      <c r="E7525" t="s">
        <v>579</v>
      </c>
      <c r="F7525" t="s">
        <v>467</v>
      </c>
      <c r="G7525" t="s">
        <v>95</v>
      </c>
      <c r="H7525" t="s">
        <v>1545</v>
      </c>
      <c r="I7525" t="s">
        <v>839</v>
      </c>
      <c r="J7525" t="s">
        <v>244</v>
      </c>
      <c r="K7525" t="s">
        <v>97</v>
      </c>
      <c r="L7525" t="s">
        <v>468</v>
      </c>
      <c r="M7525" t="s">
        <v>649</v>
      </c>
      <c r="N7525" t="s">
        <v>262</v>
      </c>
      <c r="O7525" t="s">
        <v>195</v>
      </c>
      <c r="P7525" t="s">
        <v>201</v>
      </c>
      <c r="Q7525" t="s">
        <v>242</v>
      </c>
      <c r="R7525" t="s">
        <v>98</v>
      </c>
      <c r="S7525" t="s">
        <v>737</v>
      </c>
      <c r="T7525" t="s">
        <v>103</v>
      </c>
      <c r="U7525" t="s">
        <v>103</v>
      </c>
    </row>
    <row r="7526" spans="1:21" x14ac:dyDescent="0.3">
      <c r="A7526" t="s">
        <v>28</v>
      </c>
      <c r="B7526" t="s">
        <v>2159</v>
      </c>
      <c r="C7526">
        <v>174</v>
      </c>
      <c r="D7526" t="s">
        <v>527</v>
      </c>
      <c r="E7526" t="s">
        <v>684</v>
      </c>
      <c r="F7526" t="s">
        <v>105</v>
      </c>
      <c r="G7526" t="s">
        <v>93</v>
      </c>
      <c r="H7526" t="s">
        <v>148</v>
      </c>
      <c r="I7526" t="s">
        <v>552</v>
      </c>
      <c r="J7526" t="s">
        <v>438</v>
      </c>
      <c r="K7526" t="s">
        <v>329</v>
      </c>
      <c r="L7526" t="s">
        <v>98</v>
      </c>
      <c r="M7526" t="s">
        <v>130</v>
      </c>
      <c r="N7526" t="s">
        <v>62</v>
      </c>
      <c r="O7526" t="s">
        <v>329</v>
      </c>
      <c r="P7526" t="s">
        <v>54</v>
      </c>
      <c r="Q7526" t="s">
        <v>112</v>
      </c>
      <c r="R7526" t="s">
        <v>103</v>
      </c>
      <c r="S7526" t="s">
        <v>232</v>
      </c>
      <c r="T7526" t="s">
        <v>103</v>
      </c>
      <c r="U7526" t="s">
        <v>103</v>
      </c>
    </row>
    <row r="7527" spans="1:21" x14ac:dyDescent="0.3">
      <c r="A7527" t="s">
        <v>27</v>
      </c>
      <c r="B7527" t="s">
        <v>2158</v>
      </c>
      <c r="C7527">
        <v>237</v>
      </c>
      <c r="D7527" t="s">
        <v>1089</v>
      </c>
      <c r="E7527" t="s">
        <v>142</v>
      </c>
      <c r="F7527" t="s">
        <v>278</v>
      </c>
      <c r="G7527" t="s">
        <v>438</v>
      </c>
      <c r="H7527" t="s">
        <v>1278</v>
      </c>
      <c r="I7527" t="s">
        <v>1004</v>
      </c>
      <c r="J7527" t="s">
        <v>528</v>
      </c>
      <c r="K7527" t="s">
        <v>103</v>
      </c>
      <c r="L7527" t="s">
        <v>216</v>
      </c>
      <c r="M7527" t="s">
        <v>700</v>
      </c>
      <c r="N7527" t="s">
        <v>186</v>
      </c>
      <c r="O7527" t="s">
        <v>125</v>
      </c>
      <c r="P7527" t="s">
        <v>188</v>
      </c>
      <c r="Q7527" t="s">
        <v>125</v>
      </c>
      <c r="R7527" t="s">
        <v>468</v>
      </c>
      <c r="S7527" t="s">
        <v>111</v>
      </c>
      <c r="T7527" t="s">
        <v>91</v>
      </c>
      <c r="U7527" t="s">
        <v>122</v>
      </c>
    </row>
    <row r="7528" spans="1:21" x14ac:dyDescent="0.3">
      <c r="A7528" t="s">
        <v>27</v>
      </c>
      <c r="B7528" t="s">
        <v>2159</v>
      </c>
      <c r="C7528">
        <v>118</v>
      </c>
      <c r="D7528" t="s">
        <v>835</v>
      </c>
      <c r="E7528" t="s">
        <v>471</v>
      </c>
      <c r="F7528" t="s">
        <v>139</v>
      </c>
      <c r="G7528" t="s">
        <v>103</v>
      </c>
      <c r="H7528" t="s">
        <v>131</v>
      </c>
      <c r="I7528" t="s">
        <v>526</v>
      </c>
      <c r="J7528" t="s">
        <v>594</v>
      </c>
      <c r="K7528" t="s">
        <v>103</v>
      </c>
      <c r="L7528" t="s">
        <v>269</v>
      </c>
      <c r="M7528" t="s">
        <v>506</v>
      </c>
      <c r="N7528" t="s">
        <v>272</v>
      </c>
      <c r="O7528" t="s">
        <v>125</v>
      </c>
      <c r="P7528" t="s">
        <v>54</v>
      </c>
      <c r="Q7528" t="s">
        <v>201</v>
      </c>
      <c r="R7528" t="s">
        <v>103</v>
      </c>
      <c r="S7528" t="s">
        <v>99</v>
      </c>
      <c r="T7528" t="s">
        <v>103</v>
      </c>
      <c r="U7528" t="s">
        <v>103</v>
      </c>
    </row>
    <row r="7529" spans="1:21" x14ac:dyDescent="0.3">
      <c r="A7529" t="s">
        <v>41</v>
      </c>
      <c r="B7529" t="s">
        <v>2158</v>
      </c>
      <c r="C7529">
        <v>1634</v>
      </c>
      <c r="D7529" t="s">
        <v>423</v>
      </c>
      <c r="E7529" t="s">
        <v>463</v>
      </c>
      <c r="F7529" t="s">
        <v>329</v>
      </c>
      <c r="G7529" t="s">
        <v>201</v>
      </c>
      <c r="H7529" t="s">
        <v>573</v>
      </c>
      <c r="I7529" t="s">
        <v>1279</v>
      </c>
      <c r="J7529" t="s">
        <v>459</v>
      </c>
      <c r="K7529" t="s">
        <v>116</v>
      </c>
      <c r="L7529" t="s">
        <v>201</v>
      </c>
      <c r="M7529" t="s">
        <v>150</v>
      </c>
      <c r="N7529" t="s">
        <v>115</v>
      </c>
      <c r="O7529" t="s">
        <v>201</v>
      </c>
      <c r="P7529" t="s">
        <v>813</v>
      </c>
      <c r="Q7529" t="s">
        <v>232</v>
      </c>
      <c r="R7529" t="s">
        <v>272</v>
      </c>
      <c r="S7529" t="s">
        <v>254</v>
      </c>
      <c r="T7529" t="s">
        <v>66</v>
      </c>
      <c r="U7529" t="s">
        <v>66</v>
      </c>
    </row>
    <row r="7530" spans="1:21" x14ac:dyDescent="0.3">
      <c r="A7530" t="s">
        <v>41</v>
      </c>
      <c r="B7530" t="s">
        <v>2159</v>
      </c>
      <c r="C7530">
        <v>1409</v>
      </c>
      <c r="D7530" t="s">
        <v>1047</v>
      </c>
      <c r="E7530" t="s">
        <v>56</v>
      </c>
      <c r="F7530" t="s">
        <v>345</v>
      </c>
      <c r="G7530" t="s">
        <v>125</v>
      </c>
      <c r="H7530" t="s">
        <v>111</v>
      </c>
      <c r="I7530" t="s">
        <v>268</v>
      </c>
      <c r="J7530" t="s">
        <v>266</v>
      </c>
      <c r="K7530" t="s">
        <v>98</v>
      </c>
      <c r="L7530" t="s">
        <v>270</v>
      </c>
      <c r="M7530" t="s">
        <v>123</v>
      </c>
      <c r="N7530" t="s">
        <v>544</v>
      </c>
      <c r="O7530" t="s">
        <v>257</v>
      </c>
      <c r="P7530" t="s">
        <v>1204</v>
      </c>
      <c r="Q7530" t="s">
        <v>463</v>
      </c>
      <c r="R7530" t="s">
        <v>110</v>
      </c>
      <c r="S7530" t="s">
        <v>99</v>
      </c>
      <c r="T7530" t="s">
        <v>95</v>
      </c>
      <c r="U7530" t="s">
        <v>116</v>
      </c>
    </row>
    <row r="7531" spans="1:21" x14ac:dyDescent="0.3">
      <c r="A7531" t="s">
        <v>41</v>
      </c>
      <c r="B7531" t="s">
        <v>308</v>
      </c>
      <c r="C7531">
        <v>1</v>
      </c>
      <c r="D7531" t="s">
        <v>103</v>
      </c>
      <c r="E7531" t="s">
        <v>103</v>
      </c>
      <c r="F7531" t="s">
        <v>103</v>
      </c>
      <c r="G7531" t="s">
        <v>103</v>
      </c>
      <c r="H7531" t="s">
        <v>103</v>
      </c>
      <c r="I7531" t="s">
        <v>103</v>
      </c>
      <c r="J7531" t="s">
        <v>103</v>
      </c>
      <c r="K7531" t="s">
        <v>103</v>
      </c>
      <c r="L7531" t="s">
        <v>103</v>
      </c>
      <c r="M7531" t="s">
        <v>103</v>
      </c>
      <c r="N7531" t="s">
        <v>103</v>
      </c>
      <c r="O7531" t="s">
        <v>103</v>
      </c>
      <c r="P7531" t="s">
        <v>103</v>
      </c>
      <c r="Q7531" t="s">
        <v>103</v>
      </c>
      <c r="R7531" t="s">
        <v>103</v>
      </c>
      <c r="S7531" t="s">
        <v>192</v>
      </c>
      <c r="T7531" t="s">
        <v>103</v>
      </c>
      <c r="U7531" t="s">
        <v>103</v>
      </c>
    </row>
    <row r="7533" spans="1:21" x14ac:dyDescent="0.3">
      <c r="A7533" t="s">
        <v>2292</v>
      </c>
    </row>
    <row r="7534" spans="1:21" x14ac:dyDescent="0.3">
      <c r="A7534" t="s">
        <v>36</v>
      </c>
      <c r="B7534" t="s">
        <v>307</v>
      </c>
      <c r="C7534" t="s">
        <v>24</v>
      </c>
      <c r="D7534" t="s">
        <v>2270</v>
      </c>
      <c r="E7534" t="s">
        <v>2271</v>
      </c>
      <c r="F7534" t="s">
        <v>2272</v>
      </c>
      <c r="G7534" t="s">
        <v>2273</v>
      </c>
      <c r="H7534" t="s">
        <v>2274</v>
      </c>
      <c r="I7534" t="s">
        <v>2275</v>
      </c>
      <c r="J7534" t="s">
        <v>2276</v>
      </c>
      <c r="K7534" t="s">
        <v>2277</v>
      </c>
      <c r="L7534" t="s">
        <v>2278</v>
      </c>
      <c r="M7534" t="s">
        <v>2279</v>
      </c>
      <c r="N7534" t="s">
        <v>2280</v>
      </c>
      <c r="O7534" t="s">
        <v>2281</v>
      </c>
      <c r="P7534" t="s">
        <v>2282</v>
      </c>
      <c r="Q7534" t="s">
        <v>2283</v>
      </c>
      <c r="R7534" t="s">
        <v>2284</v>
      </c>
      <c r="S7534" t="s">
        <v>848</v>
      </c>
      <c r="T7534" t="s">
        <v>181</v>
      </c>
      <c r="U7534" t="s">
        <v>2285</v>
      </c>
    </row>
    <row r="7535" spans="1:21" x14ac:dyDescent="0.3">
      <c r="A7535" t="s">
        <v>25</v>
      </c>
      <c r="B7535" t="s">
        <v>291</v>
      </c>
      <c r="C7535">
        <v>294</v>
      </c>
      <c r="D7535" t="s">
        <v>371</v>
      </c>
      <c r="E7535" t="s">
        <v>514</v>
      </c>
      <c r="F7535" t="s">
        <v>120</v>
      </c>
      <c r="G7535" t="s">
        <v>113</v>
      </c>
      <c r="H7535" t="s">
        <v>1038</v>
      </c>
      <c r="I7535" t="s">
        <v>1205</v>
      </c>
      <c r="J7535" t="s">
        <v>463</v>
      </c>
      <c r="K7535" t="s">
        <v>95</v>
      </c>
      <c r="L7535" t="s">
        <v>118</v>
      </c>
      <c r="M7535" t="s">
        <v>164</v>
      </c>
      <c r="N7535" t="s">
        <v>148</v>
      </c>
      <c r="O7535" t="s">
        <v>284</v>
      </c>
      <c r="P7535" t="s">
        <v>566</v>
      </c>
      <c r="Q7535" t="s">
        <v>571</v>
      </c>
      <c r="R7535" t="s">
        <v>282</v>
      </c>
      <c r="S7535" t="s">
        <v>152</v>
      </c>
      <c r="T7535" t="s">
        <v>98</v>
      </c>
      <c r="U7535" t="s">
        <v>97</v>
      </c>
    </row>
    <row r="7536" spans="1:21" x14ac:dyDescent="0.3">
      <c r="A7536" t="s">
        <v>25</v>
      </c>
      <c r="B7536" t="s">
        <v>292</v>
      </c>
      <c r="C7536">
        <v>388</v>
      </c>
      <c r="D7536" t="s">
        <v>349</v>
      </c>
      <c r="E7536" t="s">
        <v>164</v>
      </c>
      <c r="F7536" t="s">
        <v>122</v>
      </c>
      <c r="G7536" t="s">
        <v>68</v>
      </c>
      <c r="H7536" t="s">
        <v>457</v>
      </c>
      <c r="I7536" t="s">
        <v>1197</v>
      </c>
      <c r="J7536" t="s">
        <v>284</v>
      </c>
      <c r="K7536" t="s">
        <v>103</v>
      </c>
      <c r="L7536" t="s">
        <v>245</v>
      </c>
      <c r="M7536" t="s">
        <v>551</v>
      </c>
      <c r="N7536" t="s">
        <v>60</v>
      </c>
      <c r="O7536" t="s">
        <v>118</v>
      </c>
      <c r="P7536" t="s">
        <v>461</v>
      </c>
      <c r="Q7536" t="s">
        <v>100</v>
      </c>
      <c r="R7536" t="s">
        <v>345</v>
      </c>
      <c r="S7536" t="s">
        <v>262</v>
      </c>
      <c r="T7536" t="s">
        <v>97</v>
      </c>
      <c r="U7536" t="s">
        <v>103</v>
      </c>
    </row>
    <row r="7537" spans="1:21" x14ac:dyDescent="0.3">
      <c r="A7537" t="s">
        <v>25</v>
      </c>
      <c r="B7537" t="s">
        <v>308</v>
      </c>
      <c r="C7537">
        <v>11</v>
      </c>
      <c r="D7537" t="s">
        <v>758</v>
      </c>
      <c r="E7537" t="s">
        <v>103</v>
      </c>
      <c r="F7537" t="s">
        <v>103</v>
      </c>
      <c r="G7537" t="s">
        <v>119</v>
      </c>
      <c r="H7537" t="s">
        <v>119</v>
      </c>
      <c r="I7537" t="s">
        <v>272</v>
      </c>
      <c r="J7537" t="s">
        <v>103</v>
      </c>
      <c r="K7537" t="s">
        <v>103</v>
      </c>
      <c r="L7537" t="s">
        <v>103</v>
      </c>
      <c r="M7537" t="s">
        <v>272</v>
      </c>
      <c r="N7537" t="s">
        <v>103</v>
      </c>
      <c r="O7537" t="s">
        <v>103</v>
      </c>
      <c r="P7537" t="s">
        <v>1060</v>
      </c>
      <c r="Q7537" t="s">
        <v>103</v>
      </c>
      <c r="R7537" t="s">
        <v>103</v>
      </c>
      <c r="S7537" t="s">
        <v>103</v>
      </c>
      <c r="T7537" t="s">
        <v>103</v>
      </c>
      <c r="U7537" t="s">
        <v>103</v>
      </c>
    </row>
    <row r="7538" spans="1:21" x14ac:dyDescent="0.3">
      <c r="A7538" t="s">
        <v>26</v>
      </c>
      <c r="B7538" t="s">
        <v>291</v>
      </c>
      <c r="C7538">
        <v>230</v>
      </c>
      <c r="D7538" t="s">
        <v>1245</v>
      </c>
      <c r="E7538" t="s">
        <v>544</v>
      </c>
      <c r="F7538" t="s">
        <v>216</v>
      </c>
      <c r="G7538" t="s">
        <v>107</v>
      </c>
      <c r="H7538" t="s">
        <v>561</v>
      </c>
      <c r="I7538" t="s">
        <v>34</v>
      </c>
      <c r="J7538" t="s">
        <v>575</v>
      </c>
      <c r="K7538" t="s">
        <v>116</v>
      </c>
      <c r="L7538" t="s">
        <v>113</v>
      </c>
      <c r="M7538" t="s">
        <v>485</v>
      </c>
      <c r="N7538" t="s">
        <v>578</v>
      </c>
      <c r="O7538" t="s">
        <v>438</v>
      </c>
      <c r="P7538" t="s">
        <v>264</v>
      </c>
      <c r="Q7538" t="s">
        <v>575</v>
      </c>
      <c r="R7538" t="s">
        <v>60</v>
      </c>
      <c r="S7538" t="s">
        <v>201</v>
      </c>
      <c r="T7538" t="s">
        <v>122</v>
      </c>
      <c r="U7538" t="s">
        <v>103</v>
      </c>
    </row>
    <row r="7539" spans="1:21" x14ac:dyDescent="0.3">
      <c r="A7539" t="s">
        <v>26</v>
      </c>
      <c r="B7539" t="s">
        <v>292</v>
      </c>
      <c r="C7539">
        <v>538</v>
      </c>
      <c r="D7539" t="s">
        <v>1244</v>
      </c>
      <c r="E7539" t="s">
        <v>130</v>
      </c>
      <c r="F7539" t="s">
        <v>194</v>
      </c>
      <c r="G7539" t="s">
        <v>128</v>
      </c>
      <c r="H7539" t="s">
        <v>505</v>
      </c>
      <c r="I7539" t="s">
        <v>1204</v>
      </c>
      <c r="J7539" t="s">
        <v>114</v>
      </c>
      <c r="K7539" t="s">
        <v>282</v>
      </c>
      <c r="L7539" t="s">
        <v>120</v>
      </c>
      <c r="M7539" t="s">
        <v>137</v>
      </c>
      <c r="N7539" t="s">
        <v>743</v>
      </c>
      <c r="O7539" t="s">
        <v>98</v>
      </c>
      <c r="P7539" t="s">
        <v>503</v>
      </c>
      <c r="Q7539" t="s">
        <v>594</v>
      </c>
      <c r="R7539" t="s">
        <v>125</v>
      </c>
      <c r="S7539" t="s">
        <v>127</v>
      </c>
      <c r="T7539" t="s">
        <v>103</v>
      </c>
      <c r="U7539" t="s">
        <v>66</v>
      </c>
    </row>
    <row r="7540" spans="1:21" x14ac:dyDescent="0.3">
      <c r="A7540" t="s">
        <v>26</v>
      </c>
      <c r="B7540" t="s">
        <v>308</v>
      </c>
      <c r="C7540">
        <v>6</v>
      </c>
      <c r="D7540" t="s">
        <v>383</v>
      </c>
      <c r="E7540" t="s">
        <v>1222</v>
      </c>
      <c r="F7540" t="s">
        <v>103</v>
      </c>
      <c r="G7540" t="s">
        <v>103</v>
      </c>
      <c r="H7540" t="s">
        <v>103</v>
      </c>
      <c r="I7540" t="s">
        <v>103</v>
      </c>
      <c r="J7540" t="s">
        <v>925</v>
      </c>
      <c r="K7540" t="s">
        <v>103</v>
      </c>
      <c r="L7540" t="s">
        <v>103</v>
      </c>
      <c r="M7540" t="s">
        <v>103</v>
      </c>
      <c r="N7540" t="s">
        <v>103</v>
      </c>
      <c r="O7540" t="s">
        <v>103</v>
      </c>
      <c r="P7540" t="s">
        <v>366</v>
      </c>
      <c r="Q7540" t="s">
        <v>103</v>
      </c>
      <c r="R7540" t="s">
        <v>103</v>
      </c>
      <c r="S7540" t="s">
        <v>103</v>
      </c>
      <c r="T7540" t="s">
        <v>103</v>
      </c>
      <c r="U7540" t="s">
        <v>103</v>
      </c>
    </row>
    <row r="7541" spans="1:21" x14ac:dyDescent="0.3">
      <c r="A7541" t="s">
        <v>29</v>
      </c>
      <c r="B7541" t="s">
        <v>291</v>
      </c>
      <c r="C7541">
        <v>379</v>
      </c>
      <c r="D7541" t="s">
        <v>1461</v>
      </c>
      <c r="E7541" t="s">
        <v>117</v>
      </c>
      <c r="F7541" t="s">
        <v>257</v>
      </c>
      <c r="G7541" t="s">
        <v>662</v>
      </c>
      <c r="H7541" t="s">
        <v>480</v>
      </c>
      <c r="I7541" t="s">
        <v>509</v>
      </c>
      <c r="J7541" t="s">
        <v>135</v>
      </c>
      <c r="K7541" t="s">
        <v>139</v>
      </c>
      <c r="L7541" t="s">
        <v>549</v>
      </c>
      <c r="M7541" t="s">
        <v>135</v>
      </c>
      <c r="N7541" t="s">
        <v>162</v>
      </c>
      <c r="O7541" t="s">
        <v>466</v>
      </c>
      <c r="P7541" t="s">
        <v>191</v>
      </c>
      <c r="Q7541" t="s">
        <v>140</v>
      </c>
      <c r="R7541" t="s">
        <v>266</v>
      </c>
      <c r="S7541" t="s">
        <v>463</v>
      </c>
      <c r="T7541" t="s">
        <v>95</v>
      </c>
      <c r="U7541" t="s">
        <v>120</v>
      </c>
    </row>
    <row r="7542" spans="1:21" x14ac:dyDescent="0.3">
      <c r="A7542" t="s">
        <v>29</v>
      </c>
      <c r="B7542" t="s">
        <v>292</v>
      </c>
      <c r="C7542">
        <v>492</v>
      </c>
      <c r="D7542" t="s">
        <v>628</v>
      </c>
      <c r="E7542" t="s">
        <v>56</v>
      </c>
      <c r="F7542" t="s">
        <v>216</v>
      </c>
      <c r="G7542" t="s">
        <v>615</v>
      </c>
      <c r="H7542" t="s">
        <v>228</v>
      </c>
      <c r="I7542" t="s">
        <v>1206</v>
      </c>
      <c r="J7542" t="s">
        <v>272</v>
      </c>
      <c r="K7542" t="s">
        <v>97</v>
      </c>
      <c r="L7542" t="s">
        <v>68</v>
      </c>
      <c r="M7542" t="s">
        <v>536</v>
      </c>
      <c r="N7542" t="s">
        <v>131</v>
      </c>
      <c r="O7542" t="s">
        <v>272</v>
      </c>
      <c r="P7542" t="s">
        <v>683</v>
      </c>
      <c r="Q7542" t="s">
        <v>164</v>
      </c>
      <c r="R7542" t="s">
        <v>194</v>
      </c>
      <c r="S7542" t="s">
        <v>629</v>
      </c>
      <c r="T7542" t="s">
        <v>122</v>
      </c>
      <c r="U7542" t="s">
        <v>116</v>
      </c>
    </row>
    <row r="7543" spans="1:21" x14ac:dyDescent="0.3">
      <c r="A7543" t="s">
        <v>28</v>
      </c>
      <c r="B7543" t="s">
        <v>291</v>
      </c>
      <c r="C7543">
        <v>154</v>
      </c>
      <c r="D7543" t="s">
        <v>353</v>
      </c>
      <c r="E7543" t="s">
        <v>1023</v>
      </c>
      <c r="F7543" t="s">
        <v>68</v>
      </c>
      <c r="G7543" t="s">
        <v>341</v>
      </c>
      <c r="H7543" t="s">
        <v>299</v>
      </c>
      <c r="I7543" t="s">
        <v>1208</v>
      </c>
      <c r="J7543" t="s">
        <v>140</v>
      </c>
      <c r="K7543" t="s">
        <v>120</v>
      </c>
      <c r="L7543" t="s">
        <v>105</v>
      </c>
      <c r="M7543" t="s">
        <v>146</v>
      </c>
      <c r="N7543" t="s">
        <v>813</v>
      </c>
      <c r="O7543" t="s">
        <v>591</v>
      </c>
      <c r="P7543" t="s">
        <v>133</v>
      </c>
      <c r="Q7543" t="s">
        <v>70</v>
      </c>
      <c r="R7543" t="s">
        <v>345</v>
      </c>
      <c r="S7543" t="s">
        <v>100</v>
      </c>
      <c r="T7543" t="s">
        <v>103</v>
      </c>
      <c r="U7543" t="s">
        <v>103</v>
      </c>
    </row>
    <row r="7544" spans="1:21" x14ac:dyDescent="0.3">
      <c r="A7544" t="s">
        <v>28</v>
      </c>
      <c r="B7544" t="s">
        <v>292</v>
      </c>
      <c r="C7544">
        <v>180</v>
      </c>
      <c r="D7544" t="s">
        <v>1559</v>
      </c>
      <c r="E7544" t="s">
        <v>479</v>
      </c>
      <c r="F7544" t="s">
        <v>118</v>
      </c>
      <c r="G7544" t="s">
        <v>345</v>
      </c>
      <c r="H7544" t="s">
        <v>746</v>
      </c>
      <c r="I7544" t="s">
        <v>129</v>
      </c>
      <c r="J7544" t="s">
        <v>629</v>
      </c>
      <c r="K7544" t="s">
        <v>341</v>
      </c>
      <c r="L7544" t="s">
        <v>97</v>
      </c>
      <c r="M7544" t="s">
        <v>743</v>
      </c>
      <c r="N7544" t="s">
        <v>60</v>
      </c>
      <c r="O7544" t="s">
        <v>98</v>
      </c>
      <c r="P7544" t="s">
        <v>157</v>
      </c>
      <c r="Q7544" t="s">
        <v>482</v>
      </c>
      <c r="R7544" t="s">
        <v>103</v>
      </c>
      <c r="S7544" t="s">
        <v>511</v>
      </c>
      <c r="T7544" t="s">
        <v>103</v>
      </c>
      <c r="U7544" t="s">
        <v>103</v>
      </c>
    </row>
    <row r="7545" spans="1:21" x14ac:dyDescent="0.3">
      <c r="A7545" t="s">
        <v>28</v>
      </c>
      <c r="B7545" t="s">
        <v>308</v>
      </c>
      <c r="C7545">
        <v>17</v>
      </c>
      <c r="D7545" t="s">
        <v>893</v>
      </c>
      <c r="E7545" t="s">
        <v>259</v>
      </c>
      <c r="F7545" t="s">
        <v>103</v>
      </c>
      <c r="G7545" t="s">
        <v>103</v>
      </c>
      <c r="H7545" t="s">
        <v>269</v>
      </c>
      <c r="I7545" t="s">
        <v>515</v>
      </c>
      <c r="J7545" t="s">
        <v>460</v>
      </c>
      <c r="K7545" t="s">
        <v>103</v>
      </c>
      <c r="L7545" t="s">
        <v>103</v>
      </c>
      <c r="M7545" t="s">
        <v>136</v>
      </c>
      <c r="N7545" t="s">
        <v>103</v>
      </c>
      <c r="O7545" t="s">
        <v>206</v>
      </c>
      <c r="P7545" t="s">
        <v>1084</v>
      </c>
      <c r="Q7545" t="s">
        <v>103</v>
      </c>
      <c r="R7545" t="s">
        <v>103</v>
      </c>
      <c r="S7545" t="s">
        <v>206</v>
      </c>
      <c r="T7545" t="s">
        <v>103</v>
      </c>
      <c r="U7545" t="s">
        <v>103</v>
      </c>
    </row>
    <row r="7546" spans="1:21" x14ac:dyDescent="0.3">
      <c r="A7546" t="s">
        <v>27</v>
      </c>
      <c r="B7546" t="s">
        <v>291</v>
      </c>
      <c r="C7546">
        <v>124</v>
      </c>
      <c r="D7546" t="s">
        <v>1549</v>
      </c>
      <c r="E7546" t="s">
        <v>271</v>
      </c>
      <c r="F7546" t="s">
        <v>188</v>
      </c>
      <c r="G7546" t="s">
        <v>341</v>
      </c>
      <c r="H7546" t="s">
        <v>414</v>
      </c>
      <c r="I7546" t="s">
        <v>1581</v>
      </c>
      <c r="J7546" t="s">
        <v>566</v>
      </c>
      <c r="K7546" t="s">
        <v>103</v>
      </c>
      <c r="L7546" t="s">
        <v>615</v>
      </c>
      <c r="M7546" t="s">
        <v>1023</v>
      </c>
      <c r="N7546" t="s">
        <v>460</v>
      </c>
      <c r="O7546" t="s">
        <v>460</v>
      </c>
      <c r="P7546" t="s">
        <v>662</v>
      </c>
      <c r="Q7546" t="s">
        <v>270</v>
      </c>
      <c r="R7546" t="s">
        <v>329</v>
      </c>
      <c r="S7546" t="s">
        <v>551</v>
      </c>
      <c r="T7546" t="s">
        <v>66</v>
      </c>
      <c r="U7546" t="s">
        <v>98</v>
      </c>
    </row>
    <row r="7547" spans="1:21" x14ac:dyDescent="0.3">
      <c r="A7547" t="s">
        <v>27</v>
      </c>
      <c r="B7547" t="s">
        <v>292</v>
      </c>
      <c r="C7547">
        <v>227</v>
      </c>
      <c r="D7547" t="s">
        <v>1059</v>
      </c>
      <c r="E7547" t="s">
        <v>927</v>
      </c>
      <c r="F7547" t="s">
        <v>272</v>
      </c>
      <c r="G7547" t="s">
        <v>329</v>
      </c>
      <c r="H7547" t="s">
        <v>303</v>
      </c>
      <c r="I7547" t="s">
        <v>1231</v>
      </c>
      <c r="J7547" t="s">
        <v>62</v>
      </c>
      <c r="K7547" t="s">
        <v>103</v>
      </c>
      <c r="L7547" t="s">
        <v>112</v>
      </c>
      <c r="M7547" t="s">
        <v>271</v>
      </c>
      <c r="N7547" t="s">
        <v>128</v>
      </c>
      <c r="O7547" t="s">
        <v>208</v>
      </c>
      <c r="P7547" t="s">
        <v>247</v>
      </c>
      <c r="Q7547" t="s">
        <v>532</v>
      </c>
      <c r="R7547" t="s">
        <v>91</v>
      </c>
      <c r="S7547" t="s">
        <v>494</v>
      </c>
      <c r="T7547" t="s">
        <v>103</v>
      </c>
      <c r="U7547" t="s">
        <v>103</v>
      </c>
    </row>
    <row r="7548" spans="1:21" x14ac:dyDescent="0.3">
      <c r="A7548" t="s">
        <v>27</v>
      </c>
      <c r="B7548" t="s">
        <v>308</v>
      </c>
      <c r="C7548">
        <v>4</v>
      </c>
      <c r="D7548" t="s">
        <v>192</v>
      </c>
      <c r="E7548" t="s">
        <v>103</v>
      </c>
      <c r="F7548" t="s">
        <v>103</v>
      </c>
      <c r="G7548" t="s">
        <v>103</v>
      </c>
      <c r="H7548" t="s">
        <v>520</v>
      </c>
      <c r="I7548" t="s">
        <v>520</v>
      </c>
      <c r="J7548" t="s">
        <v>250</v>
      </c>
      <c r="K7548" t="s">
        <v>103</v>
      </c>
      <c r="L7548" t="s">
        <v>103</v>
      </c>
      <c r="M7548" t="s">
        <v>103</v>
      </c>
      <c r="N7548" t="s">
        <v>103</v>
      </c>
      <c r="O7548" t="s">
        <v>103</v>
      </c>
      <c r="P7548" t="s">
        <v>520</v>
      </c>
      <c r="Q7548" t="s">
        <v>103</v>
      </c>
      <c r="R7548" t="s">
        <v>103</v>
      </c>
      <c r="S7548" t="s">
        <v>250</v>
      </c>
      <c r="T7548" t="s">
        <v>103</v>
      </c>
      <c r="U7548" t="s">
        <v>103</v>
      </c>
    </row>
    <row r="7549" spans="1:21" x14ac:dyDescent="0.3">
      <c r="A7549" t="s">
        <v>41</v>
      </c>
      <c r="B7549" t="s">
        <v>291</v>
      </c>
      <c r="C7549">
        <v>1181</v>
      </c>
      <c r="D7549" t="s">
        <v>1558</v>
      </c>
      <c r="E7549" t="s">
        <v>167</v>
      </c>
      <c r="F7549" t="s">
        <v>208</v>
      </c>
      <c r="G7549" t="s">
        <v>32</v>
      </c>
      <c r="H7549" t="s">
        <v>1088</v>
      </c>
      <c r="I7549" t="s">
        <v>1054</v>
      </c>
      <c r="J7549" t="s">
        <v>649</v>
      </c>
      <c r="K7549" t="s">
        <v>120</v>
      </c>
      <c r="L7549" t="s">
        <v>531</v>
      </c>
      <c r="M7549" t="s">
        <v>271</v>
      </c>
      <c r="N7549" t="s">
        <v>162</v>
      </c>
      <c r="O7549" t="s">
        <v>133</v>
      </c>
      <c r="P7549" t="s">
        <v>700</v>
      </c>
      <c r="Q7549" t="s">
        <v>60</v>
      </c>
      <c r="R7549" t="s">
        <v>68</v>
      </c>
      <c r="S7549" t="s">
        <v>543</v>
      </c>
      <c r="T7549" t="s">
        <v>95</v>
      </c>
      <c r="U7549" t="s">
        <v>122</v>
      </c>
    </row>
    <row r="7550" spans="1:21" x14ac:dyDescent="0.3">
      <c r="A7550" t="s">
        <v>41</v>
      </c>
      <c r="B7550" t="s">
        <v>292</v>
      </c>
      <c r="C7550">
        <v>1825</v>
      </c>
      <c r="D7550" t="s">
        <v>294</v>
      </c>
      <c r="E7550" t="s">
        <v>682</v>
      </c>
      <c r="F7550" t="s">
        <v>110</v>
      </c>
      <c r="G7550" t="s">
        <v>438</v>
      </c>
      <c r="H7550" t="s">
        <v>706</v>
      </c>
      <c r="I7550" t="s">
        <v>699</v>
      </c>
      <c r="J7550" t="s">
        <v>107</v>
      </c>
      <c r="K7550" t="s">
        <v>120</v>
      </c>
      <c r="L7550" t="s">
        <v>329</v>
      </c>
      <c r="M7550" t="s">
        <v>544</v>
      </c>
      <c r="N7550" t="s">
        <v>111</v>
      </c>
      <c r="O7550" t="s">
        <v>128</v>
      </c>
      <c r="P7550" t="s">
        <v>504</v>
      </c>
      <c r="Q7550" t="s">
        <v>99</v>
      </c>
      <c r="R7550" t="s">
        <v>105</v>
      </c>
      <c r="S7550" t="s">
        <v>224</v>
      </c>
      <c r="T7550" t="s">
        <v>116</v>
      </c>
      <c r="U7550" t="s">
        <v>66</v>
      </c>
    </row>
    <row r="7551" spans="1:21" x14ac:dyDescent="0.3">
      <c r="A7551" t="s">
        <v>41</v>
      </c>
      <c r="B7551" t="s">
        <v>308</v>
      </c>
      <c r="C7551">
        <v>38</v>
      </c>
      <c r="D7551" t="s">
        <v>377</v>
      </c>
      <c r="E7551" t="s">
        <v>520</v>
      </c>
      <c r="F7551" t="s">
        <v>103</v>
      </c>
      <c r="G7551" t="s">
        <v>33</v>
      </c>
      <c r="H7551" t="s">
        <v>254</v>
      </c>
      <c r="I7551" t="s">
        <v>140</v>
      </c>
      <c r="J7551" t="s">
        <v>607</v>
      </c>
      <c r="K7551" t="s">
        <v>103</v>
      </c>
      <c r="L7551" t="s">
        <v>103</v>
      </c>
      <c r="M7551" t="s">
        <v>591</v>
      </c>
      <c r="N7551" t="s">
        <v>103</v>
      </c>
      <c r="O7551" t="s">
        <v>110</v>
      </c>
      <c r="P7551" t="s">
        <v>694</v>
      </c>
      <c r="Q7551" t="s">
        <v>103</v>
      </c>
      <c r="R7551" t="s">
        <v>103</v>
      </c>
      <c r="S7551" t="s">
        <v>195</v>
      </c>
      <c r="T7551" t="s">
        <v>103</v>
      </c>
      <c r="U7551" t="s">
        <v>103</v>
      </c>
    </row>
    <row r="7553" spans="1:21" x14ac:dyDescent="0.3">
      <c r="A7553" t="s">
        <v>2293</v>
      </c>
    </row>
    <row r="7554" spans="1:21" x14ac:dyDescent="0.3">
      <c r="A7554" t="s">
        <v>36</v>
      </c>
      <c r="B7554" t="s">
        <v>210</v>
      </c>
      <c r="C7554" t="s">
        <v>24</v>
      </c>
      <c r="D7554" t="s">
        <v>2270</v>
      </c>
      <c r="E7554" t="s">
        <v>2271</v>
      </c>
      <c r="F7554" t="s">
        <v>2272</v>
      </c>
      <c r="G7554" t="s">
        <v>2273</v>
      </c>
      <c r="H7554" t="s">
        <v>2274</v>
      </c>
      <c r="I7554" t="s">
        <v>2275</v>
      </c>
      <c r="J7554" t="s">
        <v>2276</v>
      </c>
      <c r="K7554" t="s">
        <v>2277</v>
      </c>
      <c r="L7554" t="s">
        <v>2278</v>
      </c>
      <c r="M7554" t="s">
        <v>2279</v>
      </c>
      <c r="N7554" t="s">
        <v>2280</v>
      </c>
      <c r="O7554" t="s">
        <v>2281</v>
      </c>
      <c r="P7554" t="s">
        <v>2282</v>
      </c>
      <c r="Q7554" t="s">
        <v>2283</v>
      </c>
      <c r="R7554" t="s">
        <v>2284</v>
      </c>
      <c r="S7554" t="s">
        <v>848</v>
      </c>
      <c r="T7554" t="s">
        <v>181</v>
      </c>
      <c r="U7554" t="s">
        <v>2285</v>
      </c>
    </row>
    <row r="7555" spans="1:21" x14ac:dyDescent="0.3">
      <c r="A7555" t="s">
        <v>25</v>
      </c>
      <c r="B7555" t="s">
        <v>211</v>
      </c>
      <c r="C7555">
        <v>693</v>
      </c>
      <c r="D7555" t="s">
        <v>1394</v>
      </c>
      <c r="E7555" t="s">
        <v>54</v>
      </c>
      <c r="F7555" t="s">
        <v>97</v>
      </c>
      <c r="G7555" t="s">
        <v>188</v>
      </c>
      <c r="H7555" t="s">
        <v>507</v>
      </c>
      <c r="I7555" t="s">
        <v>498</v>
      </c>
      <c r="J7555" t="s">
        <v>127</v>
      </c>
      <c r="K7555" t="s">
        <v>116</v>
      </c>
      <c r="L7555" t="s">
        <v>341</v>
      </c>
      <c r="M7555" t="s">
        <v>54</v>
      </c>
      <c r="N7555" t="s">
        <v>693</v>
      </c>
      <c r="O7555" t="s">
        <v>438</v>
      </c>
      <c r="P7555" t="s">
        <v>1219</v>
      </c>
      <c r="Q7555" t="s">
        <v>126</v>
      </c>
      <c r="R7555" t="s">
        <v>345</v>
      </c>
      <c r="S7555" t="s">
        <v>62</v>
      </c>
      <c r="T7555" t="s">
        <v>95</v>
      </c>
      <c r="U7555" t="s">
        <v>66</v>
      </c>
    </row>
    <row r="7556" spans="1:21" x14ac:dyDescent="0.3">
      <c r="A7556" t="s">
        <v>26</v>
      </c>
      <c r="B7556" t="s">
        <v>211</v>
      </c>
      <c r="C7556">
        <v>302</v>
      </c>
      <c r="D7556" t="s">
        <v>1373</v>
      </c>
      <c r="E7556" t="s">
        <v>224</v>
      </c>
      <c r="F7556" t="s">
        <v>93</v>
      </c>
      <c r="G7556" t="s">
        <v>68</v>
      </c>
      <c r="H7556" t="s">
        <v>489</v>
      </c>
      <c r="I7556" t="s">
        <v>679</v>
      </c>
      <c r="J7556" t="s">
        <v>118</v>
      </c>
      <c r="K7556" t="s">
        <v>66</v>
      </c>
      <c r="L7556" t="s">
        <v>217</v>
      </c>
      <c r="M7556" t="s">
        <v>481</v>
      </c>
      <c r="N7556" t="s">
        <v>566</v>
      </c>
      <c r="O7556" t="s">
        <v>341</v>
      </c>
      <c r="P7556" t="s">
        <v>92</v>
      </c>
      <c r="Q7556" t="s">
        <v>466</v>
      </c>
      <c r="R7556" t="s">
        <v>195</v>
      </c>
      <c r="S7556" t="s">
        <v>257</v>
      </c>
      <c r="T7556" t="s">
        <v>103</v>
      </c>
      <c r="U7556" t="s">
        <v>103</v>
      </c>
    </row>
    <row r="7557" spans="1:21" x14ac:dyDescent="0.3">
      <c r="A7557" t="s">
        <v>26</v>
      </c>
      <c r="B7557" t="s">
        <v>212</v>
      </c>
      <c r="C7557">
        <v>472</v>
      </c>
      <c r="D7557" t="s">
        <v>937</v>
      </c>
      <c r="E7557" t="s">
        <v>469</v>
      </c>
      <c r="F7557" t="s">
        <v>98</v>
      </c>
      <c r="G7557" t="s">
        <v>266</v>
      </c>
      <c r="H7557" t="s">
        <v>658</v>
      </c>
      <c r="I7557" t="s">
        <v>537</v>
      </c>
      <c r="J7557" t="s">
        <v>190</v>
      </c>
      <c r="K7557" t="s">
        <v>345</v>
      </c>
      <c r="L7557" t="s">
        <v>345</v>
      </c>
      <c r="M7557" t="s">
        <v>157</v>
      </c>
      <c r="N7557" t="s">
        <v>813</v>
      </c>
      <c r="O7557" t="s">
        <v>239</v>
      </c>
      <c r="P7557" t="s">
        <v>541</v>
      </c>
      <c r="Q7557" t="s">
        <v>511</v>
      </c>
      <c r="R7557" t="s">
        <v>662</v>
      </c>
      <c r="S7557" t="s">
        <v>482</v>
      </c>
      <c r="T7557" t="s">
        <v>66</v>
      </c>
      <c r="U7557" t="s">
        <v>116</v>
      </c>
    </row>
    <row r="7558" spans="1:21" x14ac:dyDescent="0.3">
      <c r="A7558" t="s">
        <v>29</v>
      </c>
      <c r="B7558" t="s">
        <v>211</v>
      </c>
      <c r="C7558">
        <v>871</v>
      </c>
      <c r="D7558" t="s">
        <v>392</v>
      </c>
      <c r="E7558" t="s">
        <v>106</v>
      </c>
      <c r="F7558" t="s">
        <v>208</v>
      </c>
      <c r="G7558" t="s">
        <v>284</v>
      </c>
      <c r="H7558" t="s">
        <v>1023</v>
      </c>
      <c r="I7558" t="s">
        <v>530</v>
      </c>
      <c r="J7558" t="s">
        <v>466</v>
      </c>
      <c r="K7558" t="s">
        <v>120</v>
      </c>
      <c r="L7558" t="s">
        <v>662</v>
      </c>
      <c r="M7558" t="s">
        <v>136</v>
      </c>
      <c r="N7558" t="s">
        <v>162</v>
      </c>
      <c r="O7558" t="s">
        <v>532</v>
      </c>
      <c r="P7558" t="s">
        <v>476</v>
      </c>
      <c r="Q7558" t="s">
        <v>62</v>
      </c>
      <c r="R7558" t="s">
        <v>341</v>
      </c>
      <c r="S7558" t="s">
        <v>62</v>
      </c>
      <c r="T7558" t="s">
        <v>120</v>
      </c>
      <c r="U7558" t="s">
        <v>122</v>
      </c>
    </row>
    <row r="7559" spans="1:21" x14ac:dyDescent="0.3">
      <c r="A7559" t="s">
        <v>28</v>
      </c>
      <c r="B7559" t="s">
        <v>211</v>
      </c>
      <c r="C7559">
        <v>311</v>
      </c>
      <c r="D7559" t="s">
        <v>411</v>
      </c>
      <c r="E7559" t="s">
        <v>505</v>
      </c>
      <c r="F7559" t="s">
        <v>208</v>
      </c>
      <c r="G7559" t="s">
        <v>216</v>
      </c>
      <c r="H7559" t="s">
        <v>121</v>
      </c>
      <c r="I7559" t="s">
        <v>407</v>
      </c>
      <c r="J7559" t="s">
        <v>224</v>
      </c>
      <c r="K7559" t="s">
        <v>194</v>
      </c>
      <c r="L7559" t="s">
        <v>98</v>
      </c>
      <c r="M7559" t="s">
        <v>511</v>
      </c>
      <c r="N7559" t="s">
        <v>649</v>
      </c>
      <c r="O7559" t="s">
        <v>128</v>
      </c>
      <c r="P7559" t="s">
        <v>224</v>
      </c>
      <c r="Q7559" t="s">
        <v>251</v>
      </c>
      <c r="R7559" t="s">
        <v>120</v>
      </c>
      <c r="S7559" t="s">
        <v>108</v>
      </c>
      <c r="T7559" t="s">
        <v>103</v>
      </c>
      <c r="U7559" t="s">
        <v>103</v>
      </c>
    </row>
    <row r="7560" spans="1:21" x14ac:dyDescent="0.3">
      <c r="A7560" t="s">
        <v>28</v>
      </c>
      <c r="B7560" t="s">
        <v>212</v>
      </c>
      <c r="C7560">
        <v>40</v>
      </c>
      <c r="D7560" t="s">
        <v>704</v>
      </c>
      <c r="E7560" t="s">
        <v>493</v>
      </c>
      <c r="F7560" t="s">
        <v>737</v>
      </c>
      <c r="G7560" t="s">
        <v>103</v>
      </c>
      <c r="H7560" t="s">
        <v>534</v>
      </c>
      <c r="I7560" t="s">
        <v>440</v>
      </c>
      <c r="J7560" t="s">
        <v>217</v>
      </c>
      <c r="K7560" t="s">
        <v>103</v>
      </c>
      <c r="L7560" t="s">
        <v>208</v>
      </c>
      <c r="M7560" t="s">
        <v>1461</v>
      </c>
      <c r="N7560" t="s">
        <v>206</v>
      </c>
      <c r="O7560" t="s">
        <v>278</v>
      </c>
      <c r="P7560" t="s">
        <v>46</v>
      </c>
      <c r="Q7560" t="s">
        <v>62</v>
      </c>
      <c r="R7560" t="s">
        <v>103</v>
      </c>
      <c r="S7560" t="s">
        <v>103</v>
      </c>
      <c r="T7560" t="s">
        <v>103</v>
      </c>
      <c r="U7560" t="s">
        <v>103</v>
      </c>
    </row>
    <row r="7561" spans="1:21" x14ac:dyDescent="0.3">
      <c r="A7561" t="s">
        <v>27</v>
      </c>
      <c r="B7561" t="s">
        <v>211</v>
      </c>
      <c r="C7561">
        <v>316</v>
      </c>
      <c r="D7561" t="s">
        <v>1294</v>
      </c>
      <c r="E7561" t="s">
        <v>132</v>
      </c>
      <c r="F7561" t="s">
        <v>102</v>
      </c>
      <c r="G7561" t="s">
        <v>329</v>
      </c>
      <c r="H7561" t="s">
        <v>1212</v>
      </c>
      <c r="I7561" t="s">
        <v>1294</v>
      </c>
      <c r="J7561" t="s">
        <v>144</v>
      </c>
      <c r="K7561" t="s">
        <v>103</v>
      </c>
      <c r="L7561" t="s">
        <v>133</v>
      </c>
      <c r="M7561" t="s">
        <v>515</v>
      </c>
      <c r="N7561" t="s">
        <v>591</v>
      </c>
      <c r="O7561" t="s">
        <v>188</v>
      </c>
      <c r="P7561" t="s">
        <v>494</v>
      </c>
      <c r="Q7561" t="s">
        <v>186</v>
      </c>
      <c r="R7561" t="s">
        <v>139</v>
      </c>
      <c r="S7561" t="s">
        <v>123</v>
      </c>
      <c r="T7561" t="s">
        <v>91</v>
      </c>
      <c r="U7561" t="s">
        <v>116</v>
      </c>
    </row>
    <row r="7562" spans="1:21" x14ac:dyDescent="0.3">
      <c r="A7562" t="s">
        <v>27</v>
      </c>
      <c r="B7562" t="s">
        <v>212</v>
      </c>
      <c r="C7562">
        <v>39</v>
      </c>
      <c r="D7562" t="s">
        <v>235</v>
      </c>
      <c r="E7562" t="s">
        <v>524</v>
      </c>
      <c r="F7562" t="s">
        <v>103</v>
      </c>
      <c r="G7562" t="s">
        <v>345</v>
      </c>
      <c r="H7562" t="s">
        <v>492</v>
      </c>
      <c r="I7562" t="s">
        <v>455</v>
      </c>
      <c r="J7562" t="s">
        <v>103</v>
      </c>
      <c r="K7562" t="s">
        <v>103</v>
      </c>
      <c r="L7562" t="s">
        <v>103</v>
      </c>
      <c r="M7562" t="s">
        <v>481</v>
      </c>
      <c r="N7562" t="s">
        <v>103</v>
      </c>
      <c r="O7562" t="s">
        <v>103</v>
      </c>
      <c r="P7562" t="s">
        <v>1084</v>
      </c>
      <c r="Q7562" t="s">
        <v>345</v>
      </c>
      <c r="R7562" t="s">
        <v>103</v>
      </c>
      <c r="S7562" t="s">
        <v>242</v>
      </c>
      <c r="T7562" t="s">
        <v>103</v>
      </c>
      <c r="U7562" t="s">
        <v>103</v>
      </c>
    </row>
    <row r="7563" spans="1:21" x14ac:dyDescent="0.3">
      <c r="A7563" t="s">
        <v>41</v>
      </c>
      <c r="B7563" t="s">
        <v>211</v>
      </c>
      <c r="C7563">
        <v>2493</v>
      </c>
      <c r="D7563" t="s">
        <v>942</v>
      </c>
      <c r="E7563" t="s">
        <v>528</v>
      </c>
      <c r="F7563" t="s">
        <v>245</v>
      </c>
      <c r="G7563" t="s">
        <v>107</v>
      </c>
      <c r="H7563" t="s">
        <v>250</v>
      </c>
      <c r="I7563" t="s">
        <v>655</v>
      </c>
      <c r="J7563" t="s">
        <v>94</v>
      </c>
      <c r="K7563" t="s">
        <v>97</v>
      </c>
      <c r="L7563" t="s">
        <v>107</v>
      </c>
      <c r="M7563" t="s">
        <v>544</v>
      </c>
      <c r="N7563" t="s">
        <v>700</v>
      </c>
      <c r="O7563" t="s">
        <v>114</v>
      </c>
      <c r="P7563" t="s">
        <v>555</v>
      </c>
      <c r="Q7563" t="s">
        <v>254</v>
      </c>
      <c r="R7563" t="s">
        <v>245</v>
      </c>
      <c r="S7563" t="s">
        <v>629</v>
      </c>
      <c r="T7563" t="s">
        <v>97</v>
      </c>
      <c r="U7563" t="s">
        <v>116</v>
      </c>
    </row>
    <row r="7564" spans="1:21" x14ac:dyDescent="0.3">
      <c r="A7564" t="s">
        <v>41</v>
      </c>
      <c r="B7564" t="s">
        <v>212</v>
      </c>
      <c r="C7564">
        <v>551</v>
      </c>
      <c r="D7564" t="s">
        <v>857</v>
      </c>
      <c r="E7564" t="s">
        <v>273</v>
      </c>
      <c r="F7564" t="s">
        <v>282</v>
      </c>
      <c r="G7564" t="s">
        <v>217</v>
      </c>
      <c r="H7564" t="s">
        <v>654</v>
      </c>
      <c r="I7564" t="s">
        <v>537</v>
      </c>
      <c r="J7564" t="s">
        <v>140</v>
      </c>
      <c r="K7564" t="s">
        <v>282</v>
      </c>
      <c r="L7564" t="s">
        <v>345</v>
      </c>
      <c r="M7564" t="s">
        <v>144</v>
      </c>
      <c r="N7564" t="s">
        <v>130</v>
      </c>
      <c r="O7564" t="s">
        <v>239</v>
      </c>
      <c r="P7564" t="s">
        <v>858</v>
      </c>
      <c r="Q7564" t="s">
        <v>511</v>
      </c>
      <c r="R7564" t="s">
        <v>133</v>
      </c>
      <c r="S7564" t="s">
        <v>601</v>
      </c>
      <c r="T7564" t="s">
        <v>66</v>
      </c>
      <c r="U7564" t="s">
        <v>66</v>
      </c>
    </row>
    <row r="7566" spans="1:21" x14ac:dyDescent="0.3">
      <c r="A7566" t="s">
        <v>2294</v>
      </c>
    </row>
    <row r="7567" spans="1:21" x14ac:dyDescent="0.3">
      <c r="A7567" t="s">
        <v>36</v>
      </c>
      <c r="B7567" t="s">
        <v>1517</v>
      </c>
      <c r="C7567" t="s">
        <v>24</v>
      </c>
      <c r="D7567" t="s">
        <v>2270</v>
      </c>
      <c r="E7567" t="s">
        <v>2271</v>
      </c>
      <c r="F7567" t="s">
        <v>2272</v>
      </c>
      <c r="G7567" t="s">
        <v>2273</v>
      </c>
      <c r="H7567" t="s">
        <v>2274</v>
      </c>
      <c r="I7567" t="s">
        <v>2275</v>
      </c>
      <c r="J7567" t="s">
        <v>2276</v>
      </c>
      <c r="K7567" t="s">
        <v>2277</v>
      </c>
      <c r="L7567" t="s">
        <v>2278</v>
      </c>
      <c r="M7567" t="s">
        <v>2279</v>
      </c>
      <c r="N7567" t="s">
        <v>2280</v>
      </c>
      <c r="O7567" t="s">
        <v>2281</v>
      </c>
      <c r="P7567" t="s">
        <v>2282</v>
      </c>
      <c r="Q7567" t="s">
        <v>2283</v>
      </c>
      <c r="R7567" t="s">
        <v>2284</v>
      </c>
      <c r="S7567" t="s">
        <v>848</v>
      </c>
      <c r="T7567" t="s">
        <v>181</v>
      </c>
      <c r="U7567" t="s">
        <v>2285</v>
      </c>
    </row>
    <row r="7568" spans="1:21" x14ac:dyDescent="0.3">
      <c r="A7568" t="s">
        <v>25</v>
      </c>
      <c r="B7568" t="s">
        <v>1518</v>
      </c>
      <c r="C7568">
        <v>393</v>
      </c>
      <c r="D7568" t="s">
        <v>1034</v>
      </c>
      <c r="E7568" t="s">
        <v>104</v>
      </c>
      <c r="F7568" t="s">
        <v>116</v>
      </c>
      <c r="G7568" t="s">
        <v>493</v>
      </c>
      <c r="H7568" t="s">
        <v>529</v>
      </c>
      <c r="I7568" t="s">
        <v>498</v>
      </c>
      <c r="J7568" t="s">
        <v>127</v>
      </c>
      <c r="K7568" t="s">
        <v>97</v>
      </c>
      <c r="L7568" t="s">
        <v>118</v>
      </c>
      <c r="M7568" t="s">
        <v>570</v>
      </c>
      <c r="N7568" t="s">
        <v>549</v>
      </c>
      <c r="O7568" t="s">
        <v>93</v>
      </c>
      <c r="P7568" t="s">
        <v>756</v>
      </c>
      <c r="Q7568" t="s">
        <v>127</v>
      </c>
      <c r="R7568" t="s">
        <v>239</v>
      </c>
      <c r="S7568" t="s">
        <v>148</v>
      </c>
      <c r="T7568" t="s">
        <v>97</v>
      </c>
      <c r="U7568" t="s">
        <v>116</v>
      </c>
    </row>
    <row r="7569" spans="1:21" x14ac:dyDescent="0.3">
      <c r="A7569" t="s">
        <v>25</v>
      </c>
      <c r="B7569" t="s">
        <v>1519</v>
      </c>
      <c r="C7569">
        <v>300</v>
      </c>
      <c r="D7569" t="s">
        <v>1546</v>
      </c>
      <c r="E7569" t="s">
        <v>732</v>
      </c>
      <c r="F7569" t="s">
        <v>95</v>
      </c>
      <c r="G7569" t="s">
        <v>188</v>
      </c>
      <c r="H7569" t="s">
        <v>706</v>
      </c>
      <c r="I7569" t="s">
        <v>498</v>
      </c>
      <c r="J7569" t="s">
        <v>127</v>
      </c>
      <c r="K7569" t="s">
        <v>103</v>
      </c>
      <c r="L7569" t="s">
        <v>194</v>
      </c>
      <c r="M7569" t="s">
        <v>809</v>
      </c>
      <c r="N7569" t="s">
        <v>269</v>
      </c>
      <c r="O7569" t="s">
        <v>278</v>
      </c>
      <c r="P7569" t="s">
        <v>706</v>
      </c>
      <c r="Q7569" t="s">
        <v>242</v>
      </c>
      <c r="R7569" t="s">
        <v>122</v>
      </c>
      <c r="S7569" t="s">
        <v>140</v>
      </c>
      <c r="T7569" t="s">
        <v>98</v>
      </c>
      <c r="U7569" t="s">
        <v>103</v>
      </c>
    </row>
    <row r="7570" spans="1:21" x14ac:dyDescent="0.3">
      <c r="A7570" t="s">
        <v>26</v>
      </c>
      <c r="B7570" t="s">
        <v>1518</v>
      </c>
      <c r="C7570">
        <v>431</v>
      </c>
      <c r="D7570" t="s">
        <v>1181</v>
      </c>
      <c r="E7570" t="s">
        <v>331</v>
      </c>
      <c r="F7570" t="s">
        <v>98</v>
      </c>
      <c r="G7570" t="s">
        <v>208</v>
      </c>
      <c r="H7570" t="s">
        <v>478</v>
      </c>
      <c r="I7570" t="s">
        <v>529</v>
      </c>
      <c r="J7570" t="s">
        <v>113</v>
      </c>
      <c r="K7570" t="s">
        <v>103</v>
      </c>
      <c r="L7570" t="s">
        <v>208</v>
      </c>
      <c r="M7570" t="s">
        <v>925</v>
      </c>
      <c r="N7570" t="s">
        <v>813</v>
      </c>
      <c r="O7570" t="s">
        <v>329</v>
      </c>
      <c r="P7570" t="s">
        <v>503</v>
      </c>
      <c r="Q7570" t="s">
        <v>575</v>
      </c>
      <c r="R7570" t="s">
        <v>201</v>
      </c>
      <c r="S7570" t="s">
        <v>558</v>
      </c>
      <c r="T7570" t="s">
        <v>103</v>
      </c>
      <c r="U7570" t="s">
        <v>103</v>
      </c>
    </row>
    <row r="7571" spans="1:21" x14ac:dyDescent="0.3">
      <c r="A7571" t="s">
        <v>26</v>
      </c>
      <c r="B7571" t="s">
        <v>1519</v>
      </c>
      <c r="C7571">
        <v>334</v>
      </c>
      <c r="D7571" t="s">
        <v>620</v>
      </c>
      <c r="E7571" t="s">
        <v>127</v>
      </c>
      <c r="F7571" t="s">
        <v>245</v>
      </c>
      <c r="G7571" t="s">
        <v>125</v>
      </c>
      <c r="H7571" t="s">
        <v>542</v>
      </c>
      <c r="I7571" t="s">
        <v>464</v>
      </c>
      <c r="J7571" t="s">
        <v>466</v>
      </c>
      <c r="K7571" t="s">
        <v>245</v>
      </c>
      <c r="L7571" t="s">
        <v>110</v>
      </c>
      <c r="M7571" t="s">
        <v>224</v>
      </c>
      <c r="N7571" t="s">
        <v>925</v>
      </c>
      <c r="O7571" t="s">
        <v>345</v>
      </c>
      <c r="P7571" t="s">
        <v>1023</v>
      </c>
      <c r="Q7571" t="s">
        <v>662</v>
      </c>
      <c r="R7571" t="s">
        <v>615</v>
      </c>
      <c r="S7571" t="s">
        <v>127</v>
      </c>
      <c r="T7571" t="s">
        <v>116</v>
      </c>
      <c r="U7571" t="s">
        <v>116</v>
      </c>
    </row>
    <row r="7572" spans="1:21" x14ac:dyDescent="0.3">
      <c r="A7572" t="s">
        <v>26</v>
      </c>
      <c r="B7572" t="s">
        <v>308</v>
      </c>
      <c r="C7572">
        <v>9</v>
      </c>
      <c r="D7572" t="s">
        <v>354</v>
      </c>
      <c r="E7572" t="s">
        <v>264</v>
      </c>
      <c r="F7572" t="s">
        <v>171</v>
      </c>
      <c r="G7572" t="s">
        <v>171</v>
      </c>
      <c r="H7572" t="s">
        <v>1050</v>
      </c>
      <c r="I7572" t="s">
        <v>374</v>
      </c>
      <c r="J7572" t="s">
        <v>103</v>
      </c>
      <c r="K7572" t="s">
        <v>103</v>
      </c>
      <c r="L7572" t="s">
        <v>103</v>
      </c>
      <c r="M7572" t="s">
        <v>816</v>
      </c>
      <c r="N7572" t="s">
        <v>171</v>
      </c>
      <c r="O7572" t="s">
        <v>103</v>
      </c>
      <c r="P7572" t="s">
        <v>369</v>
      </c>
      <c r="Q7572" t="s">
        <v>103</v>
      </c>
      <c r="R7572" t="s">
        <v>171</v>
      </c>
      <c r="S7572" t="s">
        <v>629</v>
      </c>
      <c r="T7572" t="s">
        <v>103</v>
      </c>
      <c r="U7572" t="s">
        <v>103</v>
      </c>
    </row>
    <row r="7573" spans="1:21" x14ac:dyDescent="0.3">
      <c r="A7573" t="s">
        <v>29</v>
      </c>
      <c r="B7573" t="s">
        <v>1518</v>
      </c>
      <c r="C7573">
        <v>582</v>
      </c>
      <c r="D7573" t="s">
        <v>400</v>
      </c>
      <c r="E7573" t="s">
        <v>474</v>
      </c>
      <c r="F7573" t="s">
        <v>105</v>
      </c>
      <c r="G7573" t="s">
        <v>278</v>
      </c>
      <c r="H7573" t="s">
        <v>702</v>
      </c>
      <c r="I7573" t="s">
        <v>858</v>
      </c>
      <c r="J7573" t="s">
        <v>251</v>
      </c>
      <c r="K7573" t="s">
        <v>120</v>
      </c>
      <c r="L7573" t="s">
        <v>531</v>
      </c>
      <c r="M7573" t="s">
        <v>543</v>
      </c>
      <c r="N7573" t="s">
        <v>524</v>
      </c>
      <c r="O7573" t="s">
        <v>214</v>
      </c>
      <c r="P7573" t="s">
        <v>707</v>
      </c>
      <c r="Q7573" t="s">
        <v>99</v>
      </c>
      <c r="R7573" t="s">
        <v>329</v>
      </c>
      <c r="S7573" t="s">
        <v>135</v>
      </c>
      <c r="T7573" t="s">
        <v>122</v>
      </c>
      <c r="U7573" t="s">
        <v>122</v>
      </c>
    </row>
    <row r="7574" spans="1:21" x14ac:dyDescent="0.3">
      <c r="A7574" t="s">
        <v>29</v>
      </c>
      <c r="B7574" t="s">
        <v>1519</v>
      </c>
      <c r="C7574">
        <v>279</v>
      </c>
      <c r="D7574" t="s">
        <v>1029</v>
      </c>
      <c r="E7574" t="s">
        <v>62</v>
      </c>
      <c r="F7574" t="s">
        <v>217</v>
      </c>
      <c r="G7574" t="s">
        <v>284</v>
      </c>
      <c r="H7574" t="s">
        <v>581</v>
      </c>
      <c r="I7574" t="s">
        <v>355</v>
      </c>
      <c r="J7574" t="s">
        <v>70</v>
      </c>
      <c r="K7574" t="s">
        <v>120</v>
      </c>
      <c r="L7574" t="s">
        <v>201</v>
      </c>
      <c r="M7574" t="s">
        <v>271</v>
      </c>
      <c r="N7574" t="s">
        <v>566</v>
      </c>
      <c r="O7574" t="s">
        <v>113</v>
      </c>
      <c r="P7574" t="s">
        <v>548</v>
      </c>
      <c r="Q7574" t="s">
        <v>544</v>
      </c>
      <c r="R7574" t="s">
        <v>110</v>
      </c>
      <c r="S7574" t="s">
        <v>157</v>
      </c>
      <c r="T7574" t="s">
        <v>98</v>
      </c>
      <c r="U7574" t="s">
        <v>97</v>
      </c>
    </row>
    <row r="7575" spans="1:21" x14ac:dyDescent="0.3">
      <c r="A7575" t="s">
        <v>29</v>
      </c>
      <c r="B7575" t="s">
        <v>308</v>
      </c>
      <c r="C7575">
        <v>10</v>
      </c>
      <c r="D7575" t="s">
        <v>1034</v>
      </c>
      <c r="E7575" t="s">
        <v>103</v>
      </c>
      <c r="F7575" t="s">
        <v>103</v>
      </c>
      <c r="G7575" t="s">
        <v>103</v>
      </c>
      <c r="H7575" t="s">
        <v>513</v>
      </c>
      <c r="I7575" t="s">
        <v>500</v>
      </c>
      <c r="J7575" t="s">
        <v>278</v>
      </c>
      <c r="K7575" t="s">
        <v>103</v>
      </c>
      <c r="L7575" t="s">
        <v>247</v>
      </c>
      <c r="M7575" t="s">
        <v>278</v>
      </c>
      <c r="N7575" t="s">
        <v>103</v>
      </c>
      <c r="O7575" t="s">
        <v>103</v>
      </c>
      <c r="P7575" t="s">
        <v>271</v>
      </c>
      <c r="Q7575" t="s">
        <v>103</v>
      </c>
      <c r="R7575" t="s">
        <v>103</v>
      </c>
      <c r="S7575" t="s">
        <v>103</v>
      </c>
      <c r="T7575" t="s">
        <v>103</v>
      </c>
      <c r="U7575" t="s">
        <v>103</v>
      </c>
    </row>
    <row r="7576" spans="1:21" x14ac:dyDescent="0.3">
      <c r="A7576" t="s">
        <v>28</v>
      </c>
      <c r="B7576" t="s">
        <v>1518</v>
      </c>
      <c r="C7576">
        <v>191</v>
      </c>
      <c r="D7576" t="s">
        <v>538</v>
      </c>
      <c r="E7576" t="s">
        <v>234</v>
      </c>
      <c r="F7576" t="s">
        <v>110</v>
      </c>
      <c r="G7576" t="s">
        <v>105</v>
      </c>
      <c r="H7576" t="s">
        <v>1213</v>
      </c>
      <c r="I7576" t="s">
        <v>1041</v>
      </c>
      <c r="J7576" t="s">
        <v>191</v>
      </c>
      <c r="K7576" t="s">
        <v>120</v>
      </c>
      <c r="L7576" t="s">
        <v>120</v>
      </c>
      <c r="M7576" t="s">
        <v>191</v>
      </c>
      <c r="N7576" t="s">
        <v>150</v>
      </c>
      <c r="O7576" t="s">
        <v>532</v>
      </c>
      <c r="P7576" t="s">
        <v>108</v>
      </c>
      <c r="Q7576" t="s">
        <v>133</v>
      </c>
      <c r="R7576" t="s">
        <v>103</v>
      </c>
      <c r="S7576" t="s">
        <v>206</v>
      </c>
      <c r="T7576" t="s">
        <v>103</v>
      </c>
      <c r="U7576" t="s">
        <v>103</v>
      </c>
    </row>
    <row r="7577" spans="1:21" x14ac:dyDescent="0.3">
      <c r="A7577" t="s">
        <v>28</v>
      </c>
      <c r="B7577" t="s">
        <v>1519</v>
      </c>
      <c r="C7577">
        <v>159</v>
      </c>
      <c r="D7577" t="s">
        <v>496</v>
      </c>
      <c r="E7577" t="s">
        <v>809</v>
      </c>
      <c r="F7577" t="s">
        <v>201</v>
      </c>
      <c r="G7577" t="s">
        <v>98</v>
      </c>
      <c r="H7577" t="s">
        <v>1196</v>
      </c>
      <c r="I7577" t="s">
        <v>491</v>
      </c>
      <c r="J7577" t="s">
        <v>232</v>
      </c>
      <c r="K7577" t="s">
        <v>329</v>
      </c>
      <c r="L7577" t="s">
        <v>245</v>
      </c>
      <c r="M7577" t="s">
        <v>164</v>
      </c>
      <c r="N7577" t="s">
        <v>591</v>
      </c>
      <c r="O7577" t="s">
        <v>103</v>
      </c>
      <c r="P7577" t="s">
        <v>111</v>
      </c>
      <c r="Q7577" t="s">
        <v>601</v>
      </c>
      <c r="R7577" t="s">
        <v>468</v>
      </c>
      <c r="S7577" t="s">
        <v>137</v>
      </c>
      <c r="T7577" t="s">
        <v>103</v>
      </c>
      <c r="U7577" t="s">
        <v>103</v>
      </c>
    </row>
    <row r="7578" spans="1:21" x14ac:dyDescent="0.3">
      <c r="A7578" t="s">
        <v>28</v>
      </c>
      <c r="B7578" t="s">
        <v>308</v>
      </c>
      <c r="C7578">
        <v>1</v>
      </c>
      <c r="D7578" t="s">
        <v>192</v>
      </c>
      <c r="E7578" t="s">
        <v>103</v>
      </c>
      <c r="F7578" t="s">
        <v>103</v>
      </c>
      <c r="G7578" t="s">
        <v>103</v>
      </c>
      <c r="H7578" t="s">
        <v>192</v>
      </c>
      <c r="I7578" t="s">
        <v>192</v>
      </c>
      <c r="J7578" t="s">
        <v>103</v>
      </c>
      <c r="K7578" t="s">
        <v>103</v>
      </c>
      <c r="L7578" t="s">
        <v>103</v>
      </c>
      <c r="M7578" t="s">
        <v>103</v>
      </c>
      <c r="N7578" t="s">
        <v>103</v>
      </c>
      <c r="O7578" t="s">
        <v>103</v>
      </c>
      <c r="P7578" t="s">
        <v>103</v>
      </c>
      <c r="Q7578" t="s">
        <v>103</v>
      </c>
      <c r="R7578" t="s">
        <v>103</v>
      </c>
      <c r="S7578" t="s">
        <v>103</v>
      </c>
      <c r="T7578" t="s">
        <v>103</v>
      </c>
      <c r="U7578" t="s">
        <v>103</v>
      </c>
    </row>
    <row r="7579" spans="1:21" x14ac:dyDescent="0.3">
      <c r="A7579" t="s">
        <v>27</v>
      </c>
      <c r="B7579" t="s">
        <v>1518</v>
      </c>
      <c r="C7579">
        <v>208</v>
      </c>
      <c r="D7579" t="s">
        <v>892</v>
      </c>
      <c r="E7579" t="s">
        <v>644</v>
      </c>
      <c r="F7579" t="s">
        <v>68</v>
      </c>
      <c r="G7579" t="s">
        <v>195</v>
      </c>
      <c r="H7579" t="s">
        <v>635</v>
      </c>
      <c r="I7579" t="s">
        <v>422</v>
      </c>
      <c r="J7579" t="s">
        <v>117</v>
      </c>
      <c r="K7579" t="s">
        <v>103</v>
      </c>
      <c r="L7579" t="s">
        <v>94</v>
      </c>
      <c r="M7579" t="s">
        <v>568</v>
      </c>
      <c r="N7579" t="s">
        <v>615</v>
      </c>
      <c r="O7579" t="s">
        <v>278</v>
      </c>
      <c r="P7579" t="s">
        <v>242</v>
      </c>
      <c r="Q7579" t="s">
        <v>114</v>
      </c>
      <c r="R7579" t="s">
        <v>139</v>
      </c>
      <c r="S7579" t="s">
        <v>224</v>
      </c>
      <c r="T7579" t="s">
        <v>103</v>
      </c>
      <c r="U7579" t="s">
        <v>103</v>
      </c>
    </row>
    <row r="7580" spans="1:21" x14ac:dyDescent="0.3">
      <c r="A7580" t="s">
        <v>27</v>
      </c>
      <c r="B7580" t="s">
        <v>1519</v>
      </c>
      <c r="C7580">
        <v>138</v>
      </c>
      <c r="D7580" t="s">
        <v>1081</v>
      </c>
      <c r="E7580" t="s">
        <v>62</v>
      </c>
      <c r="F7580" t="s">
        <v>591</v>
      </c>
      <c r="G7580" t="s">
        <v>66</v>
      </c>
      <c r="H7580" t="s">
        <v>928</v>
      </c>
      <c r="I7580" t="s">
        <v>979</v>
      </c>
      <c r="J7580" t="s">
        <v>925</v>
      </c>
      <c r="K7580" t="s">
        <v>103</v>
      </c>
      <c r="L7580" t="s">
        <v>341</v>
      </c>
      <c r="M7580" t="s">
        <v>112</v>
      </c>
      <c r="N7580" t="s">
        <v>257</v>
      </c>
      <c r="O7580" t="s">
        <v>103</v>
      </c>
      <c r="P7580" t="s">
        <v>575</v>
      </c>
      <c r="Q7580" t="s">
        <v>257</v>
      </c>
      <c r="R7580" t="s">
        <v>120</v>
      </c>
      <c r="S7580" t="s">
        <v>275</v>
      </c>
      <c r="T7580" t="s">
        <v>103</v>
      </c>
      <c r="U7580" t="s">
        <v>139</v>
      </c>
    </row>
    <row r="7581" spans="1:21" x14ac:dyDescent="0.3">
      <c r="A7581" t="s">
        <v>27</v>
      </c>
      <c r="B7581" t="s">
        <v>308</v>
      </c>
      <c r="C7581">
        <v>9</v>
      </c>
      <c r="D7581" t="s">
        <v>1030</v>
      </c>
      <c r="E7581" t="s">
        <v>103</v>
      </c>
      <c r="F7581" t="s">
        <v>103</v>
      </c>
      <c r="G7581" t="s">
        <v>103</v>
      </c>
      <c r="H7581" t="s">
        <v>391</v>
      </c>
      <c r="I7581" t="s">
        <v>664</v>
      </c>
      <c r="J7581" t="s">
        <v>493</v>
      </c>
      <c r="K7581" t="s">
        <v>103</v>
      </c>
      <c r="L7581" t="s">
        <v>54</v>
      </c>
      <c r="M7581" t="s">
        <v>900</v>
      </c>
      <c r="N7581" t="s">
        <v>103</v>
      </c>
      <c r="O7581" t="s">
        <v>54</v>
      </c>
      <c r="P7581" t="s">
        <v>1090</v>
      </c>
      <c r="Q7581" t="s">
        <v>1090</v>
      </c>
      <c r="R7581" t="s">
        <v>103</v>
      </c>
      <c r="S7581" t="s">
        <v>103</v>
      </c>
      <c r="T7581" t="s">
        <v>493</v>
      </c>
      <c r="U7581" t="s">
        <v>103</v>
      </c>
    </row>
    <row r="7582" spans="1:21" x14ac:dyDescent="0.3">
      <c r="A7582" t="s">
        <v>41</v>
      </c>
      <c r="B7582" t="s">
        <v>1518</v>
      </c>
      <c r="C7582">
        <v>1805</v>
      </c>
      <c r="D7582" t="s">
        <v>1209</v>
      </c>
      <c r="E7582" t="s">
        <v>578</v>
      </c>
      <c r="F7582" t="s">
        <v>110</v>
      </c>
      <c r="G7582" t="s">
        <v>591</v>
      </c>
      <c r="H7582" t="s">
        <v>295</v>
      </c>
      <c r="I7582" t="s">
        <v>357</v>
      </c>
      <c r="J7582" t="s">
        <v>251</v>
      </c>
      <c r="K7582" t="s">
        <v>97</v>
      </c>
      <c r="L7582" t="s">
        <v>113</v>
      </c>
      <c r="M7582" t="s">
        <v>152</v>
      </c>
      <c r="N7582" t="s">
        <v>152</v>
      </c>
      <c r="O7582" t="s">
        <v>493</v>
      </c>
      <c r="P7582" t="s">
        <v>707</v>
      </c>
      <c r="Q7582" t="s">
        <v>571</v>
      </c>
      <c r="R7582" t="s">
        <v>118</v>
      </c>
      <c r="S7582" t="s">
        <v>629</v>
      </c>
      <c r="T7582" t="s">
        <v>116</v>
      </c>
      <c r="U7582" t="s">
        <v>116</v>
      </c>
    </row>
    <row r="7583" spans="1:21" x14ac:dyDescent="0.3">
      <c r="A7583" t="s">
        <v>41</v>
      </c>
      <c r="B7583" t="s">
        <v>1519</v>
      </c>
      <c r="C7583">
        <v>1210</v>
      </c>
      <c r="D7583" t="s">
        <v>1053</v>
      </c>
      <c r="E7583" t="s">
        <v>743</v>
      </c>
      <c r="F7583" t="s">
        <v>208</v>
      </c>
      <c r="G7583" t="s">
        <v>591</v>
      </c>
      <c r="H7583" t="s">
        <v>648</v>
      </c>
      <c r="I7583" t="s">
        <v>1637</v>
      </c>
      <c r="J7583" t="s">
        <v>94</v>
      </c>
      <c r="K7583" t="s">
        <v>139</v>
      </c>
      <c r="L7583" t="s">
        <v>217</v>
      </c>
      <c r="M7583" t="s">
        <v>104</v>
      </c>
      <c r="N7583" t="s">
        <v>144</v>
      </c>
      <c r="O7583" t="s">
        <v>272</v>
      </c>
      <c r="P7583" t="s">
        <v>568</v>
      </c>
      <c r="Q7583" t="s">
        <v>262</v>
      </c>
      <c r="R7583" t="s">
        <v>329</v>
      </c>
      <c r="S7583" t="s">
        <v>247</v>
      </c>
      <c r="T7583" t="s">
        <v>120</v>
      </c>
      <c r="U7583" t="s">
        <v>116</v>
      </c>
    </row>
    <row r="7584" spans="1:21" x14ac:dyDescent="0.3">
      <c r="A7584" t="s">
        <v>41</v>
      </c>
      <c r="B7584" t="s">
        <v>308</v>
      </c>
      <c r="C7584">
        <v>29</v>
      </c>
      <c r="D7584" t="s">
        <v>782</v>
      </c>
      <c r="E7584" t="s">
        <v>607</v>
      </c>
      <c r="F7584" t="s">
        <v>201</v>
      </c>
      <c r="G7584" t="s">
        <v>201</v>
      </c>
      <c r="H7584" t="s">
        <v>573</v>
      </c>
      <c r="I7584" t="s">
        <v>225</v>
      </c>
      <c r="J7584" t="s">
        <v>467</v>
      </c>
      <c r="K7584" t="s">
        <v>103</v>
      </c>
      <c r="L7584" t="s">
        <v>251</v>
      </c>
      <c r="M7584" t="s">
        <v>682</v>
      </c>
      <c r="N7584" t="s">
        <v>201</v>
      </c>
      <c r="O7584" t="s">
        <v>468</v>
      </c>
      <c r="P7584" t="s">
        <v>746</v>
      </c>
      <c r="Q7584" t="s">
        <v>128</v>
      </c>
      <c r="R7584" t="s">
        <v>201</v>
      </c>
      <c r="S7584" t="s">
        <v>195</v>
      </c>
      <c r="T7584" t="s">
        <v>116</v>
      </c>
      <c r="U7584" t="s">
        <v>103</v>
      </c>
    </row>
    <row r="7586" spans="1:17" x14ac:dyDescent="0.3">
      <c r="A7586" t="s">
        <v>2295</v>
      </c>
    </row>
    <row r="7587" spans="1:17" x14ac:dyDescent="0.3">
      <c r="A7587" t="s">
        <v>36</v>
      </c>
      <c r="B7587" t="s">
        <v>24</v>
      </c>
      <c r="C7587" t="s">
        <v>2296</v>
      </c>
      <c r="D7587" t="s">
        <v>2297</v>
      </c>
      <c r="E7587" t="s">
        <v>2298</v>
      </c>
      <c r="F7587" t="s">
        <v>2299</v>
      </c>
      <c r="G7587" t="s">
        <v>2300</v>
      </c>
      <c r="H7587" t="s">
        <v>2301</v>
      </c>
      <c r="I7587" t="s">
        <v>2302</v>
      </c>
      <c r="J7587" t="s">
        <v>2303</v>
      </c>
      <c r="K7587" t="s">
        <v>2304</v>
      </c>
      <c r="L7587" t="s">
        <v>2250</v>
      </c>
      <c r="M7587" t="s">
        <v>2305</v>
      </c>
      <c r="N7587" t="s">
        <v>2306</v>
      </c>
      <c r="O7587" t="s">
        <v>2307</v>
      </c>
      <c r="P7587" t="s">
        <v>2308</v>
      </c>
    </row>
    <row r="7588" spans="1:17" x14ac:dyDescent="0.3">
      <c r="A7588" t="s">
        <v>25</v>
      </c>
      <c r="B7588">
        <v>693</v>
      </c>
      <c r="C7588" t="s">
        <v>95</v>
      </c>
      <c r="D7588" t="s">
        <v>274</v>
      </c>
      <c r="E7588" t="s">
        <v>93</v>
      </c>
      <c r="F7588" t="s">
        <v>681</v>
      </c>
      <c r="G7588" t="s">
        <v>66</v>
      </c>
      <c r="H7588" t="s">
        <v>66</v>
      </c>
      <c r="I7588" t="s">
        <v>110</v>
      </c>
      <c r="J7588" t="s">
        <v>103</v>
      </c>
      <c r="K7588" t="s">
        <v>103</v>
      </c>
      <c r="L7588" t="s">
        <v>103</v>
      </c>
      <c r="M7588" t="s">
        <v>122</v>
      </c>
      <c r="N7588" t="s">
        <v>122</v>
      </c>
      <c r="O7588" t="s">
        <v>103</v>
      </c>
      <c r="P7588" t="s">
        <v>103</v>
      </c>
    </row>
    <row r="7589" spans="1:17" x14ac:dyDescent="0.3">
      <c r="A7589" t="s">
        <v>26</v>
      </c>
      <c r="B7589">
        <v>774</v>
      </c>
      <c r="C7589" t="s">
        <v>120</v>
      </c>
      <c r="D7589" t="s">
        <v>728</v>
      </c>
      <c r="E7589" t="s">
        <v>266</v>
      </c>
      <c r="F7589" t="s">
        <v>46</v>
      </c>
      <c r="G7589" t="s">
        <v>116</v>
      </c>
      <c r="H7589" t="s">
        <v>122</v>
      </c>
      <c r="I7589" t="s">
        <v>97</v>
      </c>
      <c r="J7589" t="s">
        <v>91</v>
      </c>
      <c r="K7589" t="s">
        <v>66</v>
      </c>
      <c r="L7589" t="s">
        <v>103</v>
      </c>
      <c r="M7589" t="s">
        <v>91</v>
      </c>
      <c r="N7589" t="s">
        <v>66</v>
      </c>
      <c r="O7589" t="s">
        <v>103</v>
      </c>
      <c r="P7589" t="s">
        <v>103</v>
      </c>
    </row>
    <row r="7590" spans="1:17" x14ac:dyDescent="0.3">
      <c r="A7590" t="s">
        <v>29</v>
      </c>
      <c r="B7590">
        <v>872</v>
      </c>
      <c r="C7590" t="s">
        <v>239</v>
      </c>
      <c r="D7590" t="s">
        <v>47</v>
      </c>
      <c r="E7590" t="s">
        <v>64</v>
      </c>
      <c r="F7590" t="s">
        <v>550</v>
      </c>
      <c r="G7590" t="s">
        <v>97</v>
      </c>
      <c r="H7590" t="s">
        <v>91</v>
      </c>
      <c r="I7590" t="s">
        <v>122</v>
      </c>
      <c r="J7590" t="s">
        <v>103</v>
      </c>
      <c r="K7590" t="s">
        <v>103</v>
      </c>
      <c r="L7590" t="s">
        <v>97</v>
      </c>
      <c r="M7590" t="s">
        <v>103</v>
      </c>
      <c r="N7590" t="s">
        <v>139</v>
      </c>
      <c r="O7590" t="s">
        <v>103</v>
      </c>
      <c r="P7590" t="s">
        <v>103</v>
      </c>
    </row>
    <row r="7591" spans="1:17" x14ac:dyDescent="0.3">
      <c r="A7591" t="s">
        <v>28</v>
      </c>
      <c r="B7591">
        <v>351</v>
      </c>
      <c r="C7591" t="s">
        <v>66</v>
      </c>
      <c r="D7591" t="s">
        <v>806</v>
      </c>
      <c r="E7591" t="s">
        <v>93</v>
      </c>
      <c r="F7591" t="s">
        <v>521</v>
      </c>
      <c r="G7591" t="s">
        <v>95</v>
      </c>
      <c r="H7591" t="s">
        <v>125</v>
      </c>
      <c r="I7591" t="s">
        <v>103</v>
      </c>
      <c r="J7591" t="s">
        <v>103</v>
      </c>
      <c r="K7591" t="s">
        <v>116</v>
      </c>
      <c r="L7591" t="s">
        <v>103</v>
      </c>
      <c r="M7591" t="s">
        <v>103</v>
      </c>
      <c r="N7591" t="s">
        <v>103</v>
      </c>
      <c r="O7591" t="s">
        <v>103</v>
      </c>
      <c r="P7591" t="s">
        <v>103</v>
      </c>
    </row>
    <row r="7592" spans="1:17" x14ac:dyDescent="0.3">
      <c r="A7592" t="s">
        <v>27</v>
      </c>
      <c r="B7592">
        <v>354</v>
      </c>
      <c r="C7592" t="s">
        <v>216</v>
      </c>
      <c r="D7592" t="s">
        <v>1305</v>
      </c>
      <c r="E7592" t="s">
        <v>68</v>
      </c>
      <c r="F7592" t="s">
        <v>927</v>
      </c>
      <c r="G7592" t="s">
        <v>66</v>
      </c>
      <c r="H7592" t="s">
        <v>282</v>
      </c>
      <c r="I7592" t="s">
        <v>98</v>
      </c>
      <c r="J7592" t="s">
        <v>103</v>
      </c>
      <c r="K7592" t="s">
        <v>103</v>
      </c>
      <c r="L7592" t="s">
        <v>103</v>
      </c>
      <c r="M7592" t="s">
        <v>103</v>
      </c>
      <c r="N7592" t="s">
        <v>97</v>
      </c>
      <c r="O7592" t="s">
        <v>116</v>
      </c>
      <c r="P7592" t="s">
        <v>103</v>
      </c>
    </row>
    <row r="7593" spans="1:17" x14ac:dyDescent="0.3">
      <c r="A7593" t="s">
        <v>41</v>
      </c>
      <c r="B7593">
        <v>3044</v>
      </c>
      <c r="C7593" t="s">
        <v>345</v>
      </c>
      <c r="D7593" t="s">
        <v>55</v>
      </c>
      <c r="E7593" t="s">
        <v>266</v>
      </c>
      <c r="F7593" t="s">
        <v>46</v>
      </c>
      <c r="G7593" t="s">
        <v>122</v>
      </c>
      <c r="H7593" t="s">
        <v>116</v>
      </c>
      <c r="I7593" t="s">
        <v>120</v>
      </c>
      <c r="J7593" t="s">
        <v>103</v>
      </c>
      <c r="K7593" t="s">
        <v>91</v>
      </c>
      <c r="L7593" t="s">
        <v>116</v>
      </c>
      <c r="M7593" t="s">
        <v>91</v>
      </c>
      <c r="N7593" t="s">
        <v>97</v>
      </c>
      <c r="O7593" t="s">
        <v>103</v>
      </c>
      <c r="P7593" t="s">
        <v>103</v>
      </c>
    </row>
    <row r="7595" spans="1:17" x14ac:dyDescent="0.3">
      <c r="A7595" t="s">
        <v>2309</v>
      </c>
    </row>
    <row r="7596" spans="1:17" x14ac:dyDescent="0.3">
      <c r="A7596" t="s">
        <v>36</v>
      </c>
      <c r="B7596" t="s">
        <v>2172</v>
      </c>
      <c r="C7596" t="s">
        <v>24</v>
      </c>
      <c r="D7596" t="s">
        <v>2296</v>
      </c>
      <c r="E7596" t="s">
        <v>2297</v>
      </c>
      <c r="F7596" t="s">
        <v>2298</v>
      </c>
      <c r="G7596" t="s">
        <v>2299</v>
      </c>
      <c r="H7596" t="s">
        <v>2300</v>
      </c>
      <c r="I7596" t="s">
        <v>2301</v>
      </c>
      <c r="J7596" t="s">
        <v>2302</v>
      </c>
      <c r="K7596" t="s">
        <v>2303</v>
      </c>
      <c r="L7596" t="s">
        <v>2304</v>
      </c>
      <c r="M7596" t="s">
        <v>2250</v>
      </c>
      <c r="N7596" t="s">
        <v>2305</v>
      </c>
      <c r="O7596" t="s">
        <v>2306</v>
      </c>
      <c r="P7596" t="s">
        <v>2307</v>
      </c>
      <c r="Q7596" t="s">
        <v>2308</v>
      </c>
    </row>
    <row r="7597" spans="1:17" s="3" customFormat="1" x14ac:dyDescent="0.3">
      <c r="A7597" s="3" t="s">
        <v>25</v>
      </c>
      <c r="B7597" s="3" t="s">
        <v>844</v>
      </c>
      <c r="C7597" s="3">
        <v>17</v>
      </c>
      <c r="D7597" s="3" t="s">
        <v>254</v>
      </c>
      <c r="E7597" s="3" t="s">
        <v>1441</v>
      </c>
      <c r="F7597" s="3" t="s">
        <v>103</v>
      </c>
      <c r="G7597" s="3" t="s">
        <v>259</v>
      </c>
      <c r="H7597" s="3" t="s">
        <v>103</v>
      </c>
      <c r="I7597" s="3" t="s">
        <v>103</v>
      </c>
      <c r="J7597" s="3" t="s">
        <v>103</v>
      </c>
      <c r="K7597" s="3" t="s">
        <v>103</v>
      </c>
      <c r="L7597" s="3" t="s">
        <v>103</v>
      </c>
      <c r="M7597" s="3" t="s">
        <v>103</v>
      </c>
      <c r="N7597" s="3" t="s">
        <v>103</v>
      </c>
      <c r="O7597" s="3" t="s">
        <v>103</v>
      </c>
      <c r="P7597" s="3" t="s">
        <v>103</v>
      </c>
      <c r="Q7597" s="3" t="s">
        <v>103</v>
      </c>
    </row>
    <row r="7598" spans="1:17" s="3" customFormat="1" x14ac:dyDescent="0.3">
      <c r="A7598" s="3" t="s">
        <v>25</v>
      </c>
      <c r="B7598" s="3" t="s">
        <v>2173</v>
      </c>
      <c r="C7598" s="3">
        <v>24</v>
      </c>
      <c r="D7598" s="3" t="s">
        <v>103</v>
      </c>
      <c r="E7598" s="3" t="s">
        <v>1481</v>
      </c>
      <c r="F7598" s="3" t="s">
        <v>103</v>
      </c>
      <c r="G7598" s="3" t="s">
        <v>495</v>
      </c>
      <c r="H7598" s="3" t="s">
        <v>103</v>
      </c>
      <c r="I7598" s="3" t="s">
        <v>103</v>
      </c>
      <c r="J7598" s="3" t="s">
        <v>103</v>
      </c>
      <c r="K7598" s="3" t="s">
        <v>103</v>
      </c>
      <c r="L7598" s="3" t="s">
        <v>103</v>
      </c>
      <c r="M7598" s="3" t="s">
        <v>103</v>
      </c>
      <c r="N7598" s="3" t="s">
        <v>103</v>
      </c>
      <c r="O7598" s="3" t="s">
        <v>103</v>
      </c>
      <c r="P7598" s="3" t="s">
        <v>103</v>
      </c>
      <c r="Q7598" s="3" t="s">
        <v>103</v>
      </c>
    </row>
    <row r="7599" spans="1:17" s="3" customFormat="1" x14ac:dyDescent="0.3">
      <c r="A7599" s="3" t="s">
        <v>25</v>
      </c>
      <c r="B7599" s="3" t="s">
        <v>2174</v>
      </c>
      <c r="C7599" s="3">
        <v>14</v>
      </c>
      <c r="D7599" s="3" t="s">
        <v>103</v>
      </c>
      <c r="E7599" s="3" t="s">
        <v>1484</v>
      </c>
      <c r="F7599" s="3" t="s">
        <v>511</v>
      </c>
      <c r="G7599" s="3" t="s">
        <v>94</v>
      </c>
      <c r="H7599" s="3" t="s">
        <v>103</v>
      </c>
      <c r="I7599" s="3" t="s">
        <v>103</v>
      </c>
      <c r="J7599" s="3" t="s">
        <v>103</v>
      </c>
      <c r="K7599" s="3" t="s">
        <v>103</v>
      </c>
      <c r="L7599" s="3" t="s">
        <v>103</v>
      </c>
      <c r="M7599" s="3" t="s">
        <v>103</v>
      </c>
      <c r="N7599" s="3" t="s">
        <v>103</v>
      </c>
      <c r="O7599" s="3" t="s">
        <v>103</v>
      </c>
      <c r="P7599" s="3" t="s">
        <v>103</v>
      </c>
      <c r="Q7599" s="3" t="s">
        <v>103</v>
      </c>
    </row>
    <row r="7600" spans="1:17" s="3" customFormat="1" x14ac:dyDescent="0.3">
      <c r="A7600" s="3" t="s">
        <v>25</v>
      </c>
      <c r="B7600" s="3" t="s">
        <v>2175</v>
      </c>
      <c r="C7600" s="3">
        <v>11</v>
      </c>
      <c r="D7600" s="3" t="s">
        <v>103</v>
      </c>
      <c r="E7600" s="3" t="s">
        <v>1581</v>
      </c>
      <c r="F7600" s="3" t="s">
        <v>103</v>
      </c>
      <c r="G7600" s="3" t="s">
        <v>1204</v>
      </c>
      <c r="H7600" s="3" t="s">
        <v>103</v>
      </c>
      <c r="I7600" s="3" t="s">
        <v>103</v>
      </c>
      <c r="J7600" s="3" t="s">
        <v>103</v>
      </c>
      <c r="K7600" s="3" t="s">
        <v>103</v>
      </c>
      <c r="L7600" s="3" t="s">
        <v>103</v>
      </c>
      <c r="M7600" s="3" t="s">
        <v>103</v>
      </c>
      <c r="N7600" s="3" t="s">
        <v>103</v>
      </c>
      <c r="O7600" s="3" t="s">
        <v>103</v>
      </c>
      <c r="P7600" s="3" t="s">
        <v>103</v>
      </c>
      <c r="Q7600" s="3" t="s">
        <v>103</v>
      </c>
    </row>
    <row r="7601" spans="1:17" x14ac:dyDescent="0.3">
      <c r="A7601" t="s">
        <v>25</v>
      </c>
      <c r="B7601" t="s">
        <v>2176</v>
      </c>
      <c r="C7601">
        <v>120</v>
      </c>
      <c r="D7601" t="s">
        <v>103</v>
      </c>
      <c r="E7601" t="s">
        <v>870</v>
      </c>
      <c r="F7601" t="s">
        <v>114</v>
      </c>
      <c r="G7601" t="s">
        <v>485</v>
      </c>
      <c r="H7601" t="s">
        <v>103</v>
      </c>
      <c r="I7601" t="s">
        <v>282</v>
      </c>
      <c r="J7601" t="s">
        <v>102</v>
      </c>
      <c r="K7601" t="s">
        <v>103</v>
      </c>
      <c r="L7601" t="s">
        <v>103</v>
      </c>
      <c r="M7601" t="s">
        <v>103</v>
      </c>
      <c r="N7601" t="s">
        <v>139</v>
      </c>
      <c r="O7601" t="s">
        <v>97</v>
      </c>
      <c r="P7601" t="s">
        <v>103</v>
      </c>
      <c r="Q7601" t="s">
        <v>103</v>
      </c>
    </row>
    <row r="7602" spans="1:17" x14ac:dyDescent="0.3">
      <c r="A7602" t="s">
        <v>25</v>
      </c>
      <c r="B7602" t="s">
        <v>2177</v>
      </c>
      <c r="C7602">
        <v>122</v>
      </c>
      <c r="D7602" t="s">
        <v>103</v>
      </c>
      <c r="E7602" t="s">
        <v>761</v>
      </c>
      <c r="F7602" t="s">
        <v>257</v>
      </c>
      <c r="G7602" t="s">
        <v>727</v>
      </c>
      <c r="H7602" t="s">
        <v>345</v>
      </c>
      <c r="I7602" t="s">
        <v>103</v>
      </c>
      <c r="J7602" t="s">
        <v>102</v>
      </c>
      <c r="K7602" t="s">
        <v>103</v>
      </c>
      <c r="L7602" t="s">
        <v>103</v>
      </c>
      <c r="M7602" t="s">
        <v>103</v>
      </c>
      <c r="N7602" t="s">
        <v>103</v>
      </c>
      <c r="O7602" t="s">
        <v>97</v>
      </c>
      <c r="P7602" t="s">
        <v>103</v>
      </c>
      <c r="Q7602" t="s">
        <v>103</v>
      </c>
    </row>
    <row r="7603" spans="1:17" x14ac:dyDescent="0.3">
      <c r="A7603" t="s">
        <v>25</v>
      </c>
      <c r="B7603" t="s">
        <v>2178</v>
      </c>
      <c r="C7603">
        <v>143</v>
      </c>
      <c r="D7603" t="s">
        <v>139</v>
      </c>
      <c r="E7603" t="s">
        <v>1436</v>
      </c>
      <c r="F7603" t="s">
        <v>345</v>
      </c>
      <c r="G7603" t="s">
        <v>645</v>
      </c>
      <c r="H7603" t="s">
        <v>103</v>
      </c>
      <c r="I7603" t="s">
        <v>103</v>
      </c>
      <c r="J7603" t="s">
        <v>103</v>
      </c>
      <c r="K7603" t="s">
        <v>103</v>
      </c>
      <c r="L7603" t="s">
        <v>103</v>
      </c>
      <c r="M7603" t="s">
        <v>103</v>
      </c>
      <c r="N7603" t="s">
        <v>103</v>
      </c>
      <c r="O7603" t="s">
        <v>97</v>
      </c>
      <c r="P7603" t="s">
        <v>103</v>
      </c>
      <c r="Q7603" t="s">
        <v>103</v>
      </c>
    </row>
    <row r="7604" spans="1:17" s="3" customFormat="1" x14ac:dyDescent="0.3">
      <c r="A7604" s="3" t="s">
        <v>25</v>
      </c>
      <c r="B7604" s="3" t="s">
        <v>846</v>
      </c>
      <c r="C7604" s="3">
        <v>28</v>
      </c>
      <c r="D7604" s="3" t="s">
        <v>103</v>
      </c>
      <c r="E7604" s="3" t="s">
        <v>880</v>
      </c>
      <c r="F7604" s="3" t="s">
        <v>103</v>
      </c>
      <c r="G7604" s="3" t="s">
        <v>918</v>
      </c>
      <c r="H7604" s="3" t="s">
        <v>103</v>
      </c>
      <c r="I7604" s="3" t="s">
        <v>103</v>
      </c>
      <c r="J7604" s="3" t="s">
        <v>103</v>
      </c>
      <c r="K7604" s="3" t="s">
        <v>103</v>
      </c>
      <c r="L7604" s="3" t="s">
        <v>103</v>
      </c>
      <c r="M7604" s="3" t="s">
        <v>103</v>
      </c>
      <c r="N7604" s="3" t="s">
        <v>103</v>
      </c>
      <c r="O7604" s="3" t="s">
        <v>103</v>
      </c>
      <c r="P7604" s="3" t="s">
        <v>103</v>
      </c>
      <c r="Q7604" s="3" t="s">
        <v>103</v>
      </c>
    </row>
    <row r="7605" spans="1:17" s="3" customFormat="1" x14ac:dyDescent="0.3">
      <c r="A7605" s="3" t="s">
        <v>25</v>
      </c>
      <c r="B7605" s="3" t="s">
        <v>2179</v>
      </c>
      <c r="C7605" s="3">
        <v>29</v>
      </c>
      <c r="D7605" s="3" t="s">
        <v>103</v>
      </c>
      <c r="E7605" s="3" t="s">
        <v>749</v>
      </c>
      <c r="F7605" s="3" t="s">
        <v>103</v>
      </c>
      <c r="G7605" s="3" t="s">
        <v>239</v>
      </c>
      <c r="H7605" s="3" t="s">
        <v>103</v>
      </c>
      <c r="I7605" s="3" t="s">
        <v>103</v>
      </c>
      <c r="J7605" s="3" t="s">
        <v>188</v>
      </c>
      <c r="K7605" s="3" t="s">
        <v>103</v>
      </c>
      <c r="L7605" s="3" t="s">
        <v>103</v>
      </c>
      <c r="M7605" s="3" t="s">
        <v>103</v>
      </c>
      <c r="N7605" s="3" t="s">
        <v>94</v>
      </c>
      <c r="O7605" s="3" t="s">
        <v>103</v>
      </c>
      <c r="P7605" s="3" t="s">
        <v>103</v>
      </c>
      <c r="Q7605" s="3" t="s">
        <v>103</v>
      </c>
    </row>
    <row r="7606" spans="1:17" s="3" customFormat="1" x14ac:dyDescent="0.3">
      <c r="A7606" s="3" t="s">
        <v>25</v>
      </c>
      <c r="B7606" s="3" t="s">
        <v>2180</v>
      </c>
      <c r="C7606" s="3">
        <v>15</v>
      </c>
      <c r="D7606" s="3" t="s">
        <v>629</v>
      </c>
      <c r="E7606" s="3" t="s">
        <v>760</v>
      </c>
      <c r="F7606" s="3" t="s">
        <v>103</v>
      </c>
      <c r="G7606" s="3" t="s">
        <v>601</v>
      </c>
      <c r="H7606" s="3" t="s">
        <v>103</v>
      </c>
      <c r="I7606" s="3" t="s">
        <v>103</v>
      </c>
      <c r="J7606" s="3" t="s">
        <v>103</v>
      </c>
      <c r="K7606" s="3" t="s">
        <v>103</v>
      </c>
      <c r="L7606" s="3" t="s">
        <v>103</v>
      </c>
      <c r="M7606" s="3" t="s">
        <v>103</v>
      </c>
      <c r="N7606" s="3" t="s">
        <v>103</v>
      </c>
      <c r="O7606" s="3" t="s">
        <v>103</v>
      </c>
      <c r="P7606" s="3" t="s">
        <v>103</v>
      </c>
      <c r="Q7606" s="3" t="s">
        <v>103</v>
      </c>
    </row>
    <row r="7607" spans="1:17" s="3" customFormat="1" x14ac:dyDescent="0.3">
      <c r="A7607" s="3" t="s">
        <v>25</v>
      </c>
      <c r="B7607" s="3" t="s">
        <v>2181</v>
      </c>
      <c r="C7607" s="3">
        <v>11</v>
      </c>
      <c r="D7607" s="3" t="s">
        <v>103</v>
      </c>
      <c r="E7607" s="3" t="s">
        <v>1355</v>
      </c>
      <c r="F7607" s="3" t="s">
        <v>103</v>
      </c>
      <c r="G7607" s="3" t="s">
        <v>607</v>
      </c>
      <c r="H7607" s="3" t="s">
        <v>103</v>
      </c>
      <c r="I7607" s="3" t="s">
        <v>103</v>
      </c>
      <c r="J7607" s="3" t="s">
        <v>103</v>
      </c>
      <c r="K7607" s="3" t="s">
        <v>103</v>
      </c>
      <c r="L7607" s="3" t="s">
        <v>103</v>
      </c>
      <c r="M7607" s="3" t="s">
        <v>103</v>
      </c>
      <c r="N7607" s="3" t="s">
        <v>103</v>
      </c>
      <c r="O7607" s="3" t="s">
        <v>103</v>
      </c>
      <c r="P7607" s="3" t="s">
        <v>103</v>
      </c>
      <c r="Q7607" s="3" t="s">
        <v>103</v>
      </c>
    </row>
    <row r="7608" spans="1:17" x14ac:dyDescent="0.3">
      <c r="A7608" t="s">
        <v>25</v>
      </c>
      <c r="B7608" t="s">
        <v>2182</v>
      </c>
      <c r="C7608">
        <v>50</v>
      </c>
      <c r="D7608" t="s">
        <v>103</v>
      </c>
      <c r="E7608" t="s">
        <v>207</v>
      </c>
      <c r="F7608" t="s">
        <v>208</v>
      </c>
      <c r="G7608" t="s">
        <v>578</v>
      </c>
      <c r="H7608" t="s">
        <v>103</v>
      </c>
      <c r="I7608" t="s">
        <v>103</v>
      </c>
      <c r="J7608" t="s">
        <v>103</v>
      </c>
      <c r="K7608" t="s">
        <v>103</v>
      </c>
      <c r="L7608" t="s">
        <v>103</v>
      </c>
      <c r="M7608" t="s">
        <v>103</v>
      </c>
      <c r="N7608" t="s">
        <v>103</v>
      </c>
      <c r="O7608" t="s">
        <v>103</v>
      </c>
      <c r="P7608" t="s">
        <v>103</v>
      </c>
      <c r="Q7608" t="s">
        <v>103</v>
      </c>
    </row>
    <row r="7609" spans="1:17" x14ac:dyDescent="0.3">
      <c r="A7609" t="s">
        <v>25</v>
      </c>
      <c r="B7609" t="s">
        <v>2183</v>
      </c>
      <c r="C7609">
        <v>58</v>
      </c>
      <c r="D7609" t="s">
        <v>103</v>
      </c>
      <c r="E7609" t="s">
        <v>760</v>
      </c>
      <c r="F7609" t="s">
        <v>511</v>
      </c>
      <c r="G7609" t="s">
        <v>732</v>
      </c>
      <c r="H7609" t="s">
        <v>103</v>
      </c>
      <c r="I7609" t="s">
        <v>103</v>
      </c>
      <c r="J7609" t="s">
        <v>103</v>
      </c>
      <c r="K7609" t="s">
        <v>103</v>
      </c>
      <c r="L7609" t="s">
        <v>103</v>
      </c>
      <c r="M7609" t="s">
        <v>103</v>
      </c>
      <c r="N7609" t="s">
        <v>103</v>
      </c>
      <c r="O7609" t="s">
        <v>103</v>
      </c>
      <c r="P7609" t="s">
        <v>103</v>
      </c>
      <c r="Q7609" t="s">
        <v>103</v>
      </c>
    </row>
    <row r="7610" spans="1:17" x14ac:dyDescent="0.3">
      <c r="A7610" t="s">
        <v>25</v>
      </c>
      <c r="B7610" t="s">
        <v>2184</v>
      </c>
      <c r="C7610">
        <v>51</v>
      </c>
      <c r="D7610" t="s">
        <v>93</v>
      </c>
      <c r="E7610" t="s">
        <v>711</v>
      </c>
      <c r="F7610" t="s">
        <v>103</v>
      </c>
      <c r="G7610" t="s">
        <v>273</v>
      </c>
      <c r="H7610" t="s">
        <v>103</v>
      </c>
      <c r="I7610" t="s">
        <v>103</v>
      </c>
      <c r="J7610" t="s">
        <v>103</v>
      </c>
      <c r="K7610" t="s">
        <v>103</v>
      </c>
      <c r="L7610" t="s">
        <v>103</v>
      </c>
      <c r="M7610" t="s">
        <v>103</v>
      </c>
      <c r="N7610" t="s">
        <v>103</v>
      </c>
      <c r="O7610" t="s">
        <v>194</v>
      </c>
      <c r="P7610" t="s">
        <v>103</v>
      </c>
      <c r="Q7610" t="s">
        <v>103</v>
      </c>
    </row>
    <row r="7611" spans="1:17" s="3" customFormat="1" x14ac:dyDescent="0.3">
      <c r="A7611" s="3" t="s">
        <v>26</v>
      </c>
      <c r="B7611" s="3" t="s">
        <v>844</v>
      </c>
      <c r="C7611" s="3">
        <v>20</v>
      </c>
      <c r="D7611" s="3" t="s">
        <v>103</v>
      </c>
      <c r="E7611" s="3" t="s">
        <v>884</v>
      </c>
      <c r="F7611" s="3" t="s">
        <v>103</v>
      </c>
      <c r="G7611" s="3" t="s">
        <v>1219</v>
      </c>
      <c r="H7611" s="3" t="s">
        <v>103</v>
      </c>
      <c r="I7611" s="3" t="s">
        <v>103</v>
      </c>
      <c r="J7611" s="3" t="s">
        <v>103</v>
      </c>
      <c r="K7611" s="3" t="s">
        <v>103</v>
      </c>
      <c r="L7611" s="3" t="s">
        <v>103</v>
      </c>
      <c r="M7611" s="3" t="s">
        <v>103</v>
      </c>
      <c r="N7611" s="3" t="s">
        <v>103</v>
      </c>
      <c r="O7611" s="3" t="s">
        <v>103</v>
      </c>
      <c r="P7611" s="3" t="s">
        <v>103</v>
      </c>
      <c r="Q7611" s="3" t="s">
        <v>103</v>
      </c>
    </row>
    <row r="7612" spans="1:17" x14ac:dyDescent="0.3">
      <c r="A7612" t="s">
        <v>26</v>
      </c>
      <c r="B7612" t="s">
        <v>2173</v>
      </c>
      <c r="C7612">
        <v>36</v>
      </c>
      <c r="D7612" t="s">
        <v>103</v>
      </c>
      <c r="E7612" t="s">
        <v>596</v>
      </c>
      <c r="F7612" t="s">
        <v>532</v>
      </c>
      <c r="G7612" t="s">
        <v>925</v>
      </c>
      <c r="H7612" t="s">
        <v>66</v>
      </c>
      <c r="I7612" t="s">
        <v>103</v>
      </c>
      <c r="J7612" t="s">
        <v>103</v>
      </c>
      <c r="K7612" t="s">
        <v>103</v>
      </c>
      <c r="L7612" t="s">
        <v>103</v>
      </c>
      <c r="M7612" t="s">
        <v>103</v>
      </c>
      <c r="N7612" t="s">
        <v>103</v>
      </c>
      <c r="O7612" t="s">
        <v>103</v>
      </c>
      <c r="P7612" t="s">
        <v>103</v>
      </c>
      <c r="Q7612" t="s">
        <v>103</v>
      </c>
    </row>
    <row r="7613" spans="1:17" s="3" customFormat="1" x14ac:dyDescent="0.3">
      <c r="A7613" s="3" t="s">
        <v>26</v>
      </c>
      <c r="B7613" s="3" t="s">
        <v>2174</v>
      </c>
      <c r="C7613" s="3">
        <v>20</v>
      </c>
      <c r="D7613" s="3" t="s">
        <v>103</v>
      </c>
      <c r="E7613" s="3" t="s">
        <v>1355</v>
      </c>
      <c r="F7613" s="3" t="s">
        <v>195</v>
      </c>
      <c r="G7613" s="3" t="s">
        <v>251</v>
      </c>
      <c r="H7613" s="3" t="s">
        <v>116</v>
      </c>
      <c r="I7613" s="3" t="s">
        <v>103</v>
      </c>
      <c r="J7613" s="3" t="s">
        <v>103</v>
      </c>
      <c r="K7613" s="3" t="s">
        <v>103</v>
      </c>
      <c r="L7613" s="3" t="s">
        <v>103</v>
      </c>
      <c r="M7613" s="3" t="s">
        <v>103</v>
      </c>
      <c r="N7613" s="3" t="s">
        <v>103</v>
      </c>
      <c r="O7613" s="3" t="s">
        <v>103</v>
      </c>
      <c r="P7613" s="3" t="s">
        <v>103</v>
      </c>
      <c r="Q7613" s="3" t="s">
        <v>103</v>
      </c>
    </row>
    <row r="7614" spans="1:17" s="3" customFormat="1" x14ac:dyDescent="0.3">
      <c r="A7614" s="3" t="s">
        <v>26</v>
      </c>
      <c r="B7614" s="3" t="s">
        <v>2175</v>
      </c>
      <c r="C7614" s="3">
        <v>15</v>
      </c>
      <c r="D7614" s="3" t="s">
        <v>103</v>
      </c>
      <c r="E7614" s="3" t="s">
        <v>283</v>
      </c>
      <c r="F7614" s="3" t="s">
        <v>103</v>
      </c>
      <c r="G7614" s="3" t="s">
        <v>103</v>
      </c>
      <c r="H7614" s="3" t="s">
        <v>108</v>
      </c>
      <c r="I7614" s="3" t="s">
        <v>103</v>
      </c>
      <c r="J7614" s="3" t="s">
        <v>103</v>
      </c>
      <c r="K7614" s="3" t="s">
        <v>103</v>
      </c>
      <c r="L7614" s="3" t="s">
        <v>103</v>
      </c>
      <c r="M7614" s="3" t="s">
        <v>103</v>
      </c>
      <c r="N7614" s="3" t="s">
        <v>103</v>
      </c>
      <c r="O7614" s="3" t="s">
        <v>103</v>
      </c>
      <c r="P7614" s="3" t="s">
        <v>103</v>
      </c>
      <c r="Q7614" s="3" t="s">
        <v>103</v>
      </c>
    </row>
    <row r="7615" spans="1:17" x14ac:dyDescent="0.3">
      <c r="A7615" t="s">
        <v>26</v>
      </c>
      <c r="B7615" t="s">
        <v>2176</v>
      </c>
      <c r="C7615">
        <v>137</v>
      </c>
      <c r="D7615" t="s">
        <v>97</v>
      </c>
      <c r="E7615" t="s">
        <v>728</v>
      </c>
      <c r="F7615" t="s">
        <v>615</v>
      </c>
      <c r="G7615" t="s">
        <v>570</v>
      </c>
      <c r="H7615" t="s">
        <v>91</v>
      </c>
      <c r="I7615" t="s">
        <v>103</v>
      </c>
      <c r="J7615" t="s">
        <v>120</v>
      </c>
      <c r="K7615" t="s">
        <v>103</v>
      </c>
      <c r="L7615" t="s">
        <v>103</v>
      </c>
      <c r="M7615" t="s">
        <v>103</v>
      </c>
      <c r="N7615" t="s">
        <v>97</v>
      </c>
      <c r="O7615" t="s">
        <v>103</v>
      </c>
      <c r="P7615" t="s">
        <v>103</v>
      </c>
      <c r="Q7615" t="s">
        <v>103</v>
      </c>
    </row>
    <row r="7616" spans="1:17" x14ac:dyDescent="0.3">
      <c r="A7616" t="s">
        <v>26</v>
      </c>
      <c r="B7616" t="s">
        <v>2177</v>
      </c>
      <c r="C7616">
        <v>133</v>
      </c>
      <c r="D7616" t="s">
        <v>103</v>
      </c>
      <c r="E7616" t="s">
        <v>1244</v>
      </c>
      <c r="F7616" t="s">
        <v>103</v>
      </c>
      <c r="G7616" t="s">
        <v>477</v>
      </c>
      <c r="H7616" t="s">
        <v>91</v>
      </c>
      <c r="I7616" t="s">
        <v>110</v>
      </c>
      <c r="J7616" t="s">
        <v>103</v>
      </c>
      <c r="K7616" t="s">
        <v>103</v>
      </c>
      <c r="L7616" t="s">
        <v>97</v>
      </c>
      <c r="M7616" t="s">
        <v>103</v>
      </c>
      <c r="N7616" t="s">
        <v>103</v>
      </c>
      <c r="O7616" t="s">
        <v>103</v>
      </c>
      <c r="P7616" t="s">
        <v>103</v>
      </c>
      <c r="Q7616" t="s">
        <v>103</v>
      </c>
    </row>
    <row r="7617" spans="1:17" x14ac:dyDescent="0.3">
      <c r="A7617" t="s">
        <v>26</v>
      </c>
      <c r="B7617" t="s">
        <v>2178</v>
      </c>
      <c r="C7617">
        <v>137</v>
      </c>
      <c r="D7617" t="s">
        <v>341</v>
      </c>
      <c r="E7617" t="s">
        <v>608</v>
      </c>
      <c r="F7617" t="s">
        <v>102</v>
      </c>
      <c r="G7617" t="s">
        <v>50</v>
      </c>
      <c r="H7617" t="s">
        <v>103</v>
      </c>
      <c r="I7617" t="s">
        <v>91</v>
      </c>
      <c r="J7617" t="s">
        <v>95</v>
      </c>
      <c r="K7617" t="s">
        <v>139</v>
      </c>
      <c r="L7617" t="s">
        <v>103</v>
      </c>
      <c r="M7617" t="s">
        <v>103</v>
      </c>
      <c r="N7617" t="s">
        <v>103</v>
      </c>
      <c r="O7617" t="s">
        <v>95</v>
      </c>
      <c r="P7617" t="s">
        <v>103</v>
      </c>
      <c r="Q7617" t="s">
        <v>103</v>
      </c>
    </row>
    <row r="7618" spans="1:17" s="3" customFormat="1" x14ac:dyDescent="0.3">
      <c r="A7618" s="3" t="s">
        <v>26</v>
      </c>
      <c r="B7618" s="3" t="s">
        <v>846</v>
      </c>
      <c r="C7618" s="3">
        <v>27</v>
      </c>
      <c r="D7618" s="3" t="s">
        <v>103</v>
      </c>
      <c r="E7618" s="3" t="s">
        <v>617</v>
      </c>
      <c r="F7618" s="3" t="s">
        <v>329</v>
      </c>
      <c r="G7618" s="3" t="s">
        <v>92</v>
      </c>
      <c r="H7618" s="3" t="s">
        <v>103</v>
      </c>
      <c r="I7618" s="3" t="s">
        <v>103</v>
      </c>
      <c r="J7618" s="3" t="s">
        <v>103</v>
      </c>
      <c r="K7618" s="3" t="s">
        <v>103</v>
      </c>
      <c r="L7618" s="3" t="s">
        <v>103</v>
      </c>
      <c r="M7618" s="3" t="s">
        <v>103</v>
      </c>
      <c r="N7618" s="3" t="s">
        <v>103</v>
      </c>
      <c r="O7618" s="3" t="s">
        <v>103</v>
      </c>
      <c r="P7618" s="3" t="s">
        <v>103</v>
      </c>
      <c r="Q7618" s="3" t="s">
        <v>103</v>
      </c>
    </row>
    <row r="7619" spans="1:17" s="3" customFormat="1" x14ac:dyDescent="0.3">
      <c r="A7619" s="3" t="s">
        <v>26</v>
      </c>
      <c r="B7619" s="3" t="s">
        <v>2179</v>
      </c>
      <c r="C7619" s="3">
        <v>29</v>
      </c>
      <c r="D7619" s="3" t="s">
        <v>467</v>
      </c>
      <c r="E7619" s="3" t="s">
        <v>636</v>
      </c>
      <c r="F7619" s="3" t="s">
        <v>103</v>
      </c>
      <c r="G7619" s="3" t="s">
        <v>270</v>
      </c>
      <c r="H7619" s="3" t="s">
        <v>103</v>
      </c>
      <c r="I7619" s="3" t="s">
        <v>103</v>
      </c>
      <c r="J7619" s="3" t="s">
        <v>103</v>
      </c>
      <c r="K7619" s="3" t="s">
        <v>103</v>
      </c>
      <c r="L7619" s="3" t="s">
        <v>103</v>
      </c>
      <c r="M7619" s="3" t="s">
        <v>103</v>
      </c>
      <c r="N7619" s="3" t="s">
        <v>103</v>
      </c>
      <c r="O7619" s="3" t="s">
        <v>103</v>
      </c>
      <c r="P7619" s="3" t="s">
        <v>103</v>
      </c>
      <c r="Q7619" s="3" t="s">
        <v>103</v>
      </c>
    </row>
    <row r="7620" spans="1:17" s="3" customFormat="1" x14ac:dyDescent="0.3">
      <c r="A7620" s="3" t="s">
        <v>26</v>
      </c>
      <c r="B7620" s="3" t="s">
        <v>2180</v>
      </c>
      <c r="C7620" s="3">
        <v>19</v>
      </c>
      <c r="D7620" s="3" t="s">
        <v>103</v>
      </c>
      <c r="E7620" s="3" t="s">
        <v>47</v>
      </c>
      <c r="F7620" s="3" t="s">
        <v>114</v>
      </c>
      <c r="G7620" s="3" t="s">
        <v>48</v>
      </c>
      <c r="H7620" s="3" t="s">
        <v>103</v>
      </c>
      <c r="I7620" s="3" t="s">
        <v>103</v>
      </c>
      <c r="J7620" s="3" t="s">
        <v>103</v>
      </c>
      <c r="K7620" s="3" t="s">
        <v>103</v>
      </c>
      <c r="L7620" s="3" t="s">
        <v>103</v>
      </c>
      <c r="M7620" s="3" t="s">
        <v>103</v>
      </c>
      <c r="N7620" s="3" t="s">
        <v>103</v>
      </c>
      <c r="O7620" s="3" t="s">
        <v>103</v>
      </c>
      <c r="P7620" s="3" t="s">
        <v>103</v>
      </c>
      <c r="Q7620" s="3" t="s">
        <v>103</v>
      </c>
    </row>
    <row r="7621" spans="1:17" s="3" customFormat="1" x14ac:dyDescent="0.3">
      <c r="A7621" s="3" t="s">
        <v>26</v>
      </c>
      <c r="B7621" s="3" t="s">
        <v>2181</v>
      </c>
      <c r="C7621" s="3">
        <v>18</v>
      </c>
      <c r="D7621" s="3" t="s">
        <v>103</v>
      </c>
      <c r="E7621" s="3" t="s">
        <v>766</v>
      </c>
      <c r="F7621" s="3" t="s">
        <v>103</v>
      </c>
      <c r="G7621" s="3" t="s">
        <v>516</v>
      </c>
      <c r="H7621" s="3" t="s">
        <v>103</v>
      </c>
      <c r="I7621" s="3" t="s">
        <v>103</v>
      </c>
      <c r="J7621" s="3" t="s">
        <v>103</v>
      </c>
      <c r="K7621" s="3" t="s">
        <v>103</v>
      </c>
      <c r="L7621" s="3" t="s">
        <v>103</v>
      </c>
      <c r="M7621" s="3" t="s">
        <v>103</v>
      </c>
      <c r="N7621" s="3" t="s">
        <v>103</v>
      </c>
      <c r="O7621" s="3" t="s">
        <v>103</v>
      </c>
      <c r="P7621" s="3" t="s">
        <v>103</v>
      </c>
      <c r="Q7621" s="3" t="s">
        <v>103</v>
      </c>
    </row>
    <row r="7622" spans="1:17" x14ac:dyDescent="0.3">
      <c r="A7622" t="s">
        <v>26</v>
      </c>
      <c r="B7622" t="s">
        <v>2182</v>
      </c>
      <c r="C7622">
        <v>80</v>
      </c>
      <c r="D7622" t="s">
        <v>103</v>
      </c>
      <c r="E7622" t="s">
        <v>1169</v>
      </c>
      <c r="F7622" t="s">
        <v>251</v>
      </c>
      <c r="G7622" t="s">
        <v>486</v>
      </c>
      <c r="H7622" t="s">
        <v>98</v>
      </c>
      <c r="I7622" t="s">
        <v>103</v>
      </c>
      <c r="J7622" t="s">
        <v>329</v>
      </c>
      <c r="K7622" t="s">
        <v>103</v>
      </c>
      <c r="L7622" t="s">
        <v>103</v>
      </c>
      <c r="M7622" t="s">
        <v>103</v>
      </c>
      <c r="N7622" t="s">
        <v>103</v>
      </c>
      <c r="O7622" t="s">
        <v>98</v>
      </c>
      <c r="P7622" t="s">
        <v>103</v>
      </c>
      <c r="Q7622" t="s">
        <v>103</v>
      </c>
    </row>
    <row r="7623" spans="1:17" x14ac:dyDescent="0.3">
      <c r="A7623" t="s">
        <v>26</v>
      </c>
      <c r="B7623" t="s">
        <v>2183</v>
      </c>
      <c r="C7623">
        <v>62</v>
      </c>
      <c r="D7623" t="s">
        <v>103</v>
      </c>
      <c r="E7623" t="s">
        <v>775</v>
      </c>
      <c r="F7623" t="s">
        <v>103</v>
      </c>
      <c r="G7623" t="s">
        <v>1319</v>
      </c>
      <c r="H7623" t="s">
        <v>103</v>
      </c>
      <c r="I7623" t="s">
        <v>103</v>
      </c>
      <c r="J7623" t="s">
        <v>103</v>
      </c>
      <c r="K7623" t="s">
        <v>103</v>
      </c>
      <c r="L7623" t="s">
        <v>345</v>
      </c>
      <c r="M7623" t="s">
        <v>103</v>
      </c>
      <c r="N7623" t="s">
        <v>103</v>
      </c>
      <c r="O7623" t="s">
        <v>103</v>
      </c>
      <c r="P7623" t="s">
        <v>103</v>
      </c>
      <c r="Q7623" t="s">
        <v>103</v>
      </c>
    </row>
    <row r="7624" spans="1:17" x14ac:dyDescent="0.3">
      <c r="A7624" t="s">
        <v>26</v>
      </c>
      <c r="B7624" t="s">
        <v>2184</v>
      </c>
      <c r="C7624">
        <v>41</v>
      </c>
      <c r="D7624" t="s">
        <v>103</v>
      </c>
      <c r="E7624" t="s">
        <v>870</v>
      </c>
      <c r="F7624" t="s">
        <v>329</v>
      </c>
      <c r="G7624" t="s">
        <v>115</v>
      </c>
      <c r="H7624" t="s">
        <v>103</v>
      </c>
      <c r="I7624" t="s">
        <v>125</v>
      </c>
      <c r="J7624" t="s">
        <v>329</v>
      </c>
      <c r="K7624" t="s">
        <v>103</v>
      </c>
      <c r="L7624" t="s">
        <v>103</v>
      </c>
      <c r="M7624" t="s">
        <v>103</v>
      </c>
      <c r="N7624" t="s">
        <v>103</v>
      </c>
      <c r="O7624" t="s">
        <v>103</v>
      </c>
      <c r="P7624" t="s">
        <v>103</v>
      </c>
      <c r="Q7624" t="s">
        <v>103</v>
      </c>
    </row>
    <row r="7625" spans="1:17" x14ac:dyDescent="0.3">
      <c r="A7625" t="s">
        <v>29</v>
      </c>
      <c r="B7625" t="s">
        <v>844</v>
      </c>
      <c r="C7625">
        <v>34</v>
      </c>
      <c r="D7625" t="s">
        <v>103</v>
      </c>
      <c r="E7625" t="s">
        <v>151</v>
      </c>
      <c r="F7625" t="s">
        <v>103</v>
      </c>
      <c r="G7625" t="s">
        <v>150</v>
      </c>
      <c r="H7625" t="s">
        <v>103</v>
      </c>
      <c r="I7625" t="s">
        <v>103</v>
      </c>
      <c r="J7625" t="s">
        <v>103</v>
      </c>
      <c r="K7625" t="s">
        <v>103</v>
      </c>
      <c r="L7625" t="s">
        <v>103</v>
      </c>
      <c r="M7625" t="s">
        <v>103</v>
      </c>
      <c r="N7625" t="s">
        <v>103</v>
      </c>
      <c r="O7625" t="s">
        <v>103</v>
      </c>
      <c r="P7625" t="s">
        <v>103</v>
      </c>
      <c r="Q7625" t="s">
        <v>103</v>
      </c>
    </row>
    <row r="7626" spans="1:17" x14ac:dyDescent="0.3">
      <c r="A7626" t="s">
        <v>29</v>
      </c>
      <c r="B7626" t="s">
        <v>2173</v>
      </c>
      <c r="C7626">
        <v>56</v>
      </c>
      <c r="D7626" t="s">
        <v>341</v>
      </c>
      <c r="E7626" t="s">
        <v>760</v>
      </c>
      <c r="F7626" t="s">
        <v>100</v>
      </c>
      <c r="G7626" t="s">
        <v>254</v>
      </c>
      <c r="H7626" t="s">
        <v>103</v>
      </c>
      <c r="I7626" t="s">
        <v>103</v>
      </c>
      <c r="J7626" t="s">
        <v>103</v>
      </c>
      <c r="K7626" t="s">
        <v>103</v>
      </c>
      <c r="L7626" t="s">
        <v>103</v>
      </c>
      <c r="M7626" t="s">
        <v>103</v>
      </c>
      <c r="N7626" t="s">
        <v>103</v>
      </c>
      <c r="O7626" t="s">
        <v>100</v>
      </c>
      <c r="P7626" t="s">
        <v>103</v>
      </c>
      <c r="Q7626" t="s">
        <v>103</v>
      </c>
    </row>
    <row r="7627" spans="1:17" x14ac:dyDescent="0.3">
      <c r="A7627" t="s">
        <v>29</v>
      </c>
      <c r="B7627" t="s">
        <v>2174</v>
      </c>
      <c r="C7627">
        <v>35</v>
      </c>
      <c r="D7627" t="s">
        <v>103</v>
      </c>
      <c r="E7627" t="s">
        <v>841</v>
      </c>
      <c r="F7627" t="s">
        <v>103</v>
      </c>
      <c r="G7627" t="s">
        <v>615</v>
      </c>
      <c r="H7627" t="s">
        <v>282</v>
      </c>
      <c r="I7627" t="s">
        <v>103</v>
      </c>
      <c r="J7627" t="s">
        <v>194</v>
      </c>
      <c r="K7627" t="s">
        <v>103</v>
      </c>
      <c r="L7627" t="s">
        <v>103</v>
      </c>
      <c r="M7627" t="s">
        <v>282</v>
      </c>
      <c r="N7627" t="s">
        <v>103</v>
      </c>
      <c r="O7627" t="s">
        <v>103</v>
      </c>
      <c r="P7627" t="s">
        <v>103</v>
      </c>
      <c r="Q7627" t="s">
        <v>103</v>
      </c>
    </row>
    <row r="7628" spans="1:17" s="3" customFormat="1" x14ac:dyDescent="0.3">
      <c r="A7628" s="3" t="s">
        <v>29</v>
      </c>
      <c r="B7628" s="3" t="s">
        <v>2175</v>
      </c>
      <c r="C7628" s="3">
        <v>14</v>
      </c>
      <c r="D7628" s="3" t="s">
        <v>56</v>
      </c>
      <c r="E7628" s="3" t="s">
        <v>1136</v>
      </c>
      <c r="F7628" s="3" t="s">
        <v>103</v>
      </c>
      <c r="G7628" s="3" t="s">
        <v>60</v>
      </c>
      <c r="H7628" s="3" t="s">
        <v>103</v>
      </c>
      <c r="I7628" s="3" t="s">
        <v>103</v>
      </c>
      <c r="J7628" s="3" t="s">
        <v>103</v>
      </c>
      <c r="K7628" s="3" t="s">
        <v>103</v>
      </c>
      <c r="L7628" s="3" t="s">
        <v>103</v>
      </c>
      <c r="M7628" s="3" t="s">
        <v>103</v>
      </c>
      <c r="N7628" s="3" t="s">
        <v>103</v>
      </c>
      <c r="O7628" s="3" t="s">
        <v>103</v>
      </c>
      <c r="P7628" s="3" t="s">
        <v>103</v>
      </c>
      <c r="Q7628" s="3" t="s">
        <v>103</v>
      </c>
    </row>
    <row r="7629" spans="1:17" x14ac:dyDescent="0.3">
      <c r="A7629" t="s">
        <v>29</v>
      </c>
      <c r="B7629" t="s">
        <v>2176</v>
      </c>
      <c r="C7629">
        <v>173</v>
      </c>
      <c r="D7629" t="s">
        <v>97</v>
      </c>
      <c r="E7629" t="s">
        <v>276</v>
      </c>
      <c r="F7629" t="s">
        <v>341</v>
      </c>
      <c r="G7629" t="s">
        <v>528</v>
      </c>
      <c r="H7629" t="s">
        <v>103</v>
      </c>
      <c r="I7629" t="s">
        <v>103</v>
      </c>
      <c r="J7629" t="s">
        <v>103</v>
      </c>
      <c r="K7629" t="s">
        <v>103</v>
      </c>
      <c r="L7629" t="s">
        <v>103</v>
      </c>
      <c r="M7629" t="s">
        <v>103</v>
      </c>
      <c r="N7629" t="s">
        <v>103</v>
      </c>
      <c r="O7629" t="s">
        <v>139</v>
      </c>
      <c r="P7629" t="s">
        <v>103</v>
      </c>
      <c r="Q7629" t="s">
        <v>103</v>
      </c>
    </row>
    <row r="7630" spans="1:17" x14ac:dyDescent="0.3">
      <c r="A7630" t="s">
        <v>29</v>
      </c>
      <c r="B7630" t="s">
        <v>2177</v>
      </c>
      <c r="C7630">
        <v>129</v>
      </c>
      <c r="D7630" t="s">
        <v>257</v>
      </c>
      <c r="E7630" t="s">
        <v>1017</v>
      </c>
      <c r="F7630" t="s">
        <v>32</v>
      </c>
      <c r="G7630" t="s">
        <v>672</v>
      </c>
      <c r="H7630" t="s">
        <v>139</v>
      </c>
      <c r="I7630" t="s">
        <v>103</v>
      </c>
      <c r="J7630" t="s">
        <v>103</v>
      </c>
      <c r="K7630" t="s">
        <v>103</v>
      </c>
      <c r="L7630" t="s">
        <v>103</v>
      </c>
      <c r="M7630" t="s">
        <v>103</v>
      </c>
      <c r="N7630" t="s">
        <v>103</v>
      </c>
      <c r="O7630" t="s">
        <v>103</v>
      </c>
      <c r="P7630" t="s">
        <v>103</v>
      </c>
      <c r="Q7630" t="s">
        <v>103</v>
      </c>
    </row>
    <row r="7631" spans="1:17" x14ac:dyDescent="0.3">
      <c r="A7631" t="s">
        <v>29</v>
      </c>
      <c r="B7631" t="s">
        <v>2178</v>
      </c>
      <c r="C7631">
        <v>159</v>
      </c>
      <c r="D7631" t="s">
        <v>95</v>
      </c>
      <c r="E7631" t="s">
        <v>1305</v>
      </c>
      <c r="F7631" t="s">
        <v>68</v>
      </c>
      <c r="G7631" t="s">
        <v>1023</v>
      </c>
      <c r="H7631" t="s">
        <v>95</v>
      </c>
      <c r="I7631" t="s">
        <v>103</v>
      </c>
      <c r="J7631" t="s">
        <v>194</v>
      </c>
      <c r="K7631" t="s">
        <v>103</v>
      </c>
      <c r="L7631" t="s">
        <v>103</v>
      </c>
      <c r="M7631" t="s">
        <v>329</v>
      </c>
      <c r="N7631" t="s">
        <v>103</v>
      </c>
      <c r="O7631" t="s">
        <v>103</v>
      </c>
      <c r="P7631" t="s">
        <v>103</v>
      </c>
      <c r="Q7631" t="s">
        <v>103</v>
      </c>
    </row>
    <row r="7632" spans="1:17" x14ac:dyDescent="0.3">
      <c r="A7632" t="s">
        <v>29</v>
      </c>
      <c r="B7632" t="s">
        <v>846</v>
      </c>
      <c r="C7632">
        <v>39</v>
      </c>
      <c r="D7632" t="s">
        <v>103</v>
      </c>
      <c r="E7632" t="s">
        <v>158</v>
      </c>
      <c r="F7632" t="s">
        <v>103</v>
      </c>
      <c r="G7632" t="s">
        <v>157</v>
      </c>
      <c r="H7632" t="s">
        <v>103</v>
      </c>
      <c r="I7632" t="s">
        <v>103</v>
      </c>
      <c r="J7632" t="s">
        <v>103</v>
      </c>
      <c r="K7632" t="s">
        <v>103</v>
      </c>
      <c r="L7632" t="s">
        <v>103</v>
      </c>
      <c r="M7632" t="s">
        <v>103</v>
      </c>
      <c r="N7632" t="s">
        <v>103</v>
      </c>
      <c r="O7632" t="s">
        <v>103</v>
      </c>
      <c r="P7632" t="s">
        <v>103</v>
      </c>
      <c r="Q7632" t="s">
        <v>103</v>
      </c>
    </row>
    <row r="7633" spans="1:17" s="3" customFormat="1" x14ac:dyDescent="0.3">
      <c r="A7633" s="3" t="s">
        <v>29</v>
      </c>
      <c r="B7633" s="3" t="s">
        <v>2179</v>
      </c>
      <c r="C7633" s="3">
        <v>30</v>
      </c>
      <c r="D7633" s="3" t="s">
        <v>68</v>
      </c>
      <c r="E7633" s="3" t="s">
        <v>590</v>
      </c>
      <c r="F7633" s="3" t="s">
        <v>103</v>
      </c>
      <c r="G7633" s="3" t="s">
        <v>32</v>
      </c>
      <c r="H7633" s="3" t="s">
        <v>103</v>
      </c>
      <c r="I7633" s="3" t="s">
        <v>103</v>
      </c>
      <c r="J7633" s="3" t="s">
        <v>103</v>
      </c>
      <c r="K7633" s="3" t="s">
        <v>103</v>
      </c>
      <c r="L7633" s="3" t="s">
        <v>103</v>
      </c>
      <c r="M7633" s="3" t="s">
        <v>103</v>
      </c>
      <c r="N7633" s="3" t="s">
        <v>103</v>
      </c>
      <c r="O7633" s="3" t="s">
        <v>103</v>
      </c>
      <c r="P7633" s="3" t="s">
        <v>103</v>
      </c>
      <c r="Q7633" s="3" t="s">
        <v>103</v>
      </c>
    </row>
    <row r="7634" spans="1:17" s="3" customFormat="1" x14ac:dyDescent="0.3">
      <c r="A7634" s="3" t="s">
        <v>29</v>
      </c>
      <c r="B7634" s="3" t="s">
        <v>2180</v>
      </c>
      <c r="C7634" s="3">
        <v>21</v>
      </c>
      <c r="D7634" s="3" t="s">
        <v>186</v>
      </c>
      <c r="E7634" s="3" t="s">
        <v>187</v>
      </c>
      <c r="F7634" s="3" t="s">
        <v>103</v>
      </c>
      <c r="G7634" s="3" t="s">
        <v>33</v>
      </c>
      <c r="H7634" s="3" t="s">
        <v>493</v>
      </c>
      <c r="I7634" s="3" t="s">
        <v>103</v>
      </c>
      <c r="J7634" s="3" t="s">
        <v>103</v>
      </c>
      <c r="K7634" s="3" t="s">
        <v>103</v>
      </c>
      <c r="L7634" s="3" t="s">
        <v>103</v>
      </c>
      <c r="M7634" s="3" t="s">
        <v>103</v>
      </c>
      <c r="N7634" s="3" t="s">
        <v>103</v>
      </c>
      <c r="O7634" s="3" t="s">
        <v>103</v>
      </c>
      <c r="P7634" s="3" t="s">
        <v>103</v>
      </c>
      <c r="Q7634" s="3" t="s">
        <v>103</v>
      </c>
    </row>
    <row r="7635" spans="1:17" s="3" customFormat="1" x14ac:dyDescent="0.3">
      <c r="A7635" s="3" t="s">
        <v>29</v>
      </c>
      <c r="B7635" s="3" t="s">
        <v>2181</v>
      </c>
      <c r="C7635" s="3">
        <v>14</v>
      </c>
      <c r="D7635" s="3" t="s">
        <v>103</v>
      </c>
      <c r="E7635" s="3" t="s">
        <v>192</v>
      </c>
      <c r="F7635" s="3" t="s">
        <v>103</v>
      </c>
      <c r="G7635" s="3" t="s">
        <v>103</v>
      </c>
      <c r="H7635" s="3" t="s">
        <v>103</v>
      </c>
      <c r="I7635" s="3" t="s">
        <v>103</v>
      </c>
      <c r="J7635" s="3" t="s">
        <v>103</v>
      </c>
      <c r="K7635" s="3" t="s">
        <v>103</v>
      </c>
      <c r="L7635" s="3" t="s">
        <v>103</v>
      </c>
      <c r="M7635" s="3" t="s">
        <v>103</v>
      </c>
      <c r="N7635" s="3" t="s">
        <v>103</v>
      </c>
      <c r="O7635" s="3" t="s">
        <v>103</v>
      </c>
      <c r="P7635" s="3" t="s">
        <v>103</v>
      </c>
      <c r="Q7635" s="3" t="s">
        <v>103</v>
      </c>
    </row>
    <row r="7636" spans="1:17" x14ac:dyDescent="0.3">
      <c r="A7636" t="s">
        <v>29</v>
      </c>
      <c r="B7636" t="s">
        <v>2182</v>
      </c>
      <c r="C7636">
        <v>65</v>
      </c>
      <c r="D7636" t="s">
        <v>103</v>
      </c>
      <c r="E7636" t="s">
        <v>944</v>
      </c>
      <c r="F7636" t="s">
        <v>66</v>
      </c>
      <c r="G7636" t="s">
        <v>574</v>
      </c>
      <c r="H7636" t="s">
        <v>120</v>
      </c>
      <c r="I7636" t="s">
        <v>194</v>
      </c>
      <c r="J7636" t="s">
        <v>103</v>
      </c>
      <c r="K7636" t="s">
        <v>103</v>
      </c>
      <c r="L7636" t="s">
        <v>103</v>
      </c>
      <c r="M7636" t="s">
        <v>245</v>
      </c>
      <c r="N7636" t="s">
        <v>103</v>
      </c>
      <c r="O7636" t="s">
        <v>216</v>
      </c>
      <c r="P7636" t="s">
        <v>103</v>
      </c>
      <c r="Q7636" t="s">
        <v>103</v>
      </c>
    </row>
    <row r="7637" spans="1:17" x14ac:dyDescent="0.3">
      <c r="A7637" t="s">
        <v>29</v>
      </c>
      <c r="B7637" t="s">
        <v>2183</v>
      </c>
      <c r="C7637">
        <v>53</v>
      </c>
      <c r="D7637" t="s">
        <v>329</v>
      </c>
      <c r="E7637" t="s">
        <v>2104</v>
      </c>
      <c r="F7637" t="s">
        <v>94</v>
      </c>
      <c r="G7637" t="s">
        <v>62</v>
      </c>
      <c r="H7637" t="s">
        <v>245</v>
      </c>
      <c r="I7637" t="s">
        <v>103</v>
      </c>
      <c r="J7637" t="s">
        <v>103</v>
      </c>
      <c r="K7637" t="s">
        <v>103</v>
      </c>
      <c r="L7637" t="s">
        <v>103</v>
      </c>
      <c r="M7637" t="s">
        <v>103</v>
      </c>
      <c r="N7637" t="s">
        <v>103</v>
      </c>
      <c r="O7637" t="s">
        <v>103</v>
      </c>
      <c r="P7637" t="s">
        <v>103</v>
      </c>
      <c r="Q7637" t="s">
        <v>103</v>
      </c>
    </row>
    <row r="7638" spans="1:17" x14ac:dyDescent="0.3">
      <c r="A7638" t="s">
        <v>29</v>
      </c>
      <c r="B7638" t="s">
        <v>2184</v>
      </c>
      <c r="C7638">
        <v>50</v>
      </c>
      <c r="D7638" t="s">
        <v>128</v>
      </c>
      <c r="E7638" t="s">
        <v>895</v>
      </c>
      <c r="F7638" t="s">
        <v>662</v>
      </c>
      <c r="G7638" t="s">
        <v>568</v>
      </c>
      <c r="H7638" t="s">
        <v>103</v>
      </c>
      <c r="I7638" t="s">
        <v>103</v>
      </c>
      <c r="J7638" t="s">
        <v>216</v>
      </c>
      <c r="K7638" t="s">
        <v>103</v>
      </c>
      <c r="L7638" t="s">
        <v>103</v>
      </c>
      <c r="M7638" t="s">
        <v>103</v>
      </c>
      <c r="N7638" t="s">
        <v>103</v>
      </c>
      <c r="O7638" t="s">
        <v>103</v>
      </c>
      <c r="P7638" t="s">
        <v>103</v>
      </c>
      <c r="Q7638" t="s">
        <v>103</v>
      </c>
    </row>
    <row r="7639" spans="1:17" s="3" customFormat="1" x14ac:dyDescent="0.3">
      <c r="A7639" s="3" t="s">
        <v>28</v>
      </c>
      <c r="B7639" s="3" t="s">
        <v>844</v>
      </c>
      <c r="C7639" s="3">
        <v>11</v>
      </c>
      <c r="D7639" s="3" t="s">
        <v>103</v>
      </c>
      <c r="E7639" s="3" t="s">
        <v>944</v>
      </c>
      <c r="F7639" s="3" t="s">
        <v>103</v>
      </c>
      <c r="G7639" s="3" t="s">
        <v>103</v>
      </c>
      <c r="H7639" s="3" t="s">
        <v>652</v>
      </c>
      <c r="I7639" s="3" t="s">
        <v>472</v>
      </c>
      <c r="J7639" s="3" t="s">
        <v>103</v>
      </c>
      <c r="K7639" s="3" t="s">
        <v>103</v>
      </c>
      <c r="L7639" s="3" t="s">
        <v>103</v>
      </c>
      <c r="M7639" s="3" t="s">
        <v>103</v>
      </c>
      <c r="N7639" s="3" t="s">
        <v>103</v>
      </c>
      <c r="O7639" s="3" t="s">
        <v>103</v>
      </c>
      <c r="P7639" s="3" t="s">
        <v>103</v>
      </c>
      <c r="Q7639" s="3" t="s">
        <v>103</v>
      </c>
    </row>
    <row r="7640" spans="1:17" s="3" customFormat="1" x14ac:dyDescent="0.3">
      <c r="A7640" s="3" t="s">
        <v>28</v>
      </c>
      <c r="B7640" s="3" t="s">
        <v>2173</v>
      </c>
      <c r="C7640" s="3">
        <v>2</v>
      </c>
      <c r="D7640" s="3" t="s">
        <v>103</v>
      </c>
      <c r="E7640" s="3" t="s">
        <v>192</v>
      </c>
      <c r="F7640" s="3" t="s">
        <v>103</v>
      </c>
      <c r="G7640" s="3" t="s">
        <v>103</v>
      </c>
      <c r="H7640" s="3" t="s">
        <v>103</v>
      </c>
      <c r="I7640" s="3" t="s">
        <v>103</v>
      </c>
      <c r="J7640" s="3" t="s">
        <v>103</v>
      </c>
      <c r="K7640" s="3" t="s">
        <v>103</v>
      </c>
      <c r="L7640" s="3" t="s">
        <v>103</v>
      </c>
      <c r="M7640" s="3" t="s">
        <v>103</v>
      </c>
      <c r="N7640" s="3" t="s">
        <v>103</v>
      </c>
      <c r="O7640" s="3" t="s">
        <v>103</v>
      </c>
      <c r="P7640" s="3" t="s">
        <v>103</v>
      </c>
      <c r="Q7640" s="3" t="s">
        <v>103</v>
      </c>
    </row>
    <row r="7641" spans="1:17" s="3" customFormat="1" x14ac:dyDescent="0.3">
      <c r="A7641" s="3" t="s">
        <v>28</v>
      </c>
      <c r="B7641" s="3" t="s">
        <v>2174</v>
      </c>
      <c r="C7641" s="3">
        <v>3</v>
      </c>
      <c r="D7641" s="3" t="s">
        <v>103</v>
      </c>
      <c r="E7641" s="3" t="s">
        <v>192</v>
      </c>
      <c r="F7641" s="3" t="s">
        <v>103</v>
      </c>
      <c r="G7641" s="3" t="s">
        <v>103</v>
      </c>
      <c r="H7641" s="3" t="s">
        <v>103</v>
      </c>
      <c r="I7641" s="3" t="s">
        <v>103</v>
      </c>
      <c r="J7641" s="3" t="s">
        <v>103</v>
      </c>
      <c r="K7641" s="3" t="s">
        <v>103</v>
      </c>
      <c r="L7641" s="3" t="s">
        <v>103</v>
      </c>
      <c r="M7641" s="3" t="s">
        <v>103</v>
      </c>
      <c r="N7641" s="3" t="s">
        <v>103</v>
      </c>
      <c r="O7641" s="3" t="s">
        <v>103</v>
      </c>
      <c r="P7641" s="3" t="s">
        <v>103</v>
      </c>
      <c r="Q7641" s="3" t="s">
        <v>103</v>
      </c>
    </row>
    <row r="7642" spans="1:17" s="3" customFormat="1" x14ac:dyDescent="0.3">
      <c r="A7642" s="3" t="s">
        <v>28</v>
      </c>
      <c r="B7642" s="3" t="s">
        <v>2175</v>
      </c>
      <c r="C7642" s="3">
        <v>14</v>
      </c>
      <c r="D7642" s="3" t="s">
        <v>103</v>
      </c>
      <c r="E7642" s="3" t="s">
        <v>1173</v>
      </c>
      <c r="F7642" s="3" t="s">
        <v>103</v>
      </c>
      <c r="G7642" s="3" t="s">
        <v>107</v>
      </c>
      <c r="H7642" s="3" t="s">
        <v>103</v>
      </c>
      <c r="I7642" s="3" t="s">
        <v>103</v>
      </c>
      <c r="J7642" s="3" t="s">
        <v>103</v>
      </c>
      <c r="K7642" s="3" t="s">
        <v>103</v>
      </c>
      <c r="L7642" s="3" t="s">
        <v>103</v>
      </c>
      <c r="M7642" s="3" t="s">
        <v>103</v>
      </c>
      <c r="N7642" s="3" t="s">
        <v>103</v>
      </c>
      <c r="O7642" s="3" t="s">
        <v>103</v>
      </c>
      <c r="P7642" s="3" t="s">
        <v>103</v>
      </c>
      <c r="Q7642" s="3" t="s">
        <v>103</v>
      </c>
    </row>
    <row r="7643" spans="1:17" x14ac:dyDescent="0.3">
      <c r="A7643" t="s">
        <v>28</v>
      </c>
      <c r="B7643" t="s">
        <v>2176</v>
      </c>
      <c r="C7643">
        <v>55</v>
      </c>
      <c r="D7643" t="s">
        <v>103</v>
      </c>
      <c r="E7643" t="s">
        <v>605</v>
      </c>
      <c r="F7643" t="s">
        <v>105</v>
      </c>
      <c r="G7643" t="s">
        <v>474</v>
      </c>
      <c r="H7643" t="s">
        <v>103</v>
      </c>
      <c r="I7643" t="s">
        <v>103</v>
      </c>
      <c r="J7643" t="s">
        <v>103</v>
      </c>
      <c r="K7643" t="s">
        <v>103</v>
      </c>
      <c r="L7643" t="s">
        <v>103</v>
      </c>
      <c r="M7643" t="s">
        <v>103</v>
      </c>
      <c r="N7643" t="s">
        <v>103</v>
      </c>
      <c r="O7643" t="s">
        <v>103</v>
      </c>
      <c r="P7643" t="s">
        <v>103</v>
      </c>
      <c r="Q7643" t="s">
        <v>103</v>
      </c>
    </row>
    <row r="7644" spans="1:17" x14ac:dyDescent="0.3">
      <c r="A7644" t="s">
        <v>28</v>
      </c>
      <c r="B7644" t="s">
        <v>2177</v>
      </c>
      <c r="C7644">
        <v>67</v>
      </c>
      <c r="D7644" t="s">
        <v>103</v>
      </c>
      <c r="E7644" t="s">
        <v>238</v>
      </c>
      <c r="F7644" t="s">
        <v>94</v>
      </c>
      <c r="G7644" t="s">
        <v>162</v>
      </c>
      <c r="H7644" t="s">
        <v>103</v>
      </c>
      <c r="I7644" t="s">
        <v>245</v>
      </c>
      <c r="J7644" t="s">
        <v>103</v>
      </c>
      <c r="K7644" t="s">
        <v>103</v>
      </c>
      <c r="L7644" t="s">
        <v>103</v>
      </c>
      <c r="M7644" t="s">
        <v>103</v>
      </c>
      <c r="N7644" t="s">
        <v>103</v>
      </c>
      <c r="O7644" t="s">
        <v>103</v>
      </c>
      <c r="P7644" t="s">
        <v>103</v>
      </c>
      <c r="Q7644" t="s">
        <v>103</v>
      </c>
    </row>
    <row r="7645" spans="1:17" x14ac:dyDescent="0.3">
      <c r="A7645" t="s">
        <v>28</v>
      </c>
      <c r="B7645" t="s">
        <v>2178</v>
      </c>
      <c r="C7645">
        <v>77</v>
      </c>
      <c r="D7645" t="s">
        <v>103</v>
      </c>
      <c r="E7645" t="s">
        <v>1031</v>
      </c>
      <c r="F7645" t="s">
        <v>194</v>
      </c>
      <c r="G7645" t="s">
        <v>644</v>
      </c>
      <c r="H7645" t="s">
        <v>194</v>
      </c>
      <c r="I7645" t="s">
        <v>607</v>
      </c>
      <c r="J7645" t="s">
        <v>103</v>
      </c>
      <c r="K7645" t="s">
        <v>103</v>
      </c>
      <c r="L7645" t="s">
        <v>194</v>
      </c>
      <c r="M7645" t="s">
        <v>103</v>
      </c>
      <c r="N7645" t="s">
        <v>103</v>
      </c>
      <c r="O7645" t="s">
        <v>103</v>
      </c>
      <c r="P7645" t="s">
        <v>103</v>
      </c>
      <c r="Q7645" t="s">
        <v>103</v>
      </c>
    </row>
    <row r="7646" spans="1:17" s="3" customFormat="1" x14ac:dyDescent="0.3">
      <c r="A7646" s="3" t="s">
        <v>28</v>
      </c>
      <c r="B7646" s="3" t="s">
        <v>846</v>
      </c>
      <c r="C7646" s="3">
        <v>11</v>
      </c>
      <c r="D7646" s="3" t="s">
        <v>103</v>
      </c>
      <c r="E7646" s="3" t="s">
        <v>192</v>
      </c>
      <c r="F7646" s="3" t="s">
        <v>103</v>
      </c>
      <c r="G7646" s="3" t="s">
        <v>103</v>
      </c>
      <c r="H7646" s="3" t="s">
        <v>103</v>
      </c>
      <c r="I7646" s="3" t="s">
        <v>103</v>
      </c>
      <c r="J7646" s="3" t="s">
        <v>103</v>
      </c>
      <c r="K7646" s="3" t="s">
        <v>103</v>
      </c>
      <c r="L7646" s="3" t="s">
        <v>103</v>
      </c>
      <c r="M7646" s="3" t="s">
        <v>103</v>
      </c>
      <c r="N7646" s="3" t="s">
        <v>103</v>
      </c>
      <c r="O7646" s="3" t="s">
        <v>103</v>
      </c>
      <c r="P7646" s="3" t="s">
        <v>103</v>
      </c>
      <c r="Q7646" s="3" t="s">
        <v>103</v>
      </c>
    </row>
    <row r="7647" spans="1:17" s="3" customFormat="1" x14ac:dyDescent="0.3">
      <c r="A7647" s="3" t="s">
        <v>28</v>
      </c>
      <c r="B7647" s="3" t="s">
        <v>2179</v>
      </c>
      <c r="C7647" s="3">
        <v>10</v>
      </c>
      <c r="D7647" s="3" t="s">
        <v>103</v>
      </c>
      <c r="E7647" s="3" t="s">
        <v>1501</v>
      </c>
      <c r="F7647" s="3" t="s">
        <v>103</v>
      </c>
      <c r="G7647" s="3" t="s">
        <v>460</v>
      </c>
      <c r="H7647" s="3" t="s">
        <v>103</v>
      </c>
      <c r="I7647" s="3" t="s">
        <v>103</v>
      </c>
      <c r="J7647" s="3" t="s">
        <v>103</v>
      </c>
      <c r="K7647" s="3" t="s">
        <v>103</v>
      </c>
      <c r="L7647" s="3" t="s">
        <v>103</v>
      </c>
      <c r="M7647" s="3" t="s">
        <v>103</v>
      </c>
      <c r="N7647" s="3" t="s">
        <v>103</v>
      </c>
      <c r="O7647" s="3" t="s">
        <v>103</v>
      </c>
      <c r="P7647" s="3" t="s">
        <v>103</v>
      </c>
      <c r="Q7647" s="3" t="s">
        <v>103</v>
      </c>
    </row>
    <row r="7648" spans="1:17" s="3" customFormat="1" x14ac:dyDescent="0.3">
      <c r="A7648" s="3" t="s">
        <v>28</v>
      </c>
      <c r="B7648" s="3" t="s">
        <v>2180</v>
      </c>
      <c r="C7648" s="3">
        <v>6</v>
      </c>
      <c r="D7648" s="3" t="s">
        <v>103</v>
      </c>
      <c r="E7648" s="3" t="s">
        <v>747</v>
      </c>
      <c r="F7648" s="3" t="s">
        <v>103</v>
      </c>
      <c r="G7648" s="3" t="s">
        <v>746</v>
      </c>
      <c r="H7648" s="3" t="s">
        <v>103</v>
      </c>
      <c r="I7648" s="3" t="s">
        <v>103</v>
      </c>
      <c r="J7648" s="3" t="s">
        <v>103</v>
      </c>
      <c r="K7648" s="3" t="s">
        <v>103</v>
      </c>
      <c r="L7648" s="3" t="s">
        <v>103</v>
      </c>
      <c r="M7648" s="3" t="s">
        <v>103</v>
      </c>
      <c r="N7648" s="3" t="s">
        <v>103</v>
      </c>
      <c r="O7648" s="3" t="s">
        <v>103</v>
      </c>
      <c r="P7648" s="3" t="s">
        <v>103</v>
      </c>
      <c r="Q7648" s="3" t="s">
        <v>103</v>
      </c>
    </row>
    <row r="7649" spans="1:17" s="3" customFormat="1" x14ac:dyDescent="0.3">
      <c r="A7649" s="3" t="s">
        <v>28</v>
      </c>
      <c r="B7649" s="3" t="s">
        <v>2181</v>
      </c>
      <c r="C7649" s="3">
        <v>11</v>
      </c>
      <c r="D7649" s="3" t="s">
        <v>254</v>
      </c>
      <c r="E7649" s="3" t="s">
        <v>598</v>
      </c>
      <c r="F7649" s="3" t="s">
        <v>103</v>
      </c>
      <c r="G7649" s="3" t="s">
        <v>103</v>
      </c>
      <c r="H7649" s="3" t="s">
        <v>103</v>
      </c>
      <c r="I7649" s="3" t="s">
        <v>103</v>
      </c>
      <c r="J7649" s="3" t="s">
        <v>103</v>
      </c>
      <c r="K7649" s="3" t="s">
        <v>103</v>
      </c>
      <c r="L7649" s="3" t="s">
        <v>103</v>
      </c>
      <c r="M7649" s="3" t="s">
        <v>103</v>
      </c>
      <c r="N7649" s="3" t="s">
        <v>103</v>
      </c>
      <c r="O7649" s="3" t="s">
        <v>103</v>
      </c>
      <c r="P7649" s="3" t="s">
        <v>103</v>
      </c>
      <c r="Q7649" s="3" t="s">
        <v>103</v>
      </c>
    </row>
    <row r="7650" spans="1:17" s="3" customFormat="1" x14ac:dyDescent="0.3">
      <c r="A7650" s="3" t="s">
        <v>28</v>
      </c>
      <c r="B7650" s="3" t="s">
        <v>2182</v>
      </c>
      <c r="C7650" s="3">
        <v>25</v>
      </c>
      <c r="D7650" s="3" t="s">
        <v>103</v>
      </c>
      <c r="E7650" s="3" t="s">
        <v>1373</v>
      </c>
      <c r="F7650" s="3" t="s">
        <v>113</v>
      </c>
      <c r="G7650" s="3" t="s">
        <v>507</v>
      </c>
      <c r="H7650" s="3" t="s">
        <v>103</v>
      </c>
      <c r="I7650" s="3" t="s">
        <v>103</v>
      </c>
      <c r="J7650" s="3" t="s">
        <v>103</v>
      </c>
      <c r="K7650" s="3" t="s">
        <v>103</v>
      </c>
      <c r="L7650" s="3" t="s">
        <v>103</v>
      </c>
      <c r="M7650" s="3" t="s">
        <v>103</v>
      </c>
      <c r="N7650" s="3" t="s">
        <v>103</v>
      </c>
      <c r="O7650" s="3" t="s">
        <v>103</v>
      </c>
      <c r="P7650" s="3" t="s">
        <v>103</v>
      </c>
      <c r="Q7650" s="3" t="s">
        <v>103</v>
      </c>
    </row>
    <row r="7651" spans="1:17" x14ac:dyDescent="0.3">
      <c r="A7651" t="s">
        <v>28</v>
      </c>
      <c r="B7651" t="s">
        <v>2183</v>
      </c>
      <c r="C7651">
        <v>36</v>
      </c>
      <c r="D7651" t="s">
        <v>103</v>
      </c>
      <c r="E7651" t="s">
        <v>187</v>
      </c>
      <c r="F7651" t="s">
        <v>103</v>
      </c>
      <c r="G7651" t="s">
        <v>130</v>
      </c>
      <c r="H7651" t="s">
        <v>103</v>
      </c>
      <c r="I7651" t="s">
        <v>68</v>
      </c>
      <c r="J7651" t="s">
        <v>103</v>
      </c>
      <c r="K7651" t="s">
        <v>103</v>
      </c>
      <c r="L7651" t="s">
        <v>103</v>
      </c>
      <c r="M7651" t="s">
        <v>103</v>
      </c>
      <c r="N7651" t="s">
        <v>103</v>
      </c>
      <c r="O7651" t="s">
        <v>103</v>
      </c>
      <c r="P7651" t="s">
        <v>103</v>
      </c>
      <c r="Q7651" t="s">
        <v>103</v>
      </c>
    </row>
    <row r="7652" spans="1:17" s="3" customFormat="1" x14ac:dyDescent="0.3">
      <c r="A7652" s="3" t="s">
        <v>28</v>
      </c>
      <c r="B7652" s="3" t="s">
        <v>2184</v>
      </c>
      <c r="C7652" s="3">
        <v>23</v>
      </c>
      <c r="D7652" s="3" t="s">
        <v>103</v>
      </c>
      <c r="E7652" s="3" t="s">
        <v>1222</v>
      </c>
      <c r="F7652" s="3" t="s">
        <v>103</v>
      </c>
      <c r="G7652" s="3" t="s">
        <v>539</v>
      </c>
      <c r="H7652" s="3" t="s">
        <v>103</v>
      </c>
      <c r="I7652" s="3" t="s">
        <v>123</v>
      </c>
      <c r="J7652" s="3" t="s">
        <v>103</v>
      </c>
      <c r="K7652" s="3" t="s">
        <v>103</v>
      </c>
      <c r="L7652" s="3" t="s">
        <v>103</v>
      </c>
      <c r="M7652" s="3" t="s">
        <v>103</v>
      </c>
      <c r="N7652" s="3" t="s">
        <v>103</v>
      </c>
      <c r="O7652" s="3" t="s">
        <v>103</v>
      </c>
      <c r="P7652" s="3" t="s">
        <v>103</v>
      </c>
      <c r="Q7652" s="3" t="s">
        <v>103</v>
      </c>
    </row>
    <row r="7653" spans="1:17" s="3" customFormat="1" x14ac:dyDescent="0.3">
      <c r="A7653" s="3" t="s">
        <v>27</v>
      </c>
      <c r="B7653" s="3" t="s">
        <v>844</v>
      </c>
      <c r="C7653" s="3">
        <v>9</v>
      </c>
      <c r="D7653" s="3" t="s">
        <v>103</v>
      </c>
      <c r="E7653" s="3" t="s">
        <v>170</v>
      </c>
      <c r="F7653" s="3" t="s">
        <v>169</v>
      </c>
      <c r="G7653" s="3" t="s">
        <v>169</v>
      </c>
      <c r="H7653" s="3" t="s">
        <v>103</v>
      </c>
      <c r="I7653" s="3" t="s">
        <v>103</v>
      </c>
      <c r="J7653" s="3" t="s">
        <v>103</v>
      </c>
      <c r="K7653" s="3" t="s">
        <v>103</v>
      </c>
      <c r="L7653" s="3" t="s">
        <v>103</v>
      </c>
      <c r="M7653" s="3" t="s">
        <v>103</v>
      </c>
      <c r="N7653" s="3" t="s">
        <v>103</v>
      </c>
      <c r="O7653" s="3" t="s">
        <v>103</v>
      </c>
      <c r="P7653" s="3" t="s">
        <v>103</v>
      </c>
      <c r="Q7653" s="3" t="s">
        <v>103</v>
      </c>
    </row>
    <row r="7654" spans="1:17" s="3" customFormat="1" x14ac:dyDescent="0.3">
      <c r="A7654" s="3" t="s">
        <v>27</v>
      </c>
      <c r="B7654" s="3" t="s">
        <v>2173</v>
      </c>
      <c r="C7654" s="3">
        <v>5</v>
      </c>
      <c r="D7654" s="3" t="s">
        <v>103</v>
      </c>
      <c r="E7654" s="3" t="s">
        <v>192</v>
      </c>
      <c r="F7654" s="3" t="s">
        <v>103</v>
      </c>
      <c r="G7654" s="3" t="s">
        <v>814</v>
      </c>
      <c r="H7654" s="3" t="s">
        <v>103</v>
      </c>
      <c r="I7654" s="3" t="s">
        <v>103</v>
      </c>
      <c r="J7654" s="3" t="s">
        <v>103</v>
      </c>
      <c r="K7654" s="3" t="s">
        <v>103</v>
      </c>
      <c r="L7654" s="3" t="s">
        <v>103</v>
      </c>
      <c r="M7654" s="3" t="s">
        <v>103</v>
      </c>
      <c r="N7654" s="3" t="s">
        <v>103</v>
      </c>
      <c r="O7654" s="3" t="s">
        <v>103</v>
      </c>
      <c r="P7654" s="3" t="s">
        <v>103</v>
      </c>
      <c r="Q7654" s="3" t="s">
        <v>103</v>
      </c>
    </row>
    <row r="7655" spans="1:17" s="3" customFormat="1" x14ac:dyDescent="0.3">
      <c r="A7655" s="3" t="s">
        <v>27</v>
      </c>
      <c r="B7655" s="3" t="s">
        <v>2174</v>
      </c>
      <c r="C7655" s="3">
        <v>5</v>
      </c>
      <c r="D7655" s="3" t="s">
        <v>103</v>
      </c>
      <c r="E7655" s="3" t="s">
        <v>192</v>
      </c>
      <c r="F7655" s="3" t="s">
        <v>103</v>
      </c>
      <c r="G7655" s="3" t="s">
        <v>103</v>
      </c>
      <c r="H7655" s="3" t="s">
        <v>103</v>
      </c>
      <c r="I7655" s="3" t="s">
        <v>103</v>
      </c>
      <c r="J7655" s="3" t="s">
        <v>103</v>
      </c>
      <c r="K7655" s="3" t="s">
        <v>103</v>
      </c>
      <c r="L7655" s="3" t="s">
        <v>103</v>
      </c>
      <c r="M7655" s="3" t="s">
        <v>103</v>
      </c>
      <c r="N7655" s="3" t="s">
        <v>103</v>
      </c>
      <c r="O7655" s="3" t="s">
        <v>103</v>
      </c>
      <c r="P7655" s="3" t="s">
        <v>103</v>
      </c>
      <c r="Q7655" s="3" t="s">
        <v>103</v>
      </c>
    </row>
    <row r="7656" spans="1:17" s="3" customFormat="1" x14ac:dyDescent="0.3">
      <c r="A7656" s="3" t="s">
        <v>27</v>
      </c>
      <c r="B7656" s="3" t="s">
        <v>2175</v>
      </c>
      <c r="C7656" s="3">
        <v>5</v>
      </c>
      <c r="D7656" s="3" t="s">
        <v>103</v>
      </c>
      <c r="E7656" s="3" t="s">
        <v>1381</v>
      </c>
      <c r="F7656" s="3" t="s">
        <v>30</v>
      </c>
      <c r="G7656" s="3" t="s">
        <v>30</v>
      </c>
      <c r="H7656" s="3" t="s">
        <v>103</v>
      </c>
      <c r="I7656" s="3" t="s">
        <v>30</v>
      </c>
      <c r="J7656" s="3" t="s">
        <v>103</v>
      </c>
      <c r="K7656" s="3" t="s">
        <v>103</v>
      </c>
      <c r="L7656" s="3" t="s">
        <v>103</v>
      </c>
      <c r="M7656" s="3" t="s">
        <v>103</v>
      </c>
      <c r="N7656" s="3" t="s">
        <v>103</v>
      </c>
      <c r="O7656" s="3" t="s">
        <v>103</v>
      </c>
      <c r="P7656" s="3" t="s">
        <v>103</v>
      </c>
      <c r="Q7656" s="3" t="s">
        <v>103</v>
      </c>
    </row>
    <row r="7657" spans="1:17" x14ac:dyDescent="0.3">
      <c r="A7657" t="s">
        <v>27</v>
      </c>
      <c r="B7657" t="s">
        <v>2176</v>
      </c>
      <c r="C7657">
        <v>43</v>
      </c>
      <c r="D7657" t="s">
        <v>208</v>
      </c>
      <c r="E7657" t="s">
        <v>1017</v>
      </c>
      <c r="F7657" t="s">
        <v>33</v>
      </c>
      <c r="G7657" t="s">
        <v>805</v>
      </c>
      <c r="H7657" t="s">
        <v>103</v>
      </c>
      <c r="I7657" t="s">
        <v>103</v>
      </c>
      <c r="J7657" t="s">
        <v>103</v>
      </c>
      <c r="K7657" t="s">
        <v>103</v>
      </c>
      <c r="L7657" t="s">
        <v>103</v>
      </c>
      <c r="M7657" t="s">
        <v>103</v>
      </c>
      <c r="N7657" t="s">
        <v>103</v>
      </c>
      <c r="O7657" t="s">
        <v>103</v>
      </c>
      <c r="P7657" t="s">
        <v>103</v>
      </c>
      <c r="Q7657" t="s">
        <v>103</v>
      </c>
    </row>
    <row r="7658" spans="1:17" x14ac:dyDescent="0.3">
      <c r="A7658" t="s">
        <v>27</v>
      </c>
      <c r="B7658" t="s">
        <v>2177</v>
      </c>
      <c r="C7658">
        <v>59</v>
      </c>
      <c r="D7658" t="s">
        <v>239</v>
      </c>
      <c r="E7658" t="s">
        <v>437</v>
      </c>
      <c r="F7658" t="s">
        <v>194</v>
      </c>
      <c r="G7658" t="s">
        <v>473</v>
      </c>
      <c r="H7658" t="s">
        <v>103</v>
      </c>
      <c r="I7658" t="s">
        <v>194</v>
      </c>
      <c r="J7658" t="s">
        <v>68</v>
      </c>
      <c r="K7658" t="s">
        <v>103</v>
      </c>
      <c r="L7658" t="s">
        <v>103</v>
      </c>
      <c r="M7658" t="s">
        <v>103</v>
      </c>
      <c r="N7658" t="s">
        <v>103</v>
      </c>
      <c r="O7658" t="s">
        <v>103</v>
      </c>
      <c r="P7658" t="s">
        <v>103</v>
      </c>
      <c r="Q7658" t="s">
        <v>103</v>
      </c>
    </row>
    <row r="7659" spans="1:17" x14ac:dyDescent="0.3">
      <c r="A7659" t="s">
        <v>27</v>
      </c>
      <c r="B7659" t="s">
        <v>2178</v>
      </c>
      <c r="C7659">
        <v>113</v>
      </c>
      <c r="D7659" t="s">
        <v>128</v>
      </c>
      <c r="E7659" t="s">
        <v>811</v>
      </c>
      <c r="F7659" t="s">
        <v>493</v>
      </c>
      <c r="G7659" t="s">
        <v>526</v>
      </c>
      <c r="H7659" t="s">
        <v>139</v>
      </c>
      <c r="I7659" t="s">
        <v>105</v>
      </c>
      <c r="J7659" t="s">
        <v>345</v>
      </c>
      <c r="K7659" t="s">
        <v>103</v>
      </c>
      <c r="L7659" t="s">
        <v>103</v>
      </c>
      <c r="M7659" t="s">
        <v>103</v>
      </c>
      <c r="N7659" t="s">
        <v>103</v>
      </c>
      <c r="O7659" t="s">
        <v>282</v>
      </c>
      <c r="P7659" t="s">
        <v>282</v>
      </c>
      <c r="Q7659" t="s">
        <v>103</v>
      </c>
    </row>
    <row r="7660" spans="1:17" s="3" customFormat="1" x14ac:dyDescent="0.3">
      <c r="A7660" s="3" t="s">
        <v>27</v>
      </c>
      <c r="B7660" s="3" t="s">
        <v>846</v>
      </c>
      <c r="C7660" s="3">
        <v>9</v>
      </c>
      <c r="D7660" s="3" t="s">
        <v>103</v>
      </c>
      <c r="E7660" s="3" t="s">
        <v>799</v>
      </c>
      <c r="F7660" s="3" t="s">
        <v>700</v>
      </c>
      <c r="G7660" s="3" t="s">
        <v>231</v>
      </c>
      <c r="H7660" s="3" t="s">
        <v>103</v>
      </c>
      <c r="I7660" s="3" t="s">
        <v>103</v>
      </c>
      <c r="J7660" s="3" t="s">
        <v>103</v>
      </c>
      <c r="K7660" s="3" t="s">
        <v>103</v>
      </c>
      <c r="L7660" s="3" t="s">
        <v>103</v>
      </c>
      <c r="M7660" s="3" t="s">
        <v>103</v>
      </c>
      <c r="N7660" s="3" t="s">
        <v>103</v>
      </c>
      <c r="O7660" s="3" t="s">
        <v>70</v>
      </c>
      <c r="P7660" s="3" t="s">
        <v>103</v>
      </c>
      <c r="Q7660" s="3" t="s">
        <v>103</v>
      </c>
    </row>
    <row r="7661" spans="1:17" s="3" customFormat="1" x14ac:dyDescent="0.3">
      <c r="A7661" s="3" t="s">
        <v>27</v>
      </c>
      <c r="B7661" s="3" t="s">
        <v>2179</v>
      </c>
      <c r="C7661" s="3">
        <v>6</v>
      </c>
      <c r="D7661" s="3" t="s">
        <v>103</v>
      </c>
      <c r="E7661" s="3" t="s">
        <v>1144</v>
      </c>
      <c r="F7661" s="3" t="s">
        <v>103</v>
      </c>
      <c r="G7661" s="3" t="s">
        <v>819</v>
      </c>
      <c r="H7661" s="3" t="s">
        <v>103</v>
      </c>
      <c r="I7661" s="3" t="s">
        <v>103</v>
      </c>
      <c r="J7661" s="3" t="s">
        <v>103</v>
      </c>
      <c r="K7661" s="3" t="s">
        <v>103</v>
      </c>
      <c r="L7661" s="3" t="s">
        <v>103</v>
      </c>
      <c r="M7661" s="3" t="s">
        <v>103</v>
      </c>
      <c r="N7661" s="3" t="s">
        <v>103</v>
      </c>
      <c r="O7661" s="3" t="s">
        <v>103</v>
      </c>
      <c r="P7661" s="3" t="s">
        <v>103</v>
      </c>
      <c r="Q7661" s="3" t="s">
        <v>103</v>
      </c>
    </row>
    <row r="7662" spans="1:17" s="3" customFormat="1" x14ac:dyDescent="0.3">
      <c r="A7662" s="3" t="s">
        <v>27</v>
      </c>
      <c r="B7662" s="3" t="s">
        <v>2180</v>
      </c>
      <c r="C7662" s="3">
        <v>5</v>
      </c>
      <c r="D7662" s="3" t="s">
        <v>103</v>
      </c>
      <c r="E7662" s="3" t="s">
        <v>192</v>
      </c>
      <c r="F7662" s="3" t="s">
        <v>103</v>
      </c>
      <c r="G7662" s="3" t="s">
        <v>103</v>
      </c>
      <c r="H7662" s="3" t="s">
        <v>103</v>
      </c>
      <c r="I7662" s="3" t="s">
        <v>103</v>
      </c>
      <c r="J7662" s="3" t="s">
        <v>103</v>
      </c>
      <c r="K7662" s="3" t="s">
        <v>103</v>
      </c>
      <c r="L7662" s="3" t="s">
        <v>103</v>
      </c>
      <c r="M7662" s="3" t="s">
        <v>103</v>
      </c>
      <c r="N7662" s="3" t="s">
        <v>103</v>
      </c>
      <c r="O7662" s="3" t="s">
        <v>103</v>
      </c>
      <c r="P7662" s="3" t="s">
        <v>103</v>
      </c>
      <c r="Q7662" s="3" t="s">
        <v>103</v>
      </c>
    </row>
    <row r="7663" spans="1:17" s="3" customFormat="1" x14ac:dyDescent="0.3">
      <c r="A7663" s="3" t="s">
        <v>27</v>
      </c>
      <c r="B7663" s="3" t="s">
        <v>2181</v>
      </c>
      <c r="C7663" s="3">
        <v>3</v>
      </c>
      <c r="D7663" s="3" t="s">
        <v>103</v>
      </c>
      <c r="E7663" s="3" t="s">
        <v>192</v>
      </c>
      <c r="F7663" s="3" t="s">
        <v>103</v>
      </c>
      <c r="G7663" s="3" t="s">
        <v>103</v>
      </c>
      <c r="H7663" s="3" t="s">
        <v>103</v>
      </c>
      <c r="I7663" s="3" t="s">
        <v>103</v>
      </c>
      <c r="J7663" s="3" t="s">
        <v>103</v>
      </c>
      <c r="K7663" s="3" t="s">
        <v>103</v>
      </c>
      <c r="L7663" s="3" t="s">
        <v>103</v>
      </c>
      <c r="M7663" s="3" t="s">
        <v>103</v>
      </c>
      <c r="N7663" s="3" t="s">
        <v>103</v>
      </c>
      <c r="O7663" s="3" t="s">
        <v>103</v>
      </c>
      <c r="P7663" s="3" t="s">
        <v>103</v>
      </c>
      <c r="Q7663" s="3" t="s">
        <v>103</v>
      </c>
    </row>
    <row r="7664" spans="1:17" s="3" customFormat="1" x14ac:dyDescent="0.3">
      <c r="A7664" s="3" t="s">
        <v>27</v>
      </c>
      <c r="B7664" s="3" t="s">
        <v>2182</v>
      </c>
      <c r="C7664" s="3">
        <v>18</v>
      </c>
      <c r="D7664" s="3" t="s">
        <v>103</v>
      </c>
      <c r="E7664" s="3" t="s">
        <v>984</v>
      </c>
      <c r="F7664" s="3" t="s">
        <v>103</v>
      </c>
      <c r="G7664" s="3" t="s">
        <v>727</v>
      </c>
      <c r="H7664" s="3" t="s">
        <v>103</v>
      </c>
      <c r="I7664" s="3" t="s">
        <v>103</v>
      </c>
      <c r="J7664" s="3" t="s">
        <v>103</v>
      </c>
      <c r="K7664" s="3" t="s">
        <v>103</v>
      </c>
      <c r="L7664" s="3" t="s">
        <v>103</v>
      </c>
      <c r="M7664" s="3" t="s">
        <v>103</v>
      </c>
      <c r="N7664" s="3" t="s">
        <v>103</v>
      </c>
      <c r="O7664" s="3" t="s">
        <v>103</v>
      </c>
      <c r="P7664" s="3" t="s">
        <v>103</v>
      </c>
      <c r="Q7664" s="3" t="s">
        <v>103</v>
      </c>
    </row>
    <row r="7665" spans="1:17" s="3" customFormat="1" x14ac:dyDescent="0.3">
      <c r="A7665" s="3" t="s">
        <v>27</v>
      </c>
      <c r="B7665" s="3" t="s">
        <v>2183</v>
      </c>
      <c r="C7665" s="3">
        <v>29</v>
      </c>
      <c r="D7665" s="3" t="s">
        <v>103</v>
      </c>
      <c r="E7665" s="3" t="s">
        <v>161</v>
      </c>
      <c r="F7665" s="3" t="s">
        <v>103</v>
      </c>
      <c r="G7665" s="3" t="s">
        <v>56</v>
      </c>
      <c r="H7665" s="3" t="s">
        <v>103</v>
      </c>
      <c r="I7665" s="3" t="s">
        <v>103</v>
      </c>
      <c r="J7665" s="3" t="s">
        <v>103</v>
      </c>
      <c r="K7665" s="3" t="s">
        <v>103</v>
      </c>
      <c r="L7665" s="3" t="s">
        <v>103</v>
      </c>
      <c r="M7665" s="3" t="s">
        <v>103</v>
      </c>
      <c r="N7665" s="3" t="s">
        <v>103</v>
      </c>
      <c r="O7665" s="3" t="s">
        <v>103</v>
      </c>
      <c r="P7665" s="3" t="s">
        <v>103</v>
      </c>
      <c r="Q7665" s="3" t="s">
        <v>103</v>
      </c>
    </row>
    <row r="7666" spans="1:17" x14ac:dyDescent="0.3">
      <c r="A7666" t="s">
        <v>27</v>
      </c>
      <c r="B7666" t="s">
        <v>2184</v>
      </c>
      <c r="C7666">
        <v>45</v>
      </c>
      <c r="D7666" t="s">
        <v>532</v>
      </c>
      <c r="E7666" t="s">
        <v>1154</v>
      </c>
      <c r="F7666" t="s">
        <v>122</v>
      </c>
      <c r="G7666" t="s">
        <v>160</v>
      </c>
      <c r="H7666" t="s">
        <v>103</v>
      </c>
      <c r="I7666" t="s">
        <v>103</v>
      </c>
      <c r="J7666" t="s">
        <v>103</v>
      </c>
      <c r="K7666" t="s">
        <v>103</v>
      </c>
      <c r="L7666" t="s">
        <v>103</v>
      </c>
      <c r="M7666" t="s">
        <v>103</v>
      </c>
      <c r="N7666" t="s">
        <v>103</v>
      </c>
      <c r="O7666" t="s">
        <v>103</v>
      </c>
      <c r="P7666" t="s">
        <v>103</v>
      </c>
      <c r="Q7666" t="s">
        <v>103</v>
      </c>
    </row>
    <row r="7667" spans="1:17" x14ac:dyDescent="0.3">
      <c r="A7667" t="s">
        <v>41</v>
      </c>
      <c r="B7667" t="s">
        <v>844</v>
      </c>
      <c r="C7667">
        <v>91</v>
      </c>
      <c r="D7667" t="s">
        <v>194</v>
      </c>
      <c r="E7667" t="s">
        <v>1022</v>
      </c>
      <c r="F7667" t="s">
        <v>116</v>
      </c>
      <c r="G7667" t="s">
        <v>550</v>
      </c>
      <c r="H7667" t="s">
        <v>116</v>
      </c>
      <c r="I7667" t="s">
        <v>120</v>
      </c>
      <c r="J7667" t="s">
        <v>103</v>
      </c>
      <c r="K7667" t="s">
        <v>103</v>
      </c>
      <c r="L7667" t="s">
        <v>103</v>
      </c>
      <c r="M7667" t="s">
        <v>103</v>
      </c>
      <c r="N7667" t="s">
        <v>103</v>
      </c>
      <c r="O7667" t="s">
        <v>103</v>
      </c>
      <c r="P7667" t="s">
        <v>103</v>
      </c>
      <c r="Q7667" t="s">
        <v>103</v>
      </c>
    </row>
    <row r="7668" spans="1:17" x14ac:dyDescent="0.3">
      <c r="A7668" t="s">
        <v>41</v>
      </c>
      <c r="B7668" t="s">
        <v>2173</v>
      </c>
      <c r="C7668">
        <v>123</v>
      </c>
      <c r="D7668" t="s">
        <v>468</v>
      </c>
      <c r="E7668" t="s">
        <v>174</v>
      </c>
      <c r="F7668" t="s">
        <v>662</v>
      </c>
      <c r="G7668" t="s">
        <v>244</v>
      </c>
      <c r="H7668" t="s">
        <v>103</v>
      </c>
      <c r="I7668" t="s">
        <v>103</v>
      </c>
      <c r="J7668" t="s">
        <v>103</v>
      </c>
      <c r="K7668" t="s">
        <v>103</v>
      </c>
      <c r="L7668" t="s">
        <v>103</v>
      </c>
      <c r="M7668" t="s">
        <v>103</v>
      </c>
      <c r="N7668" t="s">
        <v>103</v>
      </c>
      <c r="O7668" t="s">
        <v>214</v>
      </c>
      <c r="P7668" t="s">
        <v>103</v>
      </c>
      <c r="Q7668" t="s">
        <v>103</v>
      </c>
    </row>
    <row r="7669" spans="1:17" x14ac:dyDescent="0.3">
      <c r="A7669" t="s">
        <v>41</v>
      </c>
      <c r="B7669" t="s">
        <v>2174</v>
      </c>
      <c r="C7669">
        <v>77</v>
      </c>
      <c r="D7669" t="s">
        <v>103</v>
      </c>
      <c r="E7669" t="s">
        <v>896</v>
      </c>
      <c r="F7669" t="s">
        <v>245</v>
      </c>
      <c r="G7669" t="s">
        <v>70</v>
      </c>
      <c r="H7669" t="s">
        <v>95</v>
      </c>
      <c r="I7669" t="s">
        <v>103</v>
      </c>
      <c r="J7669" t="s">
        <v>139</v>
      </c>
      <c r="K7669" t="s">
        <v>103</v>
      </c>
      <c r="L7669" t="s">
        <v>103</v>
      </c>
      <c r="M7669" t="s">
        <v>120</v>
      </c>
      <c r="N7669" t="s">
        <v>103</v>
      </c>
      <c r="O7669" t="s">
        <v>103</v>
      </c>
      <c r="P7669" t="s">
        <v>103</v>
      </c>
      <c r="Q7669" t="s">
        <v>103</v>
      </c>
    </row>
    <row r="7670" spans="1:17" x14ac:dyDescent="0.3">
      <c r="A7670" t="s">
        <v>41</v>
      </c>
      <c r="B7670" t="s">
        <v>2175</v>
      </c>
      <c r="C7670">
        <v>59</v>
      </c>
      <c r="D7670" t="s">
        <v>601</v>
      </c>
      <c r="E7670" t="s">
        <v>1001</v>
      </c>
      <c r="F7670" t="s">
        <v>122</v>
      </c>
      <c r="G7670" t="s">
        <v>890</v>
      </c>
      <c r="H7670" t="s">
        <v>105</v>
      </c>
      <c r="I7670" t="s">
        <v>122</v>
      </c>
      <c r="J7670" t="s">
        <v>103</v>
      </c>
      <c r="K7670" t="s">
        <v>103</v>
      </c>
      <c r="L7670" t="s">
        <v>103</v>
      </c>
      <c r="M7670" t="s">
        <v>103</v>
      </c>
      <c r="N7670" t="s">
        <v>103</v>
      </c>
      <c r="O7670" t="s">
        <v>103</v>
      </c>
      <c r="P7670" t="s">
        <v>103</v>
      </c>
      <c r="Q7670" t="s">
        <v>103</v>
      </c>
    </row>
    <row r="7671" spans="1:17" x14ac:dyDescent="0.3">
      <c r="A7671" t="s">
        <v>41</v>
      </c>
      <c r="B7671" t="s">
        <v>2176</v>
      </c>
      <c r="C7671">
        <v>528</v>
      </c>
      <c r="D7671" t="s">
        <v>122</v>
      </c>
      <c r="E7671" t="s">
        <v>202</v>
      </c>
      <c r="F7671" t="s">
        <v>195</v>
      </c>
      <c r="G7671" t="s">
        <v>682</v>
      </c>
      <c r="H7671" t="s">
        <v>103</v>
      </c>
      <c r="I7671" t="s">
        <v>66</v>
      </c>
      <c r="J7671" t="s">
        <v>139</v>
      </c>
      <c r="K7671" t="s">
        <v>103</v>
      </c>
      <c r="L7671" t="s">
        <v>103</v>
      </c>
      <c r="M7671" t="s">
        <v>103</v>
      </c>
      <c r="N7671" t="s">
        <v>116</v>
      </c>
      <c r="O7671" t="s">
        <v>97</v>
      </c>
      <c r="P7671" t="s">
        <v>103</v>
      </c>
      <c r="Q7671" t="s">
        <v>103</v>
      </c>
    </row>
    <row r="7672" spans="1:17" x14ac:dyDescent="0.3">
      <c r="A7672" t="s">
        <v>41</v>
      </c>
      <c r="B7672" t="s">
        <v>2177</v>
      </c>
      <c r="C7672">
        <v>510</v>
      </c>
      <c r="D7672" t="s">
        <v>468</v>
      </c>
      <c r="E7672" t="s">
        <v>747</v>
      </c>
      <c r="F7672" t="s">
        <v>195</v>
      </c>
      <c r="G7672" t="s">
        <v>927</v>
      </c>
      <c r="H7672" t="s">
        <v>120</v>
      </c>
      <c r="I7672" t="s">
        <v>97</v>
      </c>
      <c r="J7672" t="s">
        <v>98</v>
      </c>
      <c r="K7672" t="s">
        <v>103</v>
      </c>
      <c r="L7672" t="s">
        <v>91</v>
      </c>
      <c r="M7672" t="s">
        <v>103</v>
      </c>
      <c r="N7672" t="s">
        <v>103</v>
      </c>
      <c r="O7672" t="s">
        <v>91</v>
      </c>
      <c r="P7672" t="s">
        <v>103</v>
      </c>
      <c r="Q7672" t="s">
        <v>103</v>
      </c>
    </row>
    <row r="7673" spans="1:17" x14ac:dyDescent="0.3">
      <c r="A7673" t="s">
        <v>41</v>
      </c>
      <c r="B7673" t="s">
        <v>2178</v>
      </c>
      <c r="C7673">
        <v>629</v>
      </c>
      <c r="D7673" t="s">
        <v>282</v>
      </c>
      <c r="E7673" t="s">
        <v>1368</v>
      </c>
      <c r="F7673" t="s">
        <v>266</v>
      </c>
      <c r="G7673" t="s">
        <v>975</v>
      </c>
      <c r="H7673" t="s">
        <v>122</v>
      </c>
      <c r="I7673" t="s">
        <v>122</v>
      </c>
      <c r="J7673" t="s">
        <v>139</v>
      </c>
      <c r="K7673" t="s">
        <v>66</v>
      </c>
      <c r="L7673" t="s">
        <v>91</v>
      </c>
      <c r="M7673" t="s">
        <v>98</v>
      </c>
      <c r="N7673" t="s">
        <v>103</v>
      </c>
      <c r="O7673" t="s">
        <v>116</v>
      </c>
      <c r="P7673" t="s">
        <v>91</v>
      </c>
      <c r="Q7673" t="s">
        <v>103</v>
      </c>
    </row>
    <row r="7674" spans="1:17" x14ac:dyDescent="0.3">
      <c r="A7674" t="s">
        <v>41</v>
      </c>
      <c r="B7674" t="s">
        <v>846</v>
      </c>
      <c r="C7674">
        <v>114</v>
      </c>
      <c r="D7674" t="s">
        <v>103</v>
      </c>
      <c r="E7674" t="s">
        <v>616</v>
      </c>
      <c r="F7674" t="s">
        <v>282</v>
      </c>
      <c r="G7674" t="s">
        <v>488</v>
      </c>
      <c r="H7674" t="s">
        <v>103</v>
      </c>
      <c r="I7674" t="s">
        <v>103</v>
      </c>
      <c r="J7674" t="s">
        <v>103</v>
      </c>
      <c r="K7674" t="s">
        <v>103</v>
      </c>
      <c r="L7674" t="s">
        <v>103</v>
      </c>
      <c r="M7674" t="s">
        <v>103</v>
      </c>
      <c r="N7674" t="s">
        <v>103</v>
      </c>
      <c r="O7674" t="s">
        <v>66</v>
      </c>
      <c r="P7674" t="s">
        <v>103</v>
      </c>
      <c r="Q7674" t="s">
        <v>103</v>
      </c>
    </row>
    <row r="7675" spans="1:17" x14ac:dyDescent="0.3">
      <c r="A7675" t="s">
        <v>41</v>
      </c>
      <c r="B7675" t="s">
        <v>2179</v>
      </c>
      <c r="C7675">
        <v>104</v>
      </c>
      <c r="D7675" t="s">
        <v>93</v>
      </c>
      <c r="E7675" t="s">
        <v>871</v>
      </c>
      <c r="F7675" t="s">
        <v>103</v>
      </c>
      <c r="G7675" t="s">
        <v>493</v>
      </c>
      <c r="H7675" t="s">
        <v>103</v>
      </c>
      <c r="I7675" t="s">
        <v>103</v>
      </c>
      <c r="J7675" t="s">
        <v>98</v>
      </c>
      <c r="K7675" t="s">
        <v>103</v>
      </c>
      <c r="L7675" t="s">
        <v>103</v>
      </c>
      <c r="M7675" t="s">
        <v>103</v>
      </c>
      <c r="N7675" t="s">
        <v>216</v>
      </c>
      <c r="O7675" t="s">
        <v>103</v>
      </c>
      <c r="P7675" t="s">
        <v>103</v>
      </c>
      <c r="Q7675" t="s">
        <v>103</v>
      </c>
    </row>
    <row r="7676" spans="1:17" x14ac:dyDescent="0.3">
      <c r="A7676" t="s">
        <v>41</v>
      </c>
      <c r="B7676" t="s">
        <v>2180</v>
      </c>
      <c r="C7676">
        <v>66</v>
      </c>
      <c r="D7676" t="s">
        <v>493</v>
      </c>
      <c r="E7676" t="s">
        <v>1131</v>
      </c>
      <c r="F7676" t="s">
        <v>345</v>
      </c>
      <c r="G7676" t="s">
        <v>459</v>
      </c>
      <c r="H7676" t="s">
        <v>105</v>
      </c>
      <c r="I7676" t="s">
        <v>103</v>
      </c>
      <c r="J7676" t="s">
        <v>103</v>
      </c>
      <c r="K7676" t="s">
        <v>103</v>
      </c>
      <c r="L7676" t="s">
        <v>103</v>
      </c>
      <c r="M7676" t="s">
        <v>103</v>
      </c>
      <c r="N7676" t="s">
        <v>103</v>
      </c>
      <c r="O7676" t="s">
        <v>103</v>
      </c>
      <c r="P7676" t="s">
        <v>103</v>
      </c>
      <c r="Q7676" t="s">
        <v>103</v>
      </c>
    </row>
    <row r="7677" spans="1:17" x14ac:dyDescent="0.3">
      <c r="A7677" t="s">
        <v>41</v>
      </c>
      <c r="B7677" t="s">
        <v>2181</v>
      </c>
      <c r="C7677">
        <v>57</v>
      </c>
      <c r="D7677" t="s">
        <v>122</v>
      </c>
      <c r="E7677" t="s">
        <v>991</v>
      </c>
      <c r="F7677" t="s">
        <v>103</v>
      </c>
      <c r="G7677" t="s">
        <v>452</v>
      </c>
      <c r="H7677" t="s">
        <v>103</v>
      </c>
      <c r="I7677" t="s">
        <v>103</v>
      </c>
      <c r="J7677" t="s">
        <v>103</v>
      </c>
      <c r="K7677" t="s">
        <v>103</v>
      </c>
      <c r="L7677" t="s">
        <v>103</v>
      </c>
      <c r="M7677" t="s">
        <v>103</v>
      </c>
      <c r="N7677" t="s">
        <v>103</v>
      </c>
      <c r="O7677" t="s">
        <v>103</v>
      </c>
      <c r="P7677" t="s">
        <v>103</v>
      </c>
      <c r="Q7677" t="s">
        <v>103</v>
      </c>
    </row>
    <row r="7678" spans="1:17" x14ac:dyDescent="0.3">
      <c r="A7678" t="s">
        <v>41</v>
      </c>
      <c r="B7678" t="s">
        <v>2182</v>
      </c>
      <c r="C7678">
        <v>238</v>
      </c>
      <c r="D7678" t="s">
        <v>103</v>
      </c>
      <c r="E7678" t="s">
        <v>724</v>
      </c>
      <c r="F7678" t="s">
        <v>217</v>
      </c>
      <c r="G7678" t="s">
        <v>702</v>
      </c>
      <c r="H7678" t="s">
        <v>97</v>
      </c>
      <c r="I7678" t="s">
        <v>120</v>
      </c>
      <c r="J7678" t="s">
        <v>120</v>
      </c>
      <c r="K7678" t="s">
        <v>103</v>
      </c>
      <c r="L7678" t="s">
        <v>103</v>
      </c>
      <c r="M7678" t="s">
        <v>139</v>
      </c>
      <c r="N7678" t="s">
        <v>103</v>
      </c>
      <c r="O7678" t="s">
        <v>282</v>
      </c>
      <c r="P7678" t="s">
        <v>103</v>
      </c>
      <c r="Q7678" t="s">
        <v>103</v>
      </c>
    </row>
    <row r="7679" spans="1:17" x14ac:dyDescent="0.3">
      <c r="A7679" t="s">
        <v>41</v>
      </c>
      <c r="B7679" t="s">
        <v>2183</v>
      </c>
      <c r="C7679">
        <v>238</v>
      </c>
      <c r="D7679" t="s">
        <v>98</v>
      </c>
      <c r="E7679" t="s">
        <v>243</v>
      </c>
      <c r="F7679" t="s">
        <v>113</v>
      </c>
      <c r="G7679" t="s">
        <v>173</v>
      </c>
      <c r="H7679" t="s">
        <v>95</v>
      </c>
      <c r="I7679" t="s">
        <v>91</v>
      </c>
      <c r="J7679" t="s">
        <v>103</v>
      </c>
      <c r="K7679" t="s">
        <v>103</v>
      </c>
      <c r="L7679" t="s">
        <v>116</v>
      </c>
      <c r="M7679" t="s">
        <v>103</v>
      </c>
      <c r="N7679" t="s">
        <v>103</v>
      </c>
      <c r="O7679" t="s">
        <v>103</v>
      </c>
      <c r="P7679" t="s">
        <v>103</v>
      </c>
      <c r="Q7679" t="s">
        <v>103</v>
      </c>
    </row>
    <row r="7680" spans="1:17" x14ac:dyDescent="0.3">
      <c r="A7680" t="s">
        <v>41</v>
      </c>
      <c r="B7680" t="s">
        <v>2184</v>
      </c>
      <c r="C7680">
        <v>210</v>
      </c>
      <c r="D7680" t="s">
        <v>105</v>
      </c>
      <c r="E7680" t="s">
        <v>1056</v>
      </c>
      <c r="F7680" t="s">
        <v>270</v>
      </c>
      <c r="G7680" t="s">
        <v>46</v>
      </c>
      <c r="H7680" t="s">
        <v>103</v>
      </c>
      <c r="I7680" t="s">
        <v>468</v>
      </c>
      <c r="J7680" t="s">
        <v>468</v>
      </c>
      <c r="K7680" t="s">
        <v>103</v>
      </c>
      <c r="L7680" t="s">
        <v>103</v>
      </c>
      <c r="M7680" t="s">
        <v>103</v>
      </c>
      <c r="N7680" t="s">
        <v>103</v>
      </c>
      <c r="O7680" t="s">
        <v>116</v>
      </c>
      <c r="P7680" t="s">
        <v>103</v>
      </c>
      <c r="Q7680" t="s">
        <v>103</v>
      </c>
    </row>
    <row r="7682" spans="1:17" x14ac:dyDescent="0.3">
      <c r="A7682" t="s">
        <v>2310</v>
      </c>
    </row>
    <row r="7683" spans="1:17" x14ac:dyDescent="0.3">
      <c r="A7683" t="s">
        <v>36</v>
      </c>
      <c r="B7683" t="s">
        <v>307</v>
      </c>
      <c r="C7683" t="s">
        <v>24</v>
      </c>
      <c r="D7683" t="s">
        <v>2296</v>
      </c>
      <c r="E7683" t="s">
        <v>2297</v>
      </c>
      <c r="F7683" t="s">
        <v>2298</v>
      </c>
      <c r="G7683" t="s">
        <v>2299</v>
      </c>
      <c r="H7683" t="s">
        <v>2300</v>
      </c>
      <c r="I7683" t="s">
        <v>2301</v>
      </c>
      <c r="J7683" t="s">
        <v>2302</v>
      </c>
      <c r="K7683" t="s">
        <v>2303</v>
      </c>
      <c r="L7683" t="s">
        <v>2304</v>
      </c>
      <c r="M7683" t="s">
        <v>2250</v>
      </c>
      <c r="N7683" t="s">
        <v>2305</v>
      </c>
      <c r="O7683" t="s">
        <v>2306</v>
      </c>
      <c r="P7683" t="s">
        <v>2307</v>
      </c>
      <c r="Q7683" t="s">
        <v>2308</v>
      </c>
    </row>
    <row r="7684" spans="1:17" x14ac:dyDescent="0.3">
      <c r="A7684" t="s">
        <v>25</v>
      </c>
      <c r="B7684" t="s">
        <v>291</v>
      </c>
      <c r="C7684">
        <v>294</v>
      </c>
      <c r="D7684" t="s">
        <v>97</v>
      </c>
      <c r="E7684" t="s">
        <v>1348</v>
      </c>
      <c r="F7684" t="s">
        <v>208</v>
      </c>
      <c r="G7684" t="s">
        <v>684</v>
      </c>
      <c r="H7684" t="s">
        <v>97</v>
      </c>
      <c r="I7684" t="s">
        <v>122</v>
      </c>
      <c r="J7684" t="s">
        <v>122</v>
      </c>
      <c r="K7684" t="s">
        <v>103</v>
      </c>
      <c r="L7684" t="s">
        <v>103</v>
      </c>
      <c r="M7684" t="s">
        <v>103</v>
      </c>
      <c r="N7684" t="s">
        <v>345</v>
      </c>
      <c r="O7684" t="s">
        <v>97</v>
      </c>
      <c r="P7684" t="s">
        <v>103</v>
      </c>
      <c r="Q7684" t="s">
        <v>103</v>
      </c>
    </row>
    <row r="7685" spans="1:17" x14ac:dyDescent="0.3">
      <c r="A7685" t="s">
        <v>25</v>
      </c>
      <c r="B7685" t="s">
        <v>292</v>
      </c>
      <c r="C7685">
        <v>388</v>
      </c>
      <c r="D7685" t="s">
        <v>98</v>
      </c>
      <c r="E7685" t="s">
        <v>751</v>
      </c>
      <c r="F7685" t="s">
        <v>257</v>
      </c>
      <c r="G7685" t="s">
        <v>173</v>
      </c>
      <c r="H7685" t="s">
        <v>103</v>
      </c>
      <c r="I7685" t="s">
        <v>103</v>
      </c>
      <c r="J7685" t="s">
        <v>128</v>
      </c>
      <c r="K7685" t="s">
        <v>103</v>
      </c>
      <c r="L7685" t="s">
        <v>103</v>
      </c>
      <c r="M7685" t="s">
        <v>103</v>
      </c>
      <c r="N7685" t="s">
        <v>103</v>
      </c>
      <c r="O7685" t="s">
        <v>116</v>
      </c>
      <c r="P7685" t="s">
        <v>103</v>
      </c>
      <c r="Q7685" t="s">
        <v>103</v>
      </c>
    </row>
    <row r="7686" spans="1:17" x14ac:dyDescent="0.3">
      <c r="A7686" t="s">
        <v>25</v>
      </c>
      <c r="B7686" t="s">
        <v>308</v>
      </c>
      <c r="C7686">
        <v>11</v>
      </c>
      <c r="D7686" t="s">
        <v>103</v>
      </c>
      <c r="E7686" t="s">
        <v>192</v>
      </c>
      <c r="F7686" t="s">
        <v>103</v>
      </c>
      <c r="G7686" t="s">
        <v>103</v>
      </c>
      <c r="H7686" t="s">
        <v>103</v>
      </c>
      <c r="I7686" t="s">
        <v>103</v>
      </c>
      <c r="J7686" t="s">
        <v>103</v>
      </c>
      <c r="K7686" t="s">
        <v>103</v>
      </c>
      <c r="L7686" t="s">
        <v>103</v>
      </c>
      <c r="M7686" t="s">
        <v>103</v>
      </c>
      <c r="N7686" t="s">
        <v>103</v>
      </c>
      <c r="O7686" t="s">
        <v>103</v>
      </c>
      <c r="P7686" t="s">
        <v>103</v>
      </c>
      <c r="Q7686" t="s">
        <v>103</v>
      </c>
    </row>
    <row r="7687" spans="1:17" x14ac:dyDescent="0.3">
      <c r="A7687" t="s">
        <v>26</v>
      </c>
      <c r="B7687" t="s">
        <v>291</v>
      </c>
      <c r="C7687">
        <v>230</v>
      </c>
      <c r="D7687" t="s">
        <v>110</v>
      </c>
      <c r="E7687" t="s">
        <v>2109</v>
      </c>
      <c r="F7687" t="s">
        <v>113</v>
      </c>
      <c r="G7687" t="s">
        <v>505</v>
      </c>
      <c r="H7687" t="s">
        <v>122</v>
      </c>
      <c r="I7687" t="s">
        <v>110</v>
      </c>
      <c r="J7687" t="s">
        <v>139</v>
      </c>
      <c r="K7687" t="s">
        <v>97</v>
      </c>
      <c r="L7687" t="s">
        <v>97</v>
      </c>
      <c r="M7687" t="s">
        <v>103</v>
      </c>
      <c r="N7687" t="s">
        <v>116</v>
      </c>
      <c r="O7687" t="s">
        <v>122</v>
      </c>
      <c r="P7687" t="s">
        <v>103</v>
      </c>
      <c r="Q7687" t="s">
        <v>103</v>
      </c>
    </row>
    <row r="7688" spans="1:17" x14ac:dyDescent="0.3">
      <c r="A7688" t="s">
        <v>26</v>
      </c>
      <c r="B7688" t="s">
        <v>292</v>
      </c>
      <c r="C7688">
        <v>538</v>
      </c>
      <c r="D7688" t="s">
        <v>66</v>
      </c>
      <c r="E7688" t="s">
        <v>2104</v>
      </c>
      <c r="F7688" t="s">
        <v>208</v>
      </c>
      <c r="G7688" t="s">
        <v>519</v>
      </c>
      <c r="H7688" t="s">
        <v>66</v>
      </c>
      <c r="I7688" t="s">
        <v>103</v>
      </c>
      <c r="J7688" t="s">
        <v>122</v>
      </c>
      <c r="K7688" t="s">
        <v>103</v>
      </c>
      <c r="L7688" t="s">
        <v>103</v>
      </c>
      <c r="M7688" t="s">
        <v>103</v>
      </c>
      <c r="N7688" t="s">
        <v>103</v>
      </c>
      <c r="O7688" t="s">
        <v>91</v>
      </c>
      <c r="P7688" t="s">
        <v>103</v>
      </c>
      <c r="Q7688" t="s">
        <v>103</v>
      </c>
    </row>
    <row r="7689" spans="1:17" x14ac:dyDescent="0.3">
      <c r="A7689" t="s">
        <v>26</v>
      </c>
      <c r="B7689" t="s">
        <v>308</v>
      </c>
      <c r="C7689">
        <v>6</v>
      </c>
      <c r="D7689" t="s">
        <v>103</v>
      </c>
      <c r="E7689" t="s">
        <v>192</v>
      </c>
      <c r="F7689" t="s">
        <v>103</v>
      </c>
      <c r="G7689" t="s">
        <v>103</v>
      </c>
      <c r="H7689" t="s">
        <v>103</v>
      </c>
      <c r="I7689" t="s">
        <v>103</v>
      </c>
      <c r="J7689" t="s">
        <v>103</v>
      </c>
      <c r="K7689" t="s">
        <v>103</v>
      </c>
      <c r="L7689" t="s">
        <v>103</v>
      </c>
      <c r="M7689" t="s">
        <v>103</v>
      </c>
      <c r="N7689" t="s">
        <v>103</v>
      </c>
      <c r="O7689" t="s">
        <v>103</v>
      </c>
      <c r="P7689" t="s">
        <v>103</v>
      </c>
      <c r="Q7689" t="s">
        <v>103</v>
      </c>
    </row>
    <row r="7690" spans="1:17" x14ac:dyDescent="0.3">
      <c r="A7690" t="s">
        <v>29</v>
      </c>
      <c r="B7690" t="s">
        <v>291</v>
      </c>
      <c r="C7690">
        <v>380</v>
      </c>
      <c r="D7690" t="s">
        <v>216</v>
      </c>
      <c r="E7690" t="s">
        <v>1052</v>
      </c>
      <c r="F7690" t="s">
        <v>615</v>
      </c>
      <c r="G7690" t="s">
        <v>732</v>
      </c>
      <c r="H7690" t="s">
        <v>97</v>
      </c>
      <c r="I7690" t="s">
        <v>66</v>
      </c>
      <c r="J7690" t="s">
        <v>95</v>
      </c>
      <c r="K7690" t="s">
        <v>103</v>
      </c>
      <c r="L7690" t="s">
        <v>103</v>
      </c>
      <c r="M7690" t="s">
        <v>139</v>
      </c>
      <c r="N7690" t="s">
        <v>103</v>
      </c>
      <c r="O7690" t="s">
        <v>239</v>
      </c>
      <c r="P7690" t="s">
        <v>103</v>
      </c>
      <c r="Q7690" t="s">
        <v>103</v>
      </c>
    </row>
    <row r="7691" spans="1:17" x14ac:dyDescent="0.3">
      <c r="A7691" t="s">
        <v>29</v>
      </c>
      <c r="B7691" t="s">
        <v>292</v>
      </c>
      <c r="C7691">
        <v>492</v>
      </c>
      <c r="D7691" t="s">
        <v>110</v>
      </c>
      <c r="E7691" t="s">
        <v>902</v>
      </c>
      <c r="F7691" t="s">
        <v>110</v>
      </c>
      <c r="G7691" t="s">
        <v>115</v>
      </c>
      <c r="H7691" t="s">
        <v>120</v>
      </c>
      <c r="I7691" t="s">
        <v>103</v>
      </c>
      <c r="J7691" t="s">
        <v>91</v>
      </c>
      <c r="K7691" t="s">
        <v>103</v>
      </c>
      <c r="L7691" t="s">
        <v>103</v>
      </c>
      <c r="M7691" t="s">
        <v>116</v>
      </c>
      <c r="N7691" t="s">
        <v>103</v>
      </c>
      <c r="O7691" t="s">
        <v>66</v>
      </c>
      <c r="P7691" t="s">
        <v>103</v>
      </c>
      <c r="Q7691" t="s">
        <v>103</v>
      </c>
    </row>
    <row r="7692" spans="1:17" x14ac:dyDescent="0.3">
      <c r="A7692" t="s">
        <v>28</v>
      </c>
      <c r="B7692" t="s">
        <v>291</v>
      </c>
      <c r="C7692">
        <v>154</v>
      </c>
      <c r="D7692" t="s">
        <v>103</v>
      </c>
      <c r="E7692" t="s">
        <v>1392</v>
      </c>
      <c r="F7692" t="s">
        <v>107</v>
      </c>
      <c r="G7692" t="s">
        <v>671</v>
      </c>
      <c r="H7692" t="s">
        <v>95</v>
      </c>
      <c r="I7692" t="s">
        <v>108</v>
      </c>
      <c r="J7692" t="s">
        <v>103</v>
      </c>
      <c r="K7692" t="s">
        <v>103</v>
      </c>
      <c r="L7692" t="s">
        <v>95</v>
      </c>
      <c r="M7692" t="s">
        <v>103</v>
      </c>
      <c r="N7692" t="s">
        <v>103</v>
      </c>
      <c r="O7692" t="s">
        <v>103</v>
      </c>
      <c r="P7692" t="s">
        <v>103</v>
      </c>
      <c r="Q7692" t="s">
        <v>103</v>
      </c>
    </row>
    <row r="7693" spans="1:17" x14ac:dyDescent="0.3">
      <c r="A7693" t="s">
        <v>28</v>
      </c>
      <c r="B7693" t="s">
        <v>292</v>
      </c>
      <c r="C7693">
        <v>180</v>
      </c>
      <c r="D7693" t="s">
        <v>122</v>
      </c>
      <c r="E7693" t="s">
        <v>170</v>
      </c>
      <c r="F7693" t="s">
        <v>97</v>
      </c>
      <c r="G7693" t="s">
        <v>269</v>
      </c>
      <c r="H7693" t="s">
        <v>103</v>
      </c>
      <c r="I7693" t="s">
        <v>103</v>
      </c>
      <c r="J7693" t="s">
        <v>103</v>
      </c>
      <c r="K7693" t="s">
        <v>103</v>
      </c>
      <c r="L7693" t="s">
        <v>103</v>
      </c>
      <c r="M7693" t="s">
        <v>103</v>
      </c>
      <c r="N7693" t="s">
        <v>103</v>
      </c>
      <c r="O7693" t="s">
        <v>103</v>
      </c>
      <c r="P7693" t="s">
        <v>103</v>
      </c>
      <c r="Q7693" t="s">
        <v>103</v>
      </c>
    </row>
    <row r="7694" spans="1:17" x14ac:dyDescent="0.3">
      <c r="A7694" t="s">
        <v>28</v>
      </c>
      <c r="B7694" t="s">
        <v>308</v>
      </c>
      <c r="C7694">
        <v>17</v>
      </c>
      <c r="D7694" t="s">
        <v>103</v>
      </c>
      <c r="E7694" t="s">
        <v>994</v>
      </c>
      <c r="F7694" t="s">
        <v>103</v>
      </c>
      <c r="G7694" t="s">
        <v>460</v>
      </c>
      <c r="H7694" t="s">
        <v>94</v>
      </c>
      <c r="I7694" t="s">
        <v>103</v>
      </c>
      <c r="J7694" t="s">
        <v>103</v>
      </c>
      <c r="K7694" t="s">
        <v>103</v>
      </c>
      <c r="L7694" t="s">
        <v>103</v>
      </c>
      <c r="M7694" t="s">
        <v>103</v>
      </c>
      <c r="N7694" t="s">
        <v>103</v>
      </c>
      <c r="O7694" t="s">
        <v>103</v>
      </c>
      <c r="P7694" t="s">
        <v>103</v>
      </c>
      <c r="Q7694" t="s">
        <v>103</v>
      </c>
    </row>
    <row r="7695" spans="1:17" x14ac:dyDescent="0.3">
      <c r="A7695" t="s">
        <v>27</v>
      </c>
      <c r="B7695" t="s">
        <v>291</v>
      </c>
      <c r="C7695">
        <v>123</v>
      </c>
      <c r="D7695" t="s">
        <v>103</v>
      </c>
      <c r="E7695" t="s">
        <v>1392</v>
      </c>
      <c r="F7695" t="s">
        <v>124</v>
      </c>
      <c r="G7695" t="s">
        <v>1023</v>
      </c>
      <c r="H7695" t="s">
        <v>103</v>
      </c>
      <c r="I7695" t="s">
        <v>272</v>
      </c>
      <c r="J7695" t="s">
        <v>64</v>
      </c>
      <c r="K7695" t="s">
        <v>103</v>
      </c>
      <c r="L7695" t="s">
        <v>103</v>
      </c>
      <c r="M7695" t="s">
        <v>103</v>
      </c>
      <c r="N7695" t="s">
        <v>103</v>
      </c>
      <c r="O7695" t="s">
        <v>98</v>
      </c>
      <c r="P7695" t="s">
        <v>98</v>
      </c>
      <c r="Q7695" t="s">
        <v>103</v>
      </c>
    </row>
    <row r="7696" spans="1:17" x14ac:dyDescent="0.3">
      <c r="A7696" t="s">
        <v>27</v>
      </c>
      <c r="B7696" t="s">
        <v>292</v>
      </c>
      <c r="C7696">
        <v>227</v>
      </c>
      <c r="D7696" t="s">
        <v>118</v>
      </c>
      <c r="E7696" t="s">
        <v>758</v>
      </c>
      <c r="F7696" t="s">
        <v>468</v>
      </c>
      <c r="G7696" t="s">
        <v>526</v>
      </c>
      <c r="H7696" t="s">
        <v>122</v>
      </c>
      <c r="I7696" t="s">
        <v>103</v>
      </c>
      <c r="J7696" t="s">
        <v>103</v>
      </c>
      <c r="K7696" t="s">
        <v>103</v>
      </c>
      <c r="L7696" t="s">
        <v>103</v>
      </c>
      <c r="M7696" t="s">
        <v>103</v>
      </c>
      <c r="N7696" t="s">
        <v>103</v>
      </c>
      <c r="O7696" t="s">
        <v>122</v>
      </c>
      <c r="P7696" t="s">
        <v>103</v>
      </c>
      <c r="Q7696" t="s">
        <v>103</v>
      </c>
    </row>
    <row r="7697" spans="1:17" x14ac:dyDescent="0.3">
      <c r="A7697" t="s">
        <v>27</v>
      </c>
      <c r="B7697" t="s">
        <v>308</v>
      </c>
      <c r="C7697">
        <v>4</v>
      </c>
      <c r="D7697" t="s">
        <v>103</v>
      </c>
      <c r="E7697" t="s">
        <v>2010</v>
      </c>
      <c r="F7697" t="s">
        <v>103</v>
      </c>
      <c r="G7697" t="s">
        <v>1555</v>
      </c>
      <c r="H7697" t="s">
        <v>103</v>
      </c>
      <c r="I7697" t="s">
        <v>103</v>
      </c>
      <c r="J7697" t="s">
        <v>103</v>
      </c>
      <c r="K7697" t="s">
        <v>103</v>
      </c>
      <c r="L7697" t="s">
        <v>103</v>
      </c>
      <c r="M7697" t="s">
        <v>103</v>
      </c>
      <c r="N7697" t="s">
        <v>103</v>
      </c>
      <c r="O7697" t="s">
        <v>103</v>
      </c>
      <c r="P7697" t="s">
        <v>103</v>
      </c>
      <c r="Q7697" t="s">
        <v>103</v>
      </c>
    </row>
    <row r="7698" spans="1:17" x14ac:dyDescent="0.3">
      <c r="A7698" t="s">
        <v>41</v>
      </c>
      <c r="B7698" t="s">
        <v>291</v>
      </c>
      <c r="C7698">
        <v>1181</v>
      </c>
      <c r="D7698" t="s">
        <v>468</v>
      </c>
      <c r="E7698" t="s">
        <v>1680</v>
      </c>
      <c r="F7698" t="s">
        <v>186</v>
      </c>
      <c r="G7698" t="s">
        <v>900</v>
      </c>
      <c r="H7698" t="s">
        <v>122</v>
      </c>
      <c r="I7698" t="s">
        <v>98</v>
      </c>
      <c r="J7698" t="s">
        <v>95</v>
      </c>
      <c r="K7698" t="s">
        <v>91</v>
      </c>
      <c r="L7698" t="s">
        <v>91</v>
      </c>
      <c r="M7698" t="s">
        <v>122</v>
      </c>
      <c r="N7698" t="s">
        <v>116</v>
      </c>
      <c r="O7698" t="s">
        <v>282</v>
      </c>
      <c r="P7698" t="s">
        <v>103</v>
      </c>
      <c r="Q7698" t="s">
        <v>103</v>
      </c>
    </row>
    <row r="7699" spans="1:17" x14ac:dyDescent="0.3">
      <c r="A7699" t="s">
        <v>41</v>
      </c>
      <c r="B7699" t="s">
        <v>292</v>
      </c>
      <c r="C7699">
        <v>1825</v>
      </c>
      <c r="D7699" t="s">
        <v>282</v>
      </c>
      <c r="E7699" t="s">
        <v>774</v>
      </c>
      <c r="F7699" t="s">
        <v>105</v>
      </c>
      <c r="G7699" t="s">
        <v>92</v>
      </c>
      <c r="H7699" t="s">
        <v>116</v>
      </c>
      <c r="I7699" t="s">
        <v>103</v>
      </c>
      <c r="J7699" t="s">
        <v>120</v>
      </c>
      <c r="K7699" t="s">
        <v>103</v>
      </c>
      <c r="L7699" t="s">
        <v>103</v>
      </c>
      <c r="M7699" t="s">
        <v>91</v>
      </c>
      <c r="N7699" t="s">
        <v>103</v>
      </c>
      <c r="O7699" t="s">
        <v>66</v>
      </c>
      <c r="P7699" t="s">
        <v>103</v>
      </c>
      <c r="Q7699" t="s">
        <v>103</v>
      </c>
    </row>
    <row r="7700" spans="1:17" x14ac:dyDescent="0.3">
      <c r="A7700" t="s">
        <v>41</v>
      </c>
      <c r="B7700" t="s">
        <v>308</v>
      </c>
      <c r="C7700">
        <v>38</v>
      </c>
      <c r="D7700" t="s">
        <v>103</v>
      </c>
      <c r="E7700" t="s">
        <v>636</v>
      </c>
      <c r="F7700" t="s">
        <v>103</v>
      </c>
      <c r="G7700" t="s">
        <v>214</v>
      </c>
      <c r="H7700" t="s">
        <v>239</v>
      </c>
      <c r="I7700" t="s">
        <v>103</v>
      </c>
      <c r="J7700" t="s">
        <v>103</v>
      </c>
      <c r="K7700" t="s">
        <v>103</v>
      </c>
      <c r="L7700" t="s">
        <v>103</v>
      </c>
      <c r="M7700" t="s">
        <v>103</v>
      </c>
      <c r="N7700" t="s">
        <v>103</v>
      </c>
      <c r="O7700" t="s">
        <v>103</v>
      </c>
      <c r="P7700" t="s">
        <v>103</v>
      </c>
      <c r="Q7700" t="s">
        <v>103</v>
      </c>
    </row>
    <row r="7702" spans="1:17" x14ac:dyDescent="0.3">
      <c r="A7702" t="s">
        <v>2311</v>
      </c>
    </row>
    <row r="7703" spans="1:17" x14ac:dyDescent="0.3">
      <c r="A7703" t="s">
        <v>36</v>
      </c>
      <c r="B7703" t="s">
        <v>197</v>
      </c>
      <c r="C7703" t="s">
        <v>24</v>
      </c>
      <c r="D7703" t="s">
        <v>2296</v>
      </c>
      <c r="E7703" t="s">
        <v>2297</v>
      </c>
      <c r="F7703" t="s">
        <v>2298</v>
      </c>
      <c r="G7703" t="s">
        <v>2299</v>
      </c>
      <c r="H7703" t="s">
        <v>2300</v>
      </c>
      <c r="I7703" t="s">
        <v>2301</v>
      </c>
      <c r="J7703" t="s">
        <v>2302</v>
      </c>
      <c r="K7703" t="s">
        <v>2303</v>
      </c>
      <c r="L7703" t="s">
        <v>2304</v>
      </c>
      <c r="M7703" t="s">
        <v>2250</v>
      </c>
      <c r="N7703" t="s">
        <v>2305</v>
      </c>
      <c r="O7703" t="s">
        <v>2306</v>
      </c>
      <c r="P7703" t="s">
        <v>2307</v>
      </c>
      <c r="Q7703" t="s">
        <v>2308</v>
      </c>
    </row>
    <row r="7704" spans="1:17" x14ac:dyDescent="0.3">
      <c r="A7704" t="s">
        <v>25</v>
      </c>
      <c r="B7704" t="s">
        <v>198</v>
      </c>
      <c r="C7704">
        <v>176</v>
      </c>
      <c r="D7704" t="s">
        <v>98</v>
      </c>
      <c r="E7704" t="s">
        <v>2104</v>
      </c>
      <c r="F7704" t="s">
        <v>95</v>
      </c>
      <c r="G7704" t="s">
        <v>140</v>
      </c>
      <c r="H7704" t="s">
        <v>98</v>
      </c>
      <c r="I7704" t="s">
        <v>103</v>
      </c>
      <c r="J7704" t="s">
        <v>94</v>
      </c>
      <c r="K7704" t="s">
        <v>103</v>
      </c>
      <c r="L7704" t="s">
        <v>103</v>
      </c>
      <c r="M7704" t="s">
        <v>103</v>
      </c>
      <c r="N7704" t="s">
        <v>208</v>
      </c>
      <c r="O7704" t="s">
        <v>245</v>
      </c>
      <c r="P7704" t="s">
        <v>103</v>
      </c>
      <c r="Q7704" t="s">
        <v>103</v>
      </c>
    </row>
    <row r="7705" spans="1:17" x14ac:dyDescent="0.3">
      <c r="A7705" t="s">
        <v>25</v>
      </c>
      <c r="B7705" t="s">
        <v>199</v>
      </c>
      <c r="C7705">
        <v>517</v>
      </c>
      <c r="D7705" t="s">
        <v>120</v>
      </c>
      <c r="E7705" t="s">
        <v>1459</v>
      </c>
      <c r="F7705" t="s">
        <v>266</v>
      </c>
      <c r="G7705" t="s">
        <v>547</v>
      </c>
      <c r="H7705" t="s">
        <v>103</v>
      </c>
      <c r="I7705" t="s">
        <v>66</v>
      </c>
      <c r="J7705" t="s">
        <v>103</v>
      </c>
      <c r="K7705" t="s">
        <v>103</v>
      </c>
      <c r="L7705" t="s">
        <v>103</v>
      </c>
      <c r="M7705" t="s">
        <v>103</v>
      </c>
      <c r="N7705" t="s">
        <v>103</v>
      </c>
      <c r="O7705" t="s">
        <v>103</v>
      </c>
      <c r="P7705" t="s">
        <v>103</v>
      </c>
      <c r="Q7705" t="s">
        <v>103</v>
      </c>
    </row>
    <row r="7706" spans="1:17" x14ac:dyDescent="0.3">
      <c r="A7706" t="s">
        <v>26</v>
      </c>
      <c r="B7706" t="s">
        <v>198</v>
      </c>
      <c r="C7706">
        <v>62</v>
      </c>
      <c r="D7706" t="s">
        <v>103</v>
      </c>
      <c r="E7706" t="s">
        <v>1175</v>
      </c>
      <c r="F7706" t="s">
        <v>99</v>
      </c>
      <c r="G7706" t="s">
        <v>706</v>
      </c>
      <c r="H7706" t="s">
        <v>266</v>
      </c>
      <c r="I7706" t="s">
        <v>270</v>
      </c>
      <c r="J7706" t="s">
        <v>251</v>
      </c>
      <c r="K7706" t="s">
        <v>103</v>
      </c>
      <c r="L7706" t="s">
        <v>438</v>
      </c>
      <c r="M7706" t="s">
        <v>103</v>
      </c>
      <c r="N7706" t="s">
        <v>103</v>
      </c>
      <c r="O7706" t="s">
        <v>118</v>
      </c>
      <c r="P7706" t="s">
        <v>103</v>
      </c>
      <c r="Q7706" t="s">
        <v>103</v>
      </c>
    </row>
    <row r="7707" spans="1:17" x14ac:dyDescent="0.3">
      <c r="A7707" t="s">
        <v>26</v>
      </c>
      <c r="B7707" t="s">
        <v>199</v>
      </c>
      <c r="C7707">
        <v>712</v>
      </c>
      <c r="D7707" t="s">
        <v>120</v>
      </c>
      <c r="E7707" t="s">
        <v>55</v>
      </c>
      <c r="F7707" t="s">
        <v>118</v>
      </c>
      <c r="G7707" t="s">
        <v>268</v>
      </c>
      <c r="H7707" t="s">
        <v>91</v>
      </c>
      <c r="I7707" t="s">
        <v>116</v>
      </c>
      <c r="J7707" t="s">
        <v>66</v>
      </c>
      <c r="K7707" t="s">
        <v>91</v>
      </c>
      <c r="L7707" t="s">
        <v>103</v>
      </c>
      <c r="M7707" t="s">
        <v>103</v>
      </c>
      <c r="N7707" t="s">
        <v>91</v>
      </c>
      <c r="O7707" t="s">
        <v>91</v>
      </c>
      <c r="P7707" t="s">
        <v>103</v>
      </c>
      <c r="Q7707" t="s">
        <v>103</v>
      </c>
    </row>
    <row r="7708" spans="1:17" x14ac:dyDescent="0.3">
      <c r="A7708" t="s">
        <v>29</v>
      </c>
      <c r="B7708" t="s">
        <v>198</v>
      </c>
      <c r="C7708">
        <v>279</v>
      </c>
      <c r="D7708" t="s">
        <v>116</v>
      </c>
      <c r="E7708" t="s">
        <v>1459</v>
      </c>
      <c r="F7708" t="s">
        <v>272</v>
      </c>
      <c r="G7708" t="s">
        <v>470</v>
      </c>
      <c r="H7708" t="s">
        <v>468</v>
      </c>
      <c r="I7708" t="s">
        <v>116</v>
      </c>
      <c r="J7708" t="s">
        <v>282</v>
      </c>
      <c r="K7708" t="s">
        <v>103</v>
      </c>
      <c r="L7708" t="s">
        <v>103</v>
      </c>
      <c r="M7708" t="s">
        <v>91</v>
      </c>
      <c r="N7708" t="s">
        <v>103</v>
      </c>
      <c r="O7708" t="s">
        <v>97</v>
      </c>
      <c r="P7708" t="s">
        <v>103</v>
      </c>
      <c r="Q7708" t="s">
        <v>103</v>
      </c>
    </row>
    <row r="7709" spans="1:17" x14ac:dyDescent="0.3">
      <c r="A7709" t="s">
        <v>29</v>
      </c>
      <c r="B7709" t="s">
        <v>199</v>
      </c>
      <c r="C7709">
        <v>593</v>
      </c>
      <c r="D7709" t="s">
        <v>208</v>
      </c>
      <c r="E7709" t="s">
        <v>1456</v>
      </c>
      <c r="F7709" t="s">
        <v>266</v>
      </c>
      <c r="G7709" t="s">
        <v>550</v>
      </c>
      <c r="H7709" t="s">
        <v>66</v>
      </c>
      <c r="I7709" t="s">
        <v>103</v>
      </c>
      <c r="J7709" t="s">
        <v>91</v>
      </c>
      <c r="K7709" t="s">
        <v>103</v>
      </c>
      <c r="L7709" t="s">
        <v>103</v>
      </c>
      <c r="M7709" t="s">
        <v>95</v>
      </c>
      <c r="N7709" t="s">
        <v>103</v>
      </c>
      <c r="O7709" t="s">
        <v>98</v>
      </c>
      <c r="P7709" t="s">
        <v>103</v>
      </c>
      <c r="Q7709" t="s">
        <v>103</v>
      </c>
    </row>
    <row r="7710" spans="1:17" x14ac:dyDescent="0.3">
      <c r="A7710" t="s">
        <v>28</v>
      </c>
      <c r="B7710" t="s">
        <v>198</v>
      </c>
      <c r="C7710">
        <v>95</v>
      </c>
      <c r="D7710" t="s">
        <v>103</v>
      </c>
      <c r="E7710" t="s">
        <v>738</v>
      </c>
      <c r="F7710" t="s">
        <v>98</v>
      </c>
      <c r="G7710" t="s">
        <v>549</v>
      </c>
      <c r="H7710" t="s">
        <v>345</v>
      </c>
      <c r="I7710" t="s">
        <v>103</v>
      </c>
      <c r="J7710" t="s">
        <v>103</v>
      </c>
      <c r="K7710" t="s">
        <v>103</v>
      </c>
      <c r="L7710" t="s">
        <v>103</v>
      </c>
      <c r="M7710" t="s">
        <v>103</v>
      </c>
      <c r="N7710" t="s">
        <v>103</v>
      </c>
      <c r="O7710" t="s">
        <v>103</v>
      </c>
      <c r="P7710" t="s">
        <v>103</v>
      </c>
      <c r="Q7710" t="s">
        <v>103</v>
      </c>
    </row>
    <row r="7711" spans="1:17" x14ac:dyDescent="0.3">
      <c r="A7711" t="s">
        <v>28</v>
      </c>
      <c r="B7711" t="s">
        <v>199</v>
      </c>
      <c r="C7711">
        <v>256</v>
      </c>
      <c r="D7711" t="s">
        <v>116</v>
      </c>
      <c r="E7711" t="s">
        <v>1239</v>
      </c>
      <c r="F7711" t="s">
        <v>266</v>
      </c>
      <c r="G7711" t="s">
        <v>526</v>
      </c>
      <c r="H7711" t="s">
        <v>97</v>
      </c>
      <c r="I7711" t="s">
        <v>278</v>
      </c>
      <c r="J7711" t="s">
        <v>103</v>
      </c>
      <c r="K7711" t="s">
        <v>103</v>
      </c>
      <c r="L7711" t="s">
        <v>97</v>
      </c>
      <c r="M7711" t="s">
        <v>103</v>
      </c>
      <c r="N7711" t="s">
        <v>103</v>
      </c>
      <c r="O7711" t="s">
        <v>103</v>
      </c>
      <c r="P7711" t="s">
        <v>103</v>
      </c>
      <c r="Q7711" t="s">
        <v>103</v>
      </c>
    </row>
    <row r="7712" spans="1:17" x14ac:dyDescent="0.3">
      <c r="A7712" t="s">
        <v>27</v>
      </c>
      <c r="B7712" t="s">
        <v>198</v>
      </c>
      <c r="C7712">
        <v>157</v>
      </c>
      <c r="D7712" t="s">
        <v>105</v>
      </c>
      <c r="E7712" t="s">
        <v>753</v>
      </c>
      <c r="F7712" t="s">
        <v>438</v>
      </c>
      <c r="G7712" t="s">
        <v>1319</v>
      </c>
      <c r="H7712" t="s">
        <v>97</v>
      </c>
      <c r="I7712" t="s">
        <v>93</v>
      </c>
      <c r="J7712" t="s">
        <v>105</v>
      </c>
      <c r="K7712" t="s">
        <v>103</v>
      </c>
      <c r="L7712" t="s">
        <v>103</v>
      </c>
      <c r="M7712" t="s">
        <v>103</v>
      </c>
      <c r="N7712" t="s">
        <v>103</v>
      </c>
      <c r="O7712" t="s">
        <v>468</v>
      </c>
      <c r="P7712" t="s">
        <v>120</v>
      </c>
      <c r="Q7712" t="s">
        <v>103</v>
      </c>
    </row>
    <row r="7713" spans="1:17" x14ac:dyDescent="0.3">
      <c r="A7713" t="s">
        <v>27</v>
      </c>
      <c r="B7713" t="s">
        <v>199</v>
      </c>
      <c r="C7713">
        <v>197</v>
      </c>
      <c r="D7713" t="s">
        <v>110</v>
      </c>
      <c r="E7713" t="s">
        <v>1004</v>
      </c>
      <c r="F7713" t="s">
        <v>64</v>
      </c>
      <c r="G7713" t="s">
        <v>577</v>
      </c>
      <c r="H7713" t="s">
        <v>103</v>
      </c>
      <c r="I7713" t="s">
        <v>103</v>
      </c>
      <c r="J7713" t="s">
        <v>91</v>
      </c>
      <c r="K7713" t="s">
        <v>103</v>
      </c>
      <c r="L7713" t="s">
        <v>103</v>
      </c>
      <c r="M7713" t="s">
        <v>103</v>
      </c>
      <c r="N7713" t="s">
        <v>103</v>
      </c>
      <c r="O7713" t="s">
        <v>103</v>
      </c>
      <c r="P7713" t="s">
        <v>103</v>
      </c>
      <c r="Q7713" t="s">
        <v>103</v>
      </c>
    </row>
    <row r="7714" spans="1:17" x14ac:dyDescent="0.3">
      <c r="A7714" t="s">
        <v>41</v>
      </c>
      <c r="B7714" t="s">
        <v>198</v>
      </c>
      <c r="C7714">
        <v>769</v>
      </c>
      <c r="D7714" t="s">
        <v>97</v>
      </c>
      <c r="E7714" t="s">
        <v>1135</v>
      </c>
      <c r="F7714" t="s">
        <v>195</v>
      </c>
      <c r="G7714" t="s">
        <v>131</v>
      </c>
      <c r="H7714" t="s">
        <v>468</v>
      </c>
      <c r="I7714" t="s">
        <v>97</v>
      </c>
      <c r="J7714" t="s">
        <v>118</v>
      </c>
      <c r="K7714" t="s">
        <v>103</v>
      </c>
      <c r="L7714" t="s">
        <v>66</v>
      </c>
      <c r="M7714" t="s">
        <v>91</v>
      </c>
      <c r="N7714" t="s">
        <v>122</v>
      </c>
      <c r="O7714" t="s">
        <v>98</v>
      </c>
      <c r="P7714" t="s">
        <v>103</v>
      </c>
      <c r="Q7714" t="s">
        <v>103</v>
      </c>
    </row>
    <row r="7715" spans="1:17" x14ac:dyDescent="0.3">
      <c r="A7715" t="s">
        <v>41</v>
      </c>
      <c r="B7715" t="s">
        <v>199</v>
      </c>
      <c r="C7715">
        <v>2275</v>
      </c>
      <c r="D7715" t="s">
        <v>468</v>
      </c>
      <c r="E7715" t="s">
        <v>1378</v>
      </c>
      <c r="F7715" t="s">
        <v>217</v>
      </c>
      <c r="G7715" t="s">
        <v>486</v>
      </c>
      <c r="H7715" t="s">
        <v>91</v>
      </c>
      <c r="I7715" t="s">
        <v>116</v>
      </c>
      <c r="J7715" t="s">
        <v>91</v>
      </c>
      <c r="K7715" t="s">
        <v>103</v>
      </c>
      <c r="L7715" t="s">
        <v>103</v>
      </c>
      <c r="M7715" t="s">
        <v>116</v>
      </c>
      <c r="N7715" t="s">
        <v>103</v>
      </c>
      <c r="O7715" t="s">
        <v>122</v>
      </c>
      <c r="P7715" t="s">
        <v>103</v>
      </c>
      <c r="Q7715" t="s">
        <v>103</v>
      </c>
    </row>
    <row r="7717" spans="1:17" x14ac:dyDescent="0.3">
      <c r="A7717" t="s">
        <v>2312</v>
      </c>
    </row>
    <row r="7718" spans="1:17" x14ac:dyDescent="0.3">
      <c r="A7718" t="s">
        <v>36</v>
      </c>
      <c r="B7718" t="s">
        <v>763</v>
      </c>
      <c r="C7718" t="s">
        <v>24</v>
      </c>
      <c r="D7718" t="s">
        <v>2296</v>
      </c>
      <c r="E7718" t="s">
        <v>2297</v>
      </c>
      <c r="F7718" t="s">
        <v>2298</v>
      </c>
      <c r="G7718" t="s">
        <v>2299</v>
      </c>
      <c r="H7718" t="s">
        <v>2300</v>
      </c>
      <c r="I7718" t="s">
        <v>2301</v>
      </c>
      <c r="J7718" t="s">
        <v>2302</v>
      </c>
      <c r="K7718" t="s">
        <v>2303</v>
      </c>
      <c r="L7718" t="s">
        <v>2304</v>
      </c>
      <c r="M7718" t="s">
        <v>2250</v>
      </c>
      <c r="N7718" t="s">
        <v>2305</v>
      </c>
      <c r="O7718" t="s">
        <v>2306</v>
      </c>
      <c r="P7718" t="s">
        <v>2307</v>
      </c>
      <c r="Q7718" t="s">
        <v>2308</v>
      </c>
    </row>
    <row r="7719" spans="1:17" x14ac:dyDescent="0.3">
      <c r="A7719" t="s">
        <v>25</v>
      </c>
      <c r="B7719" t="s">
        <v>764</v>
      </c>
      <c r="C7719">
        <v>34</v>
      </c>
      <c r="D7719" t="s">
        <v>103</v>
      </c>
      <c r="E7719" t="s">
        <v>1141</v>
      </c>
      <c r="F7719" t="s">
        <v>452</v>
      </c>
      <c r="G7719" t="s">
        <v>144</v>
      </c>
      <c r="H7719" t="s">
        <v>103</v>
      </c>
      <c r="I7719" t="s">
        <v>103</v>
      </c>
      <c r="J7719" t="s">
        <v>103</v>
      </c>
      <c r="K7719" t="s">
        <v>103</v>
      </c>
      <c r="L7719" t="s">
        <v>103</v>
      </c>
      <c r="M7719" t="s">
        <v>103</v>
      </c>
      <c r="N7719" t="s">
        <v>103</v>
      </c>
      <c r="O7719" t="s">
        <v>103</v>
      </c>
      <c r="P7719" t="s">
        <v>103</v>
      </c>
      <c r="Q7719" t="s">
        <v>103</v>
      </c>
    </row>
    <row r="7720" spans="1:17" x14ac:dyDescent="0.3">
      <c r="A7720" t="s">
        <v>25</v>
      </c>
      <c r="B7720" t="s">
        <v>765</v>
      </c>
      <c r="C7720">
        <v>435</v>
      </c>
      <c r="D7720" t="s">
        <v>120</v>
      </c>
      <c r="E7720" t="s">
        <v>204</v>
      </c>
      <c r="F7720" t="s">
        <v>110</v>
      </c>
      <c r="G7720" t="s">
        <v>706</v>
      </c>
      <c r="H7720" t="s">
        <v>116</v>
      </c>
      <c r="I7720" t="s">
        <v>116</v>
      </c>
      <c r="J7720" t="s">
        <v>128</v>
      </c>
      <c r="K7720" t="s">
        <v>103</v>
      </c>
      <c r="L7720" t="s">
        <v>103</v>
      </c>
      <c r="M7720" t="s">
        <v>103</v>
      </c>
      <c r="N7720" t="s">
        <v>95</v>
      </c>
      <c r="O7720" t="s">
        <v>120</v>
      </c>
      <c r="P7720" t="s">
        <v>103</v>
      </c>
      <c r="Q7720" t="s">
        <v>103</v>
      </c>
    </row>
    <row r="7721" spans="1:17" x14ac:dyDescent="0.3">
      <c r="A7721" t="s">
        <v>25</v>
      </c>
      <c r="B7721" t="s">
        <v>767</v>
      </c>
      <c r="C7721">
        <v>224</v>
      </c>
      <c r="D7721" t="s">
        <v>345</v>
      </c>
      <c r="E7721" t="s">
        <v>863</v>
      </c>
      <c r="F7721" t="s">
        <v>467</v>
      </c>
      <c r="G7721" t="s">
        <v>173</v>
      </c>
      <c r="H7721" t="s">
        <v>103</v>
      </c>
      <c r="I7721" t="s">
        <v>103</v>
      </c>
      <c r="J7721" t="s">
        <v>103</v>
      </c>
      <c r="K7721" t="s">
        <v>103</v>
      </c>
      <c r="L7721" t="s">
        <v>103</v>
      </c>
      <c r="M7721" t="s">
        <v>103</v>
      </c>
      <c r="N7721" t="s">
        <v>103</v>
      </c>
      <c r="O7721" t="s">
        <v>103</v>
      </c>
      <c r="P7721" t="s">
        <v>103</v>
      </c>
      <c r="Q7721" t="s">
        <v>103</v>
      </c>
    </row>
    <row r="7722" spans="1:17" x14ac:dyDescent="0.3">
      <c r="A7722" t="s">
        <v>26</v>
      </c>
      <c r="B7722" t="s">
        <v>764</v>
      </c>
      <c r="C7722">
        <v>48</v>
      </c>
      <c r="D7722" t="s">
        <v>103</v>
      </c>
      <c r="E7722" t="s">
        <v>172</v>
      </c>
      <c r="F7722" t="s">
        <v>103</v>
      </c>
      <c r="G7722" t="s">
        <v>171</v>
      </c>
      <c r="H7722" t="s">
        <v>103</v>
      </c>
      <c r="I7722" t="s">
        <v>103</v>
      </c>
      <c r="J7722" t="s">
        <v>103</v>
      </c>
      <c r="K7722" t="s">
        <v>103</v>
      </c>
      <c r="L7722" t="s">
        <v>103</v>
      </c>
      <c r="M7722" t="s">
        <v>103</v>
      </c>
      <c r="N7722" t="s">
        <v>103</v>
      </c>
      <c r="O7722" t="s">
        <v>103</v>
      </c>
      <c r="P7722" t="s">
        <v>103</v>
      </c>
      <c r="Q7722" t="s">
        <v>103</v>
      </c>
    </row>
    <row r="7723" spans="1:17" x14ac:dyDescent="0.3">
      <c r="A7723" t="s">
        <v>26</v>
      </c>
      <c r="B7723" t="s">
        <v>765</v>
      </c>
      <c r="C7723">
        <v>429</v>
      </c>
      <c r="D7723" t="s">
        <v>282</v>
      </c>
      <c r="E7723" t="s">
        <v>1012</v>
      </c>
      <c r="F7723" t="s">
        <v>195</v>
      </c>
      <c r="G7723" t="s">
        <v>707</v>
      </c>
      <c r="H7723" t="s">
        <v>91</v>
      </c>
      <c r="I7723" t="s">
        <v>139</v>
      </c>
      <c r="J7723" t="s">
        <v>139</v>
      </c>
      <c r="K7723" t="s">
        <v>103</v>
      </c>
      <c r="L7723" t="s">
        <v>116</v>
      </c>
      <c r="M7723" t="s">
        <v>103</v>
      </c>
      <c r="N7723" t="s">
        <v>66</v>
      </c>
      <c r="O7723" t="s">
        <v>66</v>
      </c>
      <c r="P7723" t="s">
        <v>103</v>
      </c>
      <c r="Q7723" t="s">
        <v>103</v>
      </c>
    </row>
    <row r="7724" spans="1:17" x14ac:dyDescent="0.3">
      <c r="A7724" t="s">
        <v>26</v>
      </c>
      <c r="B7724" t="s">
        <v>767</v>
      </c>
      <c r="C7724">
        <v>297</v>
      </c>
      <c r="D7724" t="s">
        <v>103</v>
      </c>
      <c r="E7724" t="s">
        <v>1357</v>
      </c>
      <c r="F7724" t="s">
        <v>64</v>
      </c>
      <c r="G7724" t="s">
        <v>136</v>
      </c>
      <c r="H7724" t="s">
        <v>120</v>
      </c>
      <c r="I7724" t="s">
        <v>103</v>
      </c>
      <c r="J7724" t="s">
        <v>66</v>
      </c>
      <c r="K7724" t="s">
        <v>122</v>
      </c>
      <c r="L7724" t="s">
        <v>103</v>
      </c>
      <c r="M7724" t="s">
        <v>103</v>
      </c>
      <c r="N7724" t="s">
        <v>103</v>
      </c>
      <c r="O7724" t="s">
        <v>66</v>
      </c>
      <c r="P7724" t="s">
        <v>103</v>
      </c>
      <c r="Q7724" t="s">
        <v>103</v>
      </c>
    </row>
    <row r="7725" spans="1:17" s="3" customFormat="1" x14ac:dyDescent="0.3">
      <c r="A7725" s="3" t="s">
        <v>29</v>
      </c>
      <c r="B7725" s="3" t="s">
        <v>764</v>
      </c>
      <c r="C7725" s="3">
        <v>8</v>
      </c>
      <c r="D7725" s="3" t="s">
        <v>103</v>
      </c>
      <c r="E7725" s="3" t="s">
        <v>1013</v>
      </c>
      <c r="F7725" s="3" t="s">
        <v>103</v>
      </c>
      <c r="G7725" s="3" t="s">
        <v>650</v>
      </c>
      <c r="H7725" s="3" t="s">
        <v>103</v>
      </c>
      <c r="I7725" s="3" t="s">
        <v>103</v>
      </c>
      <c r="J7725" s="3" t="s">
        <v>103</v>
      </c>
      <c r="K7725" s="3" t="s">
        <v>103</v>
      </c>
      <c r="L7725" s="3" t="s">
        <v>103</v>
      </c>
      <c r="M7725" s="3" t="s">
        <v>103</v>
      </c>
      <c r="N7725" s="3" t="s">
        <v>103</v>
      </c>
      <c r="O7725" s="3" t="s">
        <v>103</v>
      </c>
      <c r="P7725" s="3" t="s">
        <v>103</v>
      </c>
      <c r="Q7725" s="3" t="s">
        <v>103</v>
      </c>
    </row>
    <row r="7726" spans="1:17" x14ac:dyDescent="0.3">
      <c r="A7726" t="s">
        <v>29</v>
      </c>
      <c r="B7726" t="s">
        <v>765</v>
      </c>
      <c r="C7726">
        <v>582</v>
      </c>
      <c r="D7726" t="s">
        <v>245</v>
      </c>
      <c r="E7726" t="s">
        <v>1324</v>
      </c>
      <c r="F7726" t="s">
        <v>467</v>
      </c>
      <c r="G7726" t="s">
        <v>479</v>
      </c>
      <c r="H7726" t="s">
        <v>139</v>
      </c>
      <c r="I7726" t="s">
        <v>91</v>
      </c>
      <c r="J7726" t="s">
        <v>120</v>
      </c>
      <c r="K7726" t="s">
        <v>103</v>
      </c>
      <c r="L7726" t="s">
        <v>103</v>
      </c>
      <c r="M7726" t="s">
        <v>139</v>
      </c>
      <c r="N7726" t="s">
        <v>103</v>
      </c>
      <c r="O7726" t="s">
        <v>66</v>
      </c>
      <c r="P7726" t="s">
        <v>103</v>
      </c>
      <c r="Q7726" t="s">
        <v>103</v>
      </c>
    </row>
    <row r="7727" spans="1:17" x14ac:dyDescent="0.3">
      <c r="A7727" t="s">
        <v>29</v>
      </c>
      <c r="B7727" t="s">
        <v>767</v>
      </c>
      <c r="C7727">
        <v>282</v>
      </c>
      <c r="D7727" t="s">
        <v>345</v>
      </c>
      <c r="E7727" t="s">
        <v>614</v>
      </c>
      <c r="F7727" t="s">
        <v>208</v>
      </c>
      <c r="G7727" t="s">
        <v>205</v>
      </c>
      <c r="H7727" t="s">
        <v>103</v>
      </c>
      <c r="I7727" t="s">
        <v>103</v>
      </c>
      <c r="J7727" t="s">
        <v>103</v>
      </c>
      <c r="K7727" t="s">
        <v>103</v>
      </c>
      <c r="L7727" t="s">
        <v>103</v>
      </c>
      <c r="M7727" t="s">
        <v>103</v>
      </c>
      <c r="N7727" t="s">
        <v>103</v>
      </c>
      <c r="O7727" t="s">
        <v>208</v>
      </c>
      <c r="P7727" t="s">
        <v>103</v>
      </c>
      <c r="Q7727" t="s">
        <v>103</v>
      </c>
    </row>
    <row r="7728" spans="1:17" s="3" customFormat="1" x14ac:dyDescent="0.3">
      <c r="A7728" s="3" t="s">
        <v>28</v>
      </c>
      <c r="B7728" s="3" t="s">
        <v>764</v>
      </c>
      <c r="C7728" s="3">
        <v>18</v>
      </c>
      <c r="D7728" s="3" t="s">
        <v>103</v>
      </c>
      <c r="E7728" s="3" t="s">
        <v>712</v>
      </c>
      <c r="F7728" s="3" t="s">
        <v>103</v>
      </c>
      <c r="G7728" s="3" t="s">
        <v>244</v>
      </c>
      <c r="H7728" s="3" t="s">
        <v>103</v>
      </c>
      <c r="I7728" s="3" t="s">
        <v>103</v>
      </c>
      <c r="J7728" s="3" t="s">
        <v>103</v>
      </c>
      <c r="K7728" s="3" t="s">
        <v>103</v>
      </c>
      <c r="L7728" s="3" t="s">
        <v>103</v>
      </c>
      <c r="M7728" s="3" t="s">
        <v>103</v>
      </c>
      <c r="N7728" s="3" t="s">
        <v>103</v>
      </c>
      <c r="O7728" s="3" t="s">
        <v>103</v>
      </c>
      <c r="P7728" s="3" t="s">
        <v>103</v>
      </c>
      <c r="Q7728" s="3" t="s">
        <v>103</v>
      </c>
    </row>
    <row r="7729" spans="1:17" x14ac:dyDescent="0.3">
      <c r="A7729" t="s">
        <v>28</v>
      </c>
      <c r="B7729" t="s">
        <v>765</v>
      </c>
      <c r="C7729">
        <v>283</v>
      </c>
      <c r="D7729" t="s">
        <v>116</v>
      </c>
      <c r="E7729" t="s">
        <v>884</v>
      </c>
      <c r="F7729" t="s">
        <v>128</v>
      </c>
      <c r="G7729" t="s">
        <v>819</v>
      </c>
      <c r="H7729" t="s">
        <v>139</v>
      </c>
      <c r="I7729" t="s">
        <v>113</v>
      </c>
      <c r="J7729" t="s">
        <v>103</v>
      </c>
      <c r="K7729" t="s">
        <v>103</v>
      </c>
      <c r="L7729" t="s">
        <v>122</v>
      </c>
      <c r="M7729" t="s">
        <v>103</v>
      </c>
      <c r="N7729" t="s">
        <v>103</v>
      </c>
      <c r="O7729" t="s">
        <v>103</v>
      </c>
      <c r="P7729" t="s">
        <v>103</v>
      </c>
      <c r="Q7729" t="s">
        <v>103</v>
      </c>
    </row>
    <row r="7730" spans="1:17" x14ac:dyDescent="0.3">
      <c r="A7730" t="s">
        <v>28</v>
      </c>
      <c r="B7730" t="s">
        <v>767</v>
      </c>
      <c r="C7730">
        <v>50</v>
      </c>
      <c r="D7730" t="s">
        <v>103</v>
      </c>
      <c r="E7730" t="s">
        <v>772</v>
      </c>
      <c r="F7730" t="s">
        <v>257</v>
      </c>
      <c r="G7730" t="s">
        <v>700</v>
      </c>
      <c r="H7730" t="s">
        <v>103</v>
      </c>
      <c r="I7730" t="s">
        <v>110</v>
      </c>
      <c r="J7730" t="s">
        <v>103</v>
      </c>
      <c r="K7730" t="s">
        <v>103</v>
      </c>
      <c r="L7730" t="s">
        <v>103</v>
      </c>
      <c r="M7730" t="s">
        <v>103</v>
      </c>
      <c r="N7730" t="s">
        <v>103</v>
      </c>
      <c r="O7730" t="s">
        <v>103</v>
      </c>
      <c r="P7730" t="s">
        <v>103</v>
      </c>
      <c r="Q7730" t="s">
        <v>103</v>
      </c>
    </row>
    <row r="7731" spans="1:17" s="3" customFormat="1" x14ac:dyDescent="0.3">
      <c r="A7731" s="3" t="s">
        <v>27</v>
      </c>
      <c r="B7731" s="3" t="s">
        <v>764</v>
      </c>
      <c r="C7731" s="3">
        <v>23</v>
      </c>
      <c r="D7731" s="3" t="s">
        <v>103</v>
      </c>
      <c r="E7731" s="3" t="s">
        <v>599</v>
      </c>
      <c r="F7731" s="3" t="s">
        <v>103</v>
      </c>
      <c r="G7731" s="3" t="s">
        <v>271</v>
      </c>
      <c r="H7731" s="3" t="s">
        <v>103</v>
      </c>
      <c r="I7731" s="3" t="s">
        <v>103</v>
      </c>
      <c r="J7731" s="3" t="s">
        <v>103</v>
      </c>
      <c r="K7731" s="3" t="s">
        <v>103</v>
      </c>
      <c r="L7731" s="3" t="s">
        <v>103</v>
      </c>
      <c r="M7731" s="3" t="s">
        <v>103</v>
      </c>
      <c r="N7731" s="3" t="s">
        <v>103</v>
      </c>
      <c r="O7731" s="3" t="s">
        <v>103</v>
      </c>
      <c r="P7731" s="3" t="s">
        <v>103</v>
      </c>
      <c r="Q7731" s="3" t="s">
        <v>103</v>
      </c>
    </row>
    <row r="7732" spans="1:17" x14ac:dyDescent="0.3">
      <c r="A7732" t="s">
        <v>27</v>
      </c>
      <c r="B7732" t="s">
        <v>765</v>
      </c>
      <c r="C7732">
        <v>236</v>
      </c>
      <c r="D7732" t="s">
        <v>266</v>
      </c>
      <c r="E7732" t="s">
        <v>2109</v>
      </c>
      <c r="F7732" t="s">
        <v>113</v>
      </c>
      <c r="G7732" t="s">
        <v>1198</v>
      </c>
      <c r="H7732" t="s">
        <v>122</v>
      </c>
      <c r="I7732" t="s">
        <v>139</v>
      </c>
      <c r="J7732" t="s">
        <v>120</v>
      </c>
      <c r="K7732" t="s">
        <v>103</v>
      </c>
      <c r="L7732" t="s">
        <v>103</v>
      </c>
      <c r="M7732" t="s">
        <v>103</v>
      </c>
      <c r="N7732" t="s">
        <v>103</v>
      </c>
      <c r="O7732" t="s">
        <v>97</v>
      </c>
      <c r="P7732" t="s">
        <v>97</v>
      </c>
      <c r="Q7732" t="s">
        <v>103</v>
      </c>
    </row>
    <row r="7733" spans="1:17" x14ac:dyDescent="0.3">
      <c r="A7733" t="s">
        <v>27</v>
      </c>
      <c r="B7733" t="s">
        <v>767</v>
      </c>
      <c r="C7733">
        <v>95</v>
      </c>
      <c r="D7733" t="s">
        <v>103</v>
      </c>
      <c r="E7733" t="s">
        <v>994</v>
      </c>
      <c r="F7733" t="s">
        <v>239</v>
      </c>
      <c r="G7733" t="s">
        <v>409</v>
      </c>
      <c r="H7733" t="s">
        <v>103</v>
      </c>
      <c r="I7733" t="s">
        <v>239</v>
      </c>
      <c r="J7733" t="s">
        <v>239</v>
      </c>
      <c r="K7733" t="s">
        <v>103</v>
      </c>
      <c r="L7733" t="s">
        <v>103</v>
      </c>
      <c r="M7733" t="s">
        <v>103</v>
      </c>
      <c r="N7733" t="s">
        <v>103</v>
      </c>
      <c r="O7733" t="s">
        <v>95</v>
      </c>
      <c r="P7733" t="s">
        <v>103</v>
      </c>
      <c r="Q7733" t="s">
        <v>103</v>
      </c>
    </row>
    <row r="7734" spans="1:17" x14ac:dyDescent="0.3">
      <c r="A7734" t="s">
        <v>41</v>
      </c>
      <c r="B7734" t="s">
        <v>764</v>
      </c>
      <c r="C7734">
        <v>131</v>
      </c>
      <c r="D7734" t="s">
        <v>103</v>
      </c>
      <c r="E7734" t="s">
        <v>725</v>
      </c>
      <c r="F7734" t="s">
        <v>216</v>
      </c>
      <c r="G7734" t="s">
        <v>92</v>
      </c>
      <c r="H7734" t="s">
        <v>103</v>
      </c>
      <c r="I7734" t="s">
        <v>103</v>
      </c>
      <c r="J7734" t="s">
        <v>103</v>
      </c>
      <c r="K7734" t="s">
        <v>103</v>
      </c>
      <c r="L7734" t="s">
        <v>103</v>
      </c>
      <c r="M7734" t="s">
        <v>103</v>
      </c>
      <c r="N7734" t="s">
        <v>103</v>
      </c>
      <c r="O7734" t="s">
        <v>103</v>
      </c>
      <c r="P7734" t="s">
        <v>103</v>
      </c>
      <c r="Q7734" t="s">
        <v>103</v>
      </c>
    </row>
    <row r="7735" spans="1:17" x14ac:dyDescent="0.3">
      <c r="A7735" t="s">
        <v>41</v>
      </c>
      <c r="B7735" t="s">
        <v>765</v>
      </c>
      <c r="C7735">
        <v>1965</v>
      </c>
      <c r="D7735" t="s">
        <v>194</v>
      </c>
      <c r="E7735" t="s">
        <v>724</v>
      </c>
      <c r="F7735" t="s">
        <v>64</v>
      </c>
      <c r="G7735" t="s">
        <v>506</v>
      </c>
      <c r="H7735" t="s">
        <v>97</v>
      </c>
      <c r="I7735" t="s">
        <v>97</v>
      </c>
      <c r="J7735" t="s">
        <v>98</v>
      </c>
      <c r="K7735" t="s">
        <v>103</v>
      </c>
      <c r="L7735" t="s">
        <v>91</v>
      </c>
      <c r="M7735" t="s">
        <v>122</v>
      </c>
      <c r="N7735" t="s">
        <v>66</v>
      </c>
      <c r="O7735" t="s">
        <v>116</v>
      </c>
      <c r="P7735" t="s">
        <v>103</v>
      </c>
      <c r="Q7735" t="s">
        <v>103</v>
      </c>
    </row>
    <row r="7736" spans="1:17" x14ac:dyDescent="0.3">
      <c r="A7736" t="s">
        <v>41</v>
      </c>
      <c r="B7736" t="s">
        <v>767</v>
      </c>
      <c r="C7736">
        <v>948</v>
      </c>
      <c r="D7736" t="s">
        <v>95</v>
      </c>
      <c r="E7736" t="s">
        <v>215</v>
      </c>
      <c r="F7736" t="s">
        <v>257</v>
      </c>
      <c r="G7736" t="s">
        <v>136</v>
      </c>
      <c r="H7736" t="s">
        <v>66</v>
      </c>
      <c r="I7736" t="s">
        <v>91</v>
      </c>
      <c r="J7736" t="s">
        <v>91</v>
      </c>
      <c r="K7736" t="s">
        <v>91</v>
      </c>
      <c r="L7736" t="s">
        <v>103</v>
      </c>
      <c r="M7736" t="s">
        <v>103</v>
      </c>
      <c r="N7736" t="s">
        <v>103</v>
      </c>
      <c r="O7736" t="s">
        <v>282</v>
      </c>
      <c r="P7736" t="s">
        <v>103</v>
      </c>
      <c r="Q7736" t="s">
        <v>103</v>
      </c>
    </row>
    <row r="7738" spans="1:17" x14ac:dyDescent="0.3">
      <c r="A7738" t="s">
        <v>2313</v>
      </c>
    </row>
    <row r="7739" spans="1:17" x14ac:dyDescent="0.3">
      <c r="A7739" t="s">
        <v>36</v>
      </c>
      <c r="B7739" t="s">
        <v>2157</v>
      </c>
      <c r="C7739" t="s">
        <v>24</v>
      </c>
      <c r="D7739" t="s">
        <v>2296</v>
      </c>
      <c r="E7739" t="s">
        <v>2297</v>
      </c>
      <c r="F7739" t="s">
        <v>2298</v>
      </c>
      <c r="G7739" t="s">
        <v>2299</v>
      </c>
      <c r="H7739" t="s">
        <v>2300</v>
      </c>
      <c r="I7739" t="s">
        <v>2301</v>
      </c>
      <c r="J7739" t="s">
        <v>2302</v>
      </c>
      <c r="K7739" t="s">
        <v>2303</v>
      </c>
      <c r="L7739" t="s">
        <v>2304</v>
      </c>
      <c r="M7739" t="s">
        <v>2250</v>
      </c>
      <c r="N7739" t="s">
        <v>2305</v>
      </c>
      <c r="O7739" t="s">
        <v>2306</v>
      </c>
      <c r="P7739" t="s">
        <v>2307</v>
      </c>
      <c r="Q7739" t="s">
        <v>2308</v>
      </c>
    </row>
    <row r="7740" spans="1:17" x14ac:dyDescent="0.3">
      <c r="A7740" t="s">
        <v>25</v>
      </c>
      <c r="B7740" t="s">
        <v>2158</v>
      </c>
      <c r="C7740">
        <v>410</v>
      </c>
      <c r="D7740" t="s">
        <v>97</v>
      </c>
      <c r="E7740" t="s">
        <v>1138</v>
      </c>
      <c r="F7740" t="s">
        <v>329</v>
      </c>
      <c r="G7740" t="s">
        <v>56</v>
      </c>
      <c r="H7740" t="s">
        <v>103</v>
      </c>
      <c r="I7740" t="s">
        <v>103</v>
      </c>
      <c r="J7740" t="s">
        <v>216</v>
      </c>
      <c r="K7740" t="s">
        <v>103</v>
      </c>
      <c r="L7740" t="s">
        <v>103</v>
      </c>
      <c r="M7740" t="s">
        <v>103</v>
      </c>
      <c r="N7740" t="s">
        <v>103</v>
      </c>
      <c r="O7740" t="s">
        <v>120</v>
      </c>
      <c r="P7740" t="s">
        <v>103</v>
      </c>
      <c r="Q7740" t="s">
        <v>103</v>
      </c>
    </row>
    <row r="7741" spans="1:17" x14ac:dyDescent="0.3">
      <c r="A7741" t="s">
        <v>25</v>
      </c>
      <c r="B7741" t="s">
        <v>2159</v>
      </c>
      <c r="C7741">
        <v>283</v>
      </c>
      <c r="D7741" t="s">
        <v>282</v>
      </c>
      <c r="E7741" t="s">
        <v>189</v>
      </c>
      <c r="F7741" t="s">
        <v>118</v>
      </c>
      <c r="G7741" t="s">
        <v>479</v>
      </c>
      <c r="H7741" t="s">
        <v>97</v>
      </c>
      <c r="I7741" t="s">
        <v>122</v>
      </c>
      <c r="J7741" t="s">
        <v>468</v>
      </c>
      <c r="K7741" t="s">
        <v>103</v>
      </c>
      <c r="L7741" t="s">
        <v>103</v>
      </c>
      <c r="M7741" t="s">
        <v>103</v>
      </c>
      <c r="N7741" t="s">
        <v>345</v>
      </c>
      <c r="O7741" t="s">
        <v>103</v>
      </c>
      <c r="P7741" t="s">
        <v>103</v>
      </c>
      <c r="Q7741" t="s">
        <v>103</v>
      </c>
    </row>
    <row r="7742" spans="1:17" x14ac:dyDescent="0.3">
      <c r="A7742" t="s">
        <v>26</v>
      </c>
      <c r="B7742" t="s">
        <v>2158</v>
      </c>
      <c r="C7742">
        <v>375</v>
      </c>
      <c r="D7742" t="s">
        <v>95</v>
      </c>
      <c r="E7742" t="s">
        <v>49</v>
      </c>
      <c r="F7742" t="s">
        <v>93</v>
      </c>
      <c r="G7742" t="s">
        <v>578</v>
      </c>
      <c r="H7742" t="s">
        <v>103</v>
      </c>
      <c r="I7742" t="s">
        <v>120</v>
      </c>
      <c r="J7742" t="s">
        <v>97</v>
      </c>
      <c r="K7742" t="s">
        <v>116</v>
      </c>
      <c r="L7742" t="s">
        <v>116</v>
      </c>
      <c r="M7742" t="s">
        <v>103</v>
      </c>
      <c r="N7742" t="s">
        <v>103</v>
      </c>
      <c r="O7742" t="s">
        <v>66</v>
      </c>
      <c r="P7742" t="s">
        <v>103</v>
      </c>
      <c r="Q7742" t="s">
        <v>103</v>
      </c>
    </row>
    <row r="7743" spans="1:17" x14ac:dyDescent="0.3">
      <c r="A7743" t="s">
        <v>26</v>
      </c>
      <c r="B7743" t="s">
        <v>2159</v>
      </c>
      <c r="C7743">
        <v>399</v>
      </c>
      <c r="D7743" t="s">
        <v>97</v>
      </c>
      <c r="E7743" t="s">
        <v>634</v>
      </c>
      <c r="F7743" t="s">
        <v>68</v>
      </c>
      <c r="G7743" t="s">
        <v>485</v>
      </c>
      <c r="H7743" t="s">
        <v>97</v>
      </c>
      <c r="I7743" t="s">
        <v>116</v>
      </c>
      <c r="J7743" t="s">
        <v>120</v>
      </c>
      <c r="K7743" t="s">
        <v>103</v>
      </c>
      <c r="L7743" t="s">
        <v>103</v>
      </c>
      <c r="M7743" t="s">
        <v>103</v>
      </c>
      <c r="N7743" t="s">
        <v>66</v>
      </c>
      <c r="O7743" t="s">
        <v>66</v>
      </c>
      <c r="P7743" t="s">
        <v>103</v>
      </c>
      <c r="Q7743" t="s">
        <v>103</v>
      </c>
    </row>
    <row r="7744" spans="1:17" x14ac:dyDescent="0.3">
      <c r="A7744" t="s">
        <v>29</v>
      </c>
      <c r="B7744" t="s">
        <v>2158</v>
      </c>
      <c r="C7744">
        <v>435</v>
      </c>
      <c r="D7744" t="s">
        <v>95</v>
      </c>
      <c r="E7744" t="s">
        <v>156</v>
      </c>
      <c r="F7744" t="s">
        <v>125</v>
      </c>
      <c r="G7744" t="s">
        <v>56</v>
      </c>
      <c r="H7744" t="s">
        <v>120</v>
      </c>
      <c r="I7744" t="s">
        <v>103</v>
      </c>
      <c r="J7744" t="s">
        <v>120</v>
      </c>
      <c r="K7744" t="s">
        <v>103</v>
      </c>
      <c r="L7744" t="s">
        <v>103</v>
      </c>
      <c r="M7744" t="s">
        <v>282</v>
      </c>
      <c r="N7744" t="s">
        <v>103</v>
      </c>
      <c r="O7744" t="s">
        <v>103</v>
      </c>
      <c r="P7744" t="s">
        <v>103</v>
      </c>
      <c r="Q7744" t="s">
        <v>103</v>
      </c>
    </row>
    <row r="7745" spans="1:17" x14ac:dyDescent="0.3">
      <c r="A7745" t="s">
        <v>29</v>
      </c>
      <c r="B7745" t="s">
        <v>2159</v>
      </c>
      <c r="C7745">
        <v>436</v>
      </c>
      <c r="D7745" t="s">
        <v>93</v>
      </c>
      <c r="E7745" t="s">
        <v>1141</v>
      </c>
      <c r="F7745" t="s">
        <v>329</v>
      </c>
      <c r="G7745" t="s">
        <v>925</v>
      </c>
      <c r="H7745" t="s">
        <v>122</v>
      </c>
      <c r="I7745" t="s">
        <v>66</v>
      </c>
      <c r="J7745" t="s">
        <v>91</v>
      </c>
      <c r="K7745" t="s">
        <v>103</v>
      </c>
      <c r="L7745" t="s">
        <v>103</v>
      </c>
      <c r="M7745" t="s">
        <v>91</v>
      </c>
      <c r="N7745" t="s">
        <v>103</v>
      </c>
      <c r="O7745" t="s">
        <v>239</v>
      </c>
      <c r="P7745" t="s">
        <v>103</v>
      </c>
      <c r="Q7745" t="s">
        <v>103</v>
      </c>
    </row>
    <row r="7746" spans="1:17" x14ac:dyDescent="0.3">
      <c r="A7746" t="s">
        <v>29</v>
      </c>
      <c r="B7746" t="s">
        <v>308</v>
      </c>
      <c r="C7746">
        <v>1</v>
      </c>
      <c r="D7746" t="s">
        <v>103</v>
      </c>
      <c r="E7746" t="s">
        <v>192</v>
      </c>
      <c r="F7746" t="s">
        <v>103</v>
      </c>
      <c r="G7746" t="s">
        <v>103</v>
      </c>
      <c r="H7746" t="s">
        <v>103</v>
      </c>
      <c r="I7746" t="s">
        <v>103</v>
      </c>
      <c r="J7746" t="s">
        <v>103</v>
      </c>
      <c r="K7746" t="s">
        <v>103</v>
      </c>
      <c r="L7746" t="s">
        <v>103</v>
      </c>
      <c r="M7746" t="s">
        <v>103</v>
      </c>
      <c r="N7746" t="s">
        <v>103</v>
      </c>
      <c r="O7746" t="s">
        <v>103</v>
      </c>
      <c r="P7746" t="s">
        <v>103</v>
      </c>
      <c r="Q7746" t="s">
        <v>103</v>
      </c>
    </row>
    <row r="7747" spans="1:17" x14ac:dyDescent="0.3">
      <c r="A7747" t="s">
        <v>28</v>
      </c>
      <c r="B7747" t="s">
        <v>2158</v>
      </c>
      <c r="C7747">
        <v>177</v>
      </c>
      <c r="D7747" t="s">
        <v>103</v>
      </c>
      <c r="E7747" t="s">
        <v>618</v>
      </c>
      <c r="F7747" t="s">
        <v>128</v>
      </c>
      <c r="G7747" t="s">
        <v>568</v>
      </c>
      <c r="H7747" t="s">
        <v>120</v>
      </c>
      <c r="I7747" t="s">
        <v>284</v>
      </c>
      <c r="J7747" t="s">
        <v>103</v>
      </c>
      <c r="K7747" t="s">
        <v>103</v>
      </c>
      <c r="L7747" t="s">
        <v>120</v>
      </c>
      <c r="M7747" t="s">
        <v>103</v>
      </c>
      <c r="N7747" t="s">
        <v>103</v>
      </c>
      <c r="O7747" t="s">
        <v>103</v>
      </c>
      <c r="P7747" t="s">
        <v>103</v>
      </c>
      <c r="Q7747" t="s">
        <v>103</v>
      </c>
    </row>
    <row r="7748" spans="1:17" x14ac:dyDescent="0.3">
      <c r="A7748" t="s">
        <v>28</v>
      </c>
      <c r="B7748" t="s">
        <v>2159</v>
      </c>
      <c r="C7748">
        <v>174</v>
      </c>
      <c r="D7748" t="s">
        <v>97</v>
      </c>
      <c r="E7748" t="s">
        <v>617</v>
      </c>
      <c r="F7748" t="s">
        <v>208</v>
      </c>
      <c r="G7748" t="s">
        <v>144</v>
      </c>
      <c r="H7748" t="s">
        <v>95</v>
      </c>
      <c r="I7748" t="s">
        <v>208</v>
      </c>
      <c r="J7748" t="s">
        <v>103</v>
      </c>
      <c r="K7748" t="s">
        <v>103</v>
      </c>
      <c r="L7748" t="s">
        <v>103</v>
      </c>
      <c r="M7748" t="s">
        <v>103</v>
      </c>
      <c r="N7748" t="s">
        <v>103</v>
      </c>
      <c r="O7748" t="s">
        <v>103</v>
      </c>
      <c r="P7748" t="s">
        <v>103</v>
      </c>
      <c r="Q7748" t="s">
        <v>103</v>
      </c>
    </row>
    <row r="7749" spans="1:17" x14ac:dyDescent="0.3">
      <c r="A7749" t="s">
        <v>27</v>
      </c>
      <c r="B7749" t="s">
        <v>2158</v>
      </c>
      <c r="C7749">
        <v>237</v>
      </c>
      <c r="D7749" t="s">
        <v>93</v>
      </c>
      <c r="E7749" t="s">
        <v>1441</v>
      </c>
      <c r="F7749" t="s">
        <v>195</v>
      </c>
      <c r="G7749" t="s">
        <v>526</v>
      </c>
      <c r="H7749" t="s">
        <v>122</v>
      </c>
      <c r="I7749" t="s">
        <v>194</v>
      </c>
      <c r="J7749" t="s">
        <v>110</v>
      </c>
      <c r="K7749" t="s">
        <v>103</v>
      </c>
      <c r="L7749" t="s">
        <v>103</v>
      </c>
      <c r="M7749" t="s">
        <v>103</v>
      </c>
      <c r="N7749" t="s">
        <v>103</v>
      </c>
      <c r="O7749" t="s">
        <v>97</v>
      </c>
      <c r="P7749" t="s">
        <v>97</v>
      </c>
      <c r="Q7749" t="s">
        <v>103</v>
      </c>
    </row>
    <row r="7750" spans="1:17" x14ac:dyDescent="0.3">
      <c r="A7750" t="s">
        <v>27</v>
      </c>
      <c r="B7750" t="s">
        <v>2159</v>
      </c>
      <c r="C7750">
        <v>117</v>
      </c>
      <c r="D7750" t="s">
        <v>95</v>
      </c>
      <c r="E7750" t="s">
        <v>238</v>
      </c>
      <c r="F7750" t="s">
        <v>272</v>
      </c>
      <c r="G7750" t="s">
        <v>1084</v>
      </c>
      <c r="H7750" t="s">
        <v>103</v>
      </c>
      <c r="I7750" t="s">
        <v>97</v>
      </c>
      <c r="J7750" t="s">
        <v>103</v>
      </c>
      <c r="K7750" t="s">
        <v>103</v>
      </c>
      <c r="L7750" t="s">
        <v>103</v>
      </c>
      <c r="M7750" t="s">
        <v>103</v>
      </c>
      <c r="N7750" t="s">
        <v>103</v>
      </c>
      <c r="O7750" t="s">
        <v>120</v>
      </c>
      <c r="P7750" t="s">
        <v>103</v>
      </c>
      <c r="Q7750" t="s">
        <v>103</v>
      </c>
    </row>
    <row r="7751" spans="1:17" x14ac:dyDescent="0.3">
      <c r="A7751" t="s">
        <v>41</v>
      </c>
      <c r="B7751" t="s">
        <v>2158</v>
      </c>
      <c r="C7751">
        <v>1634</v>
      </c>
      <c r="D7751" t="s">
        <v>95</v>
      </c>
      <c r="E7751" t="s">
        <v>728</v>
      </c>
      <c r="F7751" t="s">
        <v>270</v>
      </c>
      <c r="G7751" t="s">
        <v>680</v>
      </c>
      <c r="H7751" t="s">
        <v>116</v>
      </c>
      <c r="I7751" t="s">
        <v>122</v>
      </c>
      <c r="J7751" t="s">
        <v>139</v>
      </c>
      <c r="K7751" t="s">
        <v>91</v>
      </c>
      <c r="L7751" t="s">
        <v>91</v>
      </c>
      <c r="M7751" t="s">
        <v>97</v>
      </c>
      <c r="N7751" t="s">
        <v>103</v>
      </c>
      <c r="O7751" t="s">
        <v>66</v>
      </c>
      <c r="P7751" t="s">
        <v>103</v>
      </c>
      <c r="Q7751" t="s">
        <v>103</v>
      </c>
    </row>
    <row r="7752" spans="1:17" x14ac:dyDescent="0.3">
      <c r="A7752" t="s">
        <v>41</v>
      </c>
      <c r="B7752" t="s">
        <v>2159</v>
      </c>
      <c r="C7752">
        <v>1409</v>
      </c>
      <c r="D7752" t="s">
        <v>239</v>
      </c>
      <c r="E7752" t="s">
        <v>1141</v>
      </c>
      <c r="F7752" t="s">
        <v>257</v>
      </c>
      <c r="G7752" t="s">
        <v>682</v>
      </c>
      <c r="H7752" t="s">
        <v>122</v>
      </c>
      <c r="I7752" t="s">
        <v>116</v>
      </c>
      <c r="J7752" t="s">
        <v>122</v>
      </c>
      <c r="K7752" t="s">
        <v>103</v>
      </c>
      <c r="L7752" t="s">
        <v>103</v>
      </c>
      <c r="M7752" t="s">
        <v>103</v>
      </c>
      <c r="N7752" t="s">
        <v>66</v>
      </c>
      <c r="O7752" t="s">
        <v>139</v>
      </c>
      <c r="P7752" t="s">
        <v>103</v>
      </c>
      <c r="Q7752" t="s">
        <v>103</v>
      </c>
    </row>
    <row r="7753" spans="1:17" x14ac:dyDescent="0.3">
      <c r="A7753" t="s">
        <v>41</v>
      </c>
      <c r="B7753" t="s">
        <v>308</v>
      </c>
      <c r="C7753">
        <v>1</v>
      </c>
      <c r="D7753" t="s">
        <v>103</v>
      </c>
      <c r="E7753" t="s">
        <v>192</v>
      </c>
      <c r="F7753" t="s">
        <v>103</v>
      </c>
      <c r="G7753" t="s">
        <v>103</v>
      </c>
      <c r="H7753" t="s">
        <v>103</v>
      </c>
      <c r="I7753" t="s">
        <v>103</v>
      </c>
      <c r="J7753" t="s">
        <v>103</v>
      </c>
      <c r="K7753" t="s">
        <v>103</v>
      </c>
      <c r="L7753" t="s">
        <v>103</v>
      </c>
      <c r="M7753" t="s">
        <v>103</v>
      </c>
      <c r="N7753" t="s">
        <v>103</v>
      </c>
      <c r="O7753" t="s">
        <v>103</v>
      </c>
      <c r="P7753" t="s">
        <v>103</v>
      </c>
      <c r="Q7753" t="s">
        <v>103</v>
      </c>
    </row>
    <row r="7755" spans="1:17" x14ac:dyDescent="0.3">
      <c r="A7755" t="s">
        <v>2314</v>
      </c>
    </row>
    <row r="7756" spans="1:17" x14ac:dyDescent="0.3">
      <c r="A7756" t="s">
        <v>36</v>
      </c>
      <c r="B7756" t="s">
        <v>210</v>
      </c>
      <c r="C7756" t="s">
        <v>24</v>
      </c>
      <c r="D7756" t="s">
        <v>2296</v>
      </c>
      <c r="E7756" t="s">
        <v>2297</v>
      </c>
      <c r="F7756" t="s">
        <v>2298</v>
      </c>
      <c r="G7756" t="s">
        <v>2299</v>
      </c>
      <c r="H7756" t="s">
        <v>2300</v>
      </c>
      <c r="I7756" t="s">
        <v>2301</v>
      </c>
      <c r="J7756" t="s">
        <v>2302</v>
      </c>
      <c r="K7756" t="s">
        <v>2303</v>
      </c>
      <c r="L7756" t="s">
        <v>2304</v>
      </c>
      <c r="M7756" t="s">
        <v>2250</v>
      </c>
      <c r="N7756" t="s">
        <v>2305</v>
      </c>
      <c r="O7756" t="s">
        <v>2306</v>
      </c>
      <c r="P7756" t="s">
        <v>2307</v>
      </c>
      <c r="Q7756" t="s">
        <v>2308</v>
      </c>
    </row>
    <row r="7757" spans="1:17" x14ac:dyDescent="0.3">
      <c r="A7757" t="s">
        <v>25</v>
      </c>
      <c r="B7757" t="s">
        <v>211</v>
      </c>
      <c r="C7757">
        <v>693</v>
      </c>
      <c r="D7757" t="s">
        <v>95</v>
      </c>
      <c r="E7757" t="s">
        <v>274</v>
      </c>
      <c r="F7757" t="s">
        <v>93</v>
      </c>
      <c r="G7757" t="s">
        <v>681</v>
      </c>
      <c r="H7757" t="s">
        <v>66</v>
      </c>
      <c r="I7757" t="s">
        <v>66</v>
      </c>
      <c r="J7757" t="s">
        <v>110</v>
      </c>
      <c r="K7757" t="s">
        <v>103</v>
      </c>
      <c r="L7757" t="s">
        <v>103</v>
      </c>
      <c r="M7757" t="s">
        <v>103</v>
      </c>
      <c r="N7757" t="s">
        <v>122</v>
      </c>
      <c r="O7757" t="s">
        <v>122</v>
      </c>
      <c r="P7757" t="s">
        <v>103</v>
      </c>
      <c r="Q7757" t="s">
        <v>103</v>
      </c>
    </row>
    <row r="7758" spans="1:17" x14ac:dyDescent="0.3">
      <c r="A7758" t="s">
        <v>26</v>
      </c>
      <c r="B7758" t="s">
        <v>211</v>
      </c>
      <c r="C7758">
        <v>302</v>
      </c>
      <c r="D7758" t="s">
        <v>122</v>
      </c>
      <c r="E7758" t="s">
        <v>749</v>
      </c>
      <c r="F7758" t="s">
        <v>345</v>
      </c>
      <c r="G7758" t="s">
        <v>890</v>
      </c>
      <c r="H7758" t="s">
        <v>91</v>
      </c>
      <c r="I7758" t="s">
        <v>122</v>
      </c>
      <c r="J7758" t="s">
        <v>116</v>
      </c>
      <c r="K7758" t="s">
        <v>103</v>
      </c>
      <c r="L7758" t="s">
        <v>103</v>
      </c>
      <c r="M7758" t="s">
        <v>103</v>
      </c>
      <c r="N7758" t="s">
        <v>103</v>
      </c>
      <c r="O7758" t="s">
        <v>66</v>
      </c>
      <c r="P7758" t="s">
        <v>103</v>
      </c>
      <c r="Q7758" t="s">
        <v>103</v>
      </c>
    </row>
    <row r="7759" spans="1:17" x14ac:dyDescent="0.3">
      <c r="A7759" t="s">
        <v>26</v>
      </c>
      <c r="B7759" t="s">
        <v>212</v>
      </c>
      <c r="C7759">
        <v>472</v>
      </c>
      <c r="D7759" t="s">
        <v>95</v>
      </c>
      <c r="E7759" t="s">
        <v>1680</v>
      </c>
      <c r="F7759" t="s">
        <v>493</v>
      </c>
      <c r="G7759" t="s">
        <v>927</v>
      </c>
      <c r="H7759" t="s">
        <v>116</v>
      </c>
      <c r="I7759" t="s">
        <v>97</v>
      </c>
      <c r="J7759" t="s">
        <v>95</v>
      </c>
      <c r="K7759" t="s">
        <v>66</v>
      </c>
      <c r="L7759" t="s">
        <v>116</v>
      </c>
      <c r="M7759" t="s">
        <v>103</v>
      </c>
      <c r="N7759" t="s">
        <v>66</v>
      </c>
      <c r="O7759" t="s">
        <v>66</v>
      </c>
      <c r="P7759" t="s">
        <v>103</v>
      </c>
      <c r="Q7759" t="s">
        <v>103</v>
      </c>
    </row>
    <row r="7760" spans="1:17" x14ac:dyDescent="0.3">
      <c r="A7760" t="s">
        <v>29</v>
      </c>
      <c r="B7760" t="s">
        <v>211</v>
      </c>
      <c r="C7760">
        <v>872</v>
      </c>
      <c r="D7760" t="s">
        <v>239</v>
      </c>
      <c r="E7760" t="s">
        <v>47</v>
      </c>
      <c r="F7760" t="s">
        <v>64</v>
      </c>
      <c r="G7760" t="s">
        <v>550</v>
      </c>
      <c r="H7760" t="s">
        <v>97</v>
      </c>
      <c r="I7760" t="s">
        <v>91</v>
      </c>
      <c r="J7760" t="s">
        <v>122</v>
      </c>
      <c r="K7760" t="s">
        <v>103</v>
      </c>
      <c r="L7760" t="s">
        <v>103</v>
      </c>
      <c r="M7760" t="s">
        <v>97</v>
      </c>
      <c r="N7760" t="s">
        <v>103</v>
      </c>
      <c r="O7760" t="s">
        <v>139</v>
      </c>
      <c r="P7760" t="s">
        <v>103</v>
      </c>
      <c r="Q7760" t="s">
        <v>103</v>
      </c>
    </row>
    <row r="7761" spans="1:17" x14ac:dyDescent="0.3">
      <c r="A7761" t="s">
        <v>28</v>
      </c>
      <c r="B7761" t="s">
        <v>211</v>
      </c>
      <c r="C7761">
        <v>311</v>
      </c>
      <c r="D7761" t="s">
        <v>66</v>
      </c>
      <c r="E7761" t="s">
        <v>884</v>
      </c>
      <c r="F7761" t="s">
        <v>118</v>
      </c>
      <c r="G7761" t="s">
        <v>680</v>
      </c>
      <c r="H7761" t="s">
        <v>95</v>
      </c>
      <c r="I7761" t="s">
        <v>591</v>
      </c>
      <c r="J7761" t="s">
        <v>103</v>
      </c>
      <c r="K7761" t="s">
        <v>103</v>
      </c>
      <c r="L7761" t="s">
        <v>103</v>
      </c>
      <c r="M7761" t="s">
        <v>103</v>
      </c>
      <c r="N7761" t="s">
        <v>103</v>
      </c>
      <c r="O7761" t="s">
        <v>103</v>
      </c>
      <c r="P7761" t="s">
        <v>103</v>
      </c>
      <c r="Q7761" t="s">
        <v>103</v>
      </c>
    </row>
    <row r="7762" spans="1:17" x14ac:dyDescent="0.3">
      <c r="A7762" t="s">
        <v>28</v>
      </c>
      <c r="B7762" t="s">
        <v>212</v>
      </c>
      <c r="C7762">
        <v>40</v>
      </c>
      <c r="D7762" t="s">
        <v>103</v>
      </c>
      <c r="E7762" t="s">
        <v>840</v>
      </c>
      <c r="F7762" t="s">
        <v>103</v>
      </c>
      <c r="G7762" t="s">
        <v>103</v>
      </c>
      <c r="H7762" t="s">
        <v>103</v>
      </c>
      <c r="I7762" t="s">
        <v>103</v>
      </c>
      <c r="J7762" t="s">
        <v>103</v>
      </c>
      <c r="K7762" t="s">
        <v>103</v>
      </c>
      <c r="L7762" t="s">
        <v>438</v>
      </c>
      <c r="M7762" t="s">
        <v>103</v>
      </c>
      <c r="N7762" t="s">
        <v>103</v>
      </c>
      <c r="O7762" t="s">
        <v>103</v>
      </c>
      <c r="P7762" t="s">
        <v>103</v>
      </c>
      <c r="Q7762" t="s">
        <v>103</v>
      </c>
    </row>
    <row r="7763" spans="1:17" x14ac:dyDescent="0.3">
      <c r="A7763" t="s">
        <v>27</v>
      </c>
      <c r="B7763" t="s">
        <v>211</v>
      </c>
      <c r="C7763">
        <v>315</v>
      </c>
      <c r="D7763" t="s">
        <v>245</v>
      </c>
      <c r="E7763" t="s">
        <v>1348</v>
      </c>
      <c r="F7763" t="s">
        <v>272</v>
      </c>
      <c r="G7763" t="s">
        <v>525</v>
      </c>
      <c r="H7763" t="s">
        <v>116</v>
      </c>
      <c r="I7763" t="s">
        <v>282</v>
      </c>
      <c r="J7763" t="s">
        <v>98</v>
      </c>
      <c r="K7763" t="s">
        <v>103</v>
      </c>
      <c r="L7763" t="s">
        <v>103</v>
      </c>
      <c r="M7763" t="s">
        <v>103</v>
      </c>
      <c r="N7763" t="s">
        <v>103</v>
      </c>
      <c r="O7763" t="s">
        <v>120</v>
      </c>
      <c r="P7763" t="s">
        <v>116</v>
      </c>
      <c r="Q7763" t="s">
        <v>103</v>
      </c>
    </row>
    <row r="7764" spans="1:17" x14ac:dyDescent="0.3">
      <c r="A7764" t="s">
        <v>27</v>
      </c>
      <c r="B7764" t="s">
        <v>212</v>
      </c>
      <c r="C7764">
        <v>39</v>
      </c>
      <c r="D7764" t="s">
        <v>103</v>
      </c>
      <c r="E7764" t="s">
        <v>192</v>
      </c>
      <c r="F7764" t="s">
        <v>103</v>
      </c>
      <c r="G7764" t="s">
        <v>103</v>
      </c>
      <c r="H7764" t="s">
        <v>103</v>
      </c>
      <c r="I7764" t="s">
        <v>103</v>
      </c>
      <c r="J7764" t="s">
        <v>103</v>
      </c>
      <c r="K7764" t="s">
        <v>103</v>
      </c>
      <c r="L7764" t="s">
        <v>103</v>
      </c>
      <c r="M7764" t="s">
        <v>103</v>
      </c>
      <c r="N7764" t="s">
        <v>103</v>
      </c>
      <c r="O7764" t="s">
        <v>103</v>
      </c>
      <c r="P7764" t="s">
        <v>103</v>
      </c>
      <c r="Q7764" t="s">
        <v>103</v>
      </c>
    </row>
    <row r="7765" spans="1:17" x14ac:dyDescent="0.3">
      <c r="A7765" t="s">
        <v>41</v>
      </c>
      <c r="B7765" t="s">
        <v>211</v>
      </c>
      <c r="C7765">
        <v>2493</v>
      </c>
      <c r="D7765" t="s">
        <v>345</v>
      </c>
      <c r="E7765" t="s">
        <v>1459</v>
      </c>
      <c r="F7765" t="s">
        <v>257</v>
      </c>
      <c r="G7765" t="s">
        <v>829</v>
      </c>
      <c r="H7765" t="s">
        <v>122</v>
      </c>
      <c r="I7765" t="s">
        <v>116</v>
      </c>
      <c r="J7765" t="s">
        <v>120</v>
      </c>
      <c r="K7765" t="s">
        <v>103</v>
      </c>
      <c r="L7765" t="s">
        <v>103</v>
      </c>
      <c r="M7765" t="s">
        <v>116</v>
      </c>
      <c r="N7765" t="s">
        <v>91</v>
      </c>
      <c r="O7765" t="s">
        <v>120</v>
      </c>
      <c r="P7765" t="s">
        <v>103</v>
      </c>
      <c r="Q7765" t="s">
        <v>103</v>
      </c>
    </row>
    <row r="7766" spans="1:17" x14ac:dyDescent="0.3">
      <c r="A7766" t="s">
        <v>41</v>
      </c>
      <c r="B7766" t="s">
        <v>212</v>
      </c>
      <c r="C7766">
        <v>551</v>
      </c>
      <c r="D7766" t="s">
        <v>95</v>
      </c>
      <c r="E7766" t="s">
        <v>755</v>
      </c>
      <c r="F7766" t="s">
        <v>125</v>
      </c>
      <c r="G7766" t="s">
        <v>476</v>
      </c>
      <c r="H7766" t="s">
        <v>116</v>
      </c>
      <c r="I7766" t="s">
        <v>97</v>
      </c>
      <c r="J7766" t="s">
        <v>95</v>
      </c>
      <c r="K7766" t="s">
        <v>66</v>
      </c>
      <c r="L7766" t="s">
        <v>116</v>
      </c>
      <c r="M7766" t="s">
        <v>103</v>
      </c>
      <c r="N7766" t="s">
        <v>66</v>
      </c>
      <c r="O7766" t="s">
        <v>66</v>
      </c>
      <c r="P7766" t="s">
        <v>103</v>
      </c>
      <c r="Q7766" t="s">
        <v>103</v>
      </c>
    </row>
    <row r="7768" spans="1:17" x14ac:dyDescent="0.3">
      <c r="A7768" t="s">
        <v>2315</v>
      </c>
    </row>
    <row r="7769" spans="1:17" x14ac:dyDescent="0.3">
      <c r="A7769" t="s">
        <v>36</v>
      </c>
      <c r="B7769" t="s">
        <v>1517</v>
      </c>
      <c r="C7769" t="s">
        <v>24</v>
      </c>
      <c r="D7769" t="s">
        <v>2296</v>
      </c>
      <c r="E7769" t="s">
        <v>2297</v>
      </c>
      <c r="F7769" t="s">
        <v>2298</v>
      </c>
      <c r="G7769" t="s">
        <v>2299</v>
      </c>
      <c r="H7769" t="s">
        <v>2300</v>
      </c>
      <c r="I7769" t="s">
        <v>2301</v>
      </c>
      <c r="J7769" t="s">
        <v>2302</v>
      </c>
      <c r="K7769" t="s">
        <v>2303</v>
      </c>
      <c r="L7769" t="s">
        <v>2304</v>
      </c>
      <c r="M7769" t="s">
        <v>2250</v>
      </c>
      <c r="N7769" t="s">
        <v>2305</v>
      </c>
      <c r="O7769" t="s">
        <v>2306</v>
      </c>
      <c r="P7769" t="s">
        <v>2307</v>
      </c>
      <c r="Q7769" t="s">
        <v>2308</v>
      </c>
    </row>
    <row r="7770" spans="1:17" x14ac:dyDescent="0.3">
      <c r="A7770" t="s">
        <v>25</v>
      </c>
      <c r="B7770" t="s">
        <v>1518</v>
      </c>
      <c r="C7770">
        <v>393</v>
      </c>
      <c r="D7770" t="s">
        <v>468</v>
      </c>
      <c r="E7770" t="s">
        <v>976</v>
      </c>
      <c r="F7770" t="s">
        <v>257</v>
      </c>
      <c r="G7770" t="s">
        <v>507</v>
      </c>
      <c r="H7770" t="s">
        <v>116</v>
      </c>
      <c r="I7770" t="s">
        <v>103</v>
      </c>
      <c r="J7770" t="s">
        <v>257</v>
      </c>
      <c r="K7770" t="s">
        <v>103</v>
      </c>
      <c r="L7770" t="s">
        <v>103</v>
      </c>
      <c r="M7770" t="s">
        <v>103</v>
      </c>
      <c r="N7770" t="s">
        <v>139</v>
      </c>
      <c r="O7770" t="s">
        <v>103</v>
      </c>
      <c r="P7770" t="s">
        <v>103</v>
      </c>
      <c r="Q7770" t="s">
        <v>103</v>
      </c>
    </row>
    <row r="7771" spans="1:17" x14ac:dyDescent="0.3">
      <c r="A7771" t="s">
        <v>25</v>
      </c>
      <c r="B7771" t="s">
        <v>1519</v>
      </c>
      <c r="C7771">
        <v>300</v>
      </c>
      <c r="D7771" t="s">
        <v>103</v>
      </c>
      <c r="E7771" t="s">
        <v>885</v>
      </c>
      <c r="F7771" t="s">
        <v>341</v>
      </c>
      <c r="G7771" t="s">
        <v>251</v>
      </c>
      <c r="H7771" t="s">
        <v>103</v>
      </c>
      <c r="I7771" t="s">
        <v>122</v>
      </c>
      <c r="J7771" t="s">
        <v>103</v>
      </c>
      <c r="K7771" t="s">
        <v>103</v>
      </c>
      <c r="L7771" t="s">
        <v>103</v>
      </c>
      <c r="M7771" t="s">
        <v>103</v>
      </c>
      <c r="N7771" t="s">
        <v>103</v>
      </c>
      <c r="O7771" t="s">
        <v>98</v>
      </c>
      <c r="P7771" t="s">
        <v>103</v>
      </c>
      <c r="Q7771" t="s">
        <v>103</v>
      </c>
    </row>
    <row r="7772" spans="1:17" x14ac:dyDescent="0.3">
      <c r="A7772" t="s">
        <v>26</v>
      </c>
      <c r="B7772" t="s">
        <v>1518</v>
      </c>
      <c r="C7772">
        <v>431</v>
      </c>
      <c r="D7772" t="s">
        <v>120</v>
      </c>
      <c r="E7772" t="s">
        <v>1581</v>
      </c>
      <c r="F7772" t="s">
        <v>201</v>
      </c>
      <c r="G7772" t="s">
        <v>582</v>
      </c>
      <c r="H7772" t="s">
        <v>97</v>
      </c>
      <c r="I7772" t="s">
        <v>116</v>
      </c>
      <c r="J7772" t="s">
        <v>122</v>
      </c>
      <c r="K7772" t="s">
        <v>103</v>
      </c>
      <c r="L7772" t="s">
        <v>116</v>
      </c>
      <c r="M7772" t="s">
        <v>103</v>
      </c>
      <c r="N7772" t="s">
        <v>66</v>
      </c>
      <c r="O7772" t="s">
        <v>66</v>
      </c>
      <c r="P7772" t="s">
        <v>103</v>
      </c>
      <c r="Q7772" t="s">
        <v>103</v>
      </c>
    </row>
    <row r="7773" spans="1:17" x14ac:dyDescent="0.3">
      <c r="A7773" t="s">
        <v>26</v>
      </c>
      <c r="B7773" t="s">
        <v>1519</v>
      </c>
      <c r="C7773">
        <v>334</v>
      </c>
      <c r="D7773" t="s">
        <v>116</v>
      </c>
      <c r="E7773" t="s">
        <v>1484</v>
      </c>
      <c r="F7773" t="s">
        <v>95</v>
      </c>
      <c r="G7773" t="s">
        <v>206</v>
      </c>
      <c r="H7773" t="s">
        <v>103</v>
      </c>
      <c r="I7773" t="s">
        <v>120</v>
      </c>
      <c r="J7773" t="s">
        <v>95</v>
      </c>
      <c r="K7773" t="s">
        <v>116</v>
      </c>
      <c r="L7773" t="s">
        <v>103</v>
      </c>
      <c r="M7773" t="s">
        <v>103</v>
      </c>
      <c r="N7773" t="s">
        <v>103</v>
      </c>
      <c r="O7773" t="s">
        <v>66</v>
      </c>
      <c r="P7773" t="s">
        <v>103</v>
      </c>
      <c r="Q7773" t="s">
        <v>103</v>
      </c>
    </row>
    <row r="7774" spans="1:17" x14ac:dyDescent="0.3">
      <c r="A7774" t="s">
        <v>26</v>
      </c>
      <c r="B7774" t="s">
        <v>308</v>
      </c>
      <c r="C7774">
        <v>9</v>
      </c>
      <c r="D7774" t="s">
        <v>119</v>
      </c>
      <c r="E7774" t="s">
        <v>974</v>
      </c>
      <c r="F7774" t="s">
        <v>103</v>
      </c>
      <c r="G7774" t="s">
        <v>103</v>
      </c>
      <c r="H7774" t="s">
        <v>103</v>
      </c>
      <c r="I7774" t="s">
        <v>103</v>
      </c>
      <c r="J7774" t="s">
        <v>103</v>
      </c>
      <c r="K7774" t="s">
        <v>103</v>
      </c>
      <c r="L7774" t="s">
        <v>103</v>
      </c>
      <c r="M7774" t="s">
        <v>103</v>
      </c>
      <c r="N7774" t="s">
        <v>103</v>
      </c>
      <c r="O7774" t="s">
        <v>103</v>
      </c>
      <c r="P7774" t="s">
        <v>103</v>
      </c>
      <c r="Q7774" t="s">
        <v>103</v>
      </c>
    </row>
    <row r="7775" spans="1:17" x14ac:dyDescent="0.3">
      <c r="A7775" t="s">
        <v>29</v>
      </c>
      <c r="B7775" t="s">
        <v>1518</v>
      </c>
      <c r="C7775">
        <v>583</v>
      </c>
      <c r="D7775" t="s">
        <v>105</v>
      </c>
      <c r="E7775" t="s">
        <v>1239</v>
      </c>
      <c r="F7775" t="s">
        <v>270</v>
      </c>
      <c r="G7775" t="s">
        <v>506</v>
      </c>
      <c r="H7775" t="s">
        <v>95</v>
      </c>
      <c r="I7775" t="s">
        <v>91</v>
      </c>
      <c r="J7775" t="s">
        <v>97</v>
      </c>
      <c r="K7775" t="s">
        <v>103</v>
      </c>
      <c r="L7775" t="s">
        <v>103</v>
      </c>
      <c r="M7775" t="s">
        <v>139</v>
      </c>
      <c r="N7775" t="s">
        <v>103</v>
      </c>
      <c r="O7775" t="s">
        <v>282</v>
      </c>
      <c r="P7775" t="s">
        <v>103</v>
      </c>
      <c r="Q7775" t="s">
        <v>103</v>
      </c>
    </row>
    <row r="7776" spans="1:17" x14ac:dyDescent="0.3">
      <c r="A7776" t="s">
        <v>29</v>
      </c>
      <c r="B7776" t="s">
        <v>1519</v>
      </c>
      <c r="C7776">
        <v>279</v>
      </c>
      <c r="D7776" t="s">
        <v>139</v>
      </c>
      <c r="E7776" t="s">
        <v>882</v>
      </c>
      <c r="F7776" t="s">
        <v>329</v>
      </c>
      <c r="G7776" t="s">
        <v>452</v>
      </c>
      <c r="H7776" t="s">
        <v>103</v>
      </c>
      <c r="I7776" t="s">
        <v>103</v>
      </c>
      <c r="J7776" t="s">
        <v>103</v>
      </c>
      <c r="K7776" t="s">
        <v>103</v>
      </c>
      <c r="L7776" t="s">
        <v>103</v>
      </c>
      <c r="M7776" t="s">
        <v>103</v>
      </c>
      <c r="N7776" t="s">
        <v>103</v>
      </c>
      <c r="O7776" t="s">
        <v>122</v>
      </c>
      <c r="P7776" t="s">
        <v>103</v>
      </c>
      <c r="Q7776" t="s">
        <v>103</v>
      </c>
    </row>
    <row r="7777" spans="1:17" x14ac:dyDescent="0.3">
      <c r="A7777" t="s">
        <v>29</v>
      </c>
      <c r="B7777" t="s">
        <v>308</v>
      </c>
      <c r="C7777">
        <v>10</v>
      </c>
      <c r="D7777" t="s">
        <v>103</v>
      </c>
      <c r="E7777" t="s">
        <v>1141</v>
      </c>
      <c r="F7777" t="s">
        <v>472</v>
      </c>
      <c r="G7777" t="s">
        <v>137</v>
      </c>
      <c r="H7777" t="s">
        <v>103</v>
      </c>
      <c r="I7777" t="s">
        <v>103</v>
      </c>
      <c r="J7777" t="s">
        <v>103</v>
      </c>
      <c r="K7777" t="s">
        <v>103</v>
      </c>
      <c r="L7777" t="s">
        <v>103</v>
      </c>
      <c r="M7777" t="s">
        <v>103</v>
      </c>
      <c r="N7777" t="s">
        <v>103</v>
      </c>
      <c r="O7777" t="s">
        <v>103</v>
      </c>
      <c r="P7777" t="s">
        <v>103</v>
      </c>
      <c r="Q7777" t="s">
        <v>103</v>
      </c>
    </row>
    <row r="7778" spans="1:17" x14ac:dyDescent="0.3">
      <c r="A7778" t="s">
        <v>28</v>
      </c>
      <c r="B7778" t="s">
        <v>1518</v>
      </c>
      <c r="C7778">
        <v>191</v>
      </c>
      <c r="D7778" t="s">
        <v>103</v>
      </c>
      <c r="E7778" t="s">
        <v>2111</v>
      </c>
      <c r="F7778" t="s">
        <v>467</v>
      </c>
      <c r="G7778" t="s">
        <v>650</v>
      </c>
      <c r="H7778" t="s">
        <v>345</v>
      </c>
      <c r="I7778" t="s">
        <v>662</v>
      </c>
      <c r="J7778" t="s">
        <v>103</v>
      </c>
      <c r="K7778" t="s">
        <v>103</v>
      </c>
      <c r="L7778" t="s">
        <v>120</v>
      </c>
      <c r="M7778" t="s">
        <v>103</v>
      </c>
      <c r="N7778" t="s">
        <v>103</v>
      </c>
      <c r="O7778" t="s">
        <v>103</v>
      </c>
      <c r="P7778" t="s">
        <v>103</v>
      </c>
      <c r="Q7778" t="s">
        <v>103</v>
      </c>
    </row>
    <row r="7779" spans="1:17" x14ac:dyDescent="0.3">
      <c r="A7779" t="s">
        <v>28</v>
      </c>
      <c r="B7779" t="s">
        <v>1519</v>
      </c>
      <c r="C7779">
        <v>159</v>
      </c>
      <c r="D7779" t="s">
        <v>97</v>
      </c>
      <c r="E7779" t="s">
        <v>859</v>
      </c>
      <c r="F7779" t="s">
        <v>120</v>
      </c>
      <c r="G7779" t="s">
        <v>615</v>
      </c>
      <c r="H7779" t="s">
        <v>103</v>
      </c>
      <c r="I7779" t="s">
        <v>98</v>
      </c>
      <c r="J7779" t="s">
        <v>103</v>
      </c>
      <c r="K7779" t="s">
        <v>103</v>
      </c>
      <c r="L7779" t="s">
        <v>103</v>
      </c>
      <c r="M7779" t="s">
        <v>103</v>
      </c>
      <c r="N7779" t="s">
        <v>103</v>
      </c>
      <c r="O7779" t="s">
        <v>103</v>
      </c>
      <c r="P7779" t="s">
        <v>103</v>
      </c>
      <c r="Q7779" t="s">
        <v>103</v>
      </c>
    </row>
    <row r="7780" spans="1:17" x14ac:dyDescent="0.3">
      <c r="A7780" t="s">
        <v>28</v>
      </c>
      <c r="B7780" t="s">
        <v>308</v>
      </c>
      <c r="C7780">
        <v>1</v>
      </c>
      <c r="D7780" t="s">
        <v>103</v>
      </c>
      <c r="E7780" t="s">
        <v>192</v>
      </c>
      <c r="F7780" t="s">
        <v>103</v>
      </c>
      <c r="G7780" t="s">
        <v>103</v>
      </c>
      <c r="H7780" t="s">
        <v>103</v>
      </c>
      <c r="I7780" t="s">
        <v>103</v>
      </c>
      <c r="J7780" t="s">
        <v>103</v>
      </c>
      <c r="K7780" t="s">
        <v>103</v>
      </c>
      <c r="L7780" t="s">
        <v>103</v>
      </c>
      <c r="M7780" t="s">
        <v>103</v>
      </c>
      <c r="N7780" t="s">
        <v>103</v>
      </c>
      <c r="O7780" t="s">
        <v>103</v>
      </c>
      <c r="P7780" t="s">
        <v>103</v>
      </c>
      <c r="Q7780" t="s">
        <v>103</v>
      </c>
    </row>
    <row r="7781" spans="1:17" x14ac:dyDescent="0.3">
      <c r="A7781" t="s">
        <v>27</v>
      </c>
      <c r="B7781" t="s">
        <v>1518</v>
      </c>
      <c r="C7781">
        <v>207</v>
      </c>
      <c r="D7781" t="s">
        <v>282</v>
      </c>
      <c r="E7781" t="s">
        <v>755</v>
      </c>
      <c r="F7781" t="s">
        <v>102</v>
      </c>
      <c r="G7781" t="s">
        <v>686</v>
      </c>
      <c r="H7781" t="s">
        <v>103</v>
      </c>
      <c r="I7781" t="s">
        <v>139</v>
      </c>
      <c r="J7781" t="s">
        <v>103</v>
      </c>
      <c r="K7781" t="s">
        <v>103</v>
      </c>
      <c r="L7781" t="s">
        <v>103</v>
      </c>
      <c r="M7781" t="s">
        <v>103</v>
      </c>
      <c r="N7781" t="s">
        <v>103</v>
      </c>
      <c r="O7781" t="s">
        <v>139</v>
      </c>
      <c r="P7781" t="s">
        <v>122</v>
      </c>
      <c r="Q7781" t="s">
        <v>103</v>
      </c>
    </row>
    <row r="7782" spans="1:17" x14ac:dyDescent="0.3">
      <c r="A7782" t="s">
        <v>27</v>
      </c>
      <c r="B7782" t="s">
        <v>1519</v>
      </c>
      <c r="C7782">
        <v>138</v>
      </c>
      <c r="D7782" t="s">
        <v>64</v>
      </c>
      <c r="E7782" t="s">
        <v>1459</v>
      </c>
      <c r="F7782" t="s">
        <v>128</v>
      </c>
      <c r="G7782" t="s">
        <v>536</v>
      </c>
      <c r="H7782" t="s">
        <v>95</v>
      </c>
      <c r="I7782" t="s">
        <v>239</v>
      </c>
      <c r="J7782" t="s">
        <v>217</v>
      </c>
      <c r="K7782" t="s">
        <v>103</v>
      </c>
      <c r="L7782" t="s">
        <v>103</v>
      </c>
      <c r="M7782" t="s">
        <v>103</v>
      </c>
      <c r="N7782" t="s">
        <v>103</v>
      </c>
      <c r="O7782" t="s">
        <v>103</v>
      </c>
      <c r="P7782" t="s">
        <v>103</v>
      </c>
      <c r="Q7782" t="s">
        <v>103</v>
      </c>
    </row>
    <row r="7783" spans="1:17" x14ac:dyDescent="0.3">
      <c r="A7783" t="s">
        <v>27</v>
      </c>
      <c r="B7783" t="s">
        <v>308</v>
      </c>
      <c r="C7783">
        <v>9</v>
      </c>
      <c r="D7783" t="s">
        <v>103</v>
      </c>
      <c r="E7783" t="s">
        <v>53</v>
      </c>
      <c r="F7783" t="s">
        <v>103</v>
      </c>
      <c r="G7783" t="s">
        <v>54</v>
      </c>
      <c r="H7783" t="s">
        <v>103</v>
      </c>
      <c r="I7783" t="s">
        <v>103</v>
      </c>
      <c r="J7783" t="s">
        <v>103</v>
      </c>
      <c r="K7783" t="s">
        <v>103</v>
      </c>
      <c r="L7783" t="s">
        <v>103</v>
      </c>
      <c r="M7783" t="s">
        <v>103</v>
      </c>
      <c r="N7783" t="s">
        <v>103</v>
      </c>
      <c r="O7783" t="s">
        <v>103</v>
      </c>
      <c r="P7783" t="s">
        <v>103</v>
      </c>
      <c r="Q7783" t="s">
        <v>103</v>
      </c>
    </row>
    <row r="7784" spans="1:17" x14ac:dyDescent="0.3">
      <c r="A7784" t="s">
        <v>41</v>
      </c>
      <c r="B7784" t="s">
        <v>1518</v>
      </c>
      <c r="C7784">
        <v>1805</v>
      </c>
      <c r="D7784" t="s">
        <v>194</v>
      </c>
      <c r="E7784" t="s">
        <v>2108</v>
      </c>
      <c r="F7784" t="s">
        <v>272</v>
      </c>
      <c r="G7784" t="s">
        <v>820</v>
      </c>
      <c r="H7784" t="s">
        <v>120</v>
      </c>
      <c r="I7784" t="s">
        <v>116</v>
      </c>
      <c r="J7784" t="s">
        <v>139</v>
      </c>
      <c r="K7784" t="s">
        <v>103</v>
      </c>
      <c r="L7784" t="s">
        <v>91</v>
      </c>
      <c r="M7784" t="s">
        <v>122</v>
      </c>
      <c r="N7784" t="s">
        <v>66</v>
      </c>
      <c r="O7784" t="s">
        <v>120</v>
      </c>
      <c r="P7784" t="s">
        <v>103</v>
      </c>
      <c r="Q7784" t="s">
        <v>103</v>
      </c>
    </row>
    <row r="7785" spans="1:17" x14ac:dyDescent="0.3">
      <c r="A7785" t="s">
        <v>41</v>
      </c>
      <c r="B7785" t="s">
        <v>1519</v>
      </c>
      <c r="C7785">
        <v>1210</v>
      </c>
      <c r="D7785" t="s">
        <v>97</v>
      </c>
      <c r="E7785" t="s">
        <v>590</v>
      </c>
      <c r="F7785" t="s">
        <v>216</v>
      </c>
      <c r="G7785" t="s">
        <v>466</v>
      </c>
      <c r="H7785" t="s">
        <v>103</v>
      </c>
      <c r="I7785" t="s">
        <v>122</v>
      </c>
      <c r="J7785" t="s">
        <v>116</v>
      </c>
      <c r="K7785" t="s">
        <v>91</v>
      </c>
      <c r="L7785" t="s">
        <v>103</v>
      </c>
      <c r="M7785" t="s">
        <v>103</v>
      </c>
      <c r="N7785" t="s">
        <v>103</v>
      </c>
      <c r="O7785" t="s">
        <v>122</v>
      </c>
      <c r="P7785" t="s">
        <v>103</v>
      </c>
      <c r="Q7785" t="s">
        <v>103</v>
      </c>
    </row>
    <row r="7786" spans="1:17" x14ac:dyDescent="0.3">
      <c r="A7786" t="s">
        <v>41</v>
      </c>
      <c r="B7786" t="s">
        <v>308</v>
      </c>
      <c r="C7786">
        <v>29</v>
      </c>
      <c r="D7786" t="s">
        <v>125</v>
      </c>
      <c r="E7786" t="s">
        <v>774</v>
      </c>
      <c r="F7786" t="s">
        <v>269</v>
      </c>
      <c r="G7786" t="s">
        <v>251</v>
      </c>
      <c r="H7786" t="s">
        <v>103</v>
      </c>
      <c r="I7786" t="s">
        <v>103</v>
      </c>
      <c r="J7786" t="s">
        <v>103</v>
      </c>
      <c r="K7786" t="s">
        <v>103</v>
      </c>
      <c r="L7786" t="s">
        <v>103</v>
      </c>
      <c r="M7786" t="s">
        <v>103</v>
      </c>
      <c r="N7786" t="s">
        <v>103</v>
      </c>
      <c r="O7786" t="s">
        <v>103</v>
      </c>
      <c r="P7786" t="s">
        <v>103</v>
      </c>
      <c r="Q7786" t="s">
        <v>103</v>
      </c>
    </row>
    <row r="7788" spans="1:17" x14ac:dyDescent="0.3">
      <c r="A7788" t="s">
        <v>2316</v>
      </c>
    </row>
    <row r="7789" spans="1:17" x14ac:dyDescent="0.3">
      <c r="A7789" t="s">
        <v>36</v>
      </c>
      <c r="B7789" t="s">
        <v>24</v>
      </c>
      <c r="C7789" t="s">
        <v>58</v>
      </c>
      <c r="D7789" t="s">
        <v>181</v>
      </c>
      <c r="E7789" t="s">
        <v>59</v>
      </c>
      <c r="F7789" t="s">
        <v>348</v>
      </c>
    </row>
    <row r="7790" spans="1:17" x14ac:dyDescent="0.3">
      <c r="A7790" t="s">
        <v>25</v>
      </c>
      <c r="B7790">
        <v>414</v>
      </c>
      <c r="C7790" t="s">
        <v>334</v>
      </c>
      <c r="D7790" t="s">
        <v>66</v>
      </c>
      <c r="E7790" t="s">
        <v>97</v>
      </c>
      <c r="F7790" t="s">
        <v>103</v>
      </c>
    </row>
    <row r="7791" spans="1:17" x14ac:dyDescent="0.3">
      <c r="A7791" t="s">
        <v>26</v>
      </c>
      <c r="B7791">
        <v>477</v>
      </c>
      <c r="C7791" t="s">
        <v>340</v>
      </c>
      <c r="D7791" t="s">
        <v>103</v>
      </c>
      <c r="E7791" t="s">
        <v>216</v>
      </c>
      <c r="F7791" t="s">
        <v>103</v>
      </c>
    </row>
    <row r="7792" spans="1:17" x14ac:dyDescent="0.3">
      <c r="A7792" t="s">
        <v>29</v>
      </c>
      <c r="B7792">
        <v>530</v>
      </c>
      <c r="C7792" t="s">
        <v>339</v>
      </c>
      <c r="D7792" t="s">
        <v>103</v>
      </c>
      <c r="E7792" t="s">
        <v>118</v>
      </c>
      <c r="F7792" t="s">
        <v>103</v>
      </c>
    </row>
    <row r="7793" spans="1:7" x14ac:dyDescent="0.3">
      <c r="A7793" t="s">
        <v>28</v>
      </c>
      <c r="B7793">
        <v>317</v>
      </c>
      <c r="C7793" t="s">
        <v>339</v>
      </c>
      <c r="D7793" t="s">
        <v>103</v>
      </c>
      <c r="E7793" t="s">
        <v>118</v>
      </c>
      <c r="F7793" t="s">
        <v>103</v>
      </c>
    </row>
    <row r="7794" spans="1:7" x14ac:dyDescent="0.3">
      <c r="A7794" t="s">
        <v>27</v>
      </c>
      <c r="B7794">
        <v>300</v>
      </c>
      <c r="C7794" t="s">
        <v>1176</v>
      </c>
      <c r="D7794" t="s">
        <v>122</v>
      </c>
      <c r="E7794" t="s">
        <v>245</v>
      </c>
      <c r="F7794" t="s">
        <v>91</v>
      </c>
    </row>
    <row r="7795" spans="1:7" x14ac:dyDescent="0.3">
      <c r="A7795" t="s">
        <v>41</v>
      </c>
      <c r="B7795">
        <v>2038</v>
      </c>
      <c r="C7795" t="s">
        <v>342</v>
      </c>
      <c r="D7795" t="s">
        <v>103</v>
      </c>
      <c r="E7795" t="s">
        <v>105</v>
      </c>
      <c r="F7795" t="s">
        <v>103</v>
      </c>
    </row>
    <row r="7797" spans="1:7" x14ac:dyDescent="0.3">
      <c r="A7797" t="s">
        <v>2317</v>
      </c>
    </row>
    <row r="7798" spans="1:7" x14ac:dyDescent="0.3">
      <c r="A7798" t="s">
        <v>36</v>
      </c>
      <c r="B7798" t="s">
        <v>307</v>
      </c>
      <c r="C7798" t="s">
        <v>24</v>
      </c>
      <c r="D7798" t="s">
        <v>58</v>
      </c>
      <c r="E7798" t="s">
        <v>181</v>
      </c>
      <c r="F7798" t="s">
        <v>59</v>
      </c>
      <c r="G7798" t="s">
        <v>348</v>
      </c>
    </row>
    <row r="7799" spans="1:7" x14ac:dyDescent="0.3">
      <c r="A7799" t="s">
        <v>25</v>
      </c>
      <c r="B7799" t="s">
        <v>291</v>
      </c>
      <c r="C7799">
        <v>156</v>
      </c>
      <c r="D7799" t="s">
        <v>192</v>
      </c>
      <c r="E7799" t="s">
        <v>103</v>
      </c>
      <c r="F7799" t="s">
        <v>103</v>
      </c>
      <c r="G7799" t="s">
        <v>103</v>
      </c>
    </row>
    <row r="7800" spans="1:7" x14ac:dyDescent="0.3">
      <c r="A7800" t="s">
        <v>25</v>
      </c>
      <c r="B7800" t="s">
        <v>292</v>
      </c>
      <c r="C7800">
        <v>254</v>
      </c>
      <c r="D7800" t="s">
        <v>346</v>
      </c>
      <c r="E7800" t="s">
        <v>116</v>
      </c>
      <c r="F7800" t="s">
        <v>98</v>
      </c>
      <c r="G7800" t="s">
        <v>103</v>
      </c>
    </row>
    <row r="7801" spans="1:7" x14ac:dyDescent="0.3">
      <c r="A7801" t="s">
        <v>25</v>
      </c>
      <c r="B7801" t="s">
        <v>308</v>
      </c>
      <c r="C7801">
        <v>4</v>
      </c>
      <c r="D7801" t="s">
        <v>192</v>
      </c>
      <c r="E7801" t="s">
        <v>103</v>
      </c>
      <c r="F7801" t="s">
        <v>103</v>
      </c>
      <c r="G7801" t="s">
        <v>103</v>
      </c>
    </row>
    <row r="7802" spans="1:7" x14ac:dyDescent="0.3">
      <c r="A7802" t="s">
        <v>26</v>
      </c>
      <c r="B7802" t="s">
        <v>291</v>
      </c>
      <c r="C7802">
        <v>122</v>
      </c>
      <c r="D7802" t="s">
        <v>346</v>
      </c>
      <c r="E7802" t="s">
        <v>103</v>
      </c>
      <c r="F7802" t="s">
        <v>345</v>
      </c>
      <c r="G7802" t="s">
        <v>103</v>
      </c>
    </row>
    <row r="7803" spans="1:7" x14ac:dyDescent="0.3">
      <c r="A7803" t="s">
        <v>26</v>
      </c>
      <c r="B7803" t="s">
        <v>292</v>
      </c>
      <c r="C7803">
        <v>352</v>
      </c>
      <c r="D7803" t="s">
        <v>322</v>
      </c>
      <c r="E7803" t="s">
        <v>103</v>
      </c>
      <c r="F7803" t="s">
        <v>105</v>
      </c>
      <c r="G7803" t="s">
        <v>103</v>
      </c>
    </row>
    <row r="7804" spans="1:7" x14ac:dyDescent="0.3">
      <c r="A7804" t="s">
        <v>26</v>
      </c>
      <c r="B7804" t="s">
        <v>308</v>
      </c>
      <c r="C7804">
        <v>3</v>
      </c>
      <c r="D7804" t="s">
        <v>192</v>
      </c>
      <c r="E7804" t="s">
        <v>103</v>
      </c>
      <c r="F7804" t="s">
        <v>103</v>
      </c>
      <c r="G7804" t="s">
        <v>103</v>
      </c>
    </row>
    <row r="7805" spans="1:7" x14ac:dyDescent="0.3">
      <c r="A7805" t="s">
        <v>29</v>
      </c>
      <c r="B7805" t="s">
        <v>291</v>
      </c>
      <c r="C7805">
        <v>205</v>
      </c>
      <c r="D7805" t="s">
        <v>837</v>
      </c>
      <c r="E7805" t="s">
        <v>103</v>
      </c>
      <c r="F7805" t="s">
        <v>195</v>
      </c>
      <c r="G7805" t="s">
        <v>103</v>
      </c>
    </row>
    <row r="7806" spans="1:7" x14ac:dyDescent="0.3">
      <c r="A7806" t="s">
        <v>29</v>
      </c>
      <c r="B7806" t="s">
        <v>292</v>
      </c>
      <c r="C7806">
        <v>325</v>
      </c>
      <c r="D7806" t="s">
        <v>1481</v>
      </c>
      <c r="E7806" t="s">
        <v>103</v>
      </c>
      <c r="F7806" t="s">
        <v>208</v>
      </c>
      <c r="G7806" t="s">
        <v>103</v>
      </c>
    </row>
    <row r="7807" spans="1:7" x14ac:dyDescent="0.3">
      <c r="A7807" t="s">
        <v>28</v>
      </c>
      <c r="B7807" t="s">
        <v>291</v>
      </c>
      <c r="C7807">
        <v>114</v>
      </c>
      <c r="D7807" t="s">
        <v>335</v>
      </c>
      <c r="E7807" t="s">
        <v>103</v>
      </c>
      <c r="F7807" t="s">
        <v>239</v>
      </c>
      <c r="G7807" t="s">
        <v>103</v>
      </c>
    </row>
    <row r="7808" spans="1:7" x14ac:dyDescent="0.3">
      <c r="A7808" t="s">
        <v>28</v>
      </c>
      <c r="B7808" t="s">
        <v>292</v>
      </c>
      <c r="C7808">
        <v>191</v>
      </c>
      <c r="D7808" t="s">
        <v>69</v>
      </c>
      <c r="E7808" t="s">
        <v>103</v>
      </c>
      <c r="F7808" t="s">
        <v>68</v>
      </c>
      <c r="G7808" t="s">
        <v>103</v>
      </c>
    </row>
    <row r="7809" spans="1:7" x14ac:dyDescent="0.3">
      <c r="A7809" t="s">
        <v>28</v>
      </c>
      <c r="B7809" t="s">
        <v>308</v>
      </c>
      <c r="C7809">
        <v>12</v>
      </c>
      <c r="D7809" t="s">
        <v>192</v>
      </c>
      <c r="E7809" t="s">
        <v>103</v>
      </c>
      <c r="F7809" t="s">
        <v>103</v>
      </c>
      <c r="G7809" t="s">
        <v>103</v>
      </c>
    </row>
    <row r="7810" spans="1:7" x14ac:dyDescent="0.3">
      <c r="A7810" t="s">
        <v>27</v>
      </c>
      <c r="B7810" t="s">
        <v>291</v>
      </c>
      <c r="C7810">
        <v>95</v>
      </c>
      <c r="D7810" t="s">
        <v>323</v>
      </c>
      <c r="E7810" t="s">
        <v>103</v>
      </c>
      <c r="F7810" t="s">
        <v>103</v>
      </c>
      <c r="G7810" t="s">
        <v>116</v>
      </c>
    </row>
    <row r="7811" spans="1:7" x14ac:dyDescent="0.3">
      <c r="A7811" t="s">
        <v>27</v>
      </c>
      <c r="B7811" t="s">
        <v>292</v>
      </c>
      <c r="C7811">
        <v>198</v>
      </c>
      <c r="D7811" t="s">
        <v>768</v>
      </c>
      <c r="E7811" t="s">
        <v>120</v>
      </c>
      <c r="F7811" t="s">
        <v>208</v>
      </c>
      <c r="G7811" t="s">
        <v>103</v>
      </c>
    </row>
    <row r="7812" spans="1:7" x14ac:dyDescent="0.3">
      <c r="A7812" t="s">
        <v>27</v>
      </c>
      <c r="B7812" t="s">
        <v>308</v>
      </c>
      <c r="C7812">
        <v>7</v>
      </c>
      <c r="D7812" t="s">
        <v>605</v>
      </c>
      <c r="E7812" t="s">
        <v>103</v>
      </c>
      <c r="F7812" t="s">
        <v>488</v>
      </c>
      <c r="G7812" t="s">
        <v>103</v>
      </c>
    </row>
    <row r="7813" spans="1:7" x14ac:dyDescent="0.3">
      <c r="A7813" t="s">
        <v>41</v>
      </c>
      <c r="B7813" t="s">
        <v>291</v>
      </c>
      <c r="C7813">
        <v>692</v>
      </c>
      <c r="D7813" t="s">
        <v>342</v>
      </c>
      <c r="E7813" t="s">
        <v>103</v>
      </c>
      <c r="F7813" t="s">
        <v>105</v>
      </c>
      <c r="G7813" t="s">
        <v>103</v>
      </c>
    </row>
    <row r="7814" spans="1:7" x14ac:dyDescent="0.3">
      <c r="A7814" t="s">
        <v>41</v>
      </c>
      <c r="B7814" t="s">
        <v>292</v>
      </c>
      <c r="C7814">
        <v>1320</v>
      </c>
      <c r="D7814" t="s">
        <v>342</v>
      </c>
      <c r="E7814" t="s">
        <v>91</v>
      </c>
      <c r="F7814" t="s">
        <v>105</v>
      </c>
      <c r="G7814" t="s">
        <v>103</v>
      </c>
    </row>
    <row r="7815" spans="1:7" x14ac:dyDescent="0.3">
      <c r="A7815" t="s">
        <v>41</v>
      </c>
      <c r="B7815" t="s">
        <v>308</v>
      </c>
      <c r="C7815">
        <v>26</v>
      </c>
      <c r="D7815" t="s">
        <v>768</v>
      </c>
      <c r="E7815" t="s">
        <v>103</v>
      </c>
      <c r="F7815" t="s">
        <v>217</v>
      </c>
      <c r="G7815" t="s">
        <v>103</v>
      </c>
    </row>
    <row r="7817" spans="1:7" x14ac:dyDescent="0.3">
      <c r="A7817" t="s">
        <v>2318</v>
      </c>
    </row>
    <row r="7818" spans="1:7" x14ac:dyDescent="0.3">
      <c r="A7818" t="s">
        <v>36</v>
      </c>
      <c r="B7818" t="s">
        <v>310</v>
      </c>
      <c r="C7818" t="s">
        <v>24</v>
      </c>
      <c r="D7818" t="s">
        <v>58</v>
      </c>
      <c r="E7818" t="s">
        <v>59</v>
      </c>
      <c r="F7818" t="s">
        <v>181</v>
      </c>
      <c r="G7818" t="s">
        <v>348</v>
      </c>
    </row>
    <row r="7819" spans="1:7" x14ac:dyDescent="0.3">
      <c r="A7819" t="s">
        <v>25</v>
      </c>
      <c r="B7819" t="s">
        <v>311</v>
      </c>
      <c r="C7819">
        <v>324</v>
      </c>
      <c r="D7819" t="s">
        <v>334</v>
      </c>
      <c r="E7819" t="s">
        <v>95</v>
      </c>
      <c r="F7819" t="s">
        <v>103</v>
      </c>
      <c r="G7819" t="s">
        <v>103</v>
      </c>
    </row>
    <row r="7820" spans="1:7" x14ac:dyDescent="0.3">
      <c r="A7820" t="s">
        <v>25</v>
      </c>
      <c r="B7820" t="s">
        <v>312</v>
      </c>
      <c r="C7820">
        <v>80</v>
      </c>
      <c r="D7820" t="s">
        <v>950</v>
      </c>
      <c r="E7820" t="s">
        <v>103</v>
      </c>
      <c r="F7820" t="s">
        <v>98</v>
      </c>
      <c r="G7820" t="s">
        <v>103</v>
      </c>
    </row>
    <row r="7821" spans="1:7" x14ac:dyDescent="0.3">
      <c r="A7821" t="s">
        <v>25</v>
      </c>
      <c r="B7821" t="s">
        <v>308</v>
      </c>
      <c r="C7821">
        <v>10</v>
      </c>
      <c r="D7821" t="s">
        <v>192</v>
      </c>
      <c r="E7821" t="s">
        <v>103</v>
      </c>
      <c r="F7821" t="s">
        <v>103</v>
      </c>
      <c r="G7821" t="s">
        <v>103</v>
      </c>
    </row>
    <row r="7822" spans="1:7" x14ac:dyDescent="0.3">
      <c r="A7822" t="s">
        <v>26</v>
      </c>
      <c r="B7822" t="s">
        <v>311</v>
      </c>
      <c r="C7822">
        <v>343</v>
      </c>
      <c r="D7822" t="s">
        <v>323</v>
      </c>
      <c r="E7822" t="s">
        <v>116</v>
      </c>
      <c r="F7822" t="s">
        <v>103</v>
      </c>
      <c r="G7822" t="s">
        <v>103</v>
      </c>
    </row>
    <row r="7823" spans="1:7" x14ac:dyDescent="0.3">
      <c r="A7823" t="s">
        <v>26</v>
      </c>
      <c r="B7823" t="s">
        <v>312</v>
      </c>
      <c r="C7823">
        <v>96</v>
      </c>
      <c r="D7823" t="s">
        <v>636</v>
      </c>
      <c r="E7823" t="s">
        <v>466</v>
      </c>
      <c r="F7823" t="s">
        <v>103</v>
      </c>
      <c r="G7823" t="s">
        <v>103</v>
      </c>
    </row>
    <row r="7824" spans="1:7" x14ac:dyDescent="0.3">
      <c r="A7824" t="s">
        <v>26</v>
      </c>
      <c r="B7824" t="s">
        <v>308</v>
      </c>
      <c r="C7824">
        <v>38</v>
      </c>
      <c r="D7824" t="s">
        <v>332</v>
      </c>
      <c r="E7824" t="s">
        <v>270</v>
      </c>
      <c r="F7824" t="s">
        <v>103</v>
      </c>
      <c r="G7824" t="s">
        <v>103</v>
      </c>
    </row>
    <row r="7825" spans="1:7" x14ac:dyDescent="0.3">
      <c r="A7825" t="s">
        <v>29</v>
      </c>
      <c r="B7825" t="s">
        <v>311</v>
      </c>
      <c r="C7825">
        <v>414</v>
      </c>
      <c r="D7825" t="s">
        <v>346</v>
      </c>
      <c r="E7825" t="s">
        <v>345</v>
      </c>
      <c r="F7825" t="s">
        <v>103</v>
      </c>
      <c r="G7825" t="s">
        <v>103</v>
      </c>
    </row>
    <row r="7826" spans="1:7" x14ac:dyDescent="0.3">
      <c r="A7826" t="s">
        <v>29</v>
      </c>
      <c r="B7826" t="s">
        <v>312</v>
      </c>
      <c r="C7826">
        <v>103</v>
      </c>
      <c r="D7826" t="s">
        <v>1167</v>
      </c>
      <c r="E7826" t="s">
        <v>190</v>
      </c>
      <c r="F7826" t="s">
        <v>103</v>
      </c>
      <c r="G7826" t="s">
        <v>103</v>
      </c>
    </row>
    <row r="7827" spans="1:7" x14ac:dyDescent="0.3">
      <c r="A7827" t="s">
        <v>29</v>
      </c>
      <c r="B7827" t="s">
        <v>308</v>
      </c>
      <c r="C7827">
        <v>13</v>
      </c>
      <c r="D7827" t="s">
        <v>984</v>
      </c>
      <c r="E7827" t="s">
        <v>131</v>
      </c>
      <c r="F7827" t="s">
        <v>103</v>
      </c>
      <c r="G7827" t="s">
        <v>103</v>
      </c>
    </row>
    <row r="7828" spans="1:7" x14ac:dyDescent="0.3">
      <c r="A7828" t="s">
        <v>28</v>
      </c>
      <c r="B7828" t="s">
        <v>311</v>
      </c>
      <c r="C7828">
        <v>223</v>
      </c>
      <c r="D7828" t="s">
        <v>335</v>
      </c>
      <c r="E7828" t="s">
        <v>239</v>
      </c>
      <c r="F7828" t="s">
        <v>103</v>
      </c>
      <c r="G7828" t="s">
        <v>103</v>
      </c>
    </row>
    <row r="7829" spans="1:7" x14ac:dyDescent="0.3">
      <c r="A7829" t="s">
        <v>28</v>
      </c>
      <c r="B7829" t="s">
        <v>312</v>
      </c>
      <c r="C7829">
        <v>93</v>
      </c>
      <c r="D7829" t="s">
        <v>213</v>
      </c>
      <c r="E7829" t="s">
        <v>214</v>
      </c>
      <c r="F7829" t="s">
        <v>103</v>
      </c>
      <c r="G7829" t="s">
        <v>103</v>
      </c>
    </row>
    <row r="7830" spans="1:7" x14ac:dyDescent="0.3">
      <c r="A7830" t="s">
        <v>28</v>
      </c>
      <c r="B7830" t="s">
        <v>308</v>
      </c>
      <c r="C7830">
        <v>1</v>
      </c>
      <c r="D7830" t="s">
        <v>192</v>
      </c>
      <c r="E7830" t="s">
        <v>103</v>
      </c>
      <c r="F7830" t="s">
        <v>103</v>
      </c>
      <c r="G7830" t="s">
        <v>103</v>
      </c>
    </row>
    <row r="7831" spans="1:7" x14ac:dyDescent="0.3">
      <c r="A7831" t="s">
        <v>27</v>
      </c>
      <c r="B7831" t="s">
        <v>311</v>
      </c>
      <c r="C7831">
        <v>237</v>
      </c>
      <c r="D7831" t="s">
        <v>768</v>
      </c>
      <c r="E7831" t="s">
        <v>329</v>
      </c>
      <c r="F7831" t="s">
        <v>97</v>
      </c>
      <c r="G7831" t="s">
        <v>103</v>
      </c>
    </row>
    <row r="7832" spans="1:7" x14ac:dyDescent="0.3">
      <c r="A7832" t="s">
        <v>27</v>
      </c>
      <c r="B7832" t="s">
        <v>312</v>
      </c>
      <c r="C7832">
        <v>60</v>
      </c>
      <c r="D7832" t="s">
        <v>321</v>
      </c>
      <c r="E7832" t="s">
        <v>103</v>
      </c>
      <c r="F7832" t="s">
        <v>103</v>
      </c>
      <c r="G7832" t="s">
        <v>97</v>
      </c>
    </row>
    <row r="7833" spans="1:7" x14ac:dyDescent="0.3">
      <c r="A7833" t="s">
        <v>27</v>
      </c>
      <c r="B7833" t="s">
        <v>308</v>
      </c>
      <c r="C7833">
        <v>3</v>
      </c>
      <c r="D7833" t="s">
        <v>192</v>
      </c>
      <c r="E7833" t="s">
        <v>103</v>
      </c>
      <c r="F7833" t="s">
        <v>103</v>
      </c>
      <c r="G7833" t="s">
        <v>103</v>
      </c>
    </row>
    <row r="7834" spans="1:7" x14ac:dyDescent="0.3">
      <c r="A7834" t="s">
        <v>41</v>
      </c>
      <c r="B7834" t="s">
        <v>311</v>
      </c>
      <c r="C7834">
        <v>1541</v>
      </c>
      <c r="D7834" t="s">
        <v>950</v>
      </c>
      <c r="E7834" t="s">
        <v>98</v>
      </c>
      <c r="F7834" t="s">
        <v>103</v>
      </c>
      <c r="G7834" t="s">
        <v>103</v>
      </c>
    </row>
    <row r="7835" spans="1:7" x14ac:dyDescent="0.3">
      <c r="A7835" t="s">
        <v>41</v>
      </c>
      <c r="B7835" t="s">
        <v>312</v>
      </c>
      <c r="C7835">
        <v>432</v>
      </c>
      <c r="D7835" t="s">
        <v>597</v>
      </c>
      <c r="E7835" t="s">
        <v>33</v>
      </c>
      <c r="F7835" t="s">
        <v>66</v>
      </c>
      <c r="G7835" t="s">
        <v>103</v>
      </c>
    </row>
    <row r="7836" spans="1:7" x14ac:dyDescent="0.3">
      <c r="A7836" t="s">
        <v>41</v>
      </c>
      <c r="B7836" t="s">
        <v>308</v>
      </c>
      <c r="C7836">
        <v>65</v>
      </c>
      <c r="D7836" t="s">
        <v>896</v>
      </c>
      <c r="E7836" t="s">
        <v>133</v>
      </c>
      <c r="F7836" t="s">
        <v>103</v>
      </c>
      <c r="G7836" t="s">
        <v>103</v>
      </c>
    </row>
    <row r="7838" spans="1:7" x14ac:dyDescent="0.3">
      <c r="A7838" t="s">
        <v>2319</v>
      </c>
    </row>
    <row r="7839" spans="1:7" x14ac:dyDescent="0.3">
      <c r="A7839" t="s">
        <v>36</v>
      </c>
      <c r="B7839" t="s">
        <v>197</v>
      </c>
      <c r="C7839" t="s">
        <v>24</v>
      </c>
      <c r="D7839" t="s">
        <v>58</v>
      </c>
      <c r="E7839" t="s">
        <v>181</v>
      </c>
      <c r="F7839" t="s">
        <v>59</v>
      </c>
      <c r="G7839" t="s">
        <v>348</v>
      </c>
    </row>
    <row r="7840" spans="1:7" x14ac:dyDescent="0.3">
      <c r="A7840" t="s">
        <v>25</v>
      </c>
      <c r="B7840" t="s">
        <v>198</v>
      </c>
      <c r="C7840">
        <v>104</v>
      </c>
      <c r="D7840" t="s">
        <v>334</v>
      </c>
      <c r="E7840" t="s">
        <v>95</v>
      </c>
      <c r="F7840" t="s">
        <v>103</v>
      </c>
      <c r="G7840" t="s">
        <v>103</v>
      </c>
    </row>
    <row r="7841" spans="1:7" x14ac:dyDescent="0.3">
      <c r="A7841" t="s">
        <v>25</v>
      </c>
      <c r="B7841" t="s">
        <v>199</v>
      </c>
      <c r="C7841">
        <v>310</v>
      </c>
      <c r="D7841" t="s">
        <v>334</v>
      </c>
      <c r="E7841" t="s">
        <v>103</v>
      </c>
      <c r="F7841" t="s">
        <v>95</v>
      </c>
      <c r="G7841" t="s">
        <v>103</v>
      </c>
    </row>
    <row r="7842" spans="1:7" x14ac:dyDescent="0.3">
      <c r="A7842" t="s">
        <v>26</v>
      </c>
      <c r="B7842" t="s">
        <v>198</v>
      </c>
      <c r="C7842">
        <v>41</v>
      </c>
      <c r="D7842" t="s">
        <v>334</v>
      </c>
      <c r="E7842" t="s">
        <v>103</v>
      </c>
      <c r="F7842" t="s">
        <v>95</v>
      </c>
      <c r="G7842" t="s">
        <v>103</v>
      </c>
    </row>
    <row r="7843" spans="1:7" x14ac:dyDescent="0.3">
      <c r="A7843" t="s">
        <v>26</v>
      </c>
      <c r="B7843" t="s">
        <v>199</v>
      </c>
      <c r="C7843">
        <v>436</v>
      </c>
      <c r="D7843" t="s">
        <v>1471</v>
      </c>
      <c r="E7843" t="s">
        <v>103</v>
      </c>
      <c r="F7843" t="s">
        <v>245</v>
      </c>
      <c r="G7843" t="s">
        <v>103</v>
      </c>
    </row>
    <row r="7844" spans="1:7" x14ac:dyDescent="0.3">
      <c r="A7844" t="s">
        <v>29</v>
      </c>
      <c r="B7844" t="s">
        <v>198</v>
      </c>
      <c r="C7844">
        <v>170</v>
      </c>
      <c r="D7844" t="s">
        <v>950</v>
      </c>
      <c r="E7844" t="s">
        <v>103</v>
      </c>
      <c r="F7844" t="s">
        <v>98</v>
      </c>
      <c r="G7844" t="s">
        <v>103</v>
      </c>
    </row>
    <row r="7845" spans="1:7" x14ac:dyDescent="0.3">
      <c r="A7845" t="s">
        <v>29</v>
      </c>
      <c r="B7845" t="s">
        <v>199</v>
      </c>
      <c r="C7845">
        <v>360</v>
      </c>
      <c r="D7845" t="s">
        <v>69</v>
      </c>
      <c r="E7845" t="s">
        <v>103</v>
      </c>
      <c r="F7845" t="s">
        <v>68</v>
      </c>
      <c r="G7845" t="s">
        <v>103</v>
      </c>
    </row>
    <row r="7846" spans="1:7" x14ac:dyDescent="0.3">
      <c r="A7846" t="s">
        <v>28</v>
      </c>
      <c r="B7846" t="s">
        <v>198</v>
      </c>
      <c r="C7846">
        <v>70</v>
      </c>
      <c r="D7846" t="s">
        <v>852</v>
      </c>
      <c r="E7846" t="s">
        <v>103</v>
      </c>
      <c r="F7846" t="s">
        <v>128</v>
      </c>
      <c r="G7846" t="s">
        <v>103</v>
      </c>
    </row>
    <row r="7847" spans="1:7" x14ac:dyDescent="0.3">
      <c r="A7847" t="s">
        <v>28</v>
      </c>
      <c r="B7847" t="s">
        <v>199</v>
      </c>
      <c r="C7847">
        <v>247</v>
      </c>
      <c r="D7847" t="s">
        <v>339</v>
      </c>
      <c r="E7847" t="s">
        <v>103</v>
      </c>
      <c r="F7847" t="s">
        <v>118</v>
      </c>
      <c r="G7847" t="s">
        <v>103</v>
      </c>
    </row>
    <row r="7848" spans="1:7" x14ac:dyDescent="0.3">
      <c r="A7848" t="s">
        <v>27</v>
      </c>
      <c r="B7848" t="s">
        <v>198</v>
      </c>
      <c r="C7848">
        <v>136</v>
      </c>
      <c r="D7848" t="s">
        <v>69</v>
      </c>
      <c r="E7848" t="s">
        <v>139</v>
      </c>
      <c r="F7848" t="s">
        <v>128</v>
      </c>
      <c r="G7848" t="s">
        <v>103</v>
      </c>
    </row>
    <row r="7849" spans="1:7" x14ac:dyDescent="0.3">
      <c r="A7849" t="s">
        <v>27</v>
      </c>
      <c r="B7849" t="s">
        <v>199</v>
      </c>
      <c r="C7849">
        <v>164</v>
      </c>
      <c r="D7849" t="s">
        <v>1478</v>
      </c>
      <c r="E7849" t="s">
        <v>103</v>
      </c>
      <c r="F7849" t="s">
        <v>468</v>
      </c>
      <c r="G7849" t="s">
        <v>66</v>
      </c>
    </row>
    <row r="7850" spans="1:7" x14ac:dyDescent="0.3">
      <c r="A7850" t="s">
        <v>41</v>
      </c>
      <c r="B7850" t="s">
        <v>198</v>
      </c>
      <c r="C7850">
        <v>521</v>
      </c>
      <c r="D7850" t="s">
        <v>346</v>
      </c>
      <c r="E7850" t="s">
        <v>66</v>
      </c>
      <c r="F7850" t="s">
        <v>98</v>
      </c>
      <c r="G7850" t="s">
        <v>103</v>
      </c>
    </row>
    <row r="7851" spans="1:7" x14ac:dyDescent="0.3">
      <c r="A7851" t="s">
        <v>41</v>
      </c>
      <c r="B7851" t="s">
        <v>199</v>
      </c>
      <c r="C7851">
        <v>1517</v>
      </c>
      <c r="D7851" t="s">
        <v>328</v>
      </c>
      <c r="E7851" t="s">
        <v>103</v>
      </c>
      <c r="F7851" t="s">
        <v>329</v>
      </c>
      <c r="G7851" t="s">
        <v>103</v>
      </c>
    </row>
    <row r="7853" spans="1:7" x14ac:dyDescent="0.3">
      <c r="A7853" t="s">
        <v>2320</v>
      </c>
    </row>
    <row r="7854" spans="1:7" x14ac:dyDescent="0.3">
      <c r="A7854" t="s">
        <v>36</v>
      </c>
      <c r="B7854" t="s">
        <v>1647</v>
      </c>
      <c r="C7854" t="s">
        <v>24</v>
      </c>
      <c r="D7854" t="s">
        <v>58</v>
      </c>
      <c r="E7854" t="s">
        <v>59</v>
      </c>
      <c r="F7854" t="s">
        <v>181</v>
      </c>
      <c r="G7854" t="s">
        <v>348</v>
      </c>
    </row>
    <row r="7855" spans="1:7" x14ac:dyDescent="0.3">
      <c r="A7855" t="s">
        <v>25</v>
      </c>
      <c r="B7855" t="s">
        <v>1648</v>
      </c>
      <c r="C7855">
        <v>143</v>
      </c>
      <c r="D7855" t="s">
        <v>335</v>
      </c>
      <c r="E7855" t="s">
        <v>239</v>
      </c>
      <c r="F7855" t="s">
        <v>103</v>
      </c>
      <c r="G7855" t="s">
        <v>103</v>
      </c>
    </row>
    <row r="7856" spans="1:7" x14ac:dyDescent="0.3">
      <c r="A7856" t="s">
        <v>25</v>
      </c>
      <c r="B7856" t="s">
        <v>1649</v>
      </c>
      <c r="C7856">
        <v>271</v>
      </c>
      <c r="D7856" t="s">
        <v>67</v>
      </c>
      <c r="E7856" t="s">
        <v>103</v>
      </c>
      <c r="F7856" t="s">
        <v>66</v>
      </c>
      <c r="G7856" t="s">
        <v>103</v>
      </c>
    </row>
    <row r="7857" spans="1:7" x14ac:dyDescent="0.3">
      <c r="A7857" t="s">
        <v>26</v>
      </c>
      <c r="B7857" t="s">
        <v>1648</v>
      </c>
      <c r="C7857">
        <v>153</v>
      </c>
      <c r="D7857" t="s">
        <v>334</v>
      </c>
      <c r="E7857" t="s">
        <v>95</v>
      </c>
      <c r="F7857" t="s">
        <v>103</v>
      </c>
      <c r="G7857" t="s">
        <v>103</v>
      </c>
    </row>
    <row r="7858" spans="1:7" x14ac:dyDescent="0.3">
      <c r="A7858" t="s">
        <v>26</v>
      </c>
      <c r="B7858" t="s">
        <v>1649</v>
      </c>
      <c r="C7858">
        <v>324</v>
      </c>
      <c r="D7858" t="s">
        <v>328</v>
      </c>
      <c r="E7858" t="s">
        <v>329</v>
      </c>
      <c r="F7858" t="s">
        <v>103</v>
      </c>
      <c r="G7858" t="s">
        <v>103</v>
      </c>
    </row>
    <row r="7859" spans="1:7" x14ac:dyDescent="0.3">
      <c r="A7859" t="s">
        <v>29</v>
      </c>
      <c r="B7859" t="s">
        <v>1648</v>
      </c>
      <c r="C7859">
        <v>252</v>
      </c>
      <c r="D7859" t="s">
        <v>880</v>
      </c>
      <c r="E7859" t="s">
        <v>257</v>
      </c>
      <c r="F7859" t="s">
        <v>103</v>
      </c>
      <c r="G7859" t="s">
        <v>103</v>
      </c>
    </row>
    <row r="7860" spans="1:7" x14ac:dyDescent="0.3">
      <c r="A7860" t="s">
        <v>29</v>
      </c>
      <c r="B7860" t="s">
        <v>1649</v>
      </c>
      <c r="C7860">
        <v>278</v>
      </c>
      <c r="D7860" t="s">
        <v>852</v>
      </c>
      <c r="E7860" t="s">
        <v>128</v>
      </c>
      <c r="F7860" t="s">
        <v>103</v>
      </c>
      <c r="G7860" t="s">
        <v>103</v>
      </c>
    </row>
    <row r="7861" spans="1:7" x14ac:dyDescent="0.3">
      <c r="A7861" t="s">
        <v>28</v>
      </c>
      <c r="B7861" t="s">
        <v>1648</v>
      </c>
      <c r="C7861">
        <v>77</v>
      </c>
      <c r="D7861" t="s">
        <v>803</v>
      </c>
      <c r="E7861" t="s">
        <v>114</v>
      </c>
      <c r="F7861" t="s">
        <v>103</v>
      </c>
      <c r="G7861" t="s">
        <v>103</v>
      </c>
    </row>
    <row r="7862" spans="1:7" x14ac:dyDescent="0.3">
      <c r="A7862" t="s">
        <v>28</v>
      </c>
      <c r="B7862" t="s">
        <v>1649</v>
      </c>
      <c r="C7862">
        <v>240</v>
      </c>
      <c r="D7862" t="s">
        <v>342</v>
      </c>
      <c r="E7862" t="s">
        <v>341</v>
      </c>
      <c r="F7862" t="s">
        <v>103</v>
      </c>
      <c r="G7862" t="s">
        <v>103</v>
      </c>
    </row>
    <row r="7863" spans="1:7" x14ac:dyDescent="0.3">
      <c r="A7863" t="s">
        <v>27</v>
      </c>
      <c r="B7863" t="s">
        <v>1648</v>
      </c>
      <c r="C7863">
        <v>64</v>
      </c>
      <c r="D7863" t="s">
        <v>861</v>
      </c>
      <c r="E7863" t="s">
        <v>113</v>
      </c>
      <c r="F7863" t="s">
        <v>103</v>
      </c>
      <c r="G7863" t="s">
        <v>103</v>
      </c>
    </row>
    <row r="7864" spans="1:7" x14ac:dyDescent="0.3">
      <c r="A7864" t="s">
        <v>27</v>
      </c>
      <c r="B7864" t="s">
        <v>1649</v>
      </c>
      <c r="C7864">
        <v>236</v>
      </c>
      <c r="D7864" t="s">
        <v>340</v>
      </c>
      <c r="E7864" t="s">
        <v>98</v>
      </c>
      <c r="F7864" t="s">
        <v>97</v>
      </c>
      <c r="G7864" t="s">
        <v>91</v>
      </c>
    </row>
    <row r="7865" spans="1:7" x14ac:dyDescent="0.3">
      <c r="A7865" t="s">
        <v>41</v>
      </c>
      <c r="B7865" t="s">
        <v>1648</v>
      </c>
      <c r="C7865">
        <v>689</v>
      </c>
      <c r="D7865" t="s">
        <v>328</v>
      </c>
      <c r="E7865" t="s">
        <v>329</v>
      </c>
      <c r="F7865" t="s">
        <v>103</v>
      </c>
      <c r="G7865" t="s">
        <v>103</v>
      </c>
    </row>
    <row r="7866" spans="1:7" x14ac:dyDescent="0.3">
      <c r="A7866" t="s">
        <v>41</v>
      </c>
      <c r="B7866" t="s">
        <v>1649</v>
      </c>
      <c r="C7866">
        <v>1349</v>
      </c>
      <c r="D7866" t="s">
        <v>1471</v>
      </c>
      <c r="E7866" t="s">
        <v>216</v>
      </c>
      <c r="F7866" t="s">
        <v>91</v>
      </c>
      <c r="G7866" t="s">
        <v>103</v>
      </c>
    </row>
    <row r="7868" spans="1:7" x14ac:dyDescent="0.3">
      <c r="A7868" t="s">
        <v>2321</v>
      </c>
    </row>
    <row r="7869" spans="1:7" x14ac:dyDescent="0.3">
      <c r="A7869" t="s">
        <v>36</v>
      </c>
      <c r="B7869" t="s">
        <v>2322</v>
      </c>
      <c r="C7869" t="s">
        <v>24</v>
      </c>
      <c r="D7869" t="s">
        <v>58</v>
      </c>
      <c r="E7869" t="s">
        <v>181</v>
      </c>
      <c r="F7869" t="s">
        <v>59</v>
      </c>
      <c r="G7869" t="s">
        <v>348</v>
      </c>
    </row>
    <row r="7870" spans="1:7" x14ac:dyDescent="0.3">
      <c r="A7870" t="s">
        <v>25</v>
      </c>
      <c r="B7870" t="s">
        <v>1150</v>
      </c>
      <c r="C7870">
        <v>74</v>
      </c>
      <c r="D7870" t="s">
        <v>840</v>
      </c>
      <c r="E7870" t="s">
        <v>98</v>
      </c>
      <c r="F7870" t="s">
        <v>257</v>
      </c>
      <c r="G7870" t="s">
        <v>103</v>
      </c>
    </row>
    <row r="7871" spans="1:7" x14ac:dyDescent="0.3">
      <c r="A7871" t="s">
        <v>25</v>
      </c>
      <c r="B7871" t="s">
        <v>2323</v>
      </c>
      <c r="C7871">
        <v>295</v>
      </c>
      <c r="D7871" t="s">
        <v>337</v>
      </c>
      <c r="E7871" t="s">
        <v>103</v>
      </c>
      <c r="F7871" t="s">
        <v>91</v>
      </c>
      <c r="G7871" t="s">
        <v>103</v>
      </c>
    </row>
    <row r="7872" spans="1:7" x14ac:dyDescent="0.3">
      <c r="A7872" t="s">
        <v>25</v>
      </c>
      <c r="B7872" t="s">
        <v>2324</v>
      </c>
      <c r="C7872">
        <v>45</v>
      </c>
      <c r="D7872" t="s">
        <v>192</v>
      </c>
      <c r="E7872" t="s">
        <v>103</v>
      </c>
      <c r="F7872" t="s">
        <v>103</v>
      </c>
      <c r="G7872" t="s">
        <v>103</v>
      </c>
    </row>
    <row r="7873" spans="1:7" x14ac:dyDescent="0.3">
      <c r="A7873" t="s">
        <v>26</v>
      </c>
      <c r="B7873" t="s">
        <v>1150</v>
      </c>
      <c r="C7873">
        <v>72</v>
      </c>
      <c r="D7873" t="s">
        <v>185</v>
      </c>
      <c r="E7873" t="s">
        <v>103</v>
      </c>
      <c r="F7873" t="s">
        <v>186</v>
      </c>
      <c r="G7873" t="s">
        <v>103</v>
      </c>
    </row>
    <row r="7874" spans="1:7" x14ac:dyDescent="0.3">
      <c r="A7874" t="s">
        <v>26</v>
      </c>
      <c r="B7874" t="s">
        <v>2323</v>
      </c>
      <c r="C7874">
        <v>288</v>
      </c>
      <c r="D7874" t="s">
        <v>1471</v>
      </c>
      <c r="E7874" t="s">
        <v>103</v>
      </c>
      <c r="F7874" t="s">
        <v>245</v>
      </c>
      <c r="G7874" t="s">
        <v>103</v>
      </c>
    </row>
    <row r="7875" spans="1:7" x14ac:dyDescent="0.3">
      <c r="A7875" t="s">
        <v>26</v>
      </c>
      <c r="B7875" t="s">
        <v>2324</v>
      </c>
      <c r="C7875">
        <v>117</v>
      </c>
      <c r="D7875" t="s">
        <v>67</v>
      </c>
      <c r="E7875" t="s">
        <v>103</v>
      </c>
      <c r="F7875" t="s">
        <v>66</v>
      </c>
      <c r="G7875" t="s">
        <v>103</v>
      </c>
    </row>
    <row r="7876" spans="1:7" x14ac:dyDescent="0.3">
      <c r="A7876" t="s">
        <v>29</v>
      </c>
      <c r="B7876" t="s">
        <v>1150</v>
      </c>
      <c r="C7876">
        <v>133</v>
      </c>
      <c r="D7876" t="s">
        <v>837</v>
      </c>
      <c r="E7876" t="s">
        <v>103</v>
      </c>
      <c r="F7876" t="s">
        <v>195</v>
      </c>
      <c r="G7876" t="s">
        <v>103</v>
      </c>
    </row>
    <row r="7877" spans="1:7" x14ac:dyDescent="0.3">
      <c r="A7877" t="s">
        <v>29</v>
      </c>
      <c r="B7877" t="s">
        <v>2323</v>
      </c>
      <c r="C7877">
        <v>284</v>
      </c>
      <c r="D7877" t="s">
        <v>1481</v>
      </c>
      <c r="E7877" t="s">
        <v>103</v>
      </c>
      <c r="F7877" t="s">
        <v>208</v>
      </c>
      <c r="G7877" t="s">
        <v>103</v>
      </c>
    </row>
    <row r="7878" spans="1:7" x14ac:dyDescent="0.3">
      <c r="A7878" t="s">
        <v>29</v>
      </c>
      <c r="B7878" t="s">
        <v>2324</v>
      </c>
      <c r="C7878">
        <v>104</v>
      </c>
      <c r="D7878" t="s">
        <v>65</v>
      </c>
      <c r="E7878" t="s">
        <v>103</v>
      </c>
      <c r="F7878" t="s">
        <v>64</v>
      </c>
      <c r="G7878" t="s">
        <v>103</v>
      </c>
    </row>
    <row r="7879" spans="1:7" x14ac:dyDescent="0.3">
      <c r="A7879" t="s">
        <v>29</v>
      </c>
      <c r="B7879" t="s">
        <v>308</v>
      </c>
      <c r="C7879">
        <v>9</v>
      </c>
      <c r="D7879" t="s">
        <v>192</v>
      </c>
      <c r="E7879" t="s">
        <v>103</v>
      </c>
      <c r="F7879" t="s">
        <v>103</v>
      </c>
      <c r="G7879" t="s">
        <v>103</v>
      </c>
    </row>
    <row r="7880" spans="1:7" x14ac:dyDescent="0.3">
      <c r="A7880" t="s">
        <v>28</v>
      </c>
      <c r="B7880" t="s">
        <v>1150</v>
      </c>
      <c r="C7880">
        <v>32</v>
      </c>
      <c r="D7880" t="s">
        <v>192</v>
      </c>
      <c r="E7880" t="s">
        <v>103</v>
      </c>
      <c r="F7880" t="s">
        <v>103</v>
      </c>
      <c r="G7880" t="s">
        <v>103</v>
      </c>
    </row>
    <row r="7881" spans="1:7" x14ac:dyDescent="0.3">
      <c r="A7881" t="s">
        <v>28</v>
      </c>
      <c r="B7881" t="s">
        <v>2323</v>
      </c>
      <c r="C7881">
        <v>193</v>
      </c>
      <c r="D7881" t="s">
        <v>336</v>
      </c>
      <c r="E7881" t="s">
        <v>103</v>
      </c>
      <c r="F7881" t="s">
        <v>272</v>
      </c>
      <c r="G7881" t="s">
        <v>103</v>
      </c>
    </row>
    <row r="7882" spans="1:7" x14ac:dyDescent="0.3">
      <c r="A7882" t="s">
        <v>28</v>
      </c>
      <c r="B7882" t="s">
        <v>2324</v>
      </c>
      <c r="C7882">
        <v>91</v>
      </c>
      <c r="D7882" t="s">
        <v>326</v>
      </c>
      <c r="E7882" t="s">
        <v>103</v>
      </c>
      <c r="F7882" t="s">
        <v>194</v>
      </c>
      <c r="G7882" t="s">
        <v>103</v>
      </c>
    </row>
    <row r="7883" spans="1:7" x14ac:dyDescent="0.3">
      <c r="A7883" t="s">
        <v>28</v>
      </c>
      <c r="B7883" t="s">
        <v>308</v>
      </c>
      <c r="C7883">
        <v>1</v>
      </c>
      <c r="D7883" t="s">
        <v>192</v>
      </c>
      <c r="E7883" t="s">
        <v>103</v>
      </c>
      <c r="F7883" t="s">
        <v>103</v>
      </c>
      <c r="G7883" t="s">
        <v>103</v>
      </c>
    </row>
    <row r="7884" spans="1:7" x14ac:dyDescent="0.3">
      <c r="A7884" t="s">
        <v>27</v>
      </c>
      <c r="B7884" t="s">
        <v>1150</v>
      </c>
      <c r="C7884">
        <v>88</v>
      </c>
      <c r="D7884" t="s">
        <v>322</v>
      </c>
      <c r="E7884" t="s">
        <v>239</v>
      </c>
      <c r="F7884" t="s">
        <v>103</v>
      </c>
      <c r="G7884" t="s">
        <v>116</v>
      </c>
    </row>
    <row r="7885" spans="1:7" x14ac:dyDescent="0.3">
      <c r="A7885" t="s">
        <v>27</v>
      </c>
      <c r="B7885" t="s">
        <v>2323</v>
      </c>
      <c r="C7885">
        <v>157</v>
      </c>
      <c r="D7885" t="s">
        <v>768</v>
      </c>
      <c r="E7885" t="s">
        <v>103</v>
      </c>
      <c r="F7885" t="s">
        <v>217</v>
      </c>
      <c r="G7885" t="s">
        <v>103</v>
      </c>
    </row>
    <row r="7886" spans="1:7" x14ac:dyDescent="0.3">
      <c r="A7886" t="s">
        <v>27</v>
      </c>
      <c r="B7886" t="s">
        <v>2324</v>
      </c>
      <c r="C7886">
        <v>51</v>
      </c>
      <c r="D7886" t="s">
        <v>342</v>
      </c>
      <c r="E7886" t="s">
        <v>103</v>
      </c>
      <c r="F7886" t="s">
        <v>341</v>
      </c>
      <c r="G7886" t="s">
        <v>103</v>
      </c>
    </row>
    <row r="7887" spans="1:7" x14ac:dyDescent="0.3">
      <c r="A7887" t="s">
        <v>27</v>
      </c>
      <c r="B7887" t="s">
        <v>308</v>
      </c>
      <c r="C7887">
        <v>4</v>
      </c>
      <c r="D7887" t="s">
        <v>192</v>
      </c>
      <c r="E7887" t="s">
        <v>103</v>
      </c>
      <c r="F7887" t="s">
        <v>103</v>
      </c>
      <c r="G7887" t="s">
        <v>103</v>
      </c>
    </row>
    <row r="7888" spans="1:7" x14ac:dyDescent="0.3">
      <c r="A7888" t="s">
        <v>41</v>
      </c>
      <c r="B7888" t="s">
        <v>1150</v>
      </c>
      <c r="C7888">
        <v>399</v>
      </c>
      <c r="D7888" t="s">
        <v>69</v>
      </c>
      <c r="E7888" t="s">
        <v>116</v>
      </c>
      <c r="F7888" t="s">
        <v>64</v>
      </c>
      <c r="G7888" t="s">
        <v>103</v>
      </c>
    </row>
    <row r="7889" spans="1:7" x14ac:dyDescent="0.3">
      <c r="A7889" t="s">
        <v>41</v>
      </c>
      <c r="B7889" t="s">
        <v>2323</v>
      </c>
      <c r="C7889">
        <v>1217</v>
      </c>
      <c r="D7889" t="s">
        <v>340</v>
      </c>
      <c r="E7889" t="s">
        <v>103</v>
      </c>
      <c r="F7889" t="s">
        <v>216</v>
      </c>
      <c r="G7889" t="s">
        <v>103</v>
      </c>
    </row>
    <row r="7890" spans="1:7" x14ac:dyDescent="0.3">
      <c r="A7890" t="s">
        <v>41</v>
      </c>
      <c r="B7890" t="s">
        <v>2324</v>
      </c>
      <c r="C7890">
        <v>408</v>
      </c>
      <c r="D7890" t="s">
        <v>340</v>
      </c>
      <c r="E7890" t="s">
        <v>103</v>
      </c>
      <c r="F7890" t="s">
        <v>216</v>
      </c>
      <c r="G7890" t="s">
        <v>103</v>
      </c>
    </row>
    <row r="7891" spans="1:7" x14ac:dyDescent="0.3">
      <c r="A7891" t="s">
        <v>41</v>
      </c>
      <c r="B7891" t="s">
        <v>308</v>
      </c>
      <c r="C7891">
        <v>14</v>
      </c>
      <c r="D7891" t="s">
        <v>192</v>
      </c>
      <c r="E7891" t="s">
        <v>103</v>
      </c>
      <c r="F7891" t="s">
        <v>103</v>
      </c>
      <c r="G7891" t="s">
        <v>103</v>
      </c>
    </row>
    <row r="7893" spans="1:7" x14ac:dyDescent="0.3">
      <c r="A7893" t="s">
        <v>2325</v>
      </c>
    </row>
    <row r="7894" spans="1:7" x14ac:dyDescent="0.3">
      <c r="A7894" t="s">
        <v>36</v>
      </c>
      <c r="B7894" t="s">
        <v>24</v>
      </c>
      <c r="C7894" t="s">
        <v>37</v>
      </c>
      <c r="D7894" t="s">
        <v>38</v>
      </c>
      <c r="E7894" t="s">
        <v>39</v>
      </c>
      <c r="F7894" t="s">
        <v>40</v>
      </c>
    </row>
    <row r="7895" spans="1:7" s="3" customFormat="1" x14ac:dyDescent="0.3">
      <c r="A7895" s="3" t="s">
        <v>25</v>
      </c>
      <c r="B7895" s="3">
        <v>2</v>
      </c>
      <c r="C7895" s="3">
        <v>1</v>
      </c>
      <c r="D7895" s="3">
        <v>1</v>
      </c>
      <c r="E7895" s="3">
        <v>1</v>
      </c>
      <c r="F7895" s="3">
        <v>1</v>
      </c>
    </row>
    <row r="7896" spans="1:7" s="3" customFormat="1" x14ac:dyDescent="0.3">
      <c r="A7896" s="3" t="s">
        <v>26</v>
      </c>
      <c r="B7896" s="3">
        <v>8</v>
      </c>
      <c r="C7896" s="3">
        <v>1.1399999999999999</v>
      </c>
      <c r="D7896" s="3">
        <v>1</v>
      </c>
      <c r="E7896" s="3">
        <v>1</v>
      </c>
      <c r="F7896" s="3">
        <v>2</v>
      </c>
    </row>
    <row r="7897" spans="1:7" s="3" customFormat="1" x14ac:dyDescent="0.3">
      <c r="A7897" s="3" t="s">
        <v>29</v>
      </c>
      <c r="B7897" s="3">
        <v>12</v>
      </c>
      <c r="C7897" s="3">
        <v>1.39</v>
      </c>
      <c r="D7897" s="3">
        <v>1</v>
      </c>
      <c r="E7897" s="3">
        <v>1</v>
      </c>
      <c r="F7897" s="3">
        <v>3</v>
      </c>
    </row>
    <row r="7898" spans="1:7" s="3" customFormat="1" x14ac:dyDescent="0.3">
      <c r="A7898" s="3" t="s">
        <v>28</v>
      </c>
      <c r="B7898" s="3">
        <v>6</v>
      </c>
      <c r="C7898" s="3">
        <v>1</v>
      </c>
      <c r="D7898" s="3">
        <v>1</v>
      </c>
      <c r="E7898" s="3">
        <v>1</v>
      </c>
      <c r="F7898" s="3">
        <v>1</v>
      </c>
    </row>
    <row r="7899" spans="1:7" s="3" customFormat="1" x14ac:dyDescent="0.3">
      <c r="A7899" s="3" t="s">
        <v>27</v>
      </c>
      <c r="B7899" s="3">
        <v>5</v>
      </c>
      <c r="C7899" s="3">
        <v>1</v>
      </c>
      <c r="D7899" s="3">
        <v>1</v>
      </c>
      <c r="E7899" s="3">
        <v>1</v>
      </c>
      <c r="F7899" s="3">
        <v>1</v>
      </c>
    </row>
    <row r="7900" spans="1:7" x14ac:dyDescent="0.3">
      <c r="A7900" t="s">
        <v>41</v>
      </c>
      <c r="B7900">
        <v>33</v>
      </c>
      <c r="C7900">
        <v>1.26</v>
      </c>
      <c r="D7900">
        <v>1</v>
      </c>
      <c r="E7900">
        <v>1</v>
      </c>
      <c r="F7900">
        <v>3</v>
      </c>
    </row>
    <row r="7902" spans="1:7" x14ac:dyDescent="0.3">
      <c r="A7902" t="s">
        <v>2326</v>
      </c>
    </row>
    <row r="7903" spans="1:7" x14ac:dyDescent="0.3">
      <c r="A7903" t="s">
        <v>36</v>
      </c>
      <c r="B7903" t="s">
        <v>307</v>
      </c>
      <c r="C7903" t="s">
        <v>24</v>
      </c>
      <c r="D7903" t="s">
        <v>37</v>
      </c>
      <c r="E7903" t="s">
        <v>38</v>
      </c>
      <c r="F7903" t="s">
        <v>39</v>
      </c>
      <c r="G7903" t="s">
        <v>40</v>
      </c>
    </row>
    <row r="7904" spans="1:7" s="3" customFormat="1" x14ac:dyDescent="0.3">
      <c r="A7904" s="3" t="s">
        <v>25</v>
      </c>
      <c r="B7904" s="3" t="s">
        <v>292</v>
      </c>
      <c r="C7904" s="3">
        <v>2</v>
      </c>
      <c r="D7904" s="3">
        <v>1</v>
      </c>
      <c r="E7904" s="3">
        <v>1</v>
      </c>
      <c r="F7904" s="3">
        <v>1</v>
      </c>
      <c r="G7904" s="3">
        <v>1</v>
      </c>
    </row>
    <row r="7905" spans="1:7" s="3" customFormat="1" x14ac:dyDescent="0.3">
      <c r="A7905" s="3" t="s">
        <v>26</v>
      </c>
      <c r="B7905" s="3" t="s">
        <v>291</v>
      </c>
      <c r="C7905" s="3">
        <v>1</v>
      </c>
      <c r="D7905" s="3">
        <v>1</v>
      </c>
      <c r="E7905" s="3">
        <v>1</v>
      </c>
      <c r="F7905" s="3">
        <v>1</v>
      </c>
      <c r="G7905" s="3">
        <v>1</v>
      </c>
    </row>
    <row r="7906" spans="1:7" s="3" customFormat="1" x14ac:dyDescent="0.3">
      <c r="A7906" s="3" t="s">
        <v>26</v>
      </c>
      <c r="B7906" s="3" t="s">
        <v>292</v>
      </c>
      <c r="C7906" s="3">
        <v>7</v>
      </c>
      <c r="D7906" s="3">
        <v>1.17</v>
      </c>
      <c r="E7906" s="3">
        <v>1</v>
      </c>
      <c r="F7906" s="3">
        <v>1</v>
      </c>
      <c r="G7906" s="3">
        <v>2</v>
      </c>
    </row>
    <row r="7907" spans="1:7" s="3" customFormat="1" x14ac:dyDescent="0.3">
      <c r="A7907" s="3" t="s">
        <v>29</v>
      </c>
      <c r="B7907" s="3" t="s">
        <v>291</v>
      </c>
      <c r="C7907" s="3">
        <v>5</v>
      </c>
      <c r="D7907" s="3">
        <v>1.42</v>
      </c>
      <c r="E7907" s="3">
        <v>1</v>
      </c>
      <c r="F7907" s="3">
        <v>1</v>
      </c>
      <c r="G7907" s="3">
        <v>3</v>
      </c>
    </row>
    <row r="7908" spans="1:7" s="3" customFormat="1" x14ac:dyDescent="0.3">
      <c r="A7908" s="3" t="s">
        <v>29</v>
      </c>
      <c r="B7908" s="3" t="s">
        <v>292</v>
      </c>
      <c r="C7908" s="3">
        <v>7</v>
      </c>
      <c r="D7908" s="3">
        <v>1.36</v>
      </c>
      <c r="E7908" s="3">
        <v>1</v>
      </c>
      <c r="F7908" s="3">
        <v>1</v>
      </c>
      <c r="G7908" s="3">
        <v>2</v>
      </c>
    </row>
    <row r="7909" spans="1:7" s="3" customFormat="1" x14ac:dyDescent="0.3">
      <c r="A7909" s="3" t="s">
        <v>28</v>
      </c>
      <c r="B7909" s="3" t="s">
        <v>291</v>
      </c>
      <c r="C7909" s="3">
        <v>2</v>
      </c>
      <c r="D7909" s="3">
        <v>1</v>
      </c>
      <c r="E7909" s="3">
        <v>1</v>
      </c>
      <c r="F7909" s="3">
        <v>1</v>
      </c>
      <c r="G7909" s="3">
        <v>1</v>
      </c>
    </row>
    <row r="7910" spans="1:7" s="3" customFormat="1" x14ac:dyDescent="0.3">
      <c r="A7910" s="3" t="s">
        <v>28</v>
      </c>
      <c r="B7910" s="3" t="s">
        <v>292</v>
      </c>
      <c r="C7910" s="3">
        <v>4</v>
      </c>
      <c r="D7910" s="3">
        <v>1</v>
      </c>
      <c r="E7910" s="3">
        <v>1</v>
      </c>
      <c r="F7910" s="3">
        <v>1</v>
      </c>
      <c r="G7910" s="3">
        <v>1</v>
      </c>
    </row>
    <row r="7911" spans="1:7" s="3" customFormat="1" x14ac:dyDescent="0.3">
      <c r="A7911" s="3" t="s">
        <v>27</v>
      </c>
      <c r="B7911" s="3" t="s">
        <v>292</v>
      </c>
      <c r="C7911" s="3">
        <v>4</v>
      </c>
      <c r="D7911" s="3">
        <v>1</v>
      </c>
      <c r="E7911" s="3">
        <v>1</v>
      </c>
      <c r="F7911" s="3">
        <v>1</v>
      </c>
      <c r="G7911" s="3">
        <v>1</v>
      </c>
    </row>
    <row r="7912" spans="1:7" x14ac:dyDescent="0.3">
      <c r="A7912" t="s">
        <v>27</v>
      </c>
      <c r="B7912" t="s">
        <v>308</v>
      </c>
      <c r="C7912">
        <v>1</v>
      </c>
      <c r="D7912">
        <v>1</v>
      </c>
      <c r="E7912">
        <v>1</v>
      </c>
      <c r="F7912">
        <v>1</v>
      </c>
      <c r="G7912">
        <v>1</v>
      </c>
    </row>
    <row r="7913" spans="1:7" s="3" customFormat="1" x14ac:dyDescent="0.3">
      <c r="A7913" s="3" t="s">
        <v>41</v>
      </c>
      <c r="B7913" s="3" t="s">
        <v>291</v>
      </c>
      <c r="C7913" s="3">
        <v>8</v>
      </c>
      <c r="D7913" s="3">
        <v>1.35</v>
      </c>
      <c r="E7913" s="3">
        <v>1</v>
      </c>
      <c r="F7913" s="3">
        <v>1</v>
      </c>
      <c r="G7913" s="3">
        <v>3</v>
      </c>
    </row>
    <row r="7914" spans="1:7" s="3" customFormat="1" x14ac:dyDescent="0.3">
      <c r="A7914" s="3" t="s">
        <v>41</v>
      </c>
      <c r="B7914" s="3" t="s">
        <v>292</v>
      </c>
      <c r="C7914" s="3">
        <v>24</v>
      </c>
      <c r="D7914" s="3">
        <v>1.23</v>
      </c>
      <c r="E7914" s="3">
        <v>1</v>
      </c>
      <c r="F7914" s="3">
        <v>1</v>
      </c>
      <c r="G7914" s="3">
        <v>2</v>
      </c>
    </row>
    <row r="7915" spans="1:7" x14ac:dyDescent="0.3">
      <c r="A7915" t="s">
        <v>41</v>
      </c>
      <c r="B7915" t="s">
        <v>308</v>
      </c>
      <c r="C7915">
        <v>1</v>
      </c>
      <c r="D7915">
        <v>1</v>
      </c>
      <c r="E7915">
        <v>1</v>
      </c>
      <c r="F7915">
        <v>1</v>
      </c>
      <c r="G7915">
        <v>1</v>
      </c>
    </row>
    <row r="7917" spans="1:7" x14ac:dyDescent="0.3">
      <c r="A7917" t="s">
        <v>2327</v>
      </c>
    </row>
    <row r="7918" spans="1:7" x14ac:dyDescent="0.3">
      <c r="A7918" t="s">
        <v>36</v>
      </c>
      <c r="B7918" t="s">
        <v>310</v>
      </c>
      <c r="C7918" t="s">
        <v>24</v>
      </c>
      <c r="D7918" t="s">
        <v>37</v>
      </c>
      <c r="E7918" t="s">
        <v>38</v>
      </c>
      <c r="F7918" t="s">
        <v>39</v>
      </c>
      <c r="G7918" t="s">
        <v>40</v>
      </c>
    </row>
    <row r="7919" spans="1:7" s="3" customFormat="1" x14ac:dyDescent="0.3">
      <c r="A7919" s="3" t="s">
        <v>25</v>
      </c>
      <c r="B7919" s="3" t="s">
        <v>311</v>
      </c>
      <c r="C7919" s="3">
        <v>2</v>
      </c>
      <c r="D7919" s="3">
        <v>1</v>
      </c>
      <c r="E7919" s="3">
        <v>1</v>
      </c>
      <c r="F7919" s="3">
        <v>1</v>
      </c>
      <c r="G7919" s="3">
        <v>1</v>
      </c>
    </row>
    <row r="7920" spans="1:7" s="3" customFormat="1" x14ac:dyDescent="0.3">
      <c r="A7920" s="3" t="s">
        <v>26</v>
      </c>
      <c r="B7920" s="3" t="s">
        <v>311</v>
      </c>
      <c r="C7920" s="3">
        <v>1</v>
      </c>
      <c r="D7920" s="3">
        <v>1</v>
      </c>
      <c r="E7920" s="3">
        <v>1</v>
      </c>
      <c r="F7920" s="3">
        <v>1</v>
      </c>
      <c r="G7920" s="3">
        <v>1</v>
      </c>
    </row>
    <row r="7921" spans="1:7" s="3" customFormat="1" x14ac:dyDescent="0.3">
      <c r="A7921" s="3" t="s">
        <v>26</v>
      </c>
      <c r="B7921" s="3" t="s">
        <v>312</v>
      </c>
      <c r="C7921" s="3">
        <v>6</v>
      </c>
      <c r="D7921" s="3">
        <v>1.21</v>
      </c>
      <c r="E7921" s="3">
        <v>1</v>
      </c>
      <c r="F7921" s="3">
        <v>1</v>
      </c>
      <c r="G7921" s="3">
        <v>2</v>
      </c>
    </row>
    <row r="7922" spans="1:7" x14ac:dyDescent="0.3">
      <c r="A7922" t="s">
        <v>26</v>
      </c>
      <c r="B7922" t="s">
        <v>308</v>
      </c>
      <c r="C7922">
        <v>1</v>
      </c>
      <c r="D7922">
        <v>1</v>
      </c>
      <c r="E7922">
        <v>1</v>
      </c>
      <c r="F7922">
        <v>1</v>
      </c>
      <c r="G7922">
        <v>1</v>
      </c>
    </row>
    <row r="7923" spans="1:7" s="3" customFormat="1" x14ac:dyDescent="0.3">
      <c r="A7923" s="3" t="s">
        <v>29</v>
      </c>
      <c r="B7923" s="3" t="s">
        <v>311</v>
      </c>
      <c r="C7923" s="3">
        <v>5</v>
      </c>
      <c r="D7923" s="3">
        <v>1.32</v>
      </c>
      <c r="E7923" s="3">
        <v>1</v>
      </c>
      <c r="F7923" s="3">
        <v>1</v>
      </c>
      <c r="G7923" s="3">
        <v>2</v>
      </c>
    </row>
    <row r="7924" spans="1:7" s="3" customFormat="1" x14ac:dyDescent="0.3">
      <c r="A7924" s="3" t="s">
        <v>29</v>
      </c>
      <c r="B7924" s="3" t="s">
        <v>312</v>
      </c>
      <c r="C7924" s="3">
        <v>5</v>
      </c>
      <c r="D7924" s="3">
        <v>1.55</v>
      </c>
      <c r="E7924" s="3">
        <v>1</v>
      </c>
      <c r="F7924" s="3">
        <v>1</v>
      </c>
      <c r="G7924" s="3">
        <v>3</v>
      </c>
    </row>
    <row r="7925" spans="1:7" x14ac:dyDescent="0.3">
      <c r="A7925" t="s">
        <v>29</v>
      </c>
      <c r="B7925" t="s">
        <v>308</v>
      </c>
      <c r="C7925">
        <v>2</v>
      </c>
      <c r="D7925">
        <v>1</v>
      </c>
      <c r="E7925">
        <v>1</v>
      </c>
      <c r="F7925">
        <v>1</v>
      </c>
      <c r="G7925">
        <v>1</v>
      </c>
    </row>
    <row r="7926" spans="1:7" s="3" customFormat="1" x14ac:dyDescent="0.3">
      <c r="A7926" s="3" t="s">
        <v>28</v>
      </c>
      <c r="B7926" s="3" t="s">
        <v>311</v>
      </c>
      <c r="C7926" s="3">
        <v>4</v>
      </c>
      <c r="D7926" s="3">
        <v>1</v>
      </c>
      <c r="E7926" s="3">
        <v>1</v>
      </c>
      <c r="F7926" s="3">
        <v>1</v>
      </c>
      <c r="G7926" s="3">
        <v>1</v>
      </c>
    </row>
    <row r="7927" spans="1:7" s="3" customFormat="1" x14ac:dyDescent="0.3">
      <c r="A7927" s="3" t="s">
        <v>28</v>
      </c>
      <c r="B7927" s="3" t="s">
        <v>312</v>
      </c>
      <c r="C7927" s="3">
        <v>2</v>
      </c>
      <c r="D7927" s="3">
        <v>1</v>
      </c>
      <c r="E7927" s="3">
        <v>1</v>
      </c>
      <c r="F7927" s="3">
        <v>1</v>
      </c>
      <c r="G7927" s="3">
        <v>1</v>
      </c>
    </row>
    <row r="7928" spans="1:7" s="3" customFormat="1" x14ac:dyDescent="0.3">
      <c r="A7928" s="3" t="s">
        <v>27</v>
      </c>
      <c r="B7928" s="3" t="s">
        <v>311</v>
      </c>
      <c r="C7928" s="3">
        <v>5</v>
      </c>
      <c r="D7928" s="3">
        <v>1</v>
      </c>
      <c r="E7928" s="3">
        <v>1</v>
      </c>
      <c r="F7928" s="3">
        <v>1</v>
      </c>
      <c r="G7928" s="3">
        <v>1</v>
      </c>
    </row>
    <row r="7929" spans="1:7" s="3" customFormat="1" x14ac:dyDescent="0.3">
      <c r="A7929" s="3" t="s">
        <v>41</v>
      </c>
      <c r="B7929" s="3" t="s">
        <v>311</v>
      </c>
      <c r="C7929" s="3">
        <v>17</v>
      </c>
      <c r="D7929" s="3">
        <v>1.18</v>
      </c>
      <c r="E7929" s="3">
        <v>1</v>
      </c>
      <c r="F7929" s="3">
        <v>1</v>
      </c>
      <c r="G7929" s="3">
        <v>2</v>
      </c>
    </row>
    <row r="7930" spans="1:7" s="3" customFormat="1" x14ac:dyDescent="0.3">
      <c r="A7930" s="3" t="s">
        <v>41</v>
      </c>
      <c r="B7930" s="3" t="s">
        <v>312</v>
      </c>
      <c r="C7930" s="3">
        <v>13</v>
      </c>
      <c r="D7930" s="3">
        <v>1.4</v>
      </c>
      <c r="E7930" s="3">
        <v>1</v>
      </c>
      <c r="F7930" s="3">
        <v>1</v>
      </c>
      <c r="G7930" s="3">
        <v>3</v>
      </c>
    </row>
    <row r="7931" spans="1:7" x14ac:dyDescent="0.3">
      <c r="A7931" t="s">
        <v>41</v>
      </c>
      <c r="B7931" t="s">
        <v>308</v>
      </c>
      <c r="C7931">
        <v>3</v>
      </c>
      <c r="D7931">
        <v>1</v>
      </c>
      <c r="E7931">
        <v>1</v>
      </c>
      <c r="F7931">
        <v>1</v>
      </c>
      <c r="G7931">
        <v>1</v>
      </c>
    </row>
    <row r="7933" spans="1:7" x14ac:dyDescent="0.3">
      <c r="A7933" t="s">
        <v>2328</v>
      </c>
    </row>
    <row r="7934" spans="1:7" x14ac:dyDescent="0.3">
      <c r="A7934" t="s">
        <v>36</v>
      </c>
      <c r="B7934" t="s">
        <v>197</v>
      </c>
      <c r="C7934" t="s">
        <v>24</v>
      </c>
      <c r="D7934" t="s">
        <v>37</v>
      </c>
      <c r="E7934" t="s">
        <v>38</v>
      </c>
      <c r="F7934" t="s">
        <v>39</v>
      </c>
      <c r="G7934" t="s">
        <v>40</v>
      </c>
    </row>
    <row r="7935" spans="1:7" s="3" customFormat="1" x14ac:dyDescent="0.3">
      <c r="A7935" s="3" t="s">
        <v>25</v>
      </c>
      <c r="B7935" s="3" t="s">
        <v>199</v>
      </c>
      <c r="C7935" s="3">
        <v>2</v>
      </c>
      <c r="D7935" s="3">
        <v>1</v>
      </c>
      <c r="E7935" s="3">
        <v>1</v>
      </c>
      <c r="F7935" s="3">
        <v>1</v>
      </c>
      <c r="G7935" s="3">
        <v>1</v>
      </c>
    </row>
    <row r="7936" spans="1:7" s="3" customFormat="1" x14ac:dyDescent="0.3">
      <c r="A7936" s="3" t="s">
        <v>26</v>
      </c>
      <c r="B7936" s="3" t="s">
        <v>198</v>
      </c>
      <c r="C7936" s="3">
        <v>1</v>
      </c>
      <c r="D7936" s="3">
        <v>1</v>
      </c>
      <c r="E7936" s="3">
        <v>1</v>
      </c>
      <c r="F7936" s="3">
        <v>1</v>
      </c>
      <c r="G7936" s="3">
        <v>1</v>
      </c>
    </row>
    <row r="7937" spans="1:7" s="3" customFormat="1" x14ac:dyDescent="0.3">
      <c r="A7937" s="3" t="s">
        <v>26</v>
      </c>
      <c r="B7937" s="3" t="s">
        <v>199</v>
      </c>
      <c r="C7937" s="3">
        <v>7</v>
      </c>
      <c r="D7937" s="3">
        <v>1.1499999999999999</v>
      </c>
      <c r="E7937" s="3">
        <v>1</v>
      </c>
      <c r="F7937" s="3">
        <v>1</v>
      </c>
      <c r="G7937" s="3">
        <v>2</v>
      </c>
    </row>
    <row r="7938" spans="1:7" s="3" customFormat="1" x14ac:dyDescent="0.3">
      <c r="A7938" s="3" t="s">
        <v>29</v>
      </c>
      <c r="B7938" s="3" t="s">
        <v>198</v>
      </c>
      <c r="C7938" s="3">
        <v>2</v>
      </c>
      <c r="D7938" s="3">
        <v>2</v>
      </c>
      <c r="E7938" s="3">
        <v>2</v>
      </c>
      <c r="F7938" s="3">
        <v>2</v>
      </c>
      <c r="G7938" s="3">
        <v>2</v>
      </c>
    </row>
    <row r="7939" spans="1:7" s="3" customFormat="1" x14ac:dyDescent="0.3">
      <c r="A7939" s="3" t="s">
        <v>29</v>
      </c>
      <c r="B7939" s="3" t="s">
        <v>199</v>
      </c>
      <c r="C7939" s="3">
        <v>10</v>
      </c>
      <c r="D7939" s="3">
        <v>1.3</v>
      </c>
      <c r="E7939" s="3">
        <v>1</v>
      </c>
      <c r="F7939" s="3">
        <v>1</v>
      </c>
      <c r="G7939" s="3">
        <v>3</v>
      </c>
    </row>
    <row r="7940" spans="1:7" s="3" customFormat="1" x14ac:dyDescent="0.3">
      <c r="A7940" s="3" t="s">
        <v>28</v>
      </c>
      <c r="B7940" s="3" t="s">
        <v>198</v>
      </c>
      <c r="C7940" s="3">
        <v>1</v>
      </c>
      <c r="D7940" s="3">
        <v>1</v>
      </c>
      <c r="E7940" s="3">
        <v>1</v>
      </c>
      <c r="F7940" s="3">
        <v>1</v>
      </c>
      <c r="G7940" s="3">
        <v>1</v>
      </c>
    </row>
    <row r="7941" spans="1:7" s="3" customFormat="1" x14ac:dyDescent="0.3">
      <c r="A7941" s="3" t="s">
        <v>28</v>
      </c>
      <c r="B7941" s="3" t="s">
        <v>199</v>
      </c>
      <c r="C7941" s="3">
        <v>5</v>
      </c>
      <c r="D7941" s="3">
        <v>1</v>
      </c>
      <c r="E7941" s="3">
        <v>1</v>
      </c>
      <c r="F7941" s="3">
        <v>1</v>
      </c>
      <c r="G7941" s="3">
        <v>1</v>
      </c>
    </row>
    <row r="7942" spans="1:7" s="3" customFormat="1" x14ac:dyDescent="0.3">
      <c r="A7942" s="3" t="s">
        <v>27</v>
      </c>
      <c r="B7942" s="3" t="s">
        <v>198</v>
      </c>
      <c r="C7942" s="3">
        <v>3</v>
      </c>
      <c r="D7942" s="3">
        <v>1</v>
      </c>
      <c r="E7942" s="3">
        <v>1</v>
      </c>
      <c r="F7942" s="3">
        <v>1</v>
      </c>
      <c r="G7942" s="3">
        <v>1</v>
      </c>
    </row>
    <row r="7943" spans="1:7" s="3" customFormat="1" x14ac:dyDescent="0.3">
      <c r="A7943" s="3" t="s">
        <v>27</v>
      </c>
      <c r="B7943" s="3" t="s">
        <v>199</v>
      </c>
      <c r="C7943" s="3">
        <v>2</v>
      </c>
      <c r="D7943" s="3">
        <v>1</v>
      </c>
      <c r="E7943" s="3">
        <v>1</v>
      </c>
      <c r="F7943" s="3">
        <v>1</v>
      </c>
      <c r="G7943" s="3">
        <v>1</v>
      </c>
    </row>
    <row r="7944" spans="1:7" s="3" customFormat="1" x14ac:dyDescent="0.3">
      <c r="A7944" s="3" t="s">
        <v>41</v>
      </c>
      <c r="B7944" s="3" t="s">
        <v>198</v>
      </c>
      <c r="C7944" s="3">
        <v>7</v>
      </c>
      <c r="D7944" s="3">
        <v>1.58</v>
      </c>
      <c r="E7944" s="3">
        <v>2</v>
      </c>
      <c r="F7944" s="3">
        <v>1</v>
      </c>
      <c r="G7944" s="3">
        <v>2</v>
      </c>
    </row>
    <row r="7945" spans="1:7" s="3" customFormat="1" x14ac:dyDescent="0.3">
      <c r="A7945" s="3" t="s">
        <v>41</v>
      </c>
      <c r="B7945" s="3" t="s">
        <v>199</v>
      </c>
      <c r="C7945" s="3">
        <v>26</v>
      </c>
      <c r="D7945" s="3">
        <v>1.22</v>
      </c>
      <c r="E7945" s="3">
        <v>1</v>
      </c>
      <c r="F7945" s="3">
        <v>1</v>
      </c>
      <c r="G7945" s="3">
        <v>3</v>
      </c>
    </row>
    <row r="7947" spans="1:7" x14ac:dyDescent="0.3">
      <c r="A7947" t="s">
        <v>2329</v>
      </c>
    </row>
    <row r="7948" spans="1:7" x14ac:dyDescent="0.3">
      <c r="A7948" t="s">
        <v>36</v>
      </c>
      <c r="B7948" t="s">
        <v>1647</v>
      </c>
      <c r="C7948" t="s">
        <v>24</v>
      </c>
      <c r="D7948" t="s">
        <v>37</v>
      </c>
      <c r="E7948" t="s">
        <v>38</v>
      </c>
      <c r="F7948" t="s">
        <v>39</v>
      </c>
      <c r="G7948" t="s">
        <v>40</v>
      </c>
    </row>
    <row r="7949" spans="1:7" s="3" customFormat="1" x14ac:dyDescent="0.3">
      <c r="A7949" s="3" t="s">
        <v>25</v>
      </c>
      <c r="B7949" s="3" t="s">
        <v>1648</v>
      </c>
      <c r="C7949" s="3">
        <v>2</v>
      </c>
      <c r="D7949" s="3">
        <v>1</v>
      </c>
      <c r="E7949" s="3">
        <v>1</v>
      </c>
      <c r="F7949" s="3">
        <v>1</v>
      </c>
      <c r="G7949" s="3">
        <v>1</v>
      </c>
    </row>
    <row r="7950" spans="1:7" s="3" customFormat="1" x14ac:dyDescent="0.3">
      <c r="A7950" s="3" t="s">
        <v>26</v>
      </c>
      <c r="B7950" s="3" t="s">
        <v>1648</v>
      </c>
      <c r="C7950" s="3">
        <v>1</v>
      </c>
      <c r="D7950" s="3">
        <v>1</v>
      </c>
      <c r="E7950" s="3">
        <v>1</v>
      </c>
      <c r="F7950" s="3">
        <v>1</v>
      </c>
      <c r="G7950" s="3">
        <v>1</v>
      </c>
    </row>
    <row r="7951" spans="1:7" s="3" customFormat="1" x14ac:dyDescent="0.3">
      <c r="A7951" s="3" t="s">
        <v>26</v>
      </c>
      <c r="B7951" s="3" t="s">
        <v>1649</v>
      </c>
      <c r="C7951" s="3">
        <v>7</v>
      </c>
      <c r="D7951" s="3">
        <v>1.17</v>
      </c>
      <c r="E7951" s="3">
        <v>1</v>
      </c>
      <c r="F7951" s="3">
        <v>1</v>
      </c>
      <c r="G7951" s="3">
        <v>2</v>
      </c>
    </row>
    <row r="7952" spans="1:7" s="3" customFormat="1" x14ac:dyDescent="0.3">
      <c r="A7952" s="3" t="s">
        <v>29</v>
      </c>
      <c r="B7952" s="3" t="s">
        <v>1648</v>
      </c>
      <c r="C7952" s="3">
        <v>6</v>
      </c>
      <c r="D7952" s="3">
        <v>1.43</v>
      </c>
      <c r="E7952" s="3">
        <v>1</v>
      </c>
      <c r="F7952" s="3">
        <v>1</v>
      </c>
      <c r="G7952" s="3">
        <v>2</v>
      </c>
    </row>
    <row r="7953" spans="1:14" s="3" customFormat="1" x14ac:dyDescent="0.3">
      <c r="A7953" s="3" t="s">
        <v>29</v>
      </c>
      <c r="B7953" s="3" t="s">
        <v>1649</v>
      </c>
      <c r="C7953" s="3">
        <v>6</v>
      </c>
      <c r="D7953" s="3">
        <v>1.35</v>
      </c>
      <c r="E7953" s="3">
        <v>1</v>
      </c>
      <c r="F7953" s="3">
        <v>1</v>
      </c>
      <c r="G7953" s="3">
        <v>3</v>
      </c>
    </row>
    <row r="7954" spans="1:14" s="3" customFormat="1" x14ac:dyDescent="0.3">
      <c r="A7954" s="3" t="s">
        <v>28</v>
      </c>
      <c r="B7954" s="3" t="s">
        <v>1648</v>
      </c>
      <c r="C7954" s="3">
        <v>2</v>
      </c>
      <c r="D7954" s="3">
        <v>1</v>
      </c>
      <c r="E7954" s="3">
        <v>1</v>
      </c>
      <c r="F7954" s="3">
        <v>1</v>
      </c>
      <c r="G7954" s="3">
        <v>1</v>
      </c>
    </row>
    <row r="7955" spans="1:14" s="3" customFormat="1" x14ac:dyDescent="0.3">
      <c r="A7955" s="3" t="s">
        <v>28</v>
      </c>
      <c r="B7955" s="3" t="s">
        <v>1649</v>
      </c>
      <c r="C7955" s="3">
        <v>4</v>
      </c>
      <c r="D7955" s="3">
        <v>1</v>
      </c>
      <c r="E7955" s="3">
        <v>1</v>
      </c>
      <c r="F7955" s="3">
        <v>1</v>
      </c>
      <c r="G7955" s="3">
        <v>1</v>
      </c>
    </row>
    <row r="7956" spans="1:14" s="3" customFormat="1" x14ac:dyDescent="0.3">
      <c r="A7956" s="3" t="s">
        <v>27</v>
      </c>
      <c r="B7956" s="3" t="s">
        <v>1648</v>
      </c>
      <c r="C7956" s="3">
        <v>3</v>
      </c>
      <c r="D7956" s="3">
        <v>1</v>
      </c>
      <c r="E7956" s="3">
        <v>1</v>
      </c>
      <c r="F7956" s="3">
        <v>1</v>
      </c>
      <c r="G7956" s="3">
        <v>1</v>
      </c>
    </row>
    <row r="7957" spans="1:14" s="3" customFormat="1" x14ac:dyDescent="0.3">
      <c r="A7957" s="3" t="s">
        <v>27</v>
      </c>
      <c r="B7957" s="3" t="s">
        <v>1649</v>
      </c>
      <c r="C7957" s="3">
        <v>2</v>
      </c>
      <c r="D7957" s="3">
        <v>1</v>
      </c>
      <c r="E7957" s="3">
        <v>1</v>
      </c>
      <c r="F7957" s="3">
        <v>1</v>
      </c>
      <c r="G7957" s="3">
        <v>1</v>
      </c>
    </row>
    <row r="7958" spans="1:14" s="3" customFormat="1" x14ac:dyDescent="0.3">
      <c r="A7958" s="3" t="s">
        <v>41</v>
      </c>
      <c r="B7958" s="3" t="s">
        <v>1648</v>
      </c>
      <c r="C7958" s="3">
        <v>14</v>
      </c>
      <c r="D7958" s="3">
        <v>1.28</v>
      </c>
      <c r="E7958" s="3">
        <v>1</v>
      </c>
      <c r="F7958" s="3">
        <v>1</v>
      </c>
      <c r="G7958" s="3">
        <v>2</v>
      </c>
    </row>
    <row r="7959" spans="1:14" s="3" customFormat="1" x14ac:dyDescent="0.3">
      <c r="A7959" s="3" t="s">
        <v>41</v>
      </c>
      <c r="B7959" s="3" t="s">
        <v>1649</v>
      </c>
      <c r="C7959" s="3">
        <v>19</v>
      </c>
      <c r="D7959" s="3">
        <v>1.25</v>
      </c>
      <c r="E7959" s="3">
        <v>1</v>
      </c>
      <c r="F7959" s="3">
        <v>1</v>
      </c>
      <c r="G7959" s="3">
        <v>3</v>
      </c>
    </row>
    <row r="7961" spans="1:14" x14ac:dyDescent="0.3">
      <c r="A7961" t="s">
        <v>2330</v>
      </c>
    </row>
    <row r="7962" spans="1:14" x14ac:dyDescent="0.3">
      <c r="A7962" t="s">
        <v>36</v>
      </c>
      <c r="B7962" t="s">
        <v>24</v>
      </c>
      <c r="C7962" t="s">
        <v>2331</v>
      </c>
      <c r="D7962" t="s">
        <v>2332</v>
      </c>
      <c r="E7962" t="s">
        <v>2333</v>
      </c>
      <c r="F7962" t="s">
        <v>2334</v>
      </c>
      <c r="G7962" t="s">
        <v>2335</v>
      </c>
      <c r="H7962" t="s">
        <v>2336</v>
      </c>
      <c r="I7962" t="s">
        <v>2337</v>
      </c>
      <c r="J7962" t="s">
        <v>2338</v>
      </c>
      <c r="K7962" t="s">
        <v>2339</v>
      </c>
      <c r="L7962" t="s">
        <v>2340</v>
      </c>
      <c r="M7962" t="s">
        <v>1454</v>
      </c>
      <c r="N7962" t="s">
        <v>181</v>
      </c>
    </row>
    <row r="7963" spans="1:14" s="3" customFormat="1" x14ac:dyDescent="0.3">
      <c r="A7963" s="3" t="s">
        <v>25</v>
      </c>
      <c r="B7963" s="3">
        <v>2</v>
      </c>
      <c r="C7963" s="3" t="s">
        <v>192</v>
      </c>
      <c r="D7963" s="3" t="s">
        <v>103</v>
      </c>
      <c r="E7963" s="3" t="s">
        <v>103</v>
      </c>
      <c r="F7963" s="3" t="s">
        <v>103</v>
      </c>
      <c r="G7963" s="3" t="s">
        <v>103</v>
      </c>
      <c r="H7963" s="3" t="s">
        <v>103</v>
      </c>
      <c r="I7963" s="3" t="s">
        <v>103</v>
      </c>
      <c r="J7963" s="3" t="s">
        <v>103</v>
      </c>
      <c r="K7963" s="3" t="s">
        <v>103</v>
      </c>
      <c r="L7963" s="3" t="s">
        <v>103</v>
      </c>
      <c r="M7963" s="3" t="s">
        <v>103</v>
      </c>
      <c r="N7963" s="3" t="s">
        <v>103</v>
      </c>
    </row>
    <row r="7964" spans="1:14" s="3" customFormat="1" x14ac:dyDescent="0.3">
      <c r="A7964" s="3" t="s">
        <v>26</v>
      </c>
      <c r="B7964" s="3">
        <v>8</v>
      </c>
      <c r="C7964" s="3" t="s">
        <v>103</v>
      </c>
      <c r="D7964" s="3" t="s">
        <v>103</v>
      </c>
      <c r="E7964" s="3" t="s">
        <v>103</v>
      </c>
      <c r="F7964" s="3" t="s">
        <v>1230</v>
      </c>
      <c r="G7964" s="3" t="s">
        <v>103</v>
      </c>
      <c r="H7964" s="3" t="s">
        <v>103</v>
      </c>
      <c r="I7964" s="3" t="s">
        <v>103</v>
      </c>
      <c r="J7964" s="3" t="s">
        <v>103</v>
      </c>
      <c r="K7964" s="3" t="s">
        <v>103</v>
      </c>
      <c r="L7964" s="3" t="s">
        <v>820</v>
      </c>
      <c r="M7964" s="3" t="s">
        <v>103</v>
      </c>
      <c r="N7964" s="3" t="s">
        <v>275</v>
      </c>
    </row>
    <row r="7965" spans="1:14" s="3" customFormat="1" x14ac:dyDescent="0.3">
      <c r="A7965" s="3" t="s">
        <v>29</v>
      </c>
      <c r="B7965" s="3">
        <v>13</v>
      </c>
      <c r="C7965" s="3" t="s">
        <v>626</v>
      </c>
      <c r="D7965" s="3" t="s">
        <v>46</v>
      </c>
      <c r="E7965" s="3" t="s">
        <v>157</v>
      </c>
      <c r="F7965" s="3" t="s">
        <v>629</v>
      </c>
      <c r="G7965" s="3" t="s">
        <v>103</v>
      </c>
      <c r="H7965" s="3" t="s">
        <v>205</v>
      </c>
      <c r="I7965" s="3" t="s">
        <v>103</v>
      </c>
      <c r="J7965" s="3" t="s">
        <v>103</v>
      </c>
      <c r="K7965" s="3" t="s">
        <v>103</v>
      </c>
      <c r="L7965" s="3" t="s">
        <v>483</v>
      </c>
      <c r="M7965" s="3" t="s">
        <v>103</v>
      </c>
      <c r="N7965" s="3" t="s">
        <v>517</v>
      </c>
    </row>
    <row r="7966" spans="1:14" s="3" customFormat="1" x14ac:dyDescent="0.3">
      <c r="A7966" s="3" t="s">
        <v>28</v>
      </c>
      <c r="B7966" s="3">
        <v>6</v>
      </c>
      <c r="C7966" s="3" t="s">
        <v>685</v>
      </c>
      <c r="D7966" s="3" t="s">
        <v>103</v>
      </c>
      <c r="E7966" s="3" t="s">
        <v>103</v>
      </c>
      <c r="F7966" s="3" t="s">
        <v>382</v>
      </c>
      <c r="G7966" s="3" t="s">
        <v>103</v>
      </c>
      <c r="H7966" s="3" t="s">
        <v>103</v>
      </c>
      <c r="I7966" s="3" t="s">
        <v>103</v>
      </c>
      <c r="J7966" s="3" t="s">
        <v>54</v>
      </c>
      <c r="K7966" s="3" t="s">
        <v>103</v>
      </c>
      <c r="L7966" s="3" t="s">
        <v>825</v>
      </c>
      <c r="M7966" s="3" t="s">
        <v>103</v>
      </c>
      <c r="N7966" s="3" t="s">
        <v>103</v>
      </c>
    </row>
    <row r="7967" spans="1:14" s="3" customFormat="1" x14ac:dyDescent="0.3">
      <c r="A7967" s="3" t="s">
        <v>27</v>
      </c>
      <c r="B7967" s="3">
        <v>5</v>
      </c>
      <c r="C7967" s="3" t="s">
        <v>103</v>
      </c>
      <c r="D7967" s="3" t="s">
        <v>103</v>
      </c>
      <c r="E7967" s="3" t="s">
        <v>554</v>
      </c>
      <c r="F7967" s="3" t="s">
        <v>103</v>
      </c>
      <c r="G7967" s="3" t="s">
        <v>373</v>
      </c>
      <c r="H7967" s="3" t="s">
        <v>103</v>
      </c>
      <c r="I7967" s="3" t="s">
        <v>103</v>
      </c>
      <c r="J7967" s="3" t="s">
        <v>103</v>
      </c>
      <c r="K7967" s="3" t="s">
        <v>103</v>
      </c>
      <c r="L7967" s="3" t="s">
        <v>498</v>
      </c>
      <c r="M7967" s="3" t="s">
        <v>103</v>
      </c>
      <c r="N7967" s="3" t="s">
        <v>103</v>
      </c>
    </row>
    <row r="7968" spans="1:14" x14ac:dyDescent="0.3">
      <c r="A7968" t="s">
        <v>41</v>
      </c>
      <c r="B7968">
        <v>34</v>
      </c>
      <c r="C7968" t="s">
        <v>582</v>
      </c>
      <c r="D7968" t="s">
        <v>117</v>
      </c>
      <c r="E7968" t="s">
        <v>205</v>
      </c>
      <c r="F7968" t="s">
        <v>1219</v>
      </c>
      <c r="G7968" t="s">
        <v>105</v>
      </c>
      <c r="H7968" t="s">
        <v>284</v>
      </c>
      <c r="I7968" t="s">
        <v>103</v>
      </c>
      <c r="J7968" t="s">
        <v>282</v>
      </c>
      <c r="K7968" t="s">
        <v>103</v>
      </c>
      <c r="L7968" t="s">
        <v>30</v>
      </c>
      <c r="M7968" t="s">
        <v>103</v>
      </c>
      <c r="N7968" t="s">
        <v>146</v>
      </c>
    </row>
    <row r="7970" spans="1:15" x14ac:dyDescent="0.3">
      <c r="A7970" t="s">
        <v>2341</v>
      </c>
    </row>
    <row r="7971" spans="1:15" x14ac:dyDescent="0.3">
      <c r="A7971" t="s">
        <v>36</v>
      </c>
      <c r="B7971" t="s">
        <v>307</v>
      </c>
      <c r="C7971" t="s">
        <v>24</v>
      </c>
      <c r="D7971" t="s">
        <v>2331</v>
      </c>
      <c r="E7971" t="s">
        <v>2332</v>
      </c>
      <c r="F7971" t="s">
        <v>2333</v>
      </c>
      <c r="G7971" t="s">
        <v>2334</v>
      </c>
      <c r="H7971" t="s">
        <v>2335</v>
      </c>
      <c r="I7971" t="s">
        <v>2336</v>
      </c>
      <c r="J7971" t="s">
        <v>2337</v>
      </c>
      <c r="K7971" t="s">
        <v>2338</v>
      </c>
      <c r="L7971" t="s">
        <v>2339</v>
      </c>
      <c r="M7971" t="s">
        <v>2340</v>
      </c>
      <c r="N7971" t="s">
        <v>1454</v>
      </c>
      <c r="O7971" t="s">
        <v>181</v>
      </c>
    </row>
    <row r="7972" spans="1:15" s="3" customFormat="1" x14ac:dyDescent="0.3">
      <c r="A7972" s="3" t="s">
        <v>25</v>
      </c>
      <c r="B7972" s="3" t="s">
        <v>292</v>
      </c>
      <c r="C7972" s="3">
        <v>2</v>
      </c>
      <c r="D7972" s="3" t="s">
        <v>192</v>
      </c>
      <c r="E7972" s="3" t="s">
        <v>103</v>
      </c>
      <c r="F7972" s="3" t="s">
        <v>103</v>
      </c>
      <c r="G7972" s="3" t="s">
        <v>103</v>
      </c>
      <c r="H7972" s="3" t="s">
        <v>103</v>
      </c>
      <c r="I7972" s="3" t="s">
        <v>103</v>
      </c>
      <c r="J7972" s="3" t="s">
        <v>103</v>
      </c>
      <c r="K7972" s="3" t="s">
        <v>103</v>
      </c>
      <c r="L7972" s="3" t="s">
        <v>103</v>
      </c>
      <c r="M7972" s="3" t="s">
        <v>103</v>
      </c>
      <c r="N7972" s="3" t="s">
        <v>103</v>
      </c>
      <c r="O7972" s="3" t="s">
        <v>103</v>
      </c>
    </row>
    <row r="7973" spans="1:15" s="3" customFormat="1" x14ac:dyDescent="0.3">
      <c r="A7973" s="3" t="s">
        <v>26</v>
      </c>
      <c r="B7973" s="3" t="s">
        <v>291</v>
      </c>
      <c r="C7973" s="3">
        <v>1</v>
      </c>
      <c r="D7973" s="3" t="s">
        <v>103</v>
      </c>
      <c r="E7973" s="3" t="s">
        <v>103</v>
      </c>
      <c r="F7973" s="3" t="s">
        <v>103</v>
      </c>
      <c r="G7973" s="3" t="s">
        <v>192</v>
      </c>
      <c r="H7973" s="3" t="s">
        <v>103</v>
      </c>
      <c r="I7973" s="3" t="s">
        <v>103</v>
      </c>
      <c r="J7973" s="3" t="s">
        <v>103</v>
      </c>
      <c r="K7973" s="3" t="s">
        <v>103</v>
      </c>
      <c r="L7973" s="3" t="s">
        <v>103</v>
      </c>
      <c r="M7973" s="3" t="s">
        <v>103</v>
      </c>
      <c r="N7973" s="3" t="s">
        <v>103</v>
      </c>
      <c r="O7973" s="3" t="s">
        <v>103</v>
      </c>
    </row>
    <row r="7974" spans="1:15" s="3" customFormat="1" x14ac:dyDescent="0.3">
      <c r="A7974" s="3" t="s">
        <v>26</v>
      </c>
      <c r="B7974" s="3" t="s">
        <v>292</v>
      </c>
      <c r="C7974" s="3">
        <v>7</v>
      </c>
      <c r="D7974" s="3" t="s">
        <v>103</v>
      </c>
      <c r="E7974" s="3" t="s">
        <v>103</v>
      </c>
      <c r="F7974" s="3" t="s">
        <v>103</v>
      </c>
      <c r="G7974" s="3" t="s">
        <v>791</v>
      </c>
      <c r="H7974" s="3" t="s">
        <v>103</v>
      </c>
      <c r="I7974" s="3" t="s">
        <v>103</v>
      </c>
      <c r="J7974" s="3" t="s">
        <v>103</v>
      </c>
      <c r="K7974" s="3" t="s">
        <v>103</v>
      </c>
      <c r="L7974" s="3" t="s">
        <v>103</v>
      </c>
      <c r="M7974" s="3" t="s">
        <v>534</v>
      </c>
      <c r="N7974" s="3" t="s">
        <v>103</v>
      </c>
      <c r="O7974" s="3" t="s">
        <v>680</v>
      </c>
    </row>
    <row r="7975" spans="1:15" s="3" customFormat="1" x14ac:dyDescent="0.3">
      <c r="A7975" s="3" t="s">
        <v>29</v>
      </c>
      <c r="B7975" s="3" t="s">
        <v>291</v>
      </c>
      <c r="C7975" s="3">
        <v>6</v>
      </c>
      <c r="D7975" s="3" t="s">
        <v>1218</v>
      </c>
      <c r="E7975" s="3" t="s">
        <v>485</v>
      </c>
      <c r="F7975" s="3" t="s">
        <v>247</v>
      </c>
      <c r="G7975" s="3" t="s">
        <v>103</v>
      </c>
      <c r="H7975" s="3" t="s">
        <v>103</v>
      </c>
      <c r="I7975" s="3" t="s">
        <v>734</v>
      </c>
      <c r="J7975" s="3" t="s">
        <v>103</v>
      </c>
      <c r="K7975" s="3" t="s">
        <v>103</v>
      </c>
      <c r="L7975" s="3" t="s">
        <v>103</v>
      </c>
      <c r="M7975" s="3" t="s">
        <v>103</v>
      </c>
      <c r="N7975" s="3" t="s">
        <v>103</v>
      </c>
      <c r="O7975" s="3" t="s">
        <v>900</v>
      </c>
    </row>
    <row r="7976" spans="1:15" s="3" customFormat="1" x14ac:dyDescent="0.3">
      <c r="A7976" s="3" t="s">
        <v>29</v>
      </c>
      <c r="B7976" s="3" t="s">
        <v>292</v>
      </c>
      <c r="C7976" s="3">
        <v>7</v>
      </c>
      <c r="D7976" s="3" t="s">
        <v>647</v>
      </c>
      <c r="E7976" s="3" t="s">
        <v>268</v>
      </c>
      <c r="F7976" s="3" t="s">
        <v>566</v>
      </c>
      <c r="G7976" s="3" t="s">
        <v>579</v>
      </c>
      <c r="H7976" s="3" t="s">
        <v>103</v>
      </c>
      <c r="I7976" s="3" t="s">
        <v>103</v>
      </c>
      <c r="J7976" s="3" t="s">
        <v>103</v>
      </c>
      <c r="K7976" s="3" t="s">
        <v>103</v>
      </c>
      <c r="L7976" s="3" t="s">
        <v>103</v>
      </c>
      <c r="M7976" s="3" t="s">
        <v>619</v>
      </c>
      <c r="N7976" s="3" t="s">
        <v>103</v>
      </c>
      <c r="O7976" s="3" t="s">
        <v>103</v>
      </c>
    </row>
    <row r="7977" spans="1:15" s="3" customFormat="1" x14ac:dyDescent="0.3">
      <c r="A7977" s="3" t="s">
        <v>28</v>
      </c>
      <c r="B7977" s="3" t="s">
        <v>291</v>
      </c>
      <c r="C7977" s="3">
        <v>2</v>
      </c>
      <c r="D7977" s="3" t="s">
        <v>103</v>
      </c>
      <c r="E7977" s="3" t="s">
        <v>103</v>
      </c>
      <c r="F7977" s="3" t="s">
        <v>103</v>
      </c>
      <c r="G7977" s="3" t="s">
        <v>643</v>
      </c>
      <c r="H7977" s="3" t="s">
        <v>103</v>
      </c>
      <c r="I7977" s="3" t="s">
        <v>103</v>
      </c>
      <c r="J7977" s="3" t="s">
        <v>103</v>
      </c>
      <c r="K7977" s="3" t="s">
        <v>817</v>
      </c>
      <c r="L7977" s="3" t="s">
        <v>103</v>
      </c>
      <c r="M7977" s="3" t="s">
        <v>103</v>
      </c>
      <c r="N7977" s="3" t="s">
        <v>103</v>
      </c>
      <c r="O7977" s="3" t="s">
        <v>103</v>
      </c>
    </row>
    <row r="7978" spans="1:15" s="3" customFormat="1" x14ac:dyDescent="0.3">
      <c r="A7978" s="3" t="s">
        <v>28</v>
      </c>
      <c r="B7978" s="3" t="s">
        <v>292</v>
      </c>
      <c r="C7978" s="3">
        <v>4</v>
      </c>
      <c r="D7978" s="3" t="s">
        <v>635</v>
      </c>
      <c r="E7978" s="3" t="s">
        <v>103</v>
      </c>
      <c r="F7978" s="3" t="s">
        <v>103</v>
      </c>
      <c r="G7978" s="3" t="s">
        <v>1038</v>
      </c>
      <c r="H7978" s="3" t="s">
        <v>103</v>
      </c>
      <c r="I7978" s="3" t="s">
        <v>103</v>
      </c>
      <c r="J7978" s="3" t="s">
        <v>103</v>
      </c>
      <c r="K7978" s="3" t="s">
        <v>103</v>
      </c>
      <c r="L7978" s="3" t="s">
        <v>103</v>
      </c>
      <c r="M7978" s="3" t="s">
        <v>656</v>
      </c>
      <c r="N7978" s="3" t="s">
        <v>103</v>
      </c>
      <c r="O7978" s="3" t="s">
        <v>103</v>
      </c>
    </row>
    <row r="7979" spans="1:15" s="3" customFormat="1" x14ac:dyDescent="0.3">
      <c r="A7979" s="3" t="s">
        <v>27</v>
      </c>
      <c r="B7979" s="3" t="s">
        <v>292</v>
      </c>
      <c r="C7979" s="3">
        <v>4</v>
      </c>
      <c r="D7979" s="3" t="s">
        <v>103</v>
      </c>
      <c r="E7979" s="3" t="s">
        <v>103</v>
      </c>
      <c r="F7979" s="3" t="s">
        <v>503</v>
      </c>
      <c r="G7979" s="3" t="s">
        <v>103</v>
      </c>
      <c r="H7979" s="3" t="s">
        <v>1084</v>
      </c>
      <c r="I7979" s="3" t="s">
        <v>103</v>
      </c>
      <c r="J7979" s="3" t="s">
        <v>103</v>
      </c>
      <c r="K7979" s="3" t="s">
        <v>103</v>
      </c>
      <c r="L7979" s="3" t="s">
        <v>103</v>
      </c>
      <c r="M7979" s="3" t="s">
        <v>838</v>
      </c>
      <c r="N7979" s="3" t="s">
        <v>103</v>
      </c>
      <c r="O7979" s="3" t="s">
        <v>103</v>
      </c>
    </row>
    <row r="7980" spans="1:15" x14ac:dyDescent="0.3">
      <c r="A7980" t="s">
        <v>27</v>
      </c>
      <c r="B7980" t="s">
        <v>308</v>
      </c>
      <c r="C7980">
        <v>1</v>
      </c>
      <c r="D7980" t="s">
        <v>103</v>
      </c>
      <c r="E7980" t="s">
        <v>103</v>
      </c>
      <c r="F7980" t="s">
        <v>103</v>
      </c>
      <c r="G7980" t="s">
        <v>103</v>
      </c>
      <c r="H7980" t="s">
        <v>192</v>
      </c>
      <c r="I7980" t="s">
        <v>103</v>
      </c>
      <c r="J7980" t="s">
        <v>103</v>
      </c>
      <c r="K7980" t="s">
        <v>103</v>
      </c>
      <c r="L7980" t="s">
        <v>103</v>
      </c>
      <c r="M7980" t="s">
        <v>103</v>
      </c>
      <c r="N7980" t="s">
        <v>103</v>
      </c>
      <c r="O7980" t="s">
        <v>103</v>
      </c>
    </row>
    <row r="7981" spans="1:15" s="3" customFormat="1" x14ac:dyDescent="0.3">
      <c r="A7981" s="3" t="s">
        <v>41</v>
      </c>
      <c r="B7981" s="3" t="s">
        <v>291</v>
      </c>
      <c r="C7981" s="3">
        <v>9</v>
      </c>
      <c r="D7981" s="3" t="s">
        <v>456</v>
      </c>
      <c r="E7981" s="3" t="s">
        <v>54</v>
      </c>
      <c r="F7981" s="3" t="s">
        <v>126</v>
      </c>
      <c r="G7981" s="3" t="s">
        <v>743</v>
      </c>
      <c r="H7981" s="3" t="s">
        <v>103</v>
      </c>
      <c r="I7981" s="3" t="s">
        <v>131</v>
      </c>
      <c r="J7981" s="3" t="s">
        <v>103</v>
      </c>
      <c r="K7981" s="3" t="s">
        <v>266</v>
      </c>
      <c r="L7981" s="3" t="s">
        <v>103</v>
      </c>
      <c r="M7981" s="3" t="s">
        <v>103</v>
      </c>
      <c r="N7981" s="3" t="s">
        <v>103</v>
      </c>
      <c r="O7981" s="3" t="s">
        <v>555</v>
      </c>
    </row>
    <row r="7982" spans="1:15" s="3" customFormat="1" x14ac:dyDescent="0.3">
      <c r="A7982" s="3" t="s">
        <v>41</v>
      </c>
      <c r="B7982" s="3" t="s">
        <v>292</v>
      </c>
      <c r="C7982" s="3">
        <v>24</v>
      </c>
      <c r="D7982" s="3" t="s">
        <v>52</v>
      </c>
      <c r="E7982" s="3" t="s">
        <v>571</v>
      </c>
      <c r="F7982" s="3" t="s">
        <v>571</v>
      </c>
      <c r="G7982" s="3" t="s">
        <v>1226</v>
      </c>
      <c r="H7982" s="3" t="s">
        <v>110</v>
      </c>
      <c r="I7982" s="3" t="s">
        <v>103</v>
      </c>
      <c r="J7982" s="3" t="s">
        <v>103</v>
      </c>
      <c r="K7982" s="3" t="s">
        <v>103</v>
      </c>
      <c r="L7982" s="3" t="s">
        <v>103</v>
      </c>
      <c r="M7982" s="3" t="s">
        <v>674</v>
      </c>
      <c r="N7982" s="3" t="s">
        <v>103</v>
      </c>
      <c r="O7982" s="3" t="s">
        <v>281</v>
      </c>
    </row>
    <row r="7983" spans="1:15" x14ac:dyDescent="0.3">
      <c r="A7983" t="s">
        <v>41</v>
      </c>
      <c r="B7983" t="s">
        <v>308</v>
      </c>
      <c r="C7983">
        <v>1</v>
      </c>
      <c r="D7983" t="s">
        <v>103</v>
      </c>
      <c r="E7983" t="s">
        <v>103</v>
      </c>
      <c r="F7983" t="s">
        <v>103</v>
      </c>
      <c r="G7983" t="s">
        <v>103</v>
      </c>
      <c r="H7983" t="s">
        <v>192</v>
      </c>
      <c r="I7983" t="s">
        <v>103</v>
      </c>
      <c r="J7983" t="s">
        <v>103</v>
      </c>
      <c r="K7983" t="s">
        <v>103</v>
      </c>
      <c r="L7983" t="s">
        <v>103</v>
      </c>
      <c r="M7983" t="s">
        <v>103</v>
      </c>
      <c r="N7983" t="s">
        <v>103</v>
      </c>
      <c r="O7983" t="s">
        <v>103</v>
      </c>
    </row>
    <row r="7985" spans="1:15" x14ac:dyDescent="0.3">
      <c r="A7985" t="s">
        <v>2342</v>
      </c>
    </row>
    <row r="7986" spans="1:15" x14ac:dyDescent="0.3">
      <c r="A7986" t="s">
        <v>36</v>
      </c>
      <c r="B7986" t="s">
        <v>310</v>
      </c>
      <c r="C7986" t="s">
        <v>24</v>
      </c>
      <c r="D7986" t="s">
        <v>2331</v>
      </c>
      <c r="E7986" t="s">
        <v>2332</v>
      </c>
      <c r="F7986" t="s">
        <v>2333</v>
      </c>
      <c r="G7986" t="s">
        <v>2334</v>
      </c>
      <c r="H7986" t="s">
        <v>2335</v>
      </c>
      <c r="I7986" t="s">
        <v>2336</v>
      </c>
      <c r="J7986" t="s">
        <v>2337</v>
      </c>
      <c r="K7986" t="s">
        <v>2338</v>
      </c>
      <c r="L7986" t="s">
        <v>2339</v>
      </c>
      <c r="M7986" t="s">
        <v>2340</v>
      </c>
      <c r="N7986" t="s">
        <v>1454</v>
      </c>
      <c r="O7986" t="s">
        <v>181</v>
      </c>
    </row>
    <row r="7987" spans="1:15" s="3" customFormat="1" x14ac:dyDescent="0.3">
      <c r="A7987" s="3" t="s">
        <v>25</v>
      </c>
      <c r="B7987" s="3" t="s">
        <v>311</v>
      </c>
      <c r="C7987" s="3">
        <v>2</v>
      </c>
      <c r="D7987" s="3" t="s">
        <v>192</v>
      </c>
      <c r="E7987" s="3" t="s">
        <v>103</v>
      </c>
      <c r="F7987" s="3" t="s">
        <v>103</v>
      </c>
      <c r="G7987" s="3" t="s">
        <v>103</v>
      </c>
      <c r="H7987" s="3" t="s">
        <v>103</v>
      </c>
      <c r="I7987" s="3" t="s">
        <v>103</v>
      </c>
      <c r="J7987" s="3" t="s">
        <v>103</v>
      </c>
      <c r="K7987" s="3" t="s">
        <v>103</v>
      </c>
      <c r="L7987" s="3" t="s">
        <v>103</v>
      </c>
      <c r="M7987" s="3" t="s">
        <v>103</v>
      </c>
      <c r="N7987" s="3" t="s">
        <v>103</v>
      </c>
      <c r="O7987" s="3" t="s">
        <v>103</v>
      </c>
    </row>
    <row r="7988" spans="1:15" s="3" customFormat="1" x14ac:dyDescent="0.3">
      <c r="A7988" s="3" t="s">
        <v>26</v>
      </c>
      <c r="B7988" s="3" t="s">
        <v>311</v>
      </c>
      <c r="C7988" s="3">
        <v>1</v>
      </c>
      <c r="D7988" s="3" t="s">
        <v>103</v>
      </c>
      <c r="E7988" s="3" t="s">
        <v>103</v>
      </c>
      <c r="F7988" s="3" t="s">
        <v>103</v>
      </c>
      <c r="G7988" s="3" t="s">
        <v>103</v>
      </c>
      <c r="H7988" s="3" t="s">
        <v>103</v>
      </c>
      <c r="I7988" s="3" t="s">
        <v>103</v>
      </c>
      <c r="J7988" s="3" t="s">
        <v>103</v>
      </c>
      <c r="K7988" s="3" t="s">
        <v>103</v>
      </c>
      <c r="L7988" s="3" t="s">
        <v>103</v>
      </c>
      <c r="M7988" s="3" t="s">
        <v>192</v>
      </c>
      <c r="N7988" s="3" t="s">
        <v>103</v>
      </c>
      <c r="O7988" s="3" t="s">
        <v>103</v>
      </c>
    </row>
    <row r="7989" spans="1:15" s="3" customFormat="1" x14ac:dyDescent="0.3">
      <c r="A7989" s="3" t="s">
        <v>26</v>
      </c>
      <c r="B7989" s="3" t="s">
        <v>312</v>
      </c>
      <c r="C7989" s="3">
        <v>6</v>
      </c>
      <c r="D7989" s="3" t="s">
        <v>103</v>
      </c>
      <c r="E7989" s="3" t="s">
        <v>103</v>
      </c>
      <c r="F7989" s="3" t="s">
        <v>103</v>
      </c>
      <c r="G7989" s="3" t="s">
        <v>740</v>
      </c>
      <c r="H7989" s="3" t="s">
        <v>103</v>
      </c>
      <c r="I7989" s="3" t="s">
        <v>103</v>
      </c>
      <c r="J7989" s="3" t="s">
        <v>103</v>
      </c>
      <c r="K7989" s="3" t="s">
        <v>103</v>
      </c>
      <c r="L7989" s="3" t="s">
        <v>103</v>
      </c>
      <c r="M7989" s="3" t="s">
        <v>115</v>
      </c>
      <c r="N7989" s="3" t="s">
        <v>103</v>
      </c>
      <c r="O7989" s="3" t="s">
        <v>103</v>
      </c>
    </row>
    <row r="7990" spans="1:15" x14ac:dyDescent="0.3">
      <c r="A7990" t="s">
        <v>26</v>
      </c>
      <c r="B7990" t="s">
        <v>308</v>
      </c>
      <c r="C7990">
        <v>1</v>
      </c>
      <c r="D7990" t="s">
        <v>103</v>
      </c>
      <c r="E7990" t="s">
        <v>103</v>
      </c>
      <c r="F7990" t="s">
        <v>103</v>
      </c>
      <c r="G7990" t="s">
        <v>103</v>
      </c>
      <c r="H7990" t="s">
        <v>103</v>
      </c>
      <c r="I7990" t="s">
        <v>103</v>
      </c>
      <c r="J7990" t="s">
        <v>103</v>
      </c>
      <c r="K7990" t="s">
        <v>103</v>
      </c>
      <c r="L7990" t="s">
        <v>103</v>
      </c>
      <c r="M7990" t="s">
        <v>103</v>
      </c>
      <c r="N7990" t="s">
        <v>103</v>
      </c>
      <c r="O7990" t="s">
        <v>192</v>
      </c>
    </row>
    <row r="7991" spans="1:15" s="3" customFormat="1" x14ac:dyDescent="0.3">
      <c r="A7991" s="3" t="s">
        <v>29</v>
      </c>
      <c r="B7991" s="3" t="s">
        <v>311</v>
      </c>
      <c r="C7991" s="3">
        <v>5</v>
      </c>
      <c r="D7991" s="3" t="s">
        <v>644</v>
      </c>
      <c r="E7991" s="3" t="s">
        <v>539</v>
      </c>
      <c r="F7991" s="3" t="s">
        <v>103</v>
      </c>
      <c r="G7991" s="3" t="s">
        <v>250</v>
      </c>
      <c r="H7991" s="3" t="s">
        <v>103</v>
      </c>
      <c r="I7991" s="3" t="s">
        <v>103</v>
      </c>
      <c r="J7991" s="3" t="s">
        <v>103</v>
      </c>
      <c r="K7991" s="3" t="s">
        <v>103</v>
      </c>
      <c r="L7991" s="3" t="s">
        <v>103</v>
      </c>
      <c r="M7991" s="3" t="s">
        <v>295</v>
      </c>
      <c r="N7991" s="3" t="s">
        <v>103</v>
      </c>
      <c r="O7991" s="3" t="s">
        <v>103</v>
      </c>
    </row>
    <row r="7992" spans="1:15" s="3" customFormat="1" x14ac:dyDescent="0.3">
      <c r="A7992" s="3" t="s">
        <v>29</v>
      </c>
      <c r="B7992" s="3" t="s">
        <v>312</v>
      </c>
      <c r="C7992" s="3">
        <v>6</v>
      </c>
      <c r="D7992" s="3" t="s">
        <v>683</v>
      </c>
      <c r="E7992" s="3" t="s">
        <v>734</v>
      </c>
      <c r="F7992" s="3" t="s">
        <v>809</v>
      </c>
      <c r="G7992" s="3" t="s">
        <v>103</v>
      </c>
      <c r="H7992" s="3" t="s">
        <v>103</v>
      </c>
      <c r="I7992" s="3" t="s">
        <v>469</v>
      </c>
      <c r="J7992" s="3" t="s">
        <v>103</v>
      </c>
      <c r="K7992" s="3" t="s">
        <v>103</v>
      </c>
      <c r="L7992" s="3" t="s">
        <v>103</v>
      </c>
      <c r="M7992" s="3" t="s">
        <v>331</v>
      </c>
      <c r="N7992" s="3" t="s">
        <v>103</v>
      </c>
      <c r="O7992" s="3" t="s">
        <v>264</v>
      </c>
    </row>
    <row r="7993" spans="1:15" x14ac:dyDescent="0.3">
      <c r="A7993" t="s">
        <v>29</v>
      </c>
      <c r="B7993" t="s">
        <v>308</v>
      </c>
      <c r="C7993">
        <v>2</v>
      </c>
      <c r="D7993" t="s">
        <v>892</v>
      </c>
      <c r="E7993" t="s">
        <v>103</v>
      </c>
      <c r="F7993" t="s">
        <v>893</v>
      </c>
      <c r="G7993" t="s">
        <v>103</v>
      </c>
      <c r="H7993" t="s">
        <v>103</v>
      </c>
      <c r="I7993" t="s">
        <v>103</v>
      </c>
      <c r="J7993" t="s">
        <v>103</v>
      </c>
      <c r="K7993" t="s">
        <v>103</v>
      </c>
      <c r="L7993" t="s">
        <v>103</v>
      </c>
      <c r="M7993" t="s">
        <v>103</v>
      </c>
      <c r="N7993" t="s">
        <v>103</v>
      </c>
      <c r="O7993" t="s">
        <v>103</v>
      </c>
    </row>
    <row r="7994" spans="1:15" s="3" customFormat="1" x14ac:dyDescent="0.3">
      <c r="A7994" s="3" t="s">
        <v>28</v>
      </c>
      <c r="B7994" s="3" t="s">
        <v>311</v>
      </c>
      <c r="C7994" s="3">
        <v>4</v>
      </c>
      <c r="D7994" s="3" t="s">
        <v>103</v>
      </c>
      <c r="E7994" s="3" t="s">
        <v>103</v>
      </c>
      <c r="F7994" s="3" t="s">
        <v>103</v>
      </c>
      <c r="G7994" s="3" t="s">
        <v>717</v>
      </c>
      <c r="H7994" s="3" t="s">
        <v>103</v>
      </c>
      <c r="I7994" s="3" t="s">
        <v>103</v>
      </c>
      <c r="J7994" s="3" t="s">
        <v>103</v>
      </c>
      <c r="K7994" s="3" t="s">
        <v>109</v>
      </c>
      <c r="L7994" s="3" t="s">
        <v>103</v>
      </c>
      <c r="M7994" s="3" t="s">
        <v>103</v>
      </c>
      <c r="N7994" s="3" t="s">
        <v>103</v>
      </c>
      <c r="O7994" s="3" t="s">
        <v>103</v>
      </c>
    </row>
    <row r="7995" spans="1:15" s="3" customFormat="1" x14ac:dyDescent="0.3">
      <c r="A7995" s="3" t="s">
        <v>28</v>
      </c>
      <c r="B7995" s="3" t="s">
        <v>312</v>
      </c>
      <c r="C7995" s="3">
        <v>2</v>
      </c>
      <c r="D7995" s="3" t="s">
        <v>939</v>
      </c>
      <c r="E7995" s="3" t="s">
        <v>103</v>
      </c>
      <c r="F7995" s="3" t="s">
        <v>103</v>
      </c>
      <c r="G7995" s="3" t="s">
        <v>103</v>
      </c>
      <c r="H7995" s="3" t="s">
        <v>103</v>
      </c>
      <c r="I7995" s="3" t="s">
        <v>103</v>
      </c>
      <c r="J7995" s="3" t="s">
        <v>103</v>
      </c>
      <c r="K7995" s="3" t="s">
        <v>103</v>
      </c>
      <c r="L7995" s="3" t="s">
        <v>103</v>
      </c>
      <c r="M7995" s="3" t="s">
        <v>500</v>
      </c>
      <c r="N7995" s="3" t="s">
        <v>103</v>
      </c>
      <c r="O7995" s="3" t="s">
        <v>103</v>
      </c>
    </row>
    <row r="7996" spans="1:15" s="3" customFormat="1" x14ac:dyDescent="0.3">
      <c r="A7996" s="3" t="s">
        <v>27</v>
      </c>
      <c r="B7996" s="3" t="s">
        <v>311</v>
      </c>
      <c r="C7996" s="3">
        <v>5</v>
      </c>
      <c r="D7996" s="3" t="s">
        <v>103</v>
      </c>
      <c r="E7996" s="3" t="s">
        <v>103</v>
      </c>
      <c r="F7996" s="3" t="s">
        <v>554</v>
      </c>
      <c r="G7996" s="3" t="s">
        <v>103</v>
      </c>
      <c r="H7996" s="3" t="s">
        <v>373</v>
      </c>
      <c r="I7996" s="3" t="s">
        <v>103</v>
      </c>
      <c r="J7996" s="3" t="s">
        <v>103</v>
      </c>
      <c r="K7996" s="3" t="s">
        <v>103</v>
      </c>
      <c r="L7996" s="3" t="s">
        <v>103</v>
      </c>
      <c r="M7996" s="3" t="s">
        <v>498</v>
      </c>
      <c r="N7996" s="3" t="s">
        <v>103</v>
      </c>
      <c r="O7996" s="3" t="s">
        <v>103</v>
      </c>
    </row>
    <row r="7997" spans="1:15" s="3" customFormat="1" x14ac:dyDescent="0.3">
      <c r="A7997" s="3" t="s">
        <v>41</v>
      </c>
      <c r="B7997" s="3" t="s">
        <v>311</v>
      </c>
      <c r="C7997" s="3">
        <v>17</v>
      </c>
      <c r="D7997" s="3" t="s">
        <v>920</v>
      </c>
      <c r="E7997" s="3" t="s">
        <v>162</v>
      </c>
      <c r="F7997" s="3" t="s">
        <v>217</v>
      </c>
      <c r="G7997" s="3" t="s">
        <v>568</v>
      </c>
      <c r="H7997" s="3" t="s">
        <v>214</v>
      </c>
      <c r="I7997" s="3" t="s">
        <v>103</v>
      </c>
      <c r="J7997" s="3" t="s">
        <v>103</v>
      </c>
      <c r="K7997" s="3" t="s">
        <v>257</v>
      </c>
      <c r="L7997" s="3" t="s">
        <v>103</v>
      </c>
      <c r="M7997" s="3" t="s">
        <v>1203</v>
      </c>
      <c r="N7997" s="3" t="s">
        <v>103</v>
      </c>
      <c r="O7997" s="3" t="s">
        <v>103</v>
      </c>
    </row>
    <row r="7998" spans="1:15" s="3" customFormat="1" x14ac:dyDescent="0.3">
      <c r="A7998" s="3" t="s">
        <v>41</v>
      </c>
      <c r="B7998" s="3" t="s">
        <v>312</v>
      </c>
      <c r="C7998" s="3">
        <v>14</v>
      </c>
      <c r="D7998" s="3" t="s">
        <v>525</v>
      </c>
      <c r="E7998" s="3" t="s">
        <v>269</v>
      </c>
      <c r="F7998" s="3" t="s">
        <v>224</v>
      </c>
      <c r="G7998" s="3" t="s">
        <v>577</v>
      </c>
      <c r="H7998" s="3" t="s">
        <v>103</v>
      </c>
      <c r="I7998" s="3" t="s">
        <v>135</v>
      </c>
      <c r="J7998" s="3" t="s">
        <v>103</v>
      </c>
      <c r="K7998" s="3" t="s">
        <v>103</v>
      </c>
      <c r="L7998" s="3" t="s">
        <v>103</v>
      </c>
      <c r="M7998" s="3" t="s">
        <v>485</v>
      </c>
      <c r="N7998" s="3" t="s">
        <v>103</v>
      </c>
      <c r="O7998" s="3" t="s">
        <v>150</v>
      </c>
    </row>
    <row r="7999" spans="1:15" x14ac:dyDescent="0.3">
      <c r="A7999" t="s">
        <v>41</v>
      </c>
      <c r="B7999" t="s">
        <v>308</v>
      </c>
      <c r="C7999">
        <v>3</v>
      </c>
      <c r="D7999" t="s">
        <v>375</v>
      </c>
      <c r="E7999" t="s">
        <v>103</v>
      </c>
      <c r="F7999" t="s">
        <v>398</v>
      </c>
      <c r="G7999" t="s">
        <v>103</v>
      </c>
      <c r="H7999" t="s">
        <v>103</v>
      </c>
      <c r="I7999" t="s">
        <v>103</v>
      </c>
      <c r="J7999" t="s">
        <v>103</v>
      </c>
      <c r="K7999" t="s">
        <v>103</v>
      </c>
      <c r="L7999" t="s">
        <v>103</v>
      </c>
      <c r="M7999" t="s">
        <v>103</v>
      </c>
      <c r="N7999" t="s">
        <v>103</v>
      </c>
      <c r="O7999" t="s">
        <v>645</v>
      </c>
    </row>
    <row r="8001" spans="1:15" x14ac:dyDescent="0.3">
      <c r="A8001" t="s">
        <v>2343</v>
      </c>
    </row>
    <row r="8002" spans="1:15" x14ac:dyDescent="0.3">
      <c r="A8002" t="s">
        <v>36</v>
      </c>
      <c r="B8002" t="s">
        <v>197</v>
      </c>
      <c r="C8002" t="s">
        <v>24</v>
      </c>
      <c r="D8002" t="s">
        <v>2331</v>
      </c>
      <c r="E8002" t="s">
        <v>2332</v>
      </c>
      <c r="F8002" t="s">
        <v>2333</v>
      </c>
      <c r="G8002" t="s">
        <v>2334</v>
      </c>
      <c r="H8002" t="s">
        <v>2335</v>
      </c>
      <c r="I8002" t="s">
        <v>2336</v>
      </c>
      <c r="J8002" t="s">
        <v>2337</v>
      </c>
      <c r="K8002" t="s">
        <v>2338</v>
      </c>
      <c r="L8002" t="s">
        <v>2339</v>
      </c>
      <c r="M8002" t="s">
        <v>2340</v>
      </c>
      <c r="N8002" t="s">
        <v>1454</v>
      </c>
      <c r="O8002" t="s">
        <v>181</v>
      </c>
    </row>
    <row r="8003" spans="1:15" s="3" customFormat="1" x14ac:dyDescent="0.3">
      <c r="A8003" s="3" t="s">
        <v>25</v>
      </c>
      <c r="B8003" s="3" t="s">
        <v>199</v>
      </c>
      <c r="C8003" s="3">
        <v>2</v>
      </c>
      <c r="D8003" s="3" t="s">
        <v>192</v>
      </c>
      <c r="E8003" s="3" t="s">
        <v>103</v>
      </c>
      <c r="F8003" s="3" t="s">
        <v>103</v>
      </c>
      <c r="G8003" s="3" t="s">
        <v>103</v>
      </c>
      <c r="H8003" s="3" t="s">
        <v>103</v>
      </c>
      <c r="I8003" s="3" t="s">
        <v>103</v>
      </c>
      <c r="J8003" s="3" t="s">
        <v>103</v>
      </c>
      <c r="K8003" s="3" t="s">
        <v>103</v>
      </c>
      <c r="L8003" s="3" t="s">
        <v>103</v>
      </c>
      <c r="M8003" s="3" t="s">
        <v>103</v>
      </c>
      <c r="N8003" s="3" t="s">
        <v>103</v>
      </c>
      <c r="O8003" s="3" t="s">
        <v>103</v>
      </c>
    </row>
    <row r="8004" spans="1:15" s="3" customFormat="1" x14ac:dyDescent="0.3">
      <c r="A8004" s="3" t="s">
        <v>26</v>
      </c>
      <c r="B8004" s="3" t="s">
        <v>198</v>
      </c>
      <c r="C8004" s="3">
        <v>1</v>
      </c>
      <c r="D8004" s="3" t="s">
        <v>103</v>
      </c>
      <c r="E8004" s="3" t="s">
        <v>103</v>
      </c>
      <c r="F8004" s="3" t="s">
        <v>103</v>
      </c>
      <c r="G8004" s="3" t="s">
        <v>192</v>
      </c>
      <c r="H8004" s="3" t="s">
        <v>103</v>
      </c>
      <c r="I8004" s="3" t="s">
        <v>103</v>
      </c>
      <c r="J8004" s="3" t="s">
        <v>103</v>
      </c>
      <c r="K8004" s="3" t="s">
        <v>103</v>
      </c>
      <c r="L8004" s="3" t="s">
        <v>103</v>
      </c>
      <c r="M8004" s="3" t="s">
        <v>103</v>
      </c>
      <c r="N8004" s="3" t="s">
        <v>103</v>
      </c>
      <c r="O8004" s="3" t="s">
        <v>103</v>
      </c>
    </row>
    <row r="8005" spans="1:15" s="3" customFormat="1" x14ac:dyDescent="0.3">
      <c r="A8005" s="3" t="s">
        <v>26</v>
      </c>
      <c r="B8005" s="3" t="s">
        <v>199</v>
      </c>
      <c r="C8005" s="3">
        <v>7</v>
      </c>
      <c r="D8005" s="3" t="s">
        <v>103</v>
      </c>
      <c r="E8005" s="3" t="s">
        <v>103</v>
      </c>
      <c r="F8005" s="3" t="s">
        <v>103</v>
      </c>
      <c r="G8005" s="3" t="s">
        <v>1578</v>
      </c>
      <c r="H8005" s="3" t="s">
        <v>103</v>
      </c>
      <c r="I8005" s="3" t="s">
        <v>103</v>
      </c>
      <c r="J8005" s="3" t="s">
        <v>103</v>
      </c>
      <c r="K8005" s="3" t="s">
        <v>103</v>
      </c>
      <c r="L8005" s="3" t="s">
        <v>103</v>
      </c>
      <c r="M8005" s="3" t="s">
        <v>520</v>
      </c>
      <c r="N8005" s="3" t="s">
        <v>103</v>
      </c>
      <c r="O8005" s="3" t="s">
        <v>1319</v>
      </c>
    </row>
    <row r="8006" spans="1:15" s="3" customFormat="1" x14ac:dyDescent="0.3">
      <c r="A8006" s="3" t="s">
        <v>29</v>
      </c>
      <c r="B8006" s="3" t="s">
        <v>198</v>
      </c>
      <c r="C8006" s="3">
        <v>2</v>
      </c>
      <c r="D8006" s="3" t="s">
        <v>103</v>
      </c>
      <c r="E8006" s="3" t="s">
        <v>103</v>
      </c>
      <c r="F8006" s="3" t="s">
        <v>103</v>
      </c>
      <c r="G8006" s="3" t="s">
        <v>506</v>
      </c>
      <c r="H8006" s="3" t="s">
        <v>103</v>
      </c>
      <c r="I8006" s="3" t="s">
        <v>103</v>
      </c>
      <c r="J8006" s="3" t="s">
        <v>103</v>
      </c>
      <c r="K8006" s="3" t="s">
        <v>103</v>
      </c>
      <c r="L8006" s="3" t="s">
        <v>103</v>
      </c>
      <c r="M8006" s="3" t="s">
        <v>886</v>
      </c>
      <c r="N8006" s="3" t="s">
        <v>103</v>
      </c>
      <c r="O8006" s="3" t="s">
        <v>103</v>
      </c>
    </row>
    <row r="8007" spans="1:15" s="3" customFormat="1" x14ac:dyDescent="0.3">
      <c r="A8007" s="3" t="s">
        <v>29</v>
      </c>
      <c r="B8007" s="3" t="s">
        <v>199</v>
      </c>
      <c r="C8007" s="3">
        <v>11</v>
      </c>
      <c r="D8007" s="3" t="s">
        <v>530</v>
      </c>
      <c r="E8007" s="3" t="s">
        <v>727</v>
      </c>
      <c r="F8007" s="3" t="s">
        <v>164</v>
      </c>
      <c r="G8007" s="3" t="s">
        <v>108</v>
      </c>
      <c r="H8007" s="3" t="s">
        <v>103</v>
      </c>
      <c r="I8007" s="3" t="s">
        <v>482</v>
      </c>
      <c r="J8007" s="3" t="s">
        <v>103</v>
      </c>
      <c r="K8007" s="3" t="s">
        <v>103</v>
      </c>
      <c r="L8007" s="3" t="s">
        <v>103</v>
      </c>
      <c r="M8007" s="3" t="s">
        <v>62</v>
      </c>
      <c r="N8007" s="3" t="s">
        <v>103</v>
      </c>
      <c r="O8007" s="3" t="s">
        <v>700</v>
      </c>
    </row>
    <row r="8008" spans="1:15" s="3" customFormat="1" x14ac:dyDescent="0.3">
      <c r="A8008" s="3" t="s">
        <v>28</v>
      </c>
      <c r="B8008" s="3" t="s">
        <v>198</v>
      </c>
      <c r="C8008" s="3">
        <v>1</v>
      </c>
      <c r="D8008" s="3" t="s">
        <v>103</v>
      </c>
      <c r="E8008" s="3" t="s">
        <v>103</v>
      </c>
      <c r="F8008" s="3" t="s">
        <v>103</v>
      </c>
      <c r="G8008" s="3" t="s">
        <v>103</v>
      </c>
      <c r="H8008" s="3" t="s">
        <v>103</v>
      </c>
      <c r="I8008" s="3" t="s">
        <v>103</v>
      </c>
      <c r="J8008" s="3" t="s">
        <v>103</v>
      </c>
      <c r="K8008" s="3" t="s">
        <v>103</v>
      </c>
      <c r="L8008" s="3" t="s">
        <v>103</v>
      </c>
      <c r="M8008" s="3" t="s">
        <v>192</v>
      </c>
      <c r="N8008" s="3" t="s">
        <v>103</v>
      </c>
      <c r="O8008" s="3" t="s">
        <v>103</v>
      </c>
    </row>
    <row r="8009" spans="1:15" s="3" customFormat="1" x14ac:dyDescent="0.3">
      <c r="A8009" s="3" t="s">
        <v>28</v>
      </c>
      <c r="B8009" s="3" t="s">
        <v>199</v>
      </c>
      <c r="C8009" s="3">
        <v>5</v>
      </c>
      <c r="D8009" s="3" t="s">
        <v>393</v>
      </c>
      <c r="E8009" s="3" t="s">
        <v>103</v>
      </c>
      <c r="F8009" s="3" t="s">
        <v>103</v>
      </c>
      <c r="G8009" s="3" t="s">
        <v>1091</v>
      </c>
      <c r="H8009" s="3" t="s">
        <v>103</v>
      </c>
      <c r="I8009" s="3" t="s">
        <v>103</v>
      </c>
      <c r="J8009" s="3" t="s">
        <v>103</v>
      </c>
      <c r="K8009" s="3" t="s">
        <v>479</v>
      </c>
      <c r="L8009" s="3" t="s">
        <v>103</v>
      </c>
      <c r="M8009" s="3" t="s">
        <v>103</v>
      </c>
      <c r="N8009" s="3" t="s">
        <v>103</v>
      </c>
      <c r="O8009" s="3" t="s">
        <v>103</v>
      </c>
    </row>
    <row r="8010" spans="1:15" s="3" customFormat="1" x14ac:dyDescent="0.3">
      <c r="A8010" s="3" t="s">
        <v>27</v>
      </c>
      <c r="B8010" s="3" t="s">
        <v>198</v>
      </c>
      <c r="C8010" s="3">
        <v>3</v>
      </c>
      <c r="D8010" s="3" t="s">
        <v>103</v>
      </c>
      <c r="E8010" s="3" t="s">
        <v>103</v>
      </c>
      <c r="F8010" s="3" t="s">
        <v>357</v>
      </c>
      <c r="G8010" s="3" t="s">
        <v>103</v>
      </c>
      <c r="H8010" s="3" t="s">
        <v>788</v>
      </c>
      <c r="I8010" s="3" t="s">
        <v>103</v>
      </c>
      <c r="J8010" s="3" t="s">
        <v>103</v>
      </c>
      <c r="K8010" s="3" t="s">
        <v>103</v>
      </c>
      <c r="L8010" s="3" t="s">
        <v>103</v>
      </c>
      <c r="M8010" s="3" t="s">
        <v>893</v>
      </c>
      <c r="N8010" s="3" t="s">
        <v>103</v>
      </c>
      <c r="O8010" s="3" t="s">
        <v>103</v>
      </c>
    </row>
    <row r="8011" spans="1:15" s="3" customFormat="1" x14ac:dyDescent="0.3">
      <c r="A8011" s="3" t="s">
        <v>27</v>
      </c>
      <c r="B8011" s="3" t="s">
        <v>199</v>
      </c>
      <c r="C8011" s="3">
        <v>2</v>
      </c>
      <c r="D8011" s="3" t="s">
        <v>103</v>
      </c>
      <c r="E8011" s="3" t="s">
        <v>103</v>
      </c>
      <c r="F8011" s="3" t="s">
        <v>103</v>
      </c>
      <c r="G8011" s="3" t="s">
        <v>103</v>
      </c>
      <c r="H8011" s="3" t="s">
        <v>354</v>
      </c>
      <c r="I8011" s="3" t="s">
        <v>103</v>
      </c>
      <c r="J8011" s="3" t="s">
        <v>103</v>
      </c>
      <c r="K8011" s="3" t="s">
        <v>103</v>
      </c>
      <c r="L8011" s="3" t="s">
        <v>103</v>
      </c>
      <c r="M8011" s="3" t="s">
        <v>353</v>
      </c>
      <c r="N8011" s="3" t="s">
        <v>103</v>
      </c>
      <c r="O8011" s="3" t="s">
        <v>103</v>
      </c>
    </row>
    <row r="8012" spans="1:15" s="3" customFormat="1" x14ac:dyDescent="0.3">
      <c r="A8012" s="3" t="s">
        <v>41</v>
      </c>
      <c r="B8012" s="3" t="s">
        <v>198</v>
      </c>
      <c r="C8012" s="3">
        <v>7</v>
      </c>
      <c r="D8012" s="3" t="s">
        <v>103</v>
      </c>
      <c r="E8012" s="3" t="s">
        <v>103</v>
      </c>
      <c r="F8012" s="3" t="s">
        <v>224</v>
      </c>
      <c r="G8012" s="3" t="s">
        <v>570</v>
      </c>
      <c r="H8012" s="3" t="s">
        <v>124</v>
      </c>
      <c r="I8012" s="3" t="s">
        <v>103</v>
      </c>
      <c r="J8012" s="3" t="s">
        <v>103</v>
      </c>
      <c r="K8012" s="3" t="s">
        <v>103</v>
      </c>
      <c r="L8012" s="3" t="s">
        <v>103</v>
      </c>
      <c r="M8012" s="3" t="s">
        <v>381</v>
      </c>
      <c r="N8012" s="3" t="s">
        <v>103</v>
      </c>
      <c r="O8012" s="3" t="s">
        <v>103</v>
      </c>
    </row>
    <row r="8013" spans="1:15" s="3" customFormat="1" x14ac:dyDescent="0.3">
      <c r="A8013" s="3" t="s">
        <v>41</v>
      </c>
      <c r="B8013" s="3" t="s">
        <v>199</v>
      </c>
      <c r="C8013" s="3">
        <v>27</v>
      </c>
      <c r="D8013" s="3" t="s">
        <v>906</v>
      </c>
      <c r="E8013" s="3" t="s">
        <v>918</v>
      </c>
      <c r="F8013" s="3" t="s">
        <v>205</v>
      </c>
      <c r="G8013" s="3" t="s">
        <v>707</v>
      </c>
      <c r="H8013" s="3" t="s">
        <v>282</v>
      </c>
      <c r="I8013" s="3" t="s">
        <v>558</v>
      </c>
      <c r="J8013" s="3" t="s">
        <v>103</v>
      </c>
      <c r="K8013" s="3" t="s">
        <v>345</v>
      </c>
      <c r="L8013" s="3" t="s">
        <v>103</v>
      </c>
      <c r="M8013" s="3" t="s">
        <v>167</v>
      </c>
      <c r="N8013" s="3" t="s">
        <v>103</v>
      </c>
      <c r="O8013" s="3" t="s">
        <v>111</v>
      </c>
    </row>
    <row r="8015" spans="1:15" x14ac:dyDescent="0.3">
      <c r="A8015" t="s">
        <v>2344</v>
      </c>
    </row>
    <row r="8016" spans="1:15" x14ac:dyDescent="0.3">
      <c r="A8016" t="s">
        <v>36</v>
      </c>
      <c r="B8016" t="s">
        <v>1647</v>
      </c>
      <c r="C8016" t="s">
        <v>24</v>
      </c>
      <c r="D8016" t="s">
        <v>2331</v>
      </c>
      <c r="E8016" t="s">
        <v>2332</v>
      </c>
      <c r="F8016" t="s">
        <v>2333</v>
      </c>
      <c r="G8016" t="s">
        <v>2334</v>
      </c>
      <c r="H8016" t="s">
        <v>2335</v>
      </c>
      <c r="I8016" t="s">
        <v>2336</v>
      </c>
      <c r="J8016" t="s">
        <v>2337</v>
      </c>
      <c r="K8016" t="s">
        <v>2338</v>
      </c>
      <c r="L8016" t="s">
        <v>2339</v>
      </c>
      <c r="M8016" t="s">
        <v>2340</v>
      </c>
      <c r="N8016" t="s">
        <v>1454</v>
      </c>
      <c r="O8016" t="s">
        <v>181</v>
      </c>
    </row>
    <row r="8017" spans="1:22" s="3" customFormat="1" x14ac:dyDescent="0.3">
      <c r="A8017" s="3" t="s">
        <v>25</v>
      </c>
      <c r="B8017" s="3" t="s">
        <v>1648</v>
      </c>
      <c r="C8017" s="3">
        <v>2</v>
      </c>
      <c r="D8017" s="3" t="s">
        <v>192</v>
      </c>
      <c r="E8017" s="3" t="s">
        <v>103</v>
      </c>
      <c r="F8017" s="3" t="s">
        <v>103</v>
      </c>
      <c r="G8017" s="3" t="s">
        <v>103</v>
      </c>
      <c r="H8017" s="3" t="s">
        <v>103</v>
      </c>
      <c r="I8017" s="3" t="s">
        <v>103</v>
      </c>
      <c r="J8017" s="3" t="s">
        <v>103</v>
      </c>
      <c r="K8017" s="3" t="s">
        <v>103</v>
      </c>
      <c r="L8017" s="3" t="s">
        <v>103</v>
      </c>
      <c r="M8017" s="3" t="s">
        <v>103</v>
      </c>
      <c r="N8017" s="3" t="s">
        <v>103</v>
      </c>
      <c r="O8017" s="3" t="s">
        <v>103</v>
      </c>
    </row>
    <row r="8018" spans="1:22" s="3" customFormat="1" x14ac:dyDescent="0.3">
      <c r="A8018" s="3" t="s">
        <v>26</v>
      </c>
      <c r="B8018" s="3" t="s">
        <v>1648</v>
      </c>
      <c r="C8018" s="3">
        <v>1</v>
      </c>
      <c r="D8018" s="3" t="s">
        <v>103</v>
      </c>
      <c r="E8018" s="3" t="s">
        <v>103</v>
      </c>
      <c r="F8018" s="3" t="s">
        <v>103</v>
      </c>
      <c r="G8018" s="3" t="s">
        <v>103</v>
      </c>
      <c r="H8018" s="3" t="s">
        <v>103</v>
      </c>
      <c r="I8018" s="3" t="s">
        <v>103</v>
      </c>
      <c r="J8018" s="3" t="s">
        <v>103</v>
      </c>
      <c r="K8018" s="3" t="s">
        <v>103</v>
      </c>
      <c r="L8018" s="3" t="s">
        <v>103</v>
      </c>
      <c r="M8018" s="3" t="s">
        <v>103</v>
      </c>
      <c r="N8018" s="3" t="s">
        <v>103</v>
      </c>
      <c r="O8018" s="3" t="s">
        <v>192</v>
      </c>
    </row>
    <row r="8019" spans="1:22" s="3" customFormat="1" x14ac:dyDescent="0.3">
      <c r="A8019" s="3" t="s">
        <v>26</v>
      </c>
      <c r="B8019" s="3" t="s">
        <v>1649</v>
      </c>
      <c r="C8019" s="3">
        <v>7</v>
      </c>
      <c r="D8019" s="3" t="s">
        <v>103</v>
      </c>
      <c r="E8019" s="3" t="s">
        <v>103</v>
      </c>
      <c r="F8019" s="3" t="s">
        <v>103</v>
      </c>
      <c r="G8019" s="3" t="s">
        <v>1146</v>
      </c>
      <c r="H8019" s="3" t="s">
        <v>103</v>
      </c>
      <c r="I8019" s="3" t="s">
        <v>103</v>
      </c>
      <c r="J8019" s="3" t="s">
        <v>103</v>
      </c>
      <c r="K8019" s="3" t="s">
        <v>103</v>
      </c>
      <c r="L8019" s="3" t="s">
        <v>103</v>
      </c>
      <c r="M8019" s="3" t="s">
        <v>574</v>
      </c>
      <c r="N8019" s="3" t="s">
        <v>103</v>
      </c>
      <c r="O8019" s="3" t="s">
        <v>103</v>
      </c>
    </row>
    <row r="8020" spans="1:22" s="3" customFormat="1" x14ac:dyDescent="0.3">
      <c r="A8020" s="3" t="s">
        <v>29</v>
      </c>
      <c r="B8020" s="3" t="s">
        <v>1648</v>
      </c>
      <c r="C8020" s="3">
        <v>7</v>
      </c>
      <c r="D8020" s="3" t="s">
        <v>566</v>
      </c>
      <c r="E8020" s="3" t="s">
        <v>103</v>
      </c>
      <c r="F8020" s="3" t="s">
        <v>646</v>
      </c>
      <c r="G8020" s="3" t="s">
        <v>615</v>
      </c>
      <c r="H8020" s="3" t="s">
        <v>103</v>
      </c>
      <c r="I8020" s="3" t="s">
        <v>687</v>
      </c>
      <c r="J8020" s="3" t="s">
        <v>103</v>
      </c>
      <c r="K8020" s="3" t="s">
        <v>103</v>
      </c>
      <c r="L8020" s="3" t="s">
        <v>103</v>
      </c>
      <c r="M8020" s="3" t="s">
        <v>1200</v>
      </c>
      <c r="N8020" s="3" t="s">
        <v>103</v>
      </c>
      <c r="O8020" s="3" t="s">
        <v>707</v>
      </c>
    </row>
    <row r="8021" spans="1:22" s="3" customFormat="1" x14ac:dyDescent="0.3">
      <c r="A8021" s="3" t="s">
        <v>29</v>
      </c>
      <c r="B8021" s="3" t="s">
        <v>1649</v>
      </c>
      <c r="C8021" s="3">
        <v>6</v>
      </c>
      <c r="D8021" s="3" t="s">
        <v>387</v>
      </c>
      <c r="E8021" s="3" t="s">
        <v>619</v>
      </c>
      <c r="F8021" s="3" t="s">
        <v>103</v>
      </c>
      <c r="G8021" s="3" t="s">
        <v>516</v>
      </c>
      <c r="H8021" s="3" t="s">
        <v>103</v>
      </c>
      <c r="I8021" s="3" t="s">
        <v>103</v>
      </c>
      <c r="J8021" s="3" t="s">
        <v>103</v>
      </c>
      <c r="K8021" s="3" t="s">
        <v>103</v>
      </c>
      <c r="L8021" s="3" t="s">
        <v>103</v>
      </c>
      <c r="M8021" s="3" t="s">
        <v>103</v>
      </c>
      <c r="N8021" s="3" t="s">
        <v>103</v>
      </c>
      <c r="O8021" s="3" t="s">
        <v>103</v>
      </c>
    </row>
    <row r="8022" spans="1:22" s="3" customFormat="1" x14ac:dyDescent="0.3">
      <c r="A8022" s="3" t="s">
        <v>28</v>
      </c>
      <c r="B8022" s="3" t="s">
        <v>1648</v>
      </c>
      <c r="C8022" s="3">
        <v>2</v>
      </c>
      <c r="D8022" s="3" t="s">
        <v>103</v>
      </c>
      <c r="E8022" s="3" t="s">
        <v>103</v>
      </c>
      <c r="F8022" s="3" t="s">
        <v>103</v>
      </c>
      <c r="G8022" s="3" t="s">
        <v>382</v>
      </c>
      <c r="H8022" s="3" t="s">
        <v>103</v>
      </c>
      <c r="I8022" s="3" t="s">
        <v>103</v>
      </c>
      <c r="J8022" s="3" t="s">
        <v>103</v>
      </c>
      <c r="K8022" s="3" t="s">
        <v>103</v>
      </c>
      <c r="L8022" s="3" t="s">
        <v>103</v>
      </c>
      <c r="M8022" s="3" t="s">
        <v>381</v>
      </c>
      <c r="N8022" s="3" t="s">
        <v>103</v>
      </c>
      <c r="O8022" s="3" t="s">
        <v>103</v>
      </c>
    </row>
    <row r="8023" spans="1:22" s="3" customFormat="1" x14ac:dyDescent="0.3">
      <c r="A8023" s="3" t="s">
        <v>28</v>
      </c>
      <c r="B8023" s="3" t="s">
        <v>1649</v>
      </c>
      <c r="C8023" s="3">
        <v>4</v>
      </c>
      <c r="D8023" s="3" t="s">
        <v>1396</v>
      </c>
      <c r="E8023" s="3" t="s">
        <v>103</v>
      </c>
      <c r="F8023" s="3" t="s">
        <v>103</v>
      </c>
      <c r="G8023" s="3" t="s">
        <v>382</v>
      </c>
      <c r="H8023" s="3" t="s">
        <v>103</v>
      </c>
      <c r="I8023" s="3" t="s">
        <v>103</v>
      </c>
      <c r="J8023" s="3" t="s">
        <v>103</v>
      </c>
      <c r="K8023" s="3" t="s">
        <v>1084</v>
      </c>
      <c r="L8023" s="3" t="s">
        <v>103</v>
      </c>
      <c r="M8023" s="3" t="s">
        <v>103</v>
      </c>
      <c r="N8023" s="3" t="s">
        <v>103</v>
      </c>
      <c r="O8023" s="3" t="s">
        <v>103</v>
      </c>
    </row>
    <row r="8024" spans="1:22" s="3" customFormat="1" x14ac:dyDescent="0.3">
      <c r="A8024" s="3" t="s">
        <v>27</v>
      </c>
      <c r="B8024" s="3" t="s">
        <v>1648</v>
      </c>
      <c r="C8024" s="3">
        <v>3</v>
      </c>
      <c r="D8024" s="3" t="s">
        <v>103</v>
      </c>
      <c r="E8024" s="3" t="s">
        <v>103</v>
      </c>
      <c r="F8024" s="3" t="s">
        <v>103</v>
      </c>
      <c r="G8024" s="3" t="s">
        <v>103</v>
      </c>
      <c r="H8024" s="3" t="s">
        <v>489</v>
      </c>
      <c r="I8024" s="3" t="s">
        <v>103</v>
      </c>
      <c r="J8024" s="3" t="s">
        <v>103</v>
      </c>
      <c r="K8024" s="3" t="s">
        <v>103</v>
      </c>
      <c r="L8024" s="3" t="s">
        <v>103</v>
      </c>
      <c r="M8024" s="3" t="s">
        <v>794</v>
      </c>
      <c r="N8024" s="3" t="s">
        <v>103</v>
      </c>
      <c r="O8024" s="3" t="s">
        <v>103</v>
      </c>
    </row>
    <row r="8025" spans="1:22" s="3" customFormat="1" x14ac:dyDescent="0.3">
      <c r="A8025" s="3" t="s">
        <v>27</v>
      </c>
      <c r="B8025" s="3" t="s">
        <v>1649</v>
      </c>
      <c r="C8025" s="3">
        <v>2</v>
      </c>
      <c r="D8025" s="3" t="s">
        <v>103</v>
      </c>
      <c r="E8025" s="3" t="s">
        <v>103</v>
      </c>
      <c r="F8025" s="3" t="s">
        <v>810</v>
      </c>
      <c r="G8025" s="3" t="s">
        <v>103</v>
      </c>
      <c r="H8025" s="3" t="s">
        <v>538</v>
      </c>
      <c r="I8025" s="3" t="s">
        <v>103</v>
      </c>
      <c r="J8025" s="3" t="s">
        <v>103</v>
      </c>
      <c r="K8025" s="3" t="s">
        <v>103</v>
      </c>
      <c r="L8025" s="3" t="s">
        <v>103</v>
      </c>
      <c r="M8025" s="3" t="s">
        <v>103</v>
      </c>
      <c r="N8025" s="3" t="s">
        <v>103</v>
      </c>
      <c r="O8025" s="3" t="s">
        <v>103</v>
      </c>
    </row>
    <row r="8026" spans="1:22" s="3" customFormat="1" x14ac:dyDescent="0.3">
      <c r="A8026" s="3" t="s">
        <v>41</v>
      </c>
      <c r="B8026" s="3" t="s">
        <v>1648</v>
      </c>
      <c r="C8026" s="3">
        <v>15</v>
      </c>
      <c r="D8026" s="3" t="s">
        <v>805</v>
      </c>
      <c r="E8026" s="3" t="s">
        <v>103</v>
      </c>
      <c r="F8026" s="3" t="s">
        <v>1319</v>
      </c>
      <c r="G8026" s="3" t="s">
        <v>214</v>
      </c>
      <c r="H8026" s="3" t="s">
        <v>208</v>
      </c>
      <c r="I8026" s="3" t="s">
        <v>517</v>
      </c>
      <c r="J8026" s="3" t="s">
        <v>103</v>
      </c>
      <c r="K8026" s="3" t="s">
        <v>103</v>
      </c>
      <c r="L8026" s="3" t="s">
        <v>103</v>
      </c>
      <c r="M8026" s="3" t="s">
        <v>1206</v>
      </c>
      <c r="N8026" s="3" t="s">
        <v>103</v>
      </c>
      <c r="O8026" s="3" t="s">
        <v>805</v>
      </c>
    </row>
    <row r="8027" spans="1:22" s="3" customFormat="1" x14ac:dyDescent="0.3">
      <c r="A8027" s="3" t="s">
        <v>41</v>
      </c>
      <c r="B8027" s="3" t="s">
        <v>1649</v>
      </c>
      <c r="C8027" s="3">
        <v>19</v>
      </c>
      <c r="D8027" s="3" t="s">
        <v>542</v>
      </c>
      <c r="E8027" s="3" t="s">
        <v>727</v>
      </c>
      <c r="F8027" s="3" t="s">
        <v>105</v>
      </c>
      <c r="G8027" s="3" t="s">
        <v>1211</v>
      </c>
      <c r="H8027" s="3" t="s">
        <v>216</v>
      </c>
      <c r="I8027" s="3" t="s">
        <v>103</v>
      </c>
      <c r="J8027" s="3" t="s">
        <v>103</v>
      </c>
      <c r="K8027" s="3" t="s">
        <v>105</v>
      </c>
      <c r="L8027" s="3" t="s">
        <v>103</v>
      </c>
      <c r="M8027" s="3" t="s">
        <v>99</v>
      </c>
      <c r="N8027" s="3" t="s">
        <v>103</v>
      </c>
      <c r="O8027" s="3" t="s">
        <v>103</v>
      </c>
    </row>
    <row r="8029" spans="1:22" x14ac:dyDescent="0.3">
      <c r="A8029" t="s">
        <v>2345</v>
      </c>
    </row>
    <row r="8030" spans="1:22" x14ac:dyDescent="0.3">
      <c r="A8030" t="s">
        <v>36</v>
      </c>
      <c r="B8030" t="s">
        <v>24</v>
      </c>
      <c r="C8030" t="s">
        <v>2346</v>
      </c>
      <c r="D8030" t="s">
        <v>2347</v>
      </c>
      <c r="E8030" t="s">
        <v>2348</v>
      </c>
      <c r="F8030" t="s">
        <v>2349</v>
      </c>
      <c r="G8030" t="s">
        <v>2350</v>
      </c>
      <c r="H8030" t="s">
        <v>2351</v>
      </c>
      <c r="I8030" t="s">
        <v>2352</v>
      </c>
      <c r="J8030" t="s">
        <v>2353</v>
      </c>
      <c r="K8030" t="s">
        <v>2354</v>
      </c>
      <c r="L8030" t="s">
        <v>2355</v>
      </c>
      <c r="M8030" t="s">
        <v>2356</v>
      </c>
      <c r="N8030" t="s">
        <v>2357</v>
      </c>
      <c r="O8030" t="s">
        <v>2358</v>
      </c>
      <c r="P8030" t="s">
        <v>2359</v>
      </c>
      <c r="Q8030" t="s">
        <v>2360</v>
      </c>
      <c r="R8030" t="s">
        <v>2361</v>
      </c>
      <c r="S8030" t="s">
        <v>2362</v>
      </c>
      <c r="T8030" t="s">
        <v>848</v>
      </c>
      <c r="U8030" t="s">
        <v>2363</v>
      </c>
      <c r="V8030" t="s">
        <v>181</v>
      </c>
    </row>
    <row r="8031" spans="1:22" x14ac:dyDescent="0.3">
      <c r="A8031" t="s">
        <v>25</v>
      </c>
      <c r="B8031">
        <v>414</v>
      </c>
      <c r="C8031" t="s">
        <v>594</v>
      </c>
      <c r="D8031" t="s">
        <v>33</v>
      </c>
      <c r="E8031" t="s">
        <v>120</v>
      </c>
      <c r="F8031" t="s">
        <v>194</v>
      </c>
      <c r="G8031" t="s">
        <v>139</v>
      </c>
      <c r="H8031" t="s">
        <v>116</v>
      </c>
      <c r="I8031" t="s">
        <v>98</v>
      </c>
      <c r="J8031" t="s">
        <v>594</v>
      </c>
      <c r="K8031" t="s">
        <v>103</v>
      </c>
      <c r="L8031" t="s">
        <v>103</v>
      </c>
      <c r="M8031" t="s">
        <v>103</v>
      </c>
      <c r="N8031" t="s">
        <v>97</v>
      </c>
      <c r="O8031" t="s">
        <v>105</v>
      </c>
      <c r="P8031" t="s">
        <v>103</v>
      </c>
      <c r="Q8031" t="s">
        <v>122</v>
      </c>
      <c r="R8031" t="s">
        <v>97</v>
      </c>
      <c r="S8031" t="s">
        <v>103</v>
      </c>
      <c r="T8031" t="s">
        <v>103</v>
      </c>
      <c r="U8031" t="s">
        <v>739</v>
      </c>
      <c r="V8031" t="s">
        <v>122</v>
      </c>
    </row>
    <row r="8032" spans="1:22" x14ac:dyDescent="0.3">
      <c r="A8032" t="s">
        <v>26</v>
      </c>
      <c r="B8032">
        <v>477</v>
      </c>
      <c r="C8032" t="s">
        <v>531</v>
      </c>
      <c r="D8032" t="s">
        <v>70</v>
      </c>
      <c r="E8032" t="s">
        <v>66</v>
      </c>
      <c r="F8032" t="s">
        <v>188</v>
      </c>
      <c r="G8032" t="s">
        <v>103</v>
      </c>
      <c r="H8032" t="s">
        <v>282</v>
      </c>
      <c r="I8032" t="s">
        <v>468</v>
      </c>
      <c r="J8032" t="s">
        <v>575</v>
      </c>
      <c r="K8032" t="s">
        <v>103</v>
      </c>
      <c r="L8032" t="s">
        <v>103</v>
      </c>
      <c r="M8032" t="s">
        <v>103</v>
      </c>
      <c r="N8032" t="s">
        <v>217</v>
      </c>
      <c r="O8032" t="s">
        <v>208</v>
      </c>
      <c r="P8032" t="s">
        <v>103</v>
      </c>
      <c r="Q8032" t="s">
        <v>66</v>
      </c>
      <c r="R8032" t="s">
        <v>103</v>
      </c>
      <c r="S8032" t="s">
        <v>91</v>
      </c>
      <c r="T8032" t="s">
        <v>103</v>
      </c>
      <c r="U8032" t="s">
        <v>227</v>
      </c>
      <c r="V8032" t="s">
        <v>120</v>
      </c>
    </row>
    <row r="8033" spans="1:23" x14ac:dyDescent="0.3">
      <c r="A8033" t="s">
        <v>29</v>
      </c>
      <c r="B8033">
        <v>530</v>
      </c>
      <c r="C8033" t="s">
        <v>118</v>
      </c>
      <c r="D8033" t="s">
        <v>128</v>
      </c>
      <c r="E8033" t="s">
        <v>95</v>
      </c>
      <c r="F8033" t="s">
        <v>66</v>
      </c>
      <c r="G8033" t="s">
        <v>97</v>
      </c>
      <c r="H8033" t="s">
        <v>66</v>
      </c>
      <c r="I8033" t="s">
        <v>66</v>
      </c>
      <c r="J8033" t="s">
        <v>98</v>
      </c>
      <c r="K8033" t="s">
        <v>120</v>
      </c>
      <c r="L8033" t="s">
        <v>103</v>
      </c>
      <c r="M8033" t="s">
        <v>66</v>
      </c>
      <c r="N8033" t="s">
        <v>282</v>
      </c>
      <c r="O8033" t="s">
        <v>217</v>
      </c>
      <c r="P8033" t="s">
        <v>110</v>
      </c>
      <c r="Q8033" t="s">
        <v>208</v>
      </c>
      <c r="R8033" t="s">
        <v>97</v>
      </c>
      <c r="S8033" t="s">
        <v>139</v>
      </c>
      <c r="T8033" t="s">
        <v>103</v>
      </c>
      <c r="U8033" t="s">
        <v>599</v>
      </c>
      <c r="V8033" t="s">
        <v>98</v>
      </c>
    </row>
    <row r="8034" spans="1:23" x14ac:dyDescent="0.3">
      <c r="A8034" t="s">
        <v>28</v>
      </c>
      <c r="B8034">
        <v>317</v>
      </c>
      <c r="C8034" t="s">
        <v>652</v>
      </c>
      <c r="D8034" t="s">
        <v>272</v>
      </c>
      <c r="E8034" t="s">
        <v>128</v>
      </c>
      <c r="F8034" t="s">
        <v>139</v>
      </c>
      <c r="G8034" t="s">
        <v>208</v>
      </c>
      <c r="H8034" t="s">
        <v>103</v>
      </c>
      <c r="I8034" t="s">
        <v>98</v>
      </c>
      <c r="J8034" t="s">
        <v>103</v>
      </c>
      <c r="K8034" t="s">
        <v>122</v>
      </c>
      <c r="L8034" t="s">
        <v>103</v>
      </c>
      <c r="M8034" t="s">
        <v>95</v>
      </c>
      <c r="N8034" t="s">
        <v>103</v>
      </c>
      <c r="O8034" t="s">
        <v>467</v>
      </c>
      <c r="P8034" t="s">
        <v>97</v>
      </c>
      <c r="Q8034" t="s">
        <v>103</v>
      </c>
      <c r="R8034" t="s">
        <v>122</v>
      </c>
      <c r="S8034" t="s">
        <v>105</v>
      </c>
      <c r="T8034" t="s">
        <v>103</v>
      </c>
      <c r="U8034" t="s">
        <v>758</v>
      </c>
      <c r="V8034" t="s">
        <v>103</v>
      </c>
    </row>
    <row r="8035" spans="1:23" x14ac:dyDescent="0.3">
      <c r="A8035" t="s">
        <v>27</v>
      </c>
      <c r="B8035">
        <v>300</v>
      </c>
      <c r="C8035" t="s">
        <v>195</v>
      </c>
      <c r="D8035" t="s">
        <v>95</v>
      </c>
      <c r="E8035" t="s">
        <v>103</v>
      </c>
      <c r="F8035" t="s">
        <v>103</v>
      </c>
      <c r="G8035" t="s">
        <v>116</v>
      </c>
      <c r="H8035" t="s">
        <v>103</v>
      </c>
      <c r="I8035" t="s">
        <v>103</v>
      </c>
      <c r="J8035" t="s">
        <v>282</v>
      </c>
      <c r="K8035" t="s">
        <v>103</v>
      </c>
      <c r="L8035" t="s">
        <v>103</v>
      </c>
      <c r="M8035" t="s">
        <v>103</v>
      </c>
      <c r="N8035" t="s">
        <v>103</v>
      </c>
      <c r="O8035" t="s">
        <v>103</v>
      </c>
      <c r="P8035" t="s">
        <v>103</v>
      </c>
      <c r="Q8035" t="s">
        <v>116</v>
      </c>
      <c r="R8035" t="s">
        <v>103</v>
      </c>
      <c r="S8035" t="s">
        <v>103</v>
      </c>
      <c r="T8035" t="s">
        <v>103</v>
      </c>
      <c r="U8035" t="s">
        <v>71</v>
      </c>
      <c r="V8035" t="s">
        <v>116</v>
      </c>
    </row>
    <row r="8036" spans="1:23" x14ac:dyDescent="0.3">
      <c r="A8036" t="s">
        <v>41</v>
      </c>
      <c r="B8036">
        <v>2038</v>
      </c>
      <c r="C8036" t="s">
        <v>532</v>
      </c>
      <c r="D8036" t="s">
        <v>102</v>
      </c>
      <c r="E8036" t="s">
        <v>120</v>
      </c>
      <c r="F8036" t="s">
        <v>194</v>
      </c>
      <c r="G8036" t="s">
        <v>97</v>
      </c>
      <c r="H8036" t="s">
        <v>122</v>
      </c>
      <c r="I8036" t="s">
        <v>120</v>
      </c>
      <c r="J8036" t="s">
        <v>125</v>
      </c>
      <c r="K8036" t="s">
        <v>116</v>
      </c>
      <c r="L8036" t="s">
        <v>103</v>
      </c>
      <c r="M8036" t="s">
        <v>91</v>
      </c>
      <c r="N8036" t="s">
        <v>468</v>
      </c>
      <c r="O8036" t="s">
        <v>93</v>
      </c>
      <c r="P8036" t="s">
        <v>95</v>
      </c>
      <c r="Q8036" t="s">
        <v>345</v>
      </c>
      <c r="R8036" t="s">
        <v>116</v>
      </c>
      <c r="S8036" t="s">
        <v>97</v>
      </c>
      <c r="T8036" t="s">
        <v>103</v>
      </c>
      <c r="U8036" t="s">
        <v>725</v>
      </c>
      <c r="V8036" t="s">
        <v>95</v>
      </c>
    </row>
    <row r="8038" spans="1:23" x14ac:dyDescent="0.3">
      <c r="A8038" t="s">
        <v>2364</v>
      </c>
    </row>
    <row r="8039" spans="1:23" x14ac:dyDescent="0.3">
      <c r="A8039" t="s">
        <v>36</v>
      </c>
      <c r="B8039" t="s">
        <v>307</v>
      </c>
      <c r="C8039" t="s">
        <v>24</v>
      </c>
      <c r="D8039" t="s">
        <v>2346</v>
      </c>
      <c r="E8039" t="s">
        <v>2347</v>
      </c>
      <c r="F8039" t="s">
        <v>2348</v>
      </c>
      <c r="G8039" t="s">
        <v>2349</v>
      </c>
      <c r="H8039" t="s">
        <v>2350</v>
      </c>
      <c r="I8039" t="s">
        <v>2351</v>
      </c>
      <c r="J8039" t="s">
        <v>2352</v>
      </c>
      <c r="K8039" t="s">
        <v>2353</v>
      </c>
      <c r="L8039" t="s">
        <v>2354</v>
      </c>
      <c r="M8039" t="s">
        <v>2355</v>
      </c>
      <c r="N8039" t="s">
        <v>2356</v>
      </c>
      <c r="O8039" t="s">
        <v>2357</v>
      </c>
      <c r="P8039" t="s">
        <v>2358</v>
      </c>
      <c r="Q8039" t="s">
        <v>2359</v>
      </c>
      <c r="R8039" t="s">
        <v>2360</v>
      </c>
      <c r="S8039" t="s">
        <v>2361</v>
      </c>
      <c r="T8039" t="s">
        <v>2362</v>
      </c>
      <c r="U8039" t="s">
        <v>848</v>
      </c>
      <c r="V8039" t="s">
        <v>2363</v>
      </c>
      <c r="W8039" t="s">
        <v>181</v>
      </c>
    </row>
    <row r="8040" spans="1:23" x14ac:dyDescent="0.3">
      <c r="A8040" t="s">
        <v>25</v>
      </c>
      <c r="B8040" t="s">
        <v>291</v>
      </c>
      <c r="C8040">
        <v>156</v>
      </c>
      <c r="D8040" t="s">
        <v>615</v>
      </c>
      <c r="E8040" t="s">
        <v>266</v>
      </c>
      <c r="F8040" t="s">
        <v>103</v>
      </c>
      <c r="G8040" t="s">
        <v>139</v>
      </c>
      <c r="H8040" t="s">
        <v>139</v>
      </c>
      <c r="I8040" t="s">
        <v>103</v>
      </c>
      <c r="J8040" t="s">
        <v>120</v>
      </c>
      <c r="K8040" t="s">
        <v>113</v>
      </c>
      <c r="L8040" t="s">
        <v>103</v>
      </c>
      <c r="M8040" t="s">
        <v>103</v>
      </c>
      <c r="N8040" t="s">
        <v>103</v>
      </c>
      <c r="O8040" t="s">
        <v>116</v>
      </c>
      <c r="P8040" t="s">
        <v>493</v>
      </c>
      <c r="Q8040" t="s">
        <v>103</v>
      </c>
      <c r="R8040" t="s">
        <v>103</v>
      </c>
      <c r="S8040" t="s">
        <v>103</v>
      </c>
      <c r="T8040" t="s">
        <v>103</v>
      </c>
      <c r="U8040" t="s">
        <v>103</v>
      </c>
      <c r="V8040" t="s">
        <v>612</v>
      </c>
      <c r="W8040" t="s">
        <v>95</v>
      </c>
    </row>
    <row r="8041" spans="1:23" x14ac:dyDescent="0.3">
      <c r="A8041" t="s">
        <v>25</v>
      </c>
      <c r="B8041" t="s">
        <v>292</v>
      </c>
      <c r="C8041">
        <v>254</v>
      </c>
      <c r="D8041" t="s">
        <v>100</v>
      </c>
      <c r="E8041" t="s">
        <v>94</v>
      </c>
      <c r="F8041" t="s">
        <v>282</v>
      </c>
      <c r="G8041" t="s">
        <v>216</v>
      </c>
      <c r="H8041" t="s">
        <v>139</v>
      </c>
      <c r="I8041" t="s">
        <v>122</v>
      </c>
      <c r="J8041" t="s">
        <v>345</v>
      </c>
      <c r="K8041" t="s">
        <v>575</v>
      </c>
      <c r="L8041" t="s">
        <v>103</v>
      </c>
      <c r="M8041" t="s">
        <v>103</v>
      </c>
      <c r="N8041" t="s">
        <v>103</v>
      </c>
      <c r="O8041" t="s">
        <v>95</v>
      </c>
      <c r="P8041" t="s">
        <v>120</v>
      </c>
      <c r="Q8041" t="s">
        <v>103</v>
      </c>
      <c r="R8041" t="s">
        <v>120</v>
      </c>
      <c r="S8041" t="s">
        <v>98</v>
      </c>
      <c r="T8041" t="s">
        <v>103</v>
      </c>
      <c r="U8041" t="s">
        <v>103</v>
      </c>
      <c r="V8041" t="s">
        <v>634</v>
      </c>
      <c r="W8041" t="s">
        <v>116</v>
      </c>
    </row>
    <row r="8042" spans="1:23" x14ac:dyDescent="0.3">
      <c r="A8042" t="s">
        <v>25</v>
      </c>
      <c r="B8042" t="s">
        <v>308</v>
      </c>
      <c r="C8042">
        <v>4</v>
      </c>
      <c r="D8042" t="s">
        <v>103</v>
      </c>
      <c r="E8042" t="s">
        <v>103</v>
      </c>
      <c r="F8042" t="s">
        <v>103</v>
      </c>
      <c r="G8042" t="s">
        <v>103</v>
      </c>
      <c r="H8042" t="s">
        <v>103</v>
      </c>
      <c r="I8042" t="s">
        <v>103</v>
      </c>
      <c r="J8042" t="s">
        <v>103</v>
      </c>
      <c r="K8042" t="s">
        <v>103</v>
      </c>
      <c r="L8042" t="s">
        <v>103</v>
      </c>
      <c r="M8042" t="s">
        <v>103</v>
      </c>
      <c r="N8042" t="s">
        <v>103</v>
      </c>
      <c r="O8042" t="s">
        <v>103</v>
      </c>
      <c r="P8042" t="s">
        <v>103</v>
      </c>
      <c r="Q8042" t="s">
        <v>103</v>
      </c>
      <c r="R8042" t="s">
        <v>103</v>
      </c>
      <c r="S8042" t="s">
        <v>103</v>
      </c>
      <c r="T8042" t="s">
        <v>103</v>
      </c>
      <c r="U8042" t="s">
        <v>103</v>
      </c>
      <c r="V8042" t="s">
        <v>192</v>
      </c>
      <c r="W8042" t="s">
        <v>103</v>
      </c>
    </row>
    <row r="8043" spans="1:23" x14ac:dyDescent="0.3">
      <c r="A8043" t="s">
        <v>26</v>
      </c>
      <c r="B8043" t="s">
        <v>291</v>
      </c>
      <c r="C8043">
        <v>122</v>
      </c>
      <c r="D8043" t="s">
        <v>124</v>
      </c>
      <c r="E8043" t="s">
        <v>126</v>
      </c>
      <c r="F8043" t="s">
        <v>139</v>
      </c>
      <c r="G8043" t="s">
        <v>239</v>
      </c>
      <c r="H8043" t="s">
        <v>103</v>
      </c>
      <c r="I8043" t="s">
        <v>103</v>
      </c>
      <c r="J8043" t="s">
        <v>95</v>
      </c>
      <c r="K8043" t="s">
        <v>452</v>
      </c>
      <c r="L8043" t="s">
        <v>103</v>
      </c>
      <c r="M8043" t="s">
        <v>103</v>
      </c>
      <c r="N8043" t="s">
        <v>103</v>
      </c>
      <c r="O8043" t="s">
        <v>208</v>
      </c>
      <c r="P8043" t="s">
        <v>493</v>
      </c>
      <c r="Q8043" t="s">
        <v>103</v>
      </c>
      <c r="R8043" t="s">
        <v>66</v>
      </c>
      <c r="S8043" t="s">
        <v>103</v>
      </c>
      <c r="T8043" t="s">
        <v>97</v>
      </c>
      <c r="U8043" t="s">
        <v>103</v>
      </c>
      <c r="V8043" t="s">
        <v>895</v>
      </c>
      <c r="W8043" t="s">
        <v>103</v>
      </c>
    </row>
    <row r="8044" spans="1:23" x14ac:dyDescent="0.3">
      <c r="A8044" t="s">
        <v>26</v>
      </c>
      <c r="B8044" t="s">
        <v>292</v>
      </c>
      <c r="C8044">
        <v>352</v>
      </c>
      <c r="D8044" t="s">
        <v>112</v>
      </c>
      <c r="E8044" t="s">
        <v>532</v>
      </c>
      <c r="F8044" t="s">
        <v>103</v>
      </c>
      <c r="G8044" t="s">
        <v>113</v>
      </c>
      <c r="H8044" t="s">
        <v>103</v>
      </c>
      <c r="I8044" t="s">
        <v>194</v>
      </c>
      <c r="J8044" t="s">
        <v>110</v>
      </c>
      <c r="K8044" t="s">
        <v>126</v>
      </c>
      <c r="L8044" t="s">
        <v>103</v>
      </c>
      <c r="M8044" t="s">
        <v>103</v>
      </c>
      <c r="N8044" t="s">
        <v>103</v>
      </c>
      <c r="O8044" t="s">
        <v>64</v>
      </c>
      <c r="P8044" t="s">
        <v>110</v>
      </c>
      <c r="Q8044" t="s">
        <v>103</v>
      </c>
      <c r="R8044" t="s">
        <v>66</v>
      </c>
      <c r="S8044" t="s">
        <v>103</v>
      </c>
      <c r="T8044" t="s">
        <v>103</v>
      </c>
      <c r="U8044" t="s">
        <v>103</v>
      </c>
      <c r="V8044" t="s">
        <v>1154</v>
      </c>
      <c r="W8044" t="s">
        <v>139</v>
      </c>
    </row>
    <row r="8045" spans="1:23" x14ac:dyDescent="0.3">
      <c r="A8045" t="s">
        <v>26</v>
      </c>
      <c r="B8045" t="s">
        <v>308</v>
      </c>
      <c r="C8045">
        <v>3</v>
      </c>
      <c r="D8045" t="s">
        <v>921</v>
      </c>
      <c r="E8045" t="s">
        <v>103</v>
      </c>
      <c r="F8045" t="s">
        <v>103</v>
      </c>
      <c r="G8045" t="s">
        <v>921</v>
      </c>
      <c r="H8045" t="s">
        <v>103</v>
      </c>
      <c r="I8045" t="s">
        <v>103</v>
      </c>
      <c r="J8045" t="s">
        <v>103</v>
      </c>
      <c r="K8045" t="s">
        <v>784</v>
      </c>
      <c r="L8045" t="s">
        <v>103</v>
      </c>
      <c r="M8045" t="s">
        <v>103</v>
      </c>
      <c r="N8045" t="s">
        <v>103</v>
      </c>
      <c r="O8045" t="s">
        <v>103</v>
      </c>
      <c r="P8045" t="s">
        <v>103</v>
      </c>
      <c r="Q8045" t="s">
        <v>103</v>
      </c>
      <c r="R8045" t="s">
        <v>103</v>
      </c>
      <c r="S8045" t="s">
        <v>103</v>
      </c>
      <c r="T8045" t="s">
        <v>103</v>
      </c>
      <c r="U8045" t="s">
        <v>103</v>
      </c>
      <c r="V8045" t="s">
        <v>699</v>
      </c>
      <c r="W8045" t="s">
        <v>103</v>
      </c>
    </row>
    <row r="8046" spans="1:23" x14ac:dyDescent="0.3">
      <c r="A8046" t="s">
        <v>29</v>
      </c>
      <c r="B8046" t="s">
        <v>291</v>
      </c>
      <c r="C8046">
        <v>205</v>
      </c>
      <c r="D8046" t="s">
        <v>64</v>
      </c>
      <c r="E8046" t="s">
        <v>284</v>
      </c>
      <c r="F8046" t="s">
        <v>97</v>
      </c>
      <c r="G8046" t="s">
        <v>120</v>
      </c>
      <c r="H8046" t="s">
        <v>97</v>
      </c>
      <c r="I8046" t="s">
        <v>103</v>
      </c>
      <c r="J8046" t="s">
        <v>103</v>
      </c>
      <c r="K8046" t="s">
        <v>95</v>
      </c>
      <c r="L8046" t="s">
        <v>97</v>
      </c>
      <c r="M8046" t="s">
        <v>103</v>
      </c>
      <c r="N8046" t="s">
        <v>103</v>
      </c>
      <c r="O8046" t="s">
        <v>98</v>
      </c>
      <c r="P8046" t="s">
        <v>245</v>
      </c>
      <c r="Q8046" t="s">
        <v>194</v>
      </c>
      <c r="R8046" t="s">
        <v>194</v>
      </c>
      <c r="S8046" t="s">
        <v>95</v>
      </c>
      <c r="T8046" t="s">
        <v>95</v>
      </c>
      <c r="U8046" t="s">
        <v>103</v>
      </c>
      <c r="V8046" t="s">
        <v>176</v>
      </c>
      <c r="W8046" t="s">
        <v>345</v>
      </c>
    </row>
    <row r="8047" spans="1:23" x14ac:dyDescent="0.3">
      <c r="A8047" t="s">
        <v>29</v>
      </c>
      <c r="B8047" t="s">
        <v>292</v>
      </c>
      <c r="C8047">
        <v>325</v>
      </c>
      <c r="D8047" t="s">
        <v>329</v>
      </c>
      <c r="E8047" t="s">
        <v>95</v>
      </c>
      <c r="F8047" t="s">
        <v>139</v>
      </c>
      <c r="G8047" t="s">
        <v>103</v>
      </c>
      <c r="H8047" t="s">
        <v>97</v>
      </c>
      <c r="I8047" t="s">
        <v>116</v>
      </c>
      <c r="J8047" t="s">
        <v>116</v>
      </c>
      <c r="K8047" t="s">
        <v>98</v>
      </c>
      <c r="L8047" t="s">
        <v>120</v>
      </c>
      <c r="M8047" t="s">
        <v>103</v>
      </c>
      <c r="N8047" t="s">
        <v>116</v>
      </c>
      <c r="O8047" t="s">
        <v>282</v>
      </c>
      <c r="P8047" t="s">
        <v>68</v>
      </c>
      <c r="Q8047" t="s">
        <v>239</v>
      </c>
      <c r="R8047" t="s">
        <v>257</v>
      </c>
      <c r="S8047" t="s">
        <v>116</v>
      </c>
      <c r="T8047" t="s">
        <v>98</v>
      </c>
      <c r="U8047" t="s">
        <v>103</v>
      </c>
      <c r="V8047" t="s">
        <v>744</v>
      </c>
      <c r="W8047" t="s">
        <v>139</v>
      </c>
    </row>
    <row r="8048" spans="1:23" x14ac:dyDescent="0.3">
      <c r="A8048" t="s">
        <v>28</v>
      </c>
      <c r="B8048" t="s">
        <v>291</v>
      </c>
      <c r="C8048">
        <v>114</v>
      </c>
      <c r="D8048" t="s">
        <v>519</v>
      </c>
      <c r="E8048" t="s">
        <v>140</v>
      </c>
      <c r="F8048" t="s">
        <v>257</v>
      </c>
      <c r="G8048" t="s">
        <v>110</v>
      </c>
      <c r="H8048" t="s">
        <v>113</v>
      </c>
      <c r="I8048" t="s">
        <v>103</v>
      </c>
      <c r="J8048" t="s">
        <v>341</v>
      </c>
      <c r="K8048" t="s">
        <v>103</v>
      </c>
      <c r="L8048" t="s">
        <v>98</v>
      </c>
      <c r="M8048" t="s">
        <v>103</v>
      </c>
      <c r="N8048" t="s">
        <v>103</v>
      </c>
      <c r="O8048" t="s">
        <v>103</v>
      </c>
      <c r="P8048" t="s">
        <v>662</v>
      </c>
      <c r="Q8048" t="s">
        <v>194</v>
      </c>
      <c r="R8048" t="s">
        <v>103</v>
      </c>
      <c r="S8048" t="s">
        <v>98</v>
      </c>
      <c r="T8048" t="s">
        <v>64</v>
      </c>
      <c r="U8048" t="s">
        <v>103</v>
      </c>
      <c r="V8048" t="s">
        <v>1178</v>
      </c>
      <c r="W8048" t="s">
        <v>103</v>
      </c>
    </row>
    <row r="8049" spans="1:23" x14ac:dyDescent="0.3">
      <c r="A8049" t="s">
        <v>28</v>
      </c>
      <c r="B8049" t="s">
        <v>292</v>
      </c>
      <c r="C8049">
        <v>191</v>
      </c>
      <c r="D8049" t="s">
        <v>60</v>
      </c>
      <c r="E8049" t="s">
        <v>345</v>
      </c>
      <c r="F8049" t="s">
        <v>345</v>
      </c>
      <c r="G8049" t="s">
        <v>97</v>
      </c>
      <c r="H8049" t="s">
        <v>120</v>
      </c>
      <c r="I8049" t="s">
        <v>103</v>
      </c>
      <c r="J8049" t="s">
        <v>116</v>
      </c>
      <c r="K8049" t="s">
        <v>103</v>
      </c>
      <c r="L8049" t="s">
        <v>103</v>
      </c>
      <c r="M8049" t="s">
        <v>103</v>
      </c>
      <c r="N8049" t="s">
        <v>345</v>
      </c>
      <c r="O8049" t="s">
        <v>103</v>
      </c>
      <c r="P8049" t="s">
        <v>208</v>
      </c>
      <c r="Q8049" t="s">
        <v>103</v>
      </c>
      <c r="R8049" t="s">
        <v>103</v>
      </c>
      <c r="S8049" t="s">
        <v>103</v>
      </c>
      <c r="T8049" t="s">
        <v>468</v>
      </c>
      <c r="U8049" t="s">
        <v>103</v>
      </c>
      <c r="V8049" t="s">
        <v>974</v>
      </c>
      <c r="W8049" t="s">
        <v>103</v>
      </c>
    </row>
    <row r="8050" spans="1:23" x14ac:dyDescent="0.3">
      <c r="A8050" t="s">
        <v>28</v>
      </c>
      <c r="B8050" t="s">
        <v>308</v>
      </c>
      <c r="C8050">
        <v>12</v>
      </c>
      <c r="D8050" t="s">
        <v>466</v>
      </c>
      <c r="E8050" t="s">
        <v>103</v>
      </c>
      <c r="F8050" t="s">
        <v>256</v>
      </c>
      <c r="G8050" t="s">
        <v>103</v>
      </c>
      <c r="H8050" t="s">
        <v>103</v>
      </c>
      <c r="I8050" t="s">
        <v>103</v>
      </c>
      <c r="J8050" t="s">
        <v>103</v>
      </c>
      <c r="K8050" t="s">
        <v>103</v>
      </c>
      <c r="L8050" t="s">
        <v>103</v>
      </c>
      <c r="M8050" t="s">
        <v>103</v>
      </c>
      <c r="N8050" t="s">
        <v>103</v>
      </c>
      <c r="O8050" t="s">
        <v>103</v>
      </c>
      <c r="P8050" t="s">
        <v>103</v>
      </c>
      <c r="Q8050" t="s">
        <v>103</v>
      </c>
      <c r="R8050" t="s">
        <v>103</v>
      </c>
      <c r="S8050" t="s">
        <v>103</v>
      </c>
      <c r="T8050" t="s">
        <v>103</v>
      </c>
      <c r="U8050" t="s">
        <v>103</v>
      </c>
      <c r="V8050" t="s">
        <v>1136</v>
      </c>
      <c r="W8050" t="s">
        <v>103</v>
      </c>
    </row>
    <row r="8051" spans="1:23" x14ac:dyDescent="0.3">
      <c r="A8051" t="s">
        <v>27</v>
      </c>
      <c r="B8051" t="s">
        <v>291</v>
      </c>
      <c r="C8051">
        <v>95</v>
      </c>
      <c r="D8051" t="s">
        <v>139</v>
      </c>
      <c r="E8051" t="s">
        <v>110</v>
      </c>
      <c r="F8051" t="s">
        <v>103</v>
      </c>
      <c r="G8051" t="s">
        <v>103</v>
      </c>
      <c r="H8051" t="s">
        <v>103</v>
      </c>
      <c r="I8051" t="s">
        <v>103</v>
      </c>
      <c r="J8051" t="s">
        <v>103</v>
      </c>
      <c r="K8051" t="s">
        <v>103</v>
      </c>
      <c r="L8051" t="s">
        <v>103</v>
      </c>
      <c r="M8051" t="s">
        <v>103</v>
      </c>
      <c r="N8051" t="s">
        <v>103</v>
      </c>
      <c r="O8051" t="s">
        <v>91</v>
      </c>
      <c r="P8051" t="s">
        <v>91</v>
      </c>
      <c r="Q8051" t="s">
        <v>91</v>
      </c>
      <c r="R8051" t="s">
        <v>103</v>
      </c>
      <c r="S8051" t="s">
        <v>91</v>
      </c>
      <c r="T8051" t="s">
        <v>103</v>
      </c>
      <c r="U8051" t="s">
        <v>103</v>
      </c>
      <c r="V8051" t="s">
        <v>840</v>
      </c>
      <c r="W8051" t="s">
        <v>468</v>
      </c>
    </row>
    <row r="8052" spans="1:23" x14ac:dyDescent="0.3">
      <c r="A8052" t="s">
        <v>27</v>
      </c>
      <c r="B8052" t="s">
        <v>292</v>
      </c>
      <c r="C8052">
        <v>198</v>
      </c>
      <c r="D8052" t="s">
        <v>186</v>
      </c>
      <c r="E8052" t="s">
        <v>97</v>
      </c>
      <c r="F8052" t="s">
        <v>103</v>
      </c>
      <c r="G8052" t="s">
        <v>103</v>
      </c>
      <c r="H8052" t="s">
        <v>97</v>
      </c>
      <c r="I8052" t="s">
        <v>103</v>
      </c>
      <c r="J8052" t="s">
        <v>103</v>
      </c>
      <c r="K8052" t="s">
        <v>239</v>
      </c>
      <c r="L8052" t="s">
        <v>103</v>
      </c>
      <c r="M8052" t="s">
        <v>103</v>
      </c>
      <c r="N8052" t="s">
        <v>103</v>
      </c>
      <c r="O8052" t="s">
        <v>103</v>
      </c>
      <c r="P8052" t="s">
        <v>103</v>
      </c>
      <c r="Q8052" t="s">
        <v>103</v>
      </c>
      <c r="R8052" t="s">
        <v>122</v>
      </c>
      <c r="S8052" t="s">
        <v>103</v>
      </c>
      <c r="T8052" t="s">
        <v>103</v>
      </c>
      <c r="U8052" t="s">
        <v>103</v>
      </c>
      <c r="V8052" t="s">
        <v>636</v>
      </c>
      <c r="W8052" t="s">
        <v>103</v>
      </c>
    </row>
    <row r="8053" spans="1:23" x14ac:dyDescent="0.3">
      <c r="A8053" t="s">
        <v>27</v>
      </c>
      <c r="B8053" t="s">
        <v>308</v>
      </c>
      <c r="C8053">
        <v>7</v>
      </c>
      <c r="D8053" t="s">
        <v>103</v>
      </c>
      <c r="E8053" t="s">
        <v>103</v>
      </c>
      <c r="F8053" t="s">
        <v>103</v>
      </c>
      <c r="G8053" t="s">
        <v>103</v>
      </c>
      <c r="H8053" t="s">
        <v>103</v>
      </c>
      <c r="I8053" t="s">
        <v>103</v>
      </c>
      <c r="J8053" t="s">
        <v>103</v>
      </c>
      <c r="K8053" t="s">
        <v>103</v>
      </c>
      <c r="L8053" t="s">
        <v>103</v>
      </c>
      <c r="M8053" t="s">
        <v>103</v>
      </c>
      <c r="N8053" t="s">
        <v>103</v>
      </c>
      <c r="O8053" t="s">
        <v>103</v>
      </c>
      <c r="P8053" t="s">
        <v>103</v>
      </c>
      <c r="Q8053" t="s">
        <v>103</v>
      </c>
      <c r="R8053" t="s">
        <v>103</v>
      </c>
      <c r="S8053" t="s">
        <v>103</v>
      </c>
      <c r="T8053" t="s">
        <v>103</v>
      </c>
      <c r="U8053" t="s">
        <v>103</v>
      </c>
      <c r="V8053" t="s">
        <v>192</v>
      </c>
      <c r="W8053" t="s">
        <v>103</v>
      </c>
    </row>
    <row r="8054" spans="1:23" x14ac:dyDescent="0.3">
      <c r="A8054" t="s">
        <v>41</v>
      </c>
      <c r="B8054" t="s">
        <v>291</v>
      </c>
      <c r="C8054">
        <v>692</v>
      </c>
      <c r="D8054" t="s">
        <v>615</v>
      </c>
      <c r="E8054" t="s">
        <v>33</v>
      </c>
      <c r="F8054" t="s">
        <v>97</v>
      </c>
      <c r="G8054" t="s">
        <v>139</v>
      </c>
      <c r="H8054" t="s">
        <v>95</v>
      </c>
      <c r="I8054" t="s">
        <v>103</v>
      </c>
      <c r="J8054" t="s">
        <v>122</v>
      </c>
      <c r="K8054" t="s">
        <v>128</v>
      </c>
      <c r="L8054" t="s">
        <v>116</v>
      </c>
      <c r="M8054" t="s">
        <v>103</v>
      </c>
      <c r="N8054" t="s">
        <v>103</v>
      </c>
      <c r="O8054" t="s">
        <v>98</v>
      </c>
      <c r="P8054" t="s">
        <v>266</v>
      </c>
      <c r="Q8054" t="s">
        <v>95</v>
      </c>
      <c r="R8054" t="s">
        <v>95</v>
      </c>
      <c r="S8054" t="s">
        <v>122</v>
      </c>
      <c r="T8054" t="s">
        <v>120</v>
      </c>
      <c r="U8054" t="s">
        <v>103</v>
      </c>
      <c r="V8054" t="s">
        <v>161</v>
      </c>
      <c r="W8054" t="s">
        <v>95</v>
      </c>
    </row>
    <row r="8055" spans="1:23" x14ac:dyDescent="0.3">
      <c r="A8055" t="s">
        <v>41</v>
      </c>
      <c r="B8055" t="s">
        <v>292</v>
      </c>
      <c r="C8055">
        <v>1320</v>
      </c>
      <c r="D8055" t="s">
        <v>201</v>
      </c>
      <c r="E8055" t="s">
        <v>64</v>
      </c>
      <c r="F8055" t="s">
        <v>120</v>
      </c>
      <c r="G8055" t="s">
        <v>239</v>
      </c>
      <c r="H8055" t="s">
        <v>122</v>
      </c>
      <c r="I8055" t="s">
        <v>120</v>
      </c>
      <c r="J8055" t="s">
        <v>95</v>
      </c>
      <c r="K8055" t="s">
        <v>186</v>
      </c>
      <c r="L8055" t="s">
        <v>116</v>
      </c>
      <c r="M8055" t="s">
        <v>103</v>
      </c>
      <c r="N8055" t="s">
        <v>66</v>
      </c>
      <c r="O8055" t="s">
        <v>110</v>
      </c>
      <c r="P8055" t="s">
        <v>208</v>
      </c>
      <c r="Q8055" t="s">
        <v>95</v>
      </c>
      <c r="R8055" t="s">
        <v>194</v>
      </c>
      <c r="S8055" t="s">
        <v>116</v>
      </c>
      <c r="T8055" t="s">
        <v>122</v>
      </c>
      <c r="U8055" t="s">
        <v>103</v>
      </c>
      <c r="V8055" t="s">
        <v>774</v>
      </c>
      <c r="W8055" t="s">
        <v>120</v>
      </c>
    </row>
    <row r="8056" spans="1:23" x14ac:dyDescent="0.3">
      <c r="A8056" t="s">
        <v>41</v>
      </c>
      <c r="B8056" t="s">
        <v>308</v>
      </c>
      <c r="C8056">
        <v>26</v>
      </c>
      <c r="D8056" t="s">
        <v>737</v>
      </c>
      <c r="E8056" t="s">
        <v>103</v>
      </c>
      <c r="F8056" t="s">
        <v>662</v>
      </c>
      <c r="G8056" t="s">
        <v>140</v>
      </c>
      <c r="H8056" t="s">
        <v>103</v>
      </c>
      <c r="I8056" t="s">
        <v>103</v>
      </c>
      <c r="J8056" t="s">
        <v>103</v>
      </c>
      <c r="K8056" t="s">
        <v>578</v>
      </c>
      <c r="L8056" t="s">
        <v>103</v>
      </c>
      <c r="M8056" t="s">
        <v>103</v>
      </c>
      <c r="N8056" t="s">
        <v>103</v>
      </c>
      <c r="O8056" t="s">
        <v>103</v>
      </c>
      <c r="P8056" t="s">
        <v>103</v>
      </c>
      <c r="Q8056" t="s">
        <v>103</v>
      </c>
      <c r="R8056" t="s">
        <v>103</v>
      </c>
      <c r="S8056" t="s">
        <v>103</v>
      </c>
      <c r="T8056" t="s">
        <v>103</v>
      </c>
      <c r="U8056" t="s">
        <v>103</v>
      </c>
      <c r="V8056" t="s">
        <v>1016</v>
      </c>
      <c r="W8056" t="s">
        <v>103</v>
      </c>
    </row>
    <row r="8058" spans="1:23" x14ac:dyDescent="0.3">
      <c r="A8058" t="s">
        <v>2365</v>
      </c>
    </row>
    <row r="8059" spans="1:23" x14ac:dyDescent="0.3">
      <c r="A8059" t="s">
        <v>36</v>
      </c>
      <c r="B8059" t="s">
        <v>310</v>
      </c>
      <c r="C8059" t="s">
        <v>24</v>
      </c>
      <c r="D8059" t="s">
        <v>2346</v>
      </c>
      <c r="E8059" t="s">
        <v>2347</v>
      </c>
      <c r="F8059" t="s">
        <v>2348</v>
      </c>
      <c r="G8059" t="s">
        <v>2349</v>
      </c>
      <c r="H8059" t="s">
        <v>2350</v>
      </c>
      <c r="I8059" t="s">
        <v>2351</v>
      </c>
      <c r="J8059" t="s">
        <v>2352</v>
      </c>
      <c r="K8059" t="s">
        <v>2353</v>
      </c>
      <c r="L8059" t="s">
        <v>2354</v>
      </c>
      <c r="M8059" t="s">
        <v>2355</v>
      </c>
      <c r="N8059" t="s">
        <v>2356</v>
      </c>
      <c r="O8059" t="s">
        <v>2357</v>
      </c>
      <c r="P8059" t="s">
        <v>2358</v>
      </c>
      <c r="Q8059" t="s">
        <v>2359</v>
      </c>
      <c r="R8059" t="s">
        <v>2360</v>
      </c>
      <c r="S8059" t="s">
        <v>2361</v>
      </c>
      <c r="T8059" t="s">
        <v>2362</v>
      </c>
      <c r="U8059" t="s">
        <v>848</v>
      </c>
      <c r="V8059" t="s">
        <v>2363</v>
      </c>
      <c r="W8059" t="s">
        <v>181</v>
      </c>
    </row>
    <row r="8060" spans="1:23" x14ac:dyDescent="0.3">
      <c r="A8060" t="s">
        <v>25</v>
      </c>
      <c r="B8060" t="s">
        <v>311</v>
      </c>
      <c r="C8060">
        <v>324</v>
      </c>
      <c r="D8060" t="s">
        <v>101</v>
      </c>
      <c r="E8060" t="s">
        <v>32</v>
      </c>
      <c r="F8060" t="s">
        <v>116</v>
      </c>
      <c r="G8060" t="s">
        <v>98</v>
      </c>
      <c r="H8060" t="s">
        <v>95</v>
      </c>
      <c r="I8060" t="s">
        <v>116</v>
      </c>
      <c r="J8060" t="s">
        <v>282</v>
      </c>
      <c r="K8060" t="s">
        <v>278</v>
      </c>
      <c r="L8060" t="s">
        <v>103</v>
      </c>
      <c r="M8060" t="s">
        <v>103</v>
      </c>
      <c r="N8060" t="s">
        <v>103</v>
      </c>
      <c r="O8060" t="s">
        <v>120</v>
      </c>
      <c r="P8060" t="s">
        <v>329</v>
      </c>
      <c r="Q8060" t="s">
        <v>103</v>
      </c>
      <c r="R8060" t="s">
        <v>97</v>
      </c>
      <c r="S8060" t="s">
        <v>95</v>
      </c>
      <c r="T8060" t="s">
        <v>103</v>
      </c>
      <c r="U8060" t="s">
        <v>103</v>
      </c>
      <c r="V8060" t="s">
        <v>709</v>
      </c>
      <c r="W8060" t="s">
        <v>66</v>
      </c>
    </row>
    <row r="8061" spans="1:23" x14ac:dyDescent="0.3">
      <c r="A8061" t="s">
        <v>25</v>
      </c>
      <c r="B8061" t="s">
        <v>312</v>
      </c>
      <c r="C8061">
        <v>80</v>
      </c>
      <c r="D8061" t="s">
        <v>532</v>
      </c>
      <c r="E8061" t="s">
        <v>201</v>
      </c>
      <c r="F8061" t="s">
        <v>105</v>
      </c>
      <c r="G8061" t="s">
        <v>68</v>
      </c>
      <c r="H8061" t="s">
        <v>103</v>
      </c>
      <c r="I8061" t="s">
        <v>103</v>
      </c>
      <c r="J8061" t="s">
        <v>97</v>
      </c>
      <c r="K8061" t="s">
        <v>232</v>
      </c>
      <c r="L8061" t="s">
        <v>103</v>
      </c>
      <c r="M8061" t="s">
        <v>103</v>
      </c>
      <c r="N8061" t="s">
        <v>103</v>
      </c>
      <c r="O8061" t="s">
        <v>120</v>
      </c>
      <c r="P8061" t="s">
        <v>120</v>
      </c>
      <c r="Q8061" t="s">
        <v>103</v>
      </c>
      <c r="R8061" t="s">
        <v>103</v>
      </c>
      <c r="S8061" t="s">
        <v>103</v>
      </c>
      <c r="T8061" t="s">
        <v>103</v>
      </c>
      <c r="U8061" t="s">
        <v>103</v>
      </c>
      <c r="V8061" t="s">
        <v>151</v>
      </c>
      <c r="W8061" t="s">
        <v>110</v>
      </c>
    </row>
    <row r="8062" spans="1:23" x14ac:dyDescent="0.3">
      <c r="A8062" t="s">
        <v>25</v>
      </c>
      <c r="B8062" t="s">
        <v>308</v>
      </c>
      <c r="C8062">
        <v>10</v>
      </c>
      <c r="D8062" t="s">
        <v>103</v>
      </c>
      <c r="E8062" t="s">
        <v>517</v>
      </c>
      <c r="F8062" t="s">
        <v>103</v>
      </c>
      <c r="G8062" t="s">
        <v>103</v>
      </c>
      <c r="H8062" t="s">
        <v>247</v>
      </c>
      <c r="I8062" t="s">
        <v>103</v>
      </c>
      <c r="J8062" t="s">
        <v>103</v>
      </c>
      <c r="K8062" t="s">
        <v>562</v>
      </c>
      <c r="L8062" t="s">
        <v>103</v>
      </c>
      <c r="M8062" t="s">
        <v>103</v>
      </c>
      <c r="N8062" t="s">
        <v>103</v>
      </c>
      <c r="O8062" t="s">
        <v>103</v>
      </c>
      <c r="P8062" t="s">
        <v>103</v>
      </c>
      <c r="Q8062" t="s">
        <v>103</v>
      </c>
      <c r="R8062" t="s">
        <v>103</v>
      </c>
      <c r="S8062" t="s">
        <v>103</v>
      </c>
      <c r="T8062" t="s">
        <v>103</v>
      </c>
      <c r="U8062" t="s">
        <v>103</v>
      </c>
      <c r="V8062" t="s">
        <v>1231</v>
      </c>
      <c r="W8062" t="s">
        <v>103</v>
      </c>
    </row>
    <row r="8063" spans="1:23" x14ac:dyDescent="0.3">
      <c r="A8063" t="s">
        <v>26</v>
      </c>
      <c r="B8063" t="s">
        <v>311</v>
      </c>
      <c r="C8063">
        <v>343</v>
      </c>
      <c r="D8063" t="s">
        <v>94</v>
      </c>
      <c r="E8063" t="s">
        <v>281</v>
      </c>
      <c r="F8063" t="s">
        <v>103</v>
      </c>
      <c r="G8063" t="s">
        <v>33</v>
      </c>
      <c r="H8063" t="s">
        <v>103</v>
      </c>
      <c r="I8063" t="s">
        <v>345</v>
      </c>
      <c r="J8063" t="s">
        <v>110</v>
      </c>
      <c r="K8063" t="s">
        <v>137</v>
      </c>
      <c r="L8063" t="s">
        <v>103</v>
      </c>
      <c r="M8063" t="s">
        <v>103</v>
      </c>
      <c r="N8063" t="s">
        <v>103</v>
      </c>
      <c r="O8063" t="s">
        <v>341</v>
      </c>
      <c r="P8063" t="s">
        <v>105</v>
      </c>
      <c r="Q8063" t="s">
        <v>103</v>
      </c>
      <c r="R8063" t="s">
        <v>66</v>
      </c>
      <c r="S8063" t="s">
        <v>103</v>
      </c>
      <c r="T8063" t="s">
        <v>66</v>
      </c>
      <c r="U8063" t="s">
        <v>103</v>
      </c>
      <c r="V8063" t="s">
        <v>1361</v>
      </c>
      <c r="W8063" t="s">
        <v>139</v>
      </c>
    </row>
    <row r="8064" spans="1:23" x14ac:dyDescent="0.3">
      <c r="A8064" t="s">
        <v>26</v>
      </c>
      <c r="B8064" t="s">
        <v>312</v>
      </c>
      <c r="C8064">
        <v>96</v>
      </c>
      <c r="D8064" t="s">
        <v>94</v>
      </c>
      <c r="E8064" t="s">
        <v>190</v>
      </c>
      <c r="F8064" t="s">
        <v>345</v>
      </c>
      <c r="G8064" t="s">
        <v>345</v>
      </c>
      <c r="H8064" t="s">
        <v>103</v>
      </c>
      <c r="I8064" t="s">
        <v>345</v>
      </c>
      <c r="J8064" t="s">
        <v>345</v>
      </c>
      <c r="K8064" t="s">
        <v>33</v>
      </c>
      <c r="L8064" t="s">
        <v>103</v>
      </c>
      <c r="M8064" t="s">
        <v>103</v>
      </c>
      <c r="N8064" t="s">
        <v>103</v>
      </c>
      <c r="O8064" t="s">
        <v>272</v>
      </c>
      <c r="P8064" t="s">
        <v>102</v>
      </c>
      <c r="Q8064" t="s">
        <v>103</v>
      </c>
      <c r="R8064" t="s">
        <v>66</v>
      </c>
      <c r="S8064" t="s">
        <v>103</v>
      </c>
      <c r="T8064" t="s">
        <v>103</v>
      </c>
      <c r="U8064" t="s">
        <v>103</v>
      </c>
      <c r="V8064" t="s">
        <v>895</v>
      </c>
      <c r="W8064" t="s">
        <v>103</v>
      </c>
    </row>
    <row r="8065" spans="1:23" x14ac:dyDescent="0.3">
      <c r="A8065" t="s">
        <v>26</v>
      </c>
      <c r="B8065" t="s">
        <v>308</v>
      </c>
      <c r="C8065">
        <v>38</v>
      </c>
      <c r="D8065" t="s">
        <v>118</v>
      </c>
      <c r="E8065" t="s">
        <v>68</v>
      </c>
      <c r="F8065" t="s">
        <v>103</v>
      </c>
      <c r="G8065" t="s">
        <v>103</v>
      </c>
      <c r="H8065" t="s">
        <v>103</v>
      </c>
      <c r="I8065" t="s">
        <v>103</v>
      </c>
      <c r="J8065" t="s">
        <v>103</v>
      </c>
      <c r="K8065" t="s">
        <v>195</v>
      </c>
      <c r="L8065" t="s">
        <v>103</v>
      </c>
      <c r="M8065" t="s">
        <v>103</v>
      </c>
      <c r="N8065" t="s">
        <v>103</v>
      </c>
      <c r="O8065" t="s">
        <v>460</v>
      </c>
      <c r="P8065" t="s">
        <v>103</v>
      </c>
      <c r="Q8065" t="s">
        <v>103</v>
      </c>
      <c r="R8065" t="s">
        <v>103</v>
      </c>
      <c r="S8065" t="s">
        <v>103</v>
      </c>
      <c r="T8065" t="s">
        <v>103</v>
      </c>
      <c r="U8065" t="s">
        <v>103</v>
      </c>
      <c r="V8065" t="s">
        <v>1308</v>
      </c>
      <c r="W8065" t="s">
        <v>103</v>
      </c>
    </row>
    <row r="8066" spans="1:23" x14ac:dyDescent="0.3">
      <c r="A8066" t="s">
        <v>29</v>
      </c>
      <c r="B8066" t="s">
        <v>311</v>
      </c>
      <c r="C8066">
        <v>414</v>
      </c>
      <c r="D8066" t="s">
        <v>128</v>
      </c>
      <c r="E8066" t="s">
        <v>329</v>
      </c>
      <c r="F8066" t="s">
        <v>120</v>
      </c>
      <c r="G8066" t="s">
        <v>116</v>
      </c>
      <c r="H8066" t="s">
        <v>122</v>
      </c>
      <c r="I8066" t="s">
        <v>66</v>
      </c>
      <c r="J8066" t="s">
        <v>66</v>
      </c>
      <c r="K8066" t="s">
        <v>139</v>
      </c>
      <c r="L8066" t="s">
        <v>95</v>
      </c>
      <c r="M8066" t="s">
        <v>103</v>
      </c>
      <c r="N8066" t="s">
        <v>66</v>
      </c>
      <c r="O8066" t="s">
        <v>282</v>
      </c>
      <c r="P8066" t="s">
        <v>118</v>
      </c>
      <c r="Q8066" t="s">
        <v>216</v>
      </c>
      <c r="R8066" t="s">
        <v>128</v>
      </c>
      <c r="S8066" t="s">
        <v>116</v>
      </c>
      <c r="T8066" t="s">
        <v>120</v>
      </c>
      <c r="U8066" t="s">
        <v>103</v>
      </c>
      <c r="V8066" t="s">
        <v>783</v>
      </c>
      <c r="W8066" t="s">
        <v>98</v>
      </c>
    </row>
    <row r="8067" spans="1:23" x14ac:dyDescent="0.3">
      <c r="A8067" t="s">
        <v>29</v>
      </c>
      <c r="B8067" t="s">
        <v>312</v>
      </c>
      <c r="C8067">
        <v>103</v>
      </c>
      <c r="D8067" t="s">
        <v>195</v>
      </c>
      <c r="E8067" t="s">
        <v>493</v>
      </c>
      <c r="F8067" t="s">
        <v>282</v>
      </c>
      <c r="G8067" t="s">
        <v>103</v>
      </c>
      <c r="H8067" t="s">
        <v>345</v>
      </c>
      <c r="I8067" t="s">
        <v>103</v>
      </c>
      <c r="J8067" t="s">
        <v>103</v>
      </c>
      <c r="K8067" t="s">
        <v>468</v>
      </c>
      <c r="L8067" t="s">
        <v>103</v>
      </c>
      <c r="M8067" t="s">
        <v>103</v>
      </c>
      <c r="N8067" t="s">
        <v>103</v>
      </c>
      <c r="O8067" t="s">
        <v>103</v>
      </c>
      <c r="P8067" t="s">
        <v>217</v>
      </c>
      <c r="Q8067" t="s">
        <v>282</v>
      </c>
      <c r="R8067" t="s">
        <v>282</v>
      </c>
      <c r="S8067" t="s">
        <v>282</v>
      </c>
      <c r="T8067" t="s">
        <v>216</v>
      </c>
      <c r="U8067" t="s">
        <v>103</v>
      </c>
      <c r="V8067" t="s">
        <v>902</v>
      </c>
      <c r="W8067" t="s">
        <v>468</v>
      </c>
    </row>
    <row r="8068" spans="1:23" x14ac:dyDescent="0.3">
      <c r="A8068" t="s">
        <v>29</v>
      </c>
      <c r="B8068" t="s">
        <v>308</v>
      </c>
      <c r="C8068">
        <v>13</v>
      </c>
      <c r="D8068" t="s">
        <v>103</v>
      </c>
      <c r="E8068" t="s">
        <v>103</v>
      </c>
      <c r="F8068" t="s">
        <v>103</v>
      </c>
      <c r="G8068" t="s">
        <v>103</v>
      </c>
      <c r="H8068" t="s">
        <v>103</v>
      </c>
      <c r="I8068" t="s">
        <v>103</v>
      </c>
      <c r="J8068" t="s">
        <v>103</v>
      </c>
      <c r="K8068" t="s">
        <v>103</v>
      </c>
      <c r="L8068" t="s">
        <v>103</v>
      </c>
      <c r="M8068" t="s">
        <v>103</v>
      </c>
      <c r="N8068" t="s">
        <v>103</v>
      </c>
      <c r="O8068" t="s">
        <v>146</v>
      </c>
      <c r="P8068" t="s">
        <v>90</v>
      </c>
      <c r="Q8068" t="s">
        <v>103</v>
      </c>
      <c r="R8068" t="s">
        <v>103</v>
      </c>
      <c r="S8068" t="s">
        <v>103</v>
      </c>
      <c r="T8068" t="s">
        <v>103</v>
      </c>
      <c r="U8068" t="s">
        <v>103</v>
      </c>
      <c r="V8068" t="s">
        <v>1135</v>
      </c>
      <c r="W8068" t="s">
        <v>103</v>
      </c>
    </row>
    <row r="8069" spans="1:23" x14ac:dyDescent="0.3">
      <c r="A8069" t="s">
        <v>28</v>
      </c>
      <c r="B8069" t="s">
        <v>311</v>
      </c>
      <c r="C8069">
        <v>223</v>
      </c>
      <c r="D8069" t="s">
        <v>737</v>
      </c>
      <c r="E8069" t="s">
        <v>113</v>
      </c>
      <c r="F8069" t="s">
        <v>64</v>
      </c>
      <c r="G8069" t="s">
        <v>345</v>
      </c>
      <c r="H8069" t="s">
        <v>341</v>
      </c>
      <c r="I8069" t="s">
        <v>103</v>
      </c>
      <c r="J8069" t="s">
        <v>468</v>
      </c>
      <c r="K8069" t="s">
        <v>103</v>
      </c>
      <c r="L8069" t="s">
        <v>97</v>
      </c>
      <c r="M8069" t="s">
        <v>103</v>
      </c>
      <c r="N8069" t="s">
        <v>122</v>
      </c>
      <c r="O8069" t="s">
        <v>103</v>
      </c>
      <c r="P8069" t="s">
        <v>128</v>
      </c>
      <c r="Q8069" t="s">
        <v>95</v>
      </c>
      <c r="R8069" t="s">
        <v>103</v>
      </c>
      <c r="S8069" t="s">
        <v>97</v>
      </c>
      <c r="T8069" t="s">
        <v>341</v>
      </c>
      <c r="U8069" t="s">
        <v>103</v>
      </c>
      <c r="V8069" t="s">
        <v>143</v>
      </c>
      <c r="W8069" t="s">
        <v>103</v>
      </c>
    </row>
    <row r="8070" spans="1:23" x14ac:dyDescent="0.3">
      <c r="A8070" t="s">
        <v>28</v>
      </c>
      <c r="B8070" t="s">
        <v>312</v>
      </c>
      <c r="C8070">
        <v>93</v>
      </c>
      <c r="D8070" t="s">
        <v>528</v>
      </c>
      <c r="E8070" t="s">
        <v>103</v>
      </c>
      <c r="F8070" t="s">
        <v>282</v>
      </c>
      <c r="G8070" t="s">
        <v>103</v>
      </c>
      <c r="H8070" t="s">
        <v>128</v>
      </c>
      <c r="I8070" t="s">
        <v>103</v>
      </c>
      <c r="J8070" t="s">
        <v>103</v>
      </c>
      <c r="K8070" t="s">
        <v>103</v>
      </c>
      <c r="L8070" t="s">
        <v>103</v>
      </c>
      <c r="M8070" t="s">
        <v>103</v>
      </c>
      <c r="N8070" t="s">
        <v>194</v>
      </c>
      <c r="O8070" t="s">
        <v>103</v>
      </c>
      <c r="P8070" t="s">
        <v>594</v>
      </c>
      <c r="Q8070" t="s">
        <v>103</v>
      </c>
      <c r="R8070" t="s">
        <v>103</v>
      </c>
      <c r="S8070" t="s">
        <v>103</v>
      </c>
      <c r="T8070" t="s">
        <v>194</v>
      </c>
      <c r="U8070" t="s">
        <v>103</v>
      </c>
      <c r="V8070" t="s">
        <v>189</v>
      </c>
      <c r="W8070" t="s">
        <v>103</v>
      </c>
    </row>
    <row r="8071" spans="1:23" x14ac:dyDescent="0.3">
      <c r="A8071" t="s">
        <v>28</v>
      </c>
      <c r="B8071" t="s">
        <v>308</v>
      </c>
      <c r="C8071">
        <v>1</v>
      </c>
      <c r="D8071" t="s">
        <v>103</v>
      </c>
      <c r="E8071" t="s">
        <v>103</v>
      </c>
      <c r="F8071" t="s">
        <v>103</v>
      </c>
      <c r="G8071" t="s">
        <v>103</v>
      </c>
      <c r="H8071" t="s">
        <v>103</v>
      </c>
      <c r="I8071" t="s">
        <v>103</v>
      </c>
      <c r="J8071" t="s">
        <v>103</v>
      </c>
      <c r="K8071" t="s">
        <v>103</v>
      </c>
      <c r="L8071" t="s">
        <v>103</v>
      </c>
      <c r="M8071" t="s">
        <v>103</v>
      </c>
      <c r="N8071" t="s">
        <v>103</v>
      </c>
      <c r="O8071" t="s">
        <v>103</v>
      </c>
      <c r="P8071" t="s">
        <v>103</v>
      </c>
      <c r="Q8071" t="s">
        <v>103</v>
      </c>
      <c r="R8071" t="s">
        <v>103</v>
      </c>
      <c r="S8071" t="s">
        <v>103</v>
      </c>
      <c r="T8071" t="s">
        <v>103</v>
      </c>
      <c r="U8071" t="s">
        <v>103</v>
      </c>
      <c r="V8071" t="s">
        <v>192</v>
      </c>
      <c r="W8071" t="s">
        <v>103</v>
      </c>
    </row>
    <row r="8072" spans="1:23" x14ac:dyDescent="0.3">
      <c r="A8072" t="s">
        <v>27</v>
      </c>
      <c r="B8072" t="s">
        <v>311</v>
      </c>
      <c r="C8072">
        <v>237</v>
      </c>
      <c r="D8072" t="s">
        <v>64</v>
      </c>
      <c r="E8072" t="s">
        <v>98</v>
      </c>
      <c r="F8072" t="s">
        <v>103</v>
      </c>
      <c r="G8072" t="s">
        <v>103</v>
      </c>
      <c r="H8072" t="s">
        <v>122</v>
      </c>
      <c r="I8072" t="s">
        <v>103</v>
      </c>
      <c r="J8072" t="s">
        <v>103</v>
      </c>
      <c r="K8072" t="s">
        <v>103</v>
      </c>
      <c r="L8072" t="s">
        <v>103</v>
      </c>
      <c r="M8072" t="s">
        <v>103</v>
      </c>
      <c r="N8072" t="s">
        <v>103</v>
      </c>
      <c r="O8072" t="s">
        <v>103</v>
      </c>
      <c r="P8072" t="s">
        <v>103</v>
      </c>
      <c r="Q8072" t="s">
        <v>103</v>
      </c>
      <c r="R8072" t="s">
        <v>122</v>
      </c>
      <c r="S8072" t="s">
        <v>103</v>
      </c>
      <c r="T8072" t="s">
        <v>103</v>
      </c>
      <c r="U8072" t="s">
        <v>103</v>
      </c>
      <c r="V8072" t="s">
        <v>850</v>
      </c>
      <c r="W8072" t="s">
        <v>122</v>
      </c>
    </row>
    <row r="8073" spans="1:23" x14ac:dyDescent="0.3">
      <c r="A8073" t="s">
        <v>27</v>
      </c>
      <c r="B8073" t="s">
        <v>312</v>
      </c>
      <c r="C8073">
        <v>60</v>
      </c>
      <c r="D8073" t="s">
        <v>201</v>
      </c>
      <c r="E8073" t="s">
        <v>103</v>
      </c>
      <c r="F8073" t="s">
        <v>103</v>
      </c>
      <c r="G8073" t="s">
        <v>103</v>
      </c>
      <c r="H8073" t="s">
        <v>103</v>
      </c>
      <c r="I8073" t="s">
        <v>103</v>
      </c>
      <c r="J8073" t="s">
        <v>103</v>
      </c>
      <c r="K8073" t="s">
        <v>466</v>
      </c>
      <c r="L8073" t="s">
        <v>103</v>
      </c>
      <c r="M8073" t="s">
        <v>103</v>
      </c>
      <c r="N8073" t="s">
        <v>103</v>
      </c>
      <c r="O8073" t="s">
        <v>103</v>
      </c>
      <c r="P8073" t="s">
        <v>103</v>
      </c>
      <c r="Q8073" t="s">
        <v>103</v>
      </c>
      <c r="R8073" t="s">
        <v>103</v>
      </c>
      <c r="S8073" t="s">
        <v>103</v>
      </c>
      <c r="T8073" t="s">
        <v>103</v>
      </c>
      <c r="U8073" t="s">
        <v>103</v>
      </c>
      <c r="V8073" t="s">
        <v>624</v>
      </c>
      <c r="W8073" t="s">
        <v>103</v>
      </c>
    </row>
    <row r="8074" spans="1:23" x14ac:dyDescent="0.3">
      <c r="A8074" t="s">
        <v>27</v>
      </c>
      <c r="B8074" t="s">
        <v>308</v>
      </c>
      <c r="C8074">
        <v>3</v>
      </c>
      <c r="D8074" t="s">
        <v>103</v>
      </c>
      <c r="E8074" t="s">
        <v>103</v>
      </c>
      <c r="F8074" t="s">
        <v>103</v>
      </c>
      <c r="G8074" t="s">
        <v>103</v>
      </c>
      <c r="H8074" t="s">
        <v>103</v>
      </c>
      <c r="I8074" t="s">
        <v>103</v>
      </c>
      <c r="J8074" t="s">
        <v>103</v>
      </c>
      <c r="K8074" t="s">
        <v>103</v>
      </c>
      <c r="L8074" t="s">
        <v>103</v>
      </c>
      <c r="M8074" t="s">
        <v>103</v>
      </c>
      <c r="N8074" t="s">
        <v>103</v>
      </c>
      <c r="O8074" t="s">
        <v>103</v>
      </c>
      <c r="P8074" t="s">
        <v>103</v>
      </c>
      <c r="Q8074" t="s">
        <v>103</v>
      </c>
      <c r="R8074" t="s">
        <v>103</v>
      </c>
      <c r="S8074" t="s">
        <v>103</v>
      </c>
      <c r="T8074" t="s">
        <v>103</v>
      </c>
      <c r="U8074" t="s">
        <v>103</v>
      </c>
      <c r="V8074" t="s">
        <v>192</v>
      </c>
      <c r="W8074" t="s">
        <v>103</v>
      </c>
    </row>
    <row r="8075" spans="1:23" x14ac:dyDescent="0.3">
      <c r="A8075" t="s">
        <v>41</v>
      </c>
      <c r="B8075" t="s">
        <v>311</v>
      </c>
      <c r="C8075">
        <v>1541</v>
      </c>
      <c r="D8075" t="s">
        <v>532</v>
      </c>
      <c r="E8075" t="s">
        <v>438</v>
      </c>
      <c r="F8075" t="s">
        <v>97</v>
      </c>
      <c r="G8075" t="s">
        <v>239</v>
      </c>
      <c r="H8075" t="s">
        <v>122</v>
      </c>
      <c r="I8075" t="s">
        <v>122</v>
      </c>
      <c r="J8075" t="s">
        <v>95</v>
      </c>
      <c r="K8075" t="s">
        <v>102</v>
      </c>
      <c r="L8075" t="s">
        <v>122</v>
      </c>
      <c r="M8075" t="s">
        <v>103</v>
      </c>
      <c r="N8075" t="s">
        <v>91</v>
      </c>
      <c r="O8075" t="s">
        <v>282</v>
      </c>
      <c r="P8075" t="s">
        <v>329</v>
      </c>
      <c r="Q8075" t="s">
        <v>139</v>
      </c>
      <c r="R8075" t="s">
        <v>194</v>
      </c>
      <c r="S8075" t="s">
        <v>116</v>
      </c>
      <c r="T8075" t="s">
        <v>122</v>
      </c>
      <c r="U8075" t="s">
        <v>103</v>
      </c>
      <c r="V8075" t="s">
        <v>721</v>
      </c>
      <c r="W8075" t="s">
        <v>120</v>
      </c>
    </row>
    <row r="8076" spans="1:23" x14ac:dyDescent="0.3">
      <c r="A8076" t="s">
        <v>41</v>
      </c>
      <c r="B8076" t="s">
        <v>312</v>
      </c>
      <c r="C8076">
        <v>432</v>
      </c>
      <c r="D8076" t="s">
        <v>284</v>
      </c>
      <c r="E8076" t="s">
        <v>186</v>
      </c>
      <c r="F8076" t="s">
        <v>468</v>
      </c>
      <c r="G8076" t="s">
        <v>139</v>
      </c>
      <c r="H8076" t="s">
        <v>95</v>
      </c>
      <c r="I8076" t="s">
        <v>116</v>
      </c>
      <c r="J8076" t="s">
        <v>122</v>
      </c>
      <c r="K8076" t="s">
        <v>68</v>
      </c>
      <c r="L8076" t="s">
        <v>103</v>
      </c>
      <c r="M8076" t="s">
        <v>103</v>
      </c>
      <c r="N8076" t="s">
        <v>91</v>
      </c>
      <c r="O8076" t="s">
        <v>98</v>
      </c>
      <c r="P8076" t="s">
        <v>217</v>
      </c>
      <c r="Q8076" t="s">
        <v>97</v>
      </c>
      <c r="R8076" t="s">
        <v>97</v>
      </c>
      <c r="S8076" t="s">
        <v>97</v>
      </c>
      <c r="T8076" t="s">
        <v>139</v>
      </c>
      <c r="U8076" t="s">
        <v>103</v>
      </c>
      <c r="V8076" t="s">
        <v>711</v>
      </c>
      <c r="W8076" t="s">
        <v>139</v>
      </c>
    </row>
    <row r="8077" spans="1:23" x14ac:dyDescent="0.3">
      <c r="A8077" t="s">
        <v>41</v>
      </c>
      <c r="B8077" t="s">
        <v>308</v>
      </c>
      <c r="C8077">
        <v>65</v>
      </c>
      <c r="D8077" t="s">
        <v>110</v>
      </c>
      <c r="E8077" t="s">
        <v>102</v>
      </c>
      <c r="F8077" t="s">
        <v>103</v>
      </c>
      <c r="G8077" t="s">
        <v>103</v>
      </c>
      <c r="H8077" t="s">
        <v>239</v>
      </c>
      <c r="I8077" t="s">
        <v>103</v>
      </c>
      <c r="J8077" t="s">
        <v>103</v>
      </c>
      <c r="K8077" t="s">
        <v>205</v>
      </c>
      <c r="L8077" t="s">
        <v>103</v>
      </c>
      <c r="M8077" t="s">
        <v>103</v>
      </c>
      <c r="N8077" t="s">
        <v>103</v>
      </c>
      <c r="O8077" t="s">
        <v>190</v>
      </c>
      <c r="P8077" t="s">
        <v>93</v>
      </c>
      <c r="Q8077" t="s">
        <v>103</v>
      </c>
      <c r="R8077" t="s">
        <v>103</v>
      </c>
      <c r="S8077" t="s">
        <v>103</v>
      </c>
      <c r="T8077" t="s">
        <v>103</v>
      </c>
      <c r="U8077" t="s">
        <v>103</v>
      </c>
      <c r="V8077" t="s">
        <v>1004</v>
      </c>
      <c r="W8077" t="s">
        <v>103</v>
      </c>
    </row>
    <row r="8079" spans="1:23" x14ac:dyDescent="0.3">
      <c r="A8079" t="s">
        <v>2366</v>
      </c>
    </row>
    <row r="8080" spans="1:23" x14ac:dyDescent="0.3">
      <c r="A8080" t="s">
        <v>36</v>
      </c>
      <c r="B8080" t="s">
        <v>197</v>
      </c>
      <c r="C8080" t="s">
        <v>24</v>
      </c>
      <c r="D8080" t="s">
        <v>2346</v>
      </c>
      <c r="E8080" t="s">
        <v>2347</v>
      </c>
      <c r="F8080" t="s">
        <v>2348</v>
      </c>
      <c r="G8080" t="s">
        <v>2349</v>
      </c>
      <c r="H8080" t="s">
        <v>2350</v>
      </c>
      <c r="I8080" t="s">
        <v>2351</v>
      </c>
      <c r="J8080" t="s">
        <v>2352</v>
      </c>
      <c r="K8080" t="s">
        <v>2353</v>
      </c>
      <c r="L8080" t="s">
        <v>2354</v>
      </c>
      <c r="M8080" t="s">
        <v>2355</v>
      </c>
      <c r="N8080" t="s">
        <v>2356</v>
      </c>
      <c r="O8080" t="s">
        <v>2357</v>
      </c>
      <c r="P8080" t="s">
        <v>2358</v>
      </c>
      <c r="Q8080" t="s">
        <v>2359</v>
      </c>
      <c r="R8080" t="s">
        <v>2360</v>
      </c>
      <c r="S8080" t="s">
        <v>2361</v>
      </c>
      <c r="T8080" t="s">
        <v>2362</v>
      </c>
      <c r="U8080" t="s">
        <v>848</v>
      </c>
      <c r="V8080" t="s">
        <v>2363</v>
      </c>
      <c r="W8080" t="s">
        <v>181</v>
      </c>
    </row>
    <row r="8081" spans="1:23" x14ac:dyDescent="0.3">
      <c r="A8081" t="s">
        <v>25</v>
      </c>
      <c r="B8081" t="s">
        <v>198</v>
      </c>
      <c r="C8081">
        <v>104</v>
      </c>
      <c r="D8081" t="s">
        <v>214</v>
      </c>
      <c r="E8081" t="s">
        <v>206</v>
      </c>
      <c r="F8081" t="s">
        <v>103</v>
      </c>
      <c r="G8081" t="s">
        <v>120</v>
      </c>
      <c r="H8081" t="s">
        <v>103</v>
      </c>
      <c r="I8081" t="s">
        <v>103</v>
      </c>
      <c r="J8081" t="s">
        <v>122</v>
      </c>
      <c r="K8081" t="s">
        <v>549</v>
      </c>
      <c r="L8081" t="s">
        <v>103</v>
      </c>
      <c r="M8081" t="s">
        <v>103</v>
      </c>
      <c r="N8081" t="s">
        <v>103</v>
      </c>
      <c r="O8081" t="s">
        <v>103</v>
      </c>
      <c r="P8081" t="s">
        <v>103</v>
      </c>
      <c r="Q8081" t="s">
        <v>103</v>
      </c>
      <c r="R8081" t="s">
        <v>103</v>
      </c>
      <c r="S8081" t="s">
        <v>103</v>
      </c>
      <c r="T8081" t="s">
        <v>103</v>
      </c>
      <c r="U8081" t="s">
        <v>103</v>
      </c>
      <c r="V8081" t="s">
        <v>903</v>
      </c>
      <c r="W8081" t="s">
        <v>103</v>
      </c>
    </row>
    <row r="8082" spans="1:23" x14ac:dyDescent="0.3">
      <c r="A8082" t="s">
        <v>25</v>
      </c>
      <c r="B8082" t="s">
        <v>199</v>
      </c>
      <c r="C8082">
        <v>310</v>
      </c>
      <c r="D8082" t="s">
        <v>607</v>
      </c>
      <c r="E8082" t="s">
        <v>214</v>
      </c>
      <c r="F8082" t="s">
        <v>95</v>
      </c>
      <c r="G8082" t="s">
        <v>110</v>
      </c>
      <c r="H8082" t="s">
        <v>282</v>
      </c>
      <c r="I8082" t="s">
        <v>116</v>
      </c>
      <c r="J8082" t="s">
        <v>282</v>
      </c>
      <c r="K8082" t="s">
        <v>558</v>
      </c>
      <c r="L8082" t="s">
        <v>103</v>
      </c>
      <c r="M8082" t="s">
        <v>103</v>
      </c>
      <c r="N8082" t="s">
        <v>103</v>
      </c>
      <c r="O8082" t="s">
        <v>95</v>
      </c>
      <c r="P8082" t="s">
        <v>128</v>
      </c>
      <c r="Q8082" t="s">
        <v>103</v>
      </c>
      <c r="R8082" t="s">
        <v>97</v>
      </c>
      <c r="S8082" t="s">
        <v>95</v>
      </c>
      <c r="T8082" t="s">
        <v>103</v>
      </c>
      <c r="U8082" t="s">
        <v>103</v>
      </c>
      <c r="V8082" t="s">
        <v>1141</v>
      </c>
      <c r="W8082" t="s">
        <v>97</v>
      </c>
    </row>
    <row r="8083" spans="1:23" x14ac:dyDescent="0.3">
      <c r="A8083" t="s">
        <v>26</v>
      </c>
      <c r="B8083" t="s">
        <v>198</v>
      </c>
      <c r="C8083">
        <v>41</v>
      </c>
      <c r="D8083" t="s">
        <v>214</v>
      </c>
      <c r="E8083" t="s">
        <v>662</v>
      </c>
      <c r="F8083" t="s">
        <v>103</v>
      </c>
      <c r="G8083" t="s">
        <v>269</v>
      </c>
      <c r="H8083" t="s">
        <v>103</v>
      </c>
      <c r="I8083" t="s">
        <v>103</v>
      </c>
      <c r="J8083" t="s">
        <v>118</v>
      </c>
      <c r="K8083" t="s">
        <v>214</v>
      </c>
      <c r="L8083" t="s">
        <v>103</v>
      </c>
      <c r="M8083" t="s">
        <v>103</v>
      </c>
      <c r="N8083" t="s">
        <v>103</v>
      </c>
      <c r="O8083" t="s">
        <v>188</v>
      </c>
      <c r="P8083" t="s">
        <v>201</v>
      </c>
      <c r="Q8083" t="s">
        <v>103</v>
      </c>
      <c r="R8083" t="s">
        <v>95</v>
      </c>
      <c r="S8083" t="s">
        <v>103</v>
      </c>
      <c r="T8083" t="s">
        <v>103</v>
      </c>
      <c r="U8083" t="s">
        <v>103</v>
      </c>
      <c r="V8083" t="s">
        <v>753</v>
      </c>
      <c r="W8083" t="s">
        <v>103</v>
      </c>
    </row>
    <row r="8084" spans="1:23" x14ac:dyDescent="0.3">
      <c r="A8084" t="s">
        <v>26</v>
      </c>
      <c r="B8084" t="s">
        <v>199</v>
      </c>
      <c r="C8084">
        <v>436</v>
      </c>
      <c r="D8084" t="s">
        <v>466</v>
      </c>
      <c r="E8084" t="s">
        <v>70</v>
      </c>
      <c r="F8084" t="s">
        <v>66</v>
      </c>
      <c r="G8084" t="s">
        <v>438</v>
      </c>
      <c r="H8084" t="s">
        <v>103</v>
      </c>
      <c r="I8084" t="s">
        <v>282</v>
      </c>
      <c r="J8084" t="s">
        <v>345</v>
      </c>
      <c r="K8084" t="s">
        <v>108</v>
      </c>
      <c r="L8084" t="s">
        <v>103</v>
      </c>
      <c r="M8084" t="s">
        <v>103</v>
      </c>
      <c r="N8084" t="s">
        <v>103</v>
      </c>
      <c r="O8084" t="s">
        <v>257</v>
      </c>
      <c r="P8084" t="s">
        <v>105</v>
      </c>
      <c r="Q8084" t="s">
        <v>103</v>
      </c>
      <c r="R8084" t="s">
        <v>66</v>
      </c>
      <c r="S8084" t="s">
        <v>103</v>
      </c>
      <c r="T8084" t="s">
        <v>91</v>
      </c>
      <c r="U8084" t="s">
        <v>103</v>
      </c>
      <c r="V8084" t="s">
        <v>227</v>
      </c>
      <c r="W8084" t="s">
        <v>120</v>
      </c>
    </row>
    <row r="8085" spans="1:23" x14ac:dyDescent="0.3">
      <c r="A8085" t="s">
        <v>29</v>
      </c>
      <c r="B8085" t="s">
        <v>198</v>
      </c>
      <c r="C8085">
        <v>170</v>
      </c>
      <c r="D8085" t="s">
        <v>64</v>
      </c>
      <c r="E8085" t="s">
        <v>468</v>
      </c>
      <c r="F8085" t="s">
        <v>98</v>
      </c>
      <c r="G8085" t="s">
        <v>103</v>
      </c>
      <c r="H8085" t="s">
        <v>98</v>
      </c>
      <c r="I8085" t="s">
        <v>120</v>
      </c>
      <c r="J8085" t="s">
        <v>120</v>
      </c>
      <c r="K8085" t="s">
        <v>216</v>
      </c>
      <c r="L8085" t="s">
        <v>103</v>
      </c>
      <c r="M8085" t="s">
        <v>103</v>
      </c>
      <c r="N8085" t="s">
        <v>97</v>
      </c>
      <c r="O8085" t="s">
        <v>98</v>
      </c>
      <c r="P8085" t="s">
        <v>245</v>
      </c>
      <c r="Q8085" t="s">
        <v>341</v>
      </c>
      <c r="R8085" t="s">
        <v>188</v>
      </c>
      <c r="S8085" t="s">
        <v>103</v>
      </c>
      <c r="T8085" t="s">
        <v>98</v>
      </c>
      <c r="U8085" t="s">
        <v>103</v>
      </c>
      <c r="V8085" t="s">
        <v>172</v>
      </c>
      <c r="W8085" t="s">
        <v>122</v>
      </c>
    </row>
    <row r="8086" spans="1:23" x14ac:dyDescent="0.3">
      <c r="A8086" t="s">
        <v>29</v>
      </c>
      <c r="B8086" t="s">
        <v>199</v>
      </c>
      <c r="C8086">
        <v>360</v>
      </c>
      <c r="D8086" t="s">
        <v>93</v>
      </c>
      <c r="E8086" t="s">
        <v>64</v>
      </c>
      <c r="F8086" t="s">
        <v>120</v>
      </c>
      <c r="G8086" t="s">
        <v>116</v>
      </c>
      <c r="H8086" t="s">
        <v>116</v>
      </c>
      <c r="I8086" t="s">
        <v>103</v>
      </c>
      <c r="J8086" t="s">
        <v>103</v>
      </c>
      <c r="K8086" t="s">
        <v>97</v>
      </c>
      <c r="L8086" t="s">
        <v>139</v>
      </c>
      <c r="M8086" t="s">
        <v>103</v>
      </c>
      <c r="N8086" t="s">
        <v>103</v>
      </c>
      <c r="O8086" t="s">
        <v>282</v>
      </c>
      <c r="P8086" t="s">
        <v>195</v>
      </c>
      <c r="Q8086" t="s">
        <v>468</v>
      </c>
      <c r="R8086" t="s">
        <v>468</v>
      </c>
      <c r="S8086" t="s">
        <v>95</v>
      </c>
      <c r="T8086" t="s">
        <v>95</v>
      </c>
      <c r="U8086" t="s">
        <v>103</v>
      </c>
      <c r="V8086" t="s">
        <v>744</v>
      </c>
      <c r="W8086" t="s">
        <v>345</v>
      </c>
    </row>
    <row r="8087" spans="1:23" x14ac:dyDescent="0.3">
      <c r="A8087" t="s">
        <v>28</v>
      </c>
      <c r="B8087" t="s">
        <v>198</v>
      </c>
      <c r="C8087">
        <v>70</v>
      </c>
      <c r="D8087" t="s">
        <v>737</v>
      </c>
      <c r="E8087" t="s">
        <v>466</v>
      </c>
      <c r="F8087" t="s">
        <v>532</v>
      </c>
      <c r="G8087" t="s">
        <v>103</v>
      </c>
      <c r="H8087" t="s">
        <v>103</v>
      </c>
      <c r="I8087" t="s">
        <v>103</v>
      </c>
      <c r="J8087" t="s">
        <v>103</v>
      </c>
      <c r="K8087" t="s">
        <v>103</v>
      </c>
      <c r="L8087" t="s">
        <v>103</v>
      </c>
      <c r="M8087" t="s">
        <v>103</v>
      </c>
      <c r="N8087" t="s">
        <v>468</v>
      </c>
      <c r="O8087" t="s">
        <v>103</v>
      </c>
      <c r="P8087" t="s">
        <v>591</v>
      </c>
      <c r="Q8087" t="s">
        <v>103</v>
      </c>
      <c r="R8087" t="s">
        <v>103</v>
      </c>
      <c r="S8087" t="s">
        <v>103</v>
      </c>
      <c r="T8087" t="s">
        <v>103</v>
      </c>
      <c r="U8087" t="s">
        <v>103</v>
      </c>
      <c r="V8087" t="s">
        <v>884</v>
      </c>
      <c r="W8087" t="s">
        <v>103</v>
      </c>
    </row>
    <row r="8088" spans="1:23" x14ac:dyDescent="0.3">
      <c r="A8088" t="s">
        <v>28</v>
      </c>
      <c r="B8088" t="s">
        <v>199</v>
      </c>
      <c r="C8088">
        <v>247</v>
      </c>
      <c r="D8088" t="s">
        <v>169</v>
      </c>
      <c r="E8088" t="s">
        <v>93</v>
      </c>
      <c r="F8088" t="s">
        <v>216</v>
      </c>
      <c r="G8088" t="s">
        <v>345</v>
      </c>
      <c r="H8088" t="s">
        <v>266</v>
      </c>
      <c r="I8088" t="s">
        <v>103</v>
      </c>
      <c r="J8088" t="s">
        <v>468</v>
      </c>
      <c r="K8088" t="s">
        <v>103</v>
      </c>
      <c r="L8088" t="s">
        <v>97</v>
      </c>
      <c r="M8088" t="s">
        <v>103</v>
      </c>
      <c r="N8088" t="s">
        <v>97</v>
      </c>
      <c r="O8088" t="s">
        <v>103</v>
      </c>
      <c r="P8088" t="s">
        <v>68</v>
      </c>
      <c r="Q8088" t="s">
        <v>95</v>
      </c>
      <c r="R8088" t="s">
        <v>103</v>
      </c>
      <c r="S8088" t="s">
        <v>97</v>
      </c>
      <c r="T8088" t="s">
        <v>128</v>
      </c>
      <c r="U8088" t="s">
        <v>103</v>
      </c>
      <c r="V8088" t="s">
        <v>189</v>
      </c>
      <c r="W8088" t="s">
        <v>103</v>
      </c>
    </row>
    <row r="8089" spans="1:23" x14ac:dyDescent="0.3">
      <c r="A8089" t="s">
        <v>27</v>
      </c>
      <c r="B8089" t="s">
        <v>198</v>
      </c>
      <c r="C8089">
        <v>136</v>
      </c>
      <c r="D8089" t="s">
        <v>122</v>
      </c>
      <c r="E8089" t="s">
        <v>95</v>
      </c>
      <c r="F8089" t="s">
        <v>103</v>
      </c>
      <c r="G8089" t="s">
        <v>103</v>
      </c>
      <c r="H8089" t="s">
        <v>95</v>
      </c>
      <c r="I8089" t="s">
        <v>103</v>
      </c>
      <c r="J8089" t="s">
        <v>103</v>
      </c>
      <c r="K8089" t="s">
        <v>103</v>
      </c>
      <c r="L8089" t="s">
        <v>103</v>
      </c>
      <c r="M8089" t="s">
        <v>103</v>
      </c>
      <c r="N8089" t="s">
        <v>103</v>
      </c>
      <c r="O8089" t="s">
        <v>103</v>
      </c>
      <c r="P8089" t="s">
        <v>103</v>
      </c>
      <c r="Q8089" t="s">
        <v>103</v>
      </c>
      <c r="R8089" t="s">
        <v>103</v>
      </c>
      <c r="S8089" t="s">
        <v>103</v>
      </c>
      <c r="T8089" t="s">
        <v>103</v>
      </c>
      <c r="U8089" t="s">
        <v>103</v>
      </c>
      <c r="V8089" t="s">
        <v>322</v>
      </c>
      <c r="W8089" t="s">
        <v>103</v>
      </c>
    </row>
    <row r="8090" spans="1:23" x14ac:dyDescent="0.3">
      <c r="A8090" t="s">
        <v>27</v>
      </c>
      <c r="B8090" t="s">
        <v>199</v>
      </c>
      <c r="C8090">
        <v>164</v>
      </c>
      <c r="D8090" t="s">
        <v>112</v>
      </c>
      <c r="E8090" t="s">
        <v>139</v>
      </c>
      <c r="F8090" t="s">
        <v>103</v>
      </c>
      <c r="G8090" t="s">
        <v>103</v>
      </c>
      <c r="H8090" t="s">
        <v>103</v>
      </c>
      <c r="I8090" t="s">
        <v>103</v>
      </c>
      <c r="J8090" t="s">
        <v>103</v>
      </c>
      <c r="K8090" t="s">
        <v>208</v>
      </c>
      <c r="L8090" t="s">
        <v>103</v>
      </c>
      <c r="M8090" t="s">
        <v>103</v>
      </c>
      <c r="N8090" t="s">
        <v>103</v>
      </c>
      <c r="O8090" t="s">
        <v>103</v>
      </c>
      <c r="P8090" t="s">
        <v>103</v>
      </c>
      <c r="Q8090" t="s">
        <v>103</v>
      </c>
      <c r="R8090" t="s">
        <v>120</v>
      </c>
      <c r="S8090" t="s">
        <v>103</v>
      </c>
      <c r="T8090" t="s">
        <v>103</v>
      </c>
      <c r="U8090" t="s">
        <v>103</v>
      </c>
      <c r="V8090" t="s">
        <v>871</v>
      </c>
      <c r="W8090" t="s">
        <v>120</v>
      </c>
    </row>
    <row r="8091" spans="1:23" x14ac:dyDescent="0.3">
      <c r="A8091" t="s">
        <v>41</v>
      </c>
      <c r="B8091" t="s">
        <v>198</v>
      </c>
      <c r="C8091">
        <v>521</v>
      </c>
      <c r="D8091" t="s">
        <v>467</v>
      </c>
      <c r="E8091" t="s">
        <v>257</v>
      </c>
      <c r="F8091" t="s">
        <v>139</v>
      </c>
      <c r="G8091" t="s">
        <v>95</v>
      </c>
      <c r="H8091" t="s">
        <v>95</v>
      </c>
      <c r="I8091" t="s">
        <v>116</v>
      </c>
      <c r="J8091" t="s">
        <v>120</v>
      </c>
      <c r="K8091" t="s">
        <v>64</v>
      </c>
      <c r="L8091" t="s">
        <v>103</v>
      </c>
      <c r="M8091" t="s">
        <v>103</v>
      </c>
      <c r="N8091" t="s">
        <v>122</v>
      </c>
      <c r="O8091" t="s">
        <v>139</v>
      </c>
      <c r="P8091" t="s">
        <v>239</v>
      </c>
      <c r="Q8091" t="s">
        <v>468</v>
      </c>
      <c r="R8091" t="s">
        <v>118</v>
      </c>
      <c r="S8091" t="s">
        <v>103</v>
      </c>
      <c r="T8091" t="s">
        <v>120</v>
      </c>
      <c r="U8091" t="s">
        <v>103</v>
      </c>
      <c r="V8091" t="s">
        <v>994</v>
      </c>
      <c r="W8091" t="s">
        <v>116</v>
      </c>
    </row>
    <row r="8092" spans="1:23" x14ac:dyDescent="0.3">
      <c r="A8092" t="s">
        <v>41</v>
      </c>
      <c r="B8092" t="s">
        <v>199</v>
      </c>
      <c r="C8092">
        <v>1517</v>
      </c>
      <c r="D8092" t="s">
        <v>32</v>
      </c>
      <c r="E8092" t="s">
        <v>188</v>
      </c>
      <c r="F8092" t="s">
        <v>97</v>
      </c>
      <c r="G8092" t="s">
        <v>239</v>
      </c>
      <c r="H8092" t="s">
        <v>97</v>
      </c>
      <c r="I8092" t="s">
        <v>122</v>
      </c>
      <c r="J8092" t="s">
        <v>120</v>
      </c>
      <c r="K8092" t="s">
        <v>188</v>
      </c>
      <c r="L8092" t="s">
        <v>122</v>
      </c>
      <c r="M8092" t="s">
        <v>103</v>
      </c>
      <c r="N8092" t="s">
        <v>103</v>
      </c>
      <c r="O8092" t="s">
        <v>194</v>
      </c>
      <c r="P8092" t="s">
        <v>118</v>
      </c>
      <c r="Q8092" t="s">
        <v>97</v>
      </c>
      <c r="R8092" t="s">
        <v>95</v>
      </c>
      <c r="S8092" t="s">
        <v>122</v>
      </c>
      <c r="T8092" t="s">
        <v>97</v>
      </c>
      <c r="U8092" t="s">
        <v>103</v>
      </c>
      <c r="V8092" t="s">
        <v>276</v>
      </c>
      <c r="W8092" t="s">
        <v>139</v>
      </c>
    </row>
    <row r="8094" spans="1:23" x14ac:dyDescent="0.3">
      <c r="A8094" t="s">
        <v>2367</v>
      </c>
    </row>
    <row r="8095" spans="1:23" x14ac:dyDescent="0.3">
      <c r="A8095" t="s">
        <v>36</v>
      </c>
      <c r="B8095" t="s">
        <v>1647</v>
      </c>
      <c r="C8095" t="s">
        <v>24</v>
      </c>
      <c r="D8095" t="s">
        <v>2346</v>
      </c>
      <c r="E8095" t="s">
        <v>2347</v>
      </c>
      <c r="F8095" t="s">
        <v>2348</v>
      </c>
      <c r="G8095" t="s">
        <v>2349</v>
      </c>
      <c r="H8095" t="s">
        <v>2350</v>
      </c>
      <c r="I8095" t="s">
        <v>2351</v>
      </c>
      <c r="J8095" t="s">
        <v>2352</v>
      </c>
      <c r="K8095" t="s">
        <v>2353</v>
      </c>
      <c r="L8095" t="s">
        <v>2354</v>
      </c>
      <c r="M8095" t="s">
        <v>2355</v>
      </c>
      <c r="N8095" t="s">
        <v>2356</v>
      </c>
      <c r="O8095" t="s">
        <v>2357</v>
      </c>
      <c r="P8095" t="s">
        <v>2358</v>
      </c>
      <c r="Q8095" t="s">
        <v>2359</v>
      </c>
      <c r="R8095" t="s">
        <v>2360</v>
      </c>
      <c r="S8095" t="s">
        <v>2361</v>
      </c>
      <c r="T8095" t="s">
        <v>2362</v>
      </c>
      <c r="U8095" t="s">
        <v>848</v>
      </c>
      <c r="V8095" t="s">
        <v>2363</v>
      </c>
      <c r="W8095" t="s">
        <v>181</v>
      </c>
    </row>
    <row r="8096" spans="1:23" x14ac:dyDescent="0.3">
      <c r="A8096" t="s">
        <v>25</v>
      </c>
      <c r="B8096" t="s">
        <v>1648</v>
      </c>
      <c r="C8096">
        <v>143</v>
      </c>
      <c r="D8096" t="s">
        <v>737</v>
      </c>
      <c r="E8096" t="s">
        <v>493</v>
      </c>
      <c r="F8096" t="s">
        <v>103</v>
      </c>
      <c r="G8096" t="s">
        <v>103</v>
      </c>
      <c r="H8096" t="s">
        <v>103</v>
      </c>
      <c r="I8096" t="s">
        <v>103</v>
      </c>
      <c r="J8096" t="s">
        <v>103</v>
      </c>
      <c r="K8096" t="s">
        <v>126</v>
      </c>
      <c r="L8096" t="s">
        <v>103</v>
      </c>
      <c r="M8096" t="s">
        <v>103</v>
      </c>
      <c r="N8096" t="s">
        <v>103</v>
      </c>
      <c r="O8096" t="s">
        <v>139</v>
      </c>
      <c r="P8096" t="s">
        <v>493</v>
      </c>
      <c r="Q8096" t="s">
        <v>103</v>
      </c>
      <c r="R8096" t="s">
        <v>97</v>
      </c>
      <c r="S8096" t="s">
        <v>97</v>
      </c>
      <c r="T8096" t="s">
        <v>103</v>
      </c>
      <c r="U8096" t="s">
        <v>103</v>
      </c>
      <c r="V8096" t="s">
        <v>603</v>
      </c>
      <c r="W8096" t="s">
        <v>103</v>
      </c>
    </row>
    <row r="8097" spans="1:23" x14ac:dyDescent="0.3">
      <c r="A8097" t="s">
        <v>25</v>
      </c>
      <c r="B8097" t="s">
        <v>1649</v>
      </c>
      <c r="C8097">
        <v>271</v>
      </c>
      <c r="D8097" t="s">
        <v>70</v>
      </c>
      <c r="E8097" t="s">
        <v>662</v>
      </c>
      <c r="F8097" t="s">
        <v>98</v>
      </c>
      <c r="G8097" t="s">
        <v>341</v>
      </c>
      <c r="H8097" t="s">
        <v>468</v>
      </c>
      <c r="I8097" t="s">
        <v>122</v>
      </c>
      <c r="J8097" t="s">
        <v>110</v>
      </c>
      <c r="K8097" t="s">
        <v>112</v>
      </c>
      <c r="L8097" t="s">
        <v>103</v>
      </c>
      <c r="M8097" t="s">
        <v>103</v>
      </c>
      <c r="N8097" t="s">
        <v>103</v>
      </c>
      <c r="O8097" t="s">
        <v>122</v>
      </c>
      <c r="P8097" t="s">
        <v>139</v>
      </c>
      <c r="Q8097" t="s">
        <v>103</v>
      </c>
      <c r="R8097" t="s">
        <v>116</v>
      </c>
      <c r="S8097" t="s">
        <v>120</v>
      </c>
      <c r="T8097" t="s">
        <v>103</v>
      </c>
      <c r="U8097" t="s">
        <v>103</v>
      </c>
      <c r="V8097" t="s">
        <v>238</v>
      </c>
      <c r="W8097" t="s">
        <v>120</v>
      </c>
    </row>
    <row r="8098" spans="1:23" x14ac:dyDescent="0.3">
      <c r="A8098" t="s">
        <v>26</v>
      </c>
      <c r="B8098" t="s">
        <v>1648</v>
      </c>
      <c r="C8098">
        <v>153</v>
      </c>
      <c r="D8098" t="s">
        <v>68</v>
      </c>
      <c r="E8098" t="s">
        <v>128</v>
      </c>
      <c r="F8098" t="s">
        <v>103</v>
      </c>
      <c r="G8098" t="s">
        <v>188</v>
      </c>
      <c r="H8098" t="s">
        <v>103</v>
      </c>
      <c r="I8098" t="s">
        <v>468</v>
      </c>
      <c r="J8098" t="s">
        <v>282</v>
      </c>
      <c r="K8098" t="s">
        <v>123</v>
      </c>
      <c r="L8098" t="s">
        <v>103</v>
      </c>
      <c r="M8098" t="s">
        <v>103</v>
      </c>
      <c r="N8098" t="s">
        <v>103</v>
      </c>
      <c r="O8098" t="s">
        <v>120</v>
      </c>
      <c r="P8098" t="s">
        <v>194</v>
      </c>
      <c r="Q8098" t="s">
        <v>103</v>
      </c>
      <c r="R8098" t="s">
        <v>97</v>
      </c>
      <c r="S8098" t="s">
        <v>103</v>
      </c>
      <c r="T8098" t="s">
        <v>122</v>
      </c>
      <c r="U8098" t="s">
        <v>103</v>
      </c>
      <c r="V8098" t="s">
        <v>758</v>
      </c>
      <c r="W8098" t="s">
        <v>139</v>
      </c>
    </row>
    <row r="8099" spans="1:23" x14ac:dyDescent="0.3">
      <c r="A8099" t="s">
        <v>26</v>
      </c>
      <c r="B8099" t="s">
        <v>1649</v>
      </c>
      <c r="C8099">
        <v>324</v>
      </c>
      <c r="D8099" t="s">
        <v>575</v>
      </c>
      <c r="E8099" t="s">
        <v>511</v>
      </c>
      <c r="F8099" t="s">
        <v>116</v>
      </c>
      <c r="G8099" t="s">
        <v>493</v>
      </c>
      <c r="H8099" t="s">
        <v>103</v>
      </c>
      <c r="I8099" t="s">
        <v>98</v>
      </c>
      <c r="J8099" t="s">
        <v>194</v>
      </c>
      <c r="K8099" t="s">
        <v>531</v>
      </c>
      <c r="L8099" t="s">
        <v>103</v>
      </c>
      <c r="M8099" t="s">
        <v>103</v>
      </c>
      <c r="N8099" t="s">
        <v>103</v>
      </c>
      <c r="O8099" t="s">
        <v>493</v>
      </c>
      <c r="P8099" t="s">
        <v>128</v>
      </c>
      <c r="Q8099" t="s">
        <v>103</v>
      </c>
      <c r="R8099" t="s">
        <v>91</v>
      </c>
      <c r="S8099" t="s">
        <v>103</v>
      </c>
      <c r="T8099" t="s">
        <v>103</v>
      </c>
      <c r="U8099" t="s">
        <v>103</v>
      </c>
      <c r="V8099" t="s">
        <v>985</v>
      </c>
      <c r="W8099" t="s">
        <v>97</v>
      </c>
    </row>
    <row r="8100" spans="1:23" x14ac:dyDescent="0.3">
      <c r="A8100" t="s">
        <v>29</v>
      </c>
      <c r="B8100" t="s">
        <v>1648</v>
      </c>
      <c r="C8100">
        <v>252</v>
      </c>
      <c r="D8100" t="s">
        <v>341</v>
      </c>
      <c r="E8100" t="s">
        <v>341</v>
      </c>
      <c r="F8100" t="s">
        <v>282</v>
      </c>
      <c r="G8100" t="s">
        <v>103</v>
      </c>
      <c r="H8100" t="s">
        <v>120</v>
      </c>
      <c r="I8100" t="s">
        <v>103</v>
      </c>
      <c r="J8100" t="s">
        <v>103</v>
      </c>
      <c r="K8100" t="s">
        <v>122</v>
      </c>
      <c r="L8100" t="s">
        <v>139</v>
      </c>
      <c r="M8100" t="s">
        <v>103</v>
      </c>
      <c r="N8100" t="s">
        <v>116</v>
      </c>
      <c r="O8100" t="s">
        <v>468</v>
      </c>
      <c r="P8100" t="s">
        <v>125</v>
      </c>
      <c r="Q8100" t="s">
        <v>245</v>
      </c>
      <c r="R8100" t="s">
        <v>195</v>
      </c>
      <c r="S8100" t="s">
        <v>282</v>
      </c>
      <c r="T8100" t="s">
        <v>216</v>
      </c>
      <c r="U8100" t="s">
        <v>103</v>
      </c>
      <c r="V8100" t="s">
        <v>870</v>
      </c>
      <c r="W8100" t="s">
        <v>468</v>
      </c>
    </row>
    <row r="8101" spans="1:23" x14ac:dyDescent="0.3">
      <c r="A8101" t="s">
        <v>29</v>
      </c>
      <c r="B8101" t="s">
        <v>1649</v>
      </c>
      <c r="C8101">
        <v>278</v>
      </c>
      <c r="D8101" t="s">
        <v>270</v>
      </c>
      <c r="E8101" t="s">
        <v>64</v>
      </c>
      <c r="F8101" t="s">
        <v>122</v>
      </c>
      <c r="G8101" t="s">
        <v>97</v>
      </c>
      <c r="H8101" t="s">
        <v>122</v>
      </c>
      <c r="I8101" t="s">
        <v>116</v>
      </c>
      <c r="J8101" t="s">
        <v>122</v>
      </c>
      <c r="K8101" t="s">
        <v>468</v>
      </c>
      <c r="L8101" t="s">
        <v>122</v>
      </c>
      <c r="M8101" t="s">
        <v>103</v>
      </c>
      <c r="N8101" t="s">
        <v>103</v>
      </c>
      <c r="O8101" t="s">
        <v>95</v>
      </c>
      <c r="P8101" t="s">
        <v>245</v>
      </c>
      <c r="Q8101" t="s">
        <v>345</v>
      </c>
      <c r="R8101" t="s">
        <v>345</v>
      </c>
      <c r="S8101" t="s">
        <v>103</v>
      </c>
      <c r="T8101" t="s">
        <v>91</v>
      </c>
      <c r="U8101" t="s">
        <v>103</v>
      </c>
      <c r="V8101" t="s">
        <v>63</v>
      </c>
      <c r="W8101" t="s">
        <v>95</v>
      </c>
    </row>
    <row r="8102" spans="1:23" x14ac:dyDescent="0.3">
      <c r="A8102" t="s">
        <v>28</v>
      </c>
      <c r="B8102" t="s">
        <v>1648</v>
      </c>
      <c r="C8102">
        <v>77</v>
      </c>
      <c r="D8102" t="s">
        <v>528</v>
      </c>
      <c r="E8102" t="s">
        <v>186</v>
      </c>
      <c r="F8102" t="s">
        <v>438</v>
      </c>
      <c r="G8102" t="s">
        <v>438</v>
      </c>
      <c r="H8102" t="s">
        <v>217</v>
      </c>
      <c r="I8102" t="s">
        <v>103</v>
      </c>
      <c r="J8102" t="s">
        <v>98</v>
      </c>
      <c r="K8102" t="s">
        <v>103</v>
      </c>
      <c r="L8102" t="s">
        <v>103</v>
      </c>
      <c r="M8102" t="s">
        <v>103</v>
      </c>
      <c r="N8102" t="s">
        <v>103</v>
      </c>
      <c r="O8102" t="s">
        <v>103</v>
      </c>
      <c r="P8102" t="s">
        <v>493</v>
      </c>
      <c r="Q8102" t="s">
        <v>103</v>
      </c>
      <c r="R8102" t="s">
        <v>103</v>
      </c>
      <c r="S8102" t="s">
        <v>103</v>
      </c>
      <c r="T8102" t="s">
        <v>103</v>
      </c>
      <c r="U8102" t="s">
        <v>103</v>
      </c>
      <c r="V8102" t="s">
        <v>204</v>
      </c>
      <c r="W8102" t="s">
        <v>103</v>
      </c>
    </row>
    <row r="8103" spans="1:23" x14ac:dyDescent="0.3">
      <c r="A8103" t="s">
        <v>28</v>
      </c>
      <c r="B8103" t="s">
        <v>1649</v>
      </c>
      <c r="C8103">
        <v>240</v>
      </c>
      <c r="D8103" t="s">
        <v>262</v>
      </c>
      <c r="E8103" t="s">
        <v>270</v>
      </c>
      <c r="F8103" t="s">
        <v>208</v>
      </c>
      <c r="G8103" t="s">
        <v>91</v>
      </c>
      <c r="H8103" t="s">
        <v>341</v>
      </c>
      <c r="I8103" t="s">
        <v>103</v>
      </c>
      <c r="J8103" t="s">
        <v>98</v>
      </c>
      <c r="K8103" t="s">
        <v>103</v>
      </c>
      <c r="L8103" t="s">
        <v>97</v>
      </c>
      <c r="M8103" t="s">
        <v>103</v>
      </c>
      <c r="N8103" t="s">
        <v>139</v>
      </c>
      <c r="O8103" t="s">
        <v>103</v>
      </c>
      <c r="P8103" t="s">
        <v>272</v>
      </c>
      <c r="Q8103" t="s">
        <v>120</v>
      </c>
      <c r="R8103" t="s">
        <v>103</v>
      </c>
      <c r="S8103" t="s">
        <v>122</v>
      </c>
      <c r="T8103" t="s">
        <v>93</v>
      </c>
      <c r="U8103" t="s">
        <v>103</v>
      </c>
      <c r="V8103" t="s">
        <v>189</v>
      </c>
      <c r="W8103" t="s">
        <v>103</v>
      </c>
    </row>
    <row r="8104" spans="1:23" x14ac:dyDescent="0.3">
      <c r="A8104" t="s">
        <v>27</v>
      </c>
      <c r="B8104" t="s">
        <v>1648</v>
      </c>
      <c r="C8104">
        <v>64</v>
      </c>
      <c r="D8104" t="s">
        <v>186</v>
      </c>
      <c r="E8104" t="s">
        <v>103</v>
      </c>
      <c r="F8104" t="s">
        <v>103</v>
      </c>
      <c r="G8104" t="s">
        <v>103</v>
      </c>
      <c r="H8104" t="s">
        <v>110</v>
      </c>
      <c r="I8104" t="s">
        <v>103</v>
      </c>
      <c r="J8104" t="s">
        <v>103</v>
      </c>
      <c r="K8104" t="s">
        <v>93</v>
      </c>
      <c r="L8104" t="s">
        <v>103</v>
      </c>
      <c r="M8104" t="s">
        <v>103</v>
      </c>
      <c r="N8104" t="s">
        <v>103</v>
      </c>
      <c r="O8104" t="s">
        <v>103</v>
      </c>
      <c r="P8104" t="s">
        <v>103</v>
      </c>
      <c r="Q8104" t="s">
        <v>103</v>
      </c>
      <c r="R8104" t="s">
        <v>194</v>
      </c>
      <c r="S8104" t="s">
        <v>103</v>
      </c>
      <c r="T8104" t="s">
        <v>103</v>
      </c>
      <c r="U8104" t="s">
        <v>103</v>
      </c>
      <c r="V8104" t="s">
        <v>184</v>
      </c>
      <c r="W8104" t="s">
        <v>103</v>
      </c>
    </row>
    <row r="8105" spans="1:23" x14ac:dyDescent="0.3">
      <c r="A8105" t="s">
        <v>27</v>
      </c>
      <c r="B8105" t="s">
        <v>1649</v>
      </c>
      <c r="C8105">
        <v>236</v>
      </c>
      <c r="D8105" t="s">
        <v>266</v>
      </c>
      <c r="E8105" t="s">
        <v>98</v>
      </c>
      <c r="F8105" t="s">
        <v>103</v>
      </c>
      <c r="G8105" t="s">
        <v>103</v>
      </c>
      <c r="H8105" t="s">
        <v>103</v>
      </c>
      <c r="I8105" t="s">
        <v>103</v>
      </c>
      <c r="J8105" t="s">
        <v>103</v>
      </c>
      <c r="K8105" t="s">
        <v>95</v>
      </c>
      <c r="L8105" t="s">
        <v>103</v>
      </c>
      <c r="M8105" t="s">
        <v>103</v>
      </c>
      <c r="N8105" t="s">
        <v>103</v>
      </c>
      <c r="O8105" t="s">
        <v>103</v>
      </c>
      <c r="P8105" t="s">
        <v>103</v>
      </c>
      <c r="Q8105" t="s">
        <v>103</v>
      </c>
      <c r="R8105" t="s">
        <v>103</v>
      </c>
      <c r="S8105" t="s">
        <v>103</v>
      </c>
      <c r="T8105" t="s">
        <v>103</v>
      </c>
      <c r="U8105" t="s">
        <v>103</v>
      </c>
      <c r="V8105" t="s">
        <v>185</v>
      </c>
      <c r="W8105" t="s">
        <v>122</v>
      </c>
    </row>
    <row r="8106" spans="1:23" x14ac:dyDescent="0.3">
      <c r="A8106" t="s">
        <v>41</v>
      </c>
      <c r="B8106" t="s">
        <v>1648</v>
      </c>
      <c r="C8106">
        <v>689</v>
      </c>
      <c r="D8106" t="s">
        <v>125</v>
      </c>
      <c r="E8106" t="s">
        <v>128</v>
      </c>
      <c r="F8106" t="s">
        <v>95</v>
      </c>
      <c r="G8106" t="s">
        <v>98</v>
      </c>
      <c r="H8106" t="s">
        <v>97</v>
      </c>
      <c r="I8106" t="s">
        <v>116</v>
      </c>
      <c r="J8106" t="s">
        <v>66</v>
      </c>
      <c r="K8106" t="s">
        <v>114</v>
      </c>
      <c r="L8106" t="s">
        <v>122</v>
      </c>
      <c r="M8106" t="s">
        <v>103</v>
      </c>
      <c r="N8106" t="s">
        <v>66</v>
      </c>
      <c r="O8106" t="s">
        <v>282</v>
      </c>
      <c r="P8106" t="s">
        <v>195</v>
      </c>
      <c r="Q8106" t="s">
        <v>282</v>
      </c>
      <c r="R8106" t="s">
        <v>341</v>
      </c>
      <c r="S8106" t="s">
        <v>120</v>
      </c>
      <c r="T8106" t="s">
        <v>282</v>
      </c>
      <c r="U8106" t="s">
        <v>103</v>
      </c>
      <c r="V8106" t="s">
        <v>189</v>
      </c>
      <c r="W8106" t="s">
        <v>139</v>
      </c>
    </row>
    <row r="8107" spans="1:23" x14ac:dyDescent="0.3">
      <c r="A8107" t="s">
        <v>41</v>
      </c>
      <c r="B8107" t="s">
        <v>1649</v>
      </c>
      <c r="C8107">
        <v>1349</v>
      </c>
      <c r="D8107" t="s">
        <v>284</v>
      </c>
      <c r="E8107" t="s">
        <v>113</v>
      </c>
      <c r="F8107" t="s">
        <v>120</v>
      </c>
      <c r="G8107" t="s">
        <v>216</v>
      </c>
      <c r="H8107" t="s">
        <v>97</v>
      </c>
      <c r="I8107" t="s">
        <v>97</v>
      </c>
      <c r="J8107" t="s">
        <v>139</v>
      </c>
      <c r="K8107" t="s">
        <v>467</v>
      </c>
      <c r="L8107" t="s">
        <v>66</v>
      </c>
      <c r="M8107" t="s">
        <v>103</v>
      </c>
      <c r="N8107" t="s">
        <v>91</v>
      </c>
      <c r="O8107" t="s">
        <v>194</v>
      </c>
      <c r="P8107" t="s">
        <v>245</v>
      </c>
      <c r="Q8107" t="s">
        <v>97</v>
      </c>
      <c r="R8107" t="s">
        <v>97</v>
      </c>
      <c r="S8107" t="s">
        <v>91</v>
      </c>
      <c r="T8107" t="s">
        <v>66</v>
      </c>
      <c r="U8107" t="s">
        <v>103</v>
      </c>
      <c r="V8107" t="s">
        <v>721</v>
      </c>
      <c r="W8107" t="s">
        <v>120</v>
      </c>
    </row>
    <row r="8109" spans="1:23" x14ac:dyDescent="0.3">
      <c r="A8109" t="s">
        <v>2368</v>
      </c>
    </row>
    <row r="8110" spans="1:23" x14ac:dyDescent="0.3">
      <c r="A8110" t="s">
        <v>36</v>
      </c>
      <c r="B8110" t="s">
        <v>210</v>
      </c>
      <c r="C8110" t="s">
        <v>24</v>
      </c>
      <c r="D8110" t="s">
        <v>2346</v>
      </c>
      <c r="E8110" t="s">
        <v>2347</v>
      </c>
      <c r="F8110" t="s">
        <v>2348</v>
      </c>
      <c r="G8110" t="s">
        <v>2349</v>
      </c>
      <c r="H8110" t="s">
        <v>2350</v>
      </c>
      <c r="I8110" t="s">
        <v>2351</v>
      </c>
      <c r="J8110" t="s">
        <v>2352</v>
      </c>
      <c r="K8110" t="s">
        <v>2353</v>
      </c>
      <c r="L8110" t="s">
        <v>2354</v>
      </c>
      <c r="M8110" t="s">
        <v>2355</v>
      </c>
      <c r="N8110" t="s">
        <v>2356</v>
      </c>
      <c r="O8110" t="s">
        <v>2357</v>
      </c>
      <c r="P8110" t="s">
        <v>2358</v>
      </c>
      <c r="Q8110" t="s">
        <v>2359</v>
      </c>
      <c r="R8110" t="s">
        <v>2360</v>
      </c>
      <c r="S8110" t="s">
        <v>2361</v>
      </c>
      <c r="T8110" t="s">
        <v>2362</v>
      </c>
      <c r="U8110" t="s">
        <v>848</v>
      </c>
      <c r="V8110" t="s">
        <v>2363</v>
      </c>
      <c r="W8110" t="s">
        <v>181</v>
      </c>
    </row>
    <row r="8111" spans="1:23" x14ac:dyDescent="0.3">
      <c r="A8111" t="s">
        <v>25</v>
      </c>
      <c r="B8111" t="s">
        <v>211</v>
      </c>
      <c r="C8111">
        <v>414</v>
      </c>
      <c r="D8111" t="s">
        <v>594</v>
      </c>
      <c r="E8111" t="s">
        <v>33</v>
      </c>
      <c r="F8111" t="s">
        <v>120</v>
      </c>
      <c r="G8111" t="s">
        <v>194</v>
      </c>
      <c r="H8111" t="s">
        <v>139</v>
      </c>
      <c r="I8111" t="s">
        <v>116</v>
      </c>
      <c r="J8111" t="s">
        <v>98</v>
      </c>
      <c r="K8111" t="s">
        <v>594</v>
      </c>
      <c r="L8111" t="s">
        <v>103</v>
      </c>
      <c r="M8111" t="s">
        <v>103</v>
      </c>
      <c r="N8111" t="s">
        <v>103</v>
      </c>
      <c r="O8111" t="s">
        <v>97</v>
      </c>
      <c r="P8111" t="s">
        <v>105</v>
      </c>
      <c r="Q8111" t="s">
        <v>103</v>
      </c>
      <c r="R8111" t="s">
        <v>122</v>
      </c>
      <c r="S8111" t="s">
        <v>97</v>
      </c>
      <c r="T8111" t="s">
        <v>103</v>
      </c>
      <c r="U8111" t="s">
        <v>103</v>
      </c>
      <c r="V8111" t="s">
        <v>739</v>
      </c>
      <c r="W8111" t="s">
        <v>122</v>
      </c>
    </row>
    <row r="8112" spans="1:23" x14ac:dyDescent="0.3">
      <c r="A8112" t="s">
        <v>26</v>
      </c>
      <c r="B8112" t="s">
        <v>211</v>
      </c>
      <c r="C8112">
        <v>223</v>
      </c>
      <c r="D8112" t="s">
        <v>103</v>
      </c>
      <c r="E8112" t="s">
        <v>97</v>
      </c>
      <c r="F8112" t="s">
        <v>103</v>
      </c>
      <c r="G8112" t="s">
        <v>103</v>
      </c>
      <c r="H8112" t="s">
        <v>103</v>
      </c>
      <c r="I8112" t="s">
        <v>122</v>
      </c>
      <c r="J8112" t="s">
        <v>139</v>
      </c>
      <c r="K8112" t="s">
        <v>98</v>
      </c>
      <c r="L8112" t="s">
        <v>103</v>
      </c>
      <c r="M8112" t="s">
        <v>103</v>
      </c>
      <c r="N8112" t="s">
        <v>103</v>
      </c>
      <c r="O8112" t="s">
        <v>32</v>
      </c>
      <c r="P8112" t="s">
        <v>98</v>
      </c>
      <c r="Q8112" t="s">
        <v>103</v>
      </c>
      <c r="R8112" t="s">
        <v>103</v>
      </c>
      <c r="S8112" t="s">
        <v>103</v>
      </c>
      <c r="T8112" t="s">
        <v>103</v>
      </c>
      <c r="U8112" t="s">
        <v>103</v>
      </c>
      <c r="V8112" t="s">
        <v>871</v>
      </c>
      <c r="W8112" t="s">
        <v>120</v>
      </c>
    </row>
    <row r="8113" spans="1:23" x14ac:dyDescent="0.3">
      <c r="A8113" t="s">
        <v>26</v>
      </c>
      <c r="B8113" t="s">
        <v>212</v>
      </c>
      <c r="C8113">
        <v>254</v>
      </c>
      <c r="D8113" t="s">
        <v>481</v>
      </c>
      <c r="E8113" t="s">
        <v>191</v>
      </c>
      <c r="F8113" t="s">
        <v>122</v>
      </c>
      <c r="G8113" t="s">
        <v>460</v>
      </c>
      <c r="H8113" t="s">
        <v>103</v>
      </c>
      <c r="I8113" t="s">
        <v>216</v>
      </c>
      <c r="J8113" t="s">
        <v>216</v>
      </c>
      <c r="K8113" t="s">
        <v>566</v>
      </c>
      <c r="L8113" t="s">
        <v>103</v>
      </c>
      <c r="M8113" t="s">
        <v>103</v>
      </c>
      <c r="N8113" t="s">
        <v>103</v>
      </c>
      <c r="O8113" t="s">
        <v>120</v>
      </c>
      <c r="P8113" t="s">
        <v>195</v>
      </c>
      <c r="Q8113" t="s">
        <v>103</v>
      </c>
      <c r="R8113" t="s">
        <v>122</v>
      </c>
      <c r="S8113" t="s">
        <v>103</v>
      </c>
      <c r="T8113" t="s">
        <v>116</v>
      </c>
      <c r="U8113" t="s">
        <v>103</v>
      </c>
      <c r="V8113" t="s">
        <v>796</v>
      </c>
      <c r="W8113" t="s">
        <v>120</v>
      </c>
    </row>
    <row r="8114" spans="1:23" x14ac:dyDescent="0.3">
      <c r="A8114" t="s">
        <v>29</v>
      </c>
      <c r="B8114" t="s">
        <v>211</v>
      </c>
      <c r="C8114">
        <v>530</v>
      </c>
      <c r="D8114" t="s">
        <v>118</v>
      </c>
      <c r="E8114" t="s">
        <v>128</v>
      </c>
      <c r="F8114" t="s">
        <v>95</v>
      </c>
      <c r="G8114" t="s">
        <v>66</v>
      </c>
      <c r="H8114" t="s">
        <v>97</v>
      </c>
      <c r="I8114" t="s">
        <v>66</v>
      </c>
      <c r="J8114" t="s">
        <v>66</v>
      </c>
      <c r="K8114" t="s">
        <v>98</v>
      </c>
      <c r="L8114" t="s">
        <v>120</v>
      </c>
      <c r="M8114" t="s">
        <v>103</v>
      </c>
      <c r="N8114" t="s">
        <v>66</v>
      </c>
      <c r="O8114" t="s">
        <v>282</v>
      </c>
      <c r="P8114" t="s">
        <v>217</v>
      </c>
      <c r="Q8114" t="s">
        <v>110</v>
      </c>
      <c r="R8114" t="s">
        <v>208</v>
      </c>
      <c r="S8114" t="s">
        <v>97</v>
      </c>
      <c r="T8114" t="s">
        <v>139</v>
      </c>
      <c r="U8114" t="s">
        <v>103</v>
      </c>
      <c r="V8114" t="s">
        <v>599</v>
      </c>
      <c r="W8114" t="s">
        <v>98</v>
      </c>
    </row>
    <row r="8115" spans="1:23" x14ac:dyDescent="0.3">
      <c r="A8115" t="s">
        <v>28</v>
      </c>
      <c r="B8115" t="s">
        <v>211</v>
      </c>
      <c r="C8115">
        <v>277</v>
      </c>
      <c r="D8115" t="s">
        <v>62</v>
      </c>
      <c r="E8115" t="s">
        <v>102</v>
      </c>
      <c r="F8115" t="s">
        <v>208</v>
      </c>
      <c r="G8115" t="s">
        <v>98</v>
      </c>
      <c r="H8115" t="s">
        <v>208</v>
      </c>
      <c r="I8115" t="s">
        <v>103</v>
      </c>
      <c r="J8115" t="s">
        <v>282</v>
      </c>
      <c r="K8115" t="s">
        <v>103</v>
      </c>
      <c r="L8115" t="s">
        <v>122</v>
      </c>
      <c r="M8115" t="s">
        <v>103</v>
      </c>
      <c r="N8115" t="s">
        <v>95</v>
      </c>
      <c r="O8115" t="s">
        <v>103</v>
      </c>
      <c r="P8115" t="s">
        <v>493</v>
      </c>
      <c r="Q8115" t="s">
        <v>120</v>
      </c>
      <c r="R8115" t="s">
        <v>103</v>
      </c>
      <c r="S8115" t="s">
        <v>122</v>
      </c>
      <c r="T8115" t="s">
        <v>208</v>
      </c>
      <c r="U8115" t="s">
        <v>103</v>
      </c>
      <c r="V8115" t="s">
        <v>1135</v>
      </c>
      <c r="W8115" t="s">
        <v>103</v>
      </c>
    </row>
    <row r="8116" spans="1:23" x14ac:dyDescent="0.3">
      <c r="A8116" t="s">
        <v>28</v>
      </c>
      <c r="B8116" t="s">
        <v>212</v>
      </c>
      <c r="C8116">
        <v>40</v>
      </c>
      <c r="D8116" t="s">
        <v>108</v>
      </c>
      <c r="E8116" t="s">
        <v>103</v>
      </c>
      <c r="F8116" t="s">
        <v>281</v>
      </c>
      <c r="G8116" t="s">
        <v>103</v>
      </c>
      <c r="H8116" t="s">
        <v>217</v>
      </c>
      <c r="I8116" t="s">
        <v>103</v>
      </c>
      <c r="J8116" t="s">
        <v>103</v>
      </c>
      <c r="K8116" t="s">
        <v>103</v>
      </c>
      <c r="L8116" t="s">
        <v>103</v>
      </c>
      <c r="M8116" t="s">
        <v>103</v>
      </c>
      <c r="N8116" t="s">
        <v>103</v>
      </c>
      <c r="O8116" t="s">
        <v>103</v>
      </c>
      <c r="P8116" t="s">
        <v>103</v>
      </c>
      <c r="Q8116" t="s">
        <v>103</v>
      </c>
      <c r="R8116" t="s">
        <v>103</v>
      </c>
      <c r="S8116" t="s">
        <v>103</v>
      </c>
      <c r="T8116" t="s">
        <v>103</v>
      </c>
      <c r="U8116" t="s">
        <v>103</v>
      </c>
      <c r="V8116" t="s">
        <v>614</v>
      </c>
      <c r="W8116" t="s">
        <v>103</v>
      </c>
    </row>
    <row r="8117" spans="1:23" x14ac:dyDescent="0.3">
      <c r="A8117" t="s">
        <v>27</v>
      </c>
      <c r="B8117" t="s">
        <v>211</v>
      </c>
      <c r="C8117">
        <v>270</v>
      </c>
      <c r="D8117" t="s">
        <v>266</v>
      </c>
      <c r="E8117" t="s">
        <v>139</v>
      </c>
      <c r="F8117" t="s">
        <v>103</v>
      </c>
      <c r="G8117" t="s">
        <v>103</v>
      </c>
      <c r="H8117" t="s">
        <v>122</v>
      </c>
      <c r="I8117" t="s">
        <v>103</v>
      </c>
      <c r="J8117" t="s">
        <v>103</v>
      </c>
      <c r="K8117" t="s">
        <v>103</v>
      </c>
      <c r="L8117" t="s">
        <v>103</v>
      </c>
      <c r="M8117" t="s">
        <v>103</v>
      </c>
      <c r="N8117" t="s">
        <v>103</v>
      </c>
      <c r="O8117" t="s">
        <v>103</v>
      </c>
      <c r="P8117" t="s">
        <v>103</v>
      </c>
      <c r="Q8117" t="s">
        <v>103</v>
      </c>
      <c r="R8117" t="s">
        <v>116</v>
      </c>
      <c r="S8117" t="s">
        <v>103</v>
      </c>
      <c r="T8117" t="s">
        <v>103</v>
      </c>
      <c r="U8117" t="s">
        <v>103</v>
      </c>
      <c r="V8117" t="s">
        <v>981</v>
      </c>
      <c r="W8117" t="s">
        <v>116</v>
      </c>
    </row>
    <row r="8118" spans="1:23" s="3" customFormat="1" x14ac:dyDescent="0.3">
      <c r="A8118" s="3" t="s">
        <v>27</v>
      </c>
      <c r="B8118" s="3" t="s">
        <v>212</v>
      </c>
      <c r="C8118" s="3">
        <v>30</v>
      </c>
      <c r="D8118" s="3" t="s">
        <v>652</v>
      </c>
      <c r="E8118" s="3" t="s">
        <v>103</v>
      </c>
      <c r="F8118" s="3" t="s">
        <v>103</v>
      </c>
      <c r="G8118" s="3" t="s">
        <v>103</v>
      </c>
      <c r="H8118" s="3" t="s">
        <v>103</v>
      </c>
      <c r="I8118" s="3" t="s">
        <v>103</v>
      </c>
      <c r="J8118" s="3" t="s">
        <v>103</v>
      </c>
      <c r="K8118" s="3" t="s">
        <v>479</v>
      </c>
      <c r="L8118" s="3" t="s">
        <v>103</v>
      </c>
      <c r="M8118" s="3" t="s">
        <v>103</v>
      </c>
      <c r="N8118" s="3" t="s">
        <v>103</v>
      </c>
      <c r="O8118" s="3" t="s">
        <v>103</v>
      </c>
      <c r="P8118" s="3" t="s">
        <v>103</v>
      </c>
      <c r="Q8118" s="3" t="s">
        <v>103</v>
      </c>
      <c r="R8118" s="3" t="s">
        <v>103</v>
      </c>
      <c r="S8118" s="3" t="s">
        <v>103</v>
      </c>
      <c r="T8118" s="3" t="s">
        <v>103</v>
      </c>
      <c r="U8118" s="3" t="s">
        <v>103</v>
      </c>
      <c r="V8118" s="3" t="s">
        <v>634</v>
      </c>
      <c r="W8118" s="3" t="s">
        <v>103</v>
      </c>
    </row>
    <row r="8119" spans="1:23" x14ac:dyDescent="0.3">
      <c r="A8119" t="s">
        <v>41</v>
      </c>
      <c r="B8119" t="s">
        <v>211</v>
      </c>
      <c r="C8119">
        <v>1714</v>
      </c>
      <c r="D8119" t="s">
        <v>438</v>
      </c>
      <c r="E8119" t="s">
        <v>266</v>
      </c>
      <c r="F8119" t="s">
        <v>120</v>
      </c>
      <c r="G8119" t="s">
        <v>97</v>
      </c>
      <c r="H8119" t="s">
        <v>120</v>
      </c>
      <c r="I8119" t="s">
        <v>66</v>
      </c>
      <c r="J8119" t="s">
        <v>97</v>
      </c>
      <c r="K8119" t="s">
        <v>208</v>
      </c>
      <c r="L8119" t="s">
        <v>116</v>
      </c>
      <c r="M8119" t="s">
        <v>103</v>
      </c>
      <c r="N8119" t="s">
        <v>91</v>
      </c>
      <c r="O8119" t="s">
        <v>194</v>
      </c>
      <c r="P8119" t="s">
        <v>329</v>
      </c>
      <c r="Q8119" t="s">
        <v>139</v>
      </c>
      <c r="R8119" t="s">
        <v>468</v>
      </c>
      <c r="S8119" t="s">
        <v>122</v>
      </c>
      <c r="T8119" t="s">
        <v>97</v>
      </c>
      <c r="U8119" t="s">
        <v>103</v>
      </c>
      <c r="V8119" t="s">
        <v>1019</v>
      </c>
      <c r="W8119" t="s">
        <v>95</v>
      </c>
    </row>
    <row r="8120" spans="1:23" x14ac:dyDescent="0.3">
      <c r="A8120" t="s">
        <v>41</v>
      </c>
      <c r="B8120" t="s">
        <v>212</v>
      </c>
      <c r="C8120">
        <v>324</v>
      </c>
      <c r="D8120" t="s">
        <v>111</v>
      </c>
      <c r="E8120" t="s">
        <v>482</v>
      </c>
      <c r="F8120" t="s">
        <v>120</v>
      </c>
      <c r="G8120" t="s">
        <v>607</v>
      </c>
      <c r="H8120" t="s">
        <v>91</v>
      </c>
      <c r="I8120" t="s">
        <v>239</v>
      </c>
      <c r="J8120" t="s">
        <v>239</v>
      </c>
      <c r="K8120" t="s">
        <v>809</v>
      </c>
      <c r="L8120" t="s">
        <v>103</v>
      </c>
      <c r="M8120" t="s">
        <v>103</v>
      </c>
      <c r="N8120" t="s">
        <v>103</v>
      </c>
      <c r="O8120" t="s">
        <v>120</v>
      </c>
      <c r="P8120" t="s">
        <v>64</v>
      </c>
      <c r="Q8120" t="s">
        <v>103</v>
      </c>
      <c r="R8120" t="s">
        <v>122</v>
      </c>
      <c r="S8120" t="s">
        <v>103</v>
      </c>
      <c r="T8120" t="s">
        <v>66</v>
      </c>
      <c r="U8120" t="s">
        <v>103</v>
      </c>
      <c r="V8120" t="s">
        <v>736</v>
      </c>
      <c r="W8120" t="s">
        <v>97</v>
      </c>
    </row>
    <row r="8122" spans="1:23" x14ac:dyDescent="0.3">
      <c r="A8122" t="s">
        <v>2369</v>
      </c>
    </row>
    <row r="8123" spans="1:23" x14ac:dyDescent="0.3">
      <c r="A8123" t="s">
        <v>36</v>
      </c>
      <c r="B8123" t="s">
        <v>24</v>
      </c>
      <c r="C8123" t="s">
        <v>2370</v>
      </c>
      <c r="D8123" t="s">
        <v>2371</v>
      </c>
      <c r="E8123" t="s">
        <v>2372</v>
      </c>
      <c r="F8123" t="s">
        <v>2373</v>
      </c>
      <c r="G8123" t="s">
        <v>2374</v>
      </c>
      <c r="H8123" t="s">
        <v>2375</v>
      </c>
      <c r="I8123" t="s">
        <v>2376</v>
      </c>
      <c r="J8123" t="s">
        <v>2349</v>
      </c>
      <c r="K8123" t="s">
        <v>2351</v>
      </c>
      <c r="L8123" t="s">
        <v>2352</v>
      </c>
      <c r="M8123" t="s">
        <v>2377</v>
      </c>
      <c r="N8123" t="s">
        <v>2378</v>
      </c>
      <c r="O8123" t="s">
        <v>89</v>
      </c>
      <c r="P8123" t="s">
        <v>2379</v>
      </c>
      <c r="Q8123" t="s">
        <v>87</v>
      </c>
      <c r="R8123" t="s">
        <v>181</v>
      </c>
    </row>
    <row r="8124" spans="1:23" x14ac:dyDescent="0.3">
      <c r="A8124" t="s">
        <v>25</v>
      </c>
      <c r="B8124">
        <v>413</v>
      </c>
      <c r="C8124" t="s">
        <v>139</v>
      </c>
      <c r="D8124" t="s">
        <v>103</v>
      </c>
      <c r="E8124" t="s">
        <v>103</v>
      </c>
      <c r="F8124" t="s">
        <v>66</v>
      </c>
      <c r="G8124" t="s">
        <v>103</v>
      </c>
      <c r="H8124" t="s">
        <v>103</v>
      </c>
      <c r="I8124" t="s">
        <v>103</v>
      </c>
      <c r="J8124" t="s">
        <v>103</v>
      </c>
      <c r="K8124" t="s">
        <v>103</v>
      </c>
      <c r="L8124" t="s">
        <v>103</v>
      </c>
      <c r="M8124" t="s">
        <v>103</v>
      </c>
      <c r="N8124" t="s">
        <v>110</v>
      </c>
      <c r="O8124" t="s">
        <v>103</v>
      </c>
      <c r="P8124" t="s">
        <v>65</v>
      </c>
      <c r="Q8124" t="s">
        <v>116</v>
      </c>
      <c r="R8124" t="s">
        <v>66</v>
      </c>
    </row>
    <row r="8125" spans="1:23" x14ac:dyDescent="0.3">
      <c r="A8125" t="s">
        <v>26</v>
      </c>
      <c r="B8125">
        <v>477</v>
      </c>
      <c r="C8125" t="s">
        <v>555</v>
      </c>
      <c r="D8125" t="s">
        <v>103</v>
      </c>
      <c r="E8125" t="s">
        <v>103</v>
      </c>
      <c r="F8125" t="s">
        <v>116</v>
      </c>
      <c r="G8125" t="s">
        <v>103</v>
      </c>
      <c r="H8125" t="s">
        <v>103</v>
      </c>
      <c r="I8125" t="s">
        <v>341</v>
      </c>
      <c r="J8125" t="s">
        <v>97</v>
      </c>
      <c r="K8125" t="s">
        <v>103</v>
      </c>
      <c r="L8125" t="s">
        <v>103</v>
      </c>
      <c r="M8125" t="s">
        <v>66</v>
      </c>
      <c r="N8125" t="s">
        <v>341</v>
      </c>
      <c r="O8125" t="s">
        <v>103</v>
      </c>
      <c r="P8125" t="s">
        <v>895</v>
      </c>
      <c r="Q8125" t="s">
        <v>110</v>
      </c>
      <c r="R8125" t="s">
        <v>103</v>
      </c>
    </row>
    <row r="8126" spans="1:23" x14ac:dyDescent="0.3">
      <c r="A8126" t="s">
        <v>29</v>
      </c>
      <c r="B8126">
        <v>530</v>
      </c>
      <c r="C8126" t="s">
        <v>66</v>
      </c>
      <c r="D8126" t="s">
        <v>103</v>
      </c>
      <c r="E8126" t="s">
        <v>103</v>
      </c>
      <c r="F8126" t="s">
        <v>95</v>
      </c>
      <c r="G8126" t="s">
        <v>103</v>
      </c>
      <c r="H8126" t="s">
        <v>103</v>
      </c>
      <c r="I8126" t="s">
        <v>66</v>
      </c>
      <c r="J8126" t="s">
        <v>66</v>
      </c>
      <c r="K8126" t="s">
        <v>103</v>
      </c>
      <c r="L8126" t="s">
        <v>103</v>
      </c>
      <c r="M8126" t="s">
        <v>103</v>
      </c>
      <c r="N8126" t="s">
        <v>438</v>
      </c>
      <c r="O8126" t="s">
        <v>103</v>
      </c>
      <c r="P8126" t="s">
        <v>896</v>
      </c>
      <c r="Q8126" t="s">
        <v>120</v>
      </c>
      <c r="R8126" t="s">
        <v>95</v>
      </c>
    </row>
    <row r="8127" spans="1:23" x14ac:dyDescent="0.3">
      <c r="A8127" t="s">
        <v>28</v>
      </c>
      <c r="B8127">
        <v>317</v>
      </c>
      <c r="C8127" t="s">
        <v>155</v>
      </c>
      <c r="D8127" t="s">
        <v>108</v>
      </c>
      <c r="E8127" t="s">
        <v>103</v>
      </c>
      <c r="F8127" t="s">
        <v>116</v>
      </c>
      <c r="G8127" t="s">
        <v>103</v>
      </c>
      <c r="H8127" t="s">
        <v>103</v>
      </c>
      <c r="I8127" t="s">
        <v>110</v>
      </c>
      <c r="J8127" t="s">
        <v>66</v>
      </c>
      <c r="K8127" t="s">
        <v>122</v>
      </c>
      <c r="L8127" t="s">
        <v>95</v>
      </c>
      <c r="M8127" t="s">
        <v>103</v>
      </c>
      <c r="N8127" t="s">
        <v>232</v>
      </c>
      <c r="O8127" t="s">
        <v>116</v>
      </c>
      <c r="P8127" t="s">
        <v>1169</v>
      </c>
      <c r="Q8127" t="s">
        <v>208</v>
      </c>
      <c r="R8127" t="s">
        <v>116</v>
      </c>
    </row>
    <row r="8128" spans="1:23" x14ac:dyDescent="0.3">
      <c r="A8128" t="s">
        <v>27</v>
      </c>
      <c r="B8128">
        <v>300</v>
      </c>
      <c r="C8128" t="s">
        <v>34</v>
      </c>
      <c r="D8128" t="s">
        <v>575</v>
      </c>
      <c r="E8128" t="s">
        <v>116</v>
      </c>
      <c r="F8128" t="s">
        <v>128</v>
      </c>
      <c r="G8128" t="s">
        <v>103</v>
      </c>
      <c r="H8128" t="s">
        <v>103</v>
      </c>
      <c r="I8128" t="s">
        <v>103</v>
      </c>
      <c r="J8128" t="s">
        <v>103</v>
      </c>
      <c r="K8128" t="s">
        <v>103</v>
      </c>
      <c r="L8128" t="s">
        <v>103</v>
      </c>
      <c r="M8128" t="s">
        <v>103</v>
      </c>
      <c r="N8128" t="s">
        <v>493</v>
      </c>
      <c r="O8128" t="s">
        <v>116</v>
      </c>
      <c r="P8128" t="s">
        <v>669</v>
      </c>
      <c r="Q8128" t="s">
        <v>270</v>
      </c>
      <c r="R8128" t="s">
        <v>103</v>
      </c>
    </row>
    <row r="8129" spans="1:19" x14ac:dyDescent="0.3">
      <c r="A8129" t="s">
        <v>41</v>
      </c>
      <c r="B8129">
        <v>2037</v>
      </c>
      <c r="C8129" t="s">
        <v>242</v>
      </c>
      <c r="D8129" t="s">
        <v>95</v>
      </c>
      <c r="E8129" t="s">
        <v>103</v>
      </c>
      <c r="F8129" t="s">
        <v>97</v>
      </c>
      <c r="G8129" t="s">
        <v>103</v>
      </c>
      <c r="H8129" t="s">
        <v>103</v>
      </c>
      <c r="I8129" t="s">
        <v>120</v>
      </c>
      <c r="J8129" t="s">
        <v>66</v>
      </c>
      <c r="K8129" t="s">
        <v>103</v>
      </c>
      <c r="L8129" t="s">
        <v>103</v>
      </c>
      <c r="M8129" t="s">
        <v>103</v>
      </c>
      <c r="N8129" t="s">
        <v>64</v>
      </c>
      <c r="O8129" t="s">
        <v>103</v>
      </c>
      <c r="P8129" t="s">
        <v>187</v>
      </c>
      <c r="Q8129" t="s">
        <v>98</v>
      </c>
      <c r="R8129" t="s">
        <v>122</v>
      </c>
    </row>
    <row r="8131" spans="1:19" x14ac:dyDescent="0.3">
      <c r="A8131" t="s">
        <v>2380</v>
      </c>
    </row>
    <row r="8132" spans="1:19" x14ac:dyDescent="0.3">
      <c r="A8132" t="s">
        <v>36</v>
      </c>
      <c r="B8132" t="s">
        <v>307</v>
      </c>
      <c r="C8132" t="s">
        <v>24</v>
      </c>
      <c r="D8132" t="s">
        <v>2370</v>
      </c>
      <c r="E8132" t="s">
        <v>2371</v>
      </c>
      <c r="F8132" t="s">
        <v>2372</v>
      </c>
      <c r="G8132" t="s">
        <v>2373</v>
      </c>
      <c r="H8132" t="s">
        <v>2374</v>
      </c>
      <c r="I8132" t="s">
        <v>2375</v>
      </c>
      <c r="J8132" t="s">
        <v>2376</v>
      </c>
      <c r="K8132" t="s">
        <v>2349</v>
      </c>
      <c r="L8132" t="s">
        <v>2351</v>
      </c>
      <c r="M8132" t="s">
        <v>2352</v>
      </c>
      <c r="N8132" t="s">
        <v>2377</v>
      </c>
      <c r="O8132" t="s">
        <v>2378</v>
      </c>
      <c r="P8132" t="s">
        <v>89</v>
      </c>
      <c r="Q8132" t="s">
        <v>2379</v>
      </c>
      <c r="R8132" t="s">
        <v>87</v>
      </c>
      <c r="S8132" t="s">
        <v>181</v>
      </c>
    </row>
    <row r="8133" spans="1:19" x14ac:dyDescent="0.3">
      <c r="A8133" t="s">
        <v>25</v>
      </c>
      <c r="B8133" t="s">
        <v>291</v>
      </c>
      <c r="C8133">
        <v>155</v>
      </c>
      <c r="D8133" t="s">
        <v>216</v>
      </c>
      <c r="E8133" t="s">
        <v>103</v>
      </c>
      <c r="F8133" t="s">
        <v>103</v>
      </c>
      <c r="G8133" t="s">
        <v>103</v>
      </c>
      <c r="H8133" t="s">
        <v>103</v>
      </c>
      <c r="I8133" t="s">
        <v>103</v>
      </c>
      <c r="J8133" t="s">
        <v>103</v>
      </c>
      <c r="K8133" t="s">
        <v>103</v>
      </c>
      <c r="L8133" t="s">
        <v>103</v>
      </c>
      <c r="M8133" t="s">
        <v>103</v>
      </c>
      <c r="N8133" t="s">
        <v>103</v>
      </c>
      <c r="O8133" t="s">
        <v>98</v>
      </c>
      <c r="P8133" t="s">
        <v>103</v>
      </c>
      <c r="Q8133" t="s">
        <v>336</v>
      </c>
      <c r="R8133" t="s">
        <v>95</v>
      </c>
      <c r="S8133" t="s">
        <v>103</v>
      </c>
    </row>
    <row r="8134" spans="1:19" x14ac:dyDescent="0.3">
      <c r="A8134" t="s">
        <v>25</v>
      </c>
      <c r="B8134" t="s">
        <v>292</v>
      </c>
      <c r="C8134">
        <v>254</v>
      </c>
      <c r="D8134" t="s">
        <v>116</v>
      </c>
      <c r="E8134" t="s">
        <v>103</v>
      </c>
      <c r="F8134" t="s">
        <v>103</v>
      </c>
      <c r="G8134" t="s">
        <v>116</v>
      </c>
      <c r="H8134" t="s">
        <v>103</v>
      </c>
      <c r="I8134" t="s">
        <v>103</v>
      </c>
      <c r="J8134" t="s">
        <v>103</v>
      </c>
      <c r="K8134" t="s">
        <v>103</v>
      </c>
      <c r="L8134" t="s">
        <v>103</v>
      </c>
      <c r="M8134" t="s">
        <v>103</v>
      </c>
      <c r="N8134" t="s">
        <v>103</v>
      </c>
      <c r="O8134" t="s">
        <v>245</v>
      </c>
      <c r="P8134" t="s">
        <v>103</v>
      </c>
      <c r="Q8134" t="s">
        <v>880</v>
      </c>
      <c r="R8134" t="s">
        <v>103</v>
      </c>
      <c r="S8134" t="s">
        <v>116</v>
      </c>
    </row>
    <row r="8135" spans="1:19" x14ac:dyDescent="0.3">
      <c r="A8135" t="s">
        <v>25</v>
      </c>
      <c r="B8135" t="s">
        <v>308</v>
      </c>
      <c r="C8135">
        <v>4</v>
      </c>
      <c r="D8135" t="s">
        <v>103</v>
      </c>
      <c r="E8135" t="s">
        <v>103</v>
      </c>
      <c r="F8135" t="s">
        <v>103</v>
      </c>
      <c r="G8135" t="s">
        <v>103</v>
      </c>
      <c r="H8135" t="s">
        <v>103</v>
      </c>
      <c r="I8135" t="s">
        <v>103</v>
      </c>
      <c r="J8135" t="s">
        <v>103</v>
      </c>
      <c r="K8135" t="s">
        <v>103</v>
      </c>
      <c r="L8135" t="s">
        <v>103</v>
      </c>
      <c r="M8135" t="s">
        <v>103</v>
      </c>
      <c r="N8135" t="s">
        <v>103</v>
      </c>
      <c r="O8135" t="s">
        <v>103</v>
      </c>
      <c r="P8135" t="s">
        <v>103</v>
      </c>
      <c r="Q8135" t="s">
        <v>192</v>
      </c>
      <c r="R8135" t="s">
        <v>103</v>
      </c>
      <c r="S8135" t="s">
        <v>103</v>
      </c>
    </row>
    <row r="8136" spans="1:19" x14ac:dyDescent="0.3">
      <c r="A8136" t="s">
        <v>26</v>
      </c>
      <c r="B8136" t="s">
        <v>291</v>
      </c>
      <c r="C8136">
        <v>122</v>
      </c>
      <c r="D8136" t="s">
        <v>106</v>
      </c>
      <c r="E8136" t="s">
        <v>103</v>
      </c>
      <c r="F8136" t="s">
        <v>103</v>
      </c>
      <c r="G8136" t="s">
        <v>103</v>
      </c>
      <c r="H8136" t="s">
        <v>103</v>
      </c>
      <c r="I8136" t="s">
        <v>103</v>
      </c>
      <c r="J8136" t="s">
        <v>216</v>
      </c>
      <c r="K8136" t="s">
        <v>103</v>
      </c>
      <c r="L8136" t="s">
        <v>103</v>
      </c>
      <c r="M8136" t="s">
        <v>103</v>
      </c>
      <c r="N8136" t="s">
        <v>103</v>
      </c>
      <c r="O8136" t="s">
        <v>341</v>
      </c>
      <c r="P8136" t="s">
        <v>103</v>
      </c>
      <c r="Q8136" t="s">
        <v>1144</v>
      </c>
      <c r="R8136" t="s">
        <v>216</v>
      </c>
      <c r="S8136" t="s">
        <v>103</v>
      </c>
    </row>
    <row r="8137" spans="1:19" x14ac:dyDescent="0.3">
      <c r="A8137" t="s">
        <v>26</v>
      </c>
      <c r="B8137" t="s">
        <v>292</v>
      </c>
      <c r="C8137">
        <v>352</v>
      </c>
      <c r="D8137" t="s">
        <v>672</v>
      </c>
      <c r="E8137" t="s">
        <v>103</v>
      </c>
      <c r="F8137" t="s">
        <v>103</v>
      </c>
      <c r="G8137" t="s">
        <v>122</v>
      </c>
      <c r="H8137" t="s">
        <v>103</v>
      </c>
      <c r="I8137" t="s">
        <v>103</v>
      </c>
      <c r="J8137" t="s">
        <v>208</v>
      </c>
      <c r="K8137" t="s">
        <v>95</v>
      </c>
      <c r="L8137" t="s">
        <v>103</v>
      </c>
      <c r="M8137" t="s">
        <v>103</v>
      </c>
      <c r="N8137" t="s">
        <v>66</v>
      </c>
      <c r="O8137" t="s">
        <v>341</v>
      </c>
      <c r="P8137" t="s">
        <v>103</v>
      </c>
      <c r="Q8137" t="s">
        <v>252</v>
      </c>
      <c r="R8137" t="s">
        <v>194</v>
      </c>
      <c r="S8137" t="s">
        <v>103</v>
      </c>
    </row>
    <row r="8138" spans="1:19" x14ac:dyDescent="0.3">
      <c r="A8138" t="s">
        <v>26</v>
      </c>
      <c r="B8138" t="s">
        <v>308</v>
      </c>
      <c r="C8138">
        <v>3</v>
      </c>
      <c r="D8138" t="s">
        <v>784</v>
      </c>
      <c r="E8138" t="s">
        <v>103</v>
      </c>
      <c r="F8138" t="s">
        <v>103</v>
      </c>
      <c r="G8138" t="s">
        <v>103</v>
      </c>
      <c r="H8138" t="s">
        <v>103</v>
      </c>
      <c r="I8138" t="s">
        <v>103</v>
      </c>
      <c r="J8138" t="s">
        <v>103</v>
      </c>
      <c r="K8138" t="s">
        <v>103</v>
      </c>
      <c r="L8138" t="s">
        <v>103</v>
      </c>
      <c r="M8138" t="s">
        <v>103</v>
      </c>
      <c r="N8138" t="s">
        <v>103</v>
      </c>
      <c r="O8138" t="s">
        <v>103</v>
      </c>
      <c r="P8138" t="s">
        <v>103</v>
      </c>
      <c r="Q8138" t="s">
        <v>699</v>
      </c>
      <c r="R8138" t="s">
        <v>103</v>
      </c>
      <c r="S8138" t="s">
        <v>103</v>
      </c>
    </row>
    <row r="8139" spans="1:19" x14ac:dyDescent="0.3">
      <c r="A8139" t="s">
        <v>29</v>
      </c>
      <c r="B8139" t="s">
        <v>291</v>
      </c>
      <c r="C8139">
        <v>205</v>
      </c>
      <c r="D8139" t="s">
        <v>103</v>
      </c>
      <c r="E8139" t="s">
        <v>103</v>
      </c>
      <c r="F8139" t="s">
        <v>103</v>
      </c>
      <c r="G8139" t="s">
        <v>139</v>
      </c>
      <c r="H8139" t="s">
        <v>103</v>
      </c>
      <c r="I8139" t="s">
        <v>103</v>
      </c>
      <c r="J8139" t="s">
        <v>103</v>
      </c>
      <c r="K8139" t="s">
        <v>103</v>
      </c>
      <c r="L8139" t="s">
        <v>103</v>
      </c>
      <c r="M8139" t="s">
        <v>103</v>
      </c>
      <c r="N8139" t="s">
        <v>103</v>
      </c>
      <c r="O8139" t="s">
        <v>257</v>
      </c>
      <c r="P8139" t="s">
        <v>103</v>
      </c>
      <c r="Q8139" t="s">
        <v>861</v>
      </c>
      <c r="R8139" t="s">
        <v>120</v>
      </c>
      <c r="S8139" t="s">
        <v>122</v>
      </c>
    </row>
    <row r="8140" spans="1:19" x14ac:dyDescent="0.3">
      <c r="A8140" t="s">
        <v>29</v>
      </c>
      <c r="B8140" t="s">
        <v>292</v>
      </c>
      <c r="C8140">
        <v>325</v>
      </c>
      <c r="D8140" t="s">
        <v>116</v>
      </c>
      <c r="E8140" t="s">
        <v>103</v>
      </c>
      <c r="F8140" t="s">
        <v>103</v>
      </c>
      <c r="G8140" t="s">
        <v>120</v>
      </c>
      <c r="H8140" t="s">
        <v>103</v>
      </c>
      <c r="I8140" t="s">
        <v>103</v>
      </c>
      <c r="J8140" t="s">
        <v>116</v>
      </c>
      <c r="K8140" t="s">
        <v>116</v>
      </c>
      <c r="L8140" t="s">
        <v>103</v>
      </c>
      <c r="M8140" t="s">
        <v>103</v>
      </c>
      <c r="N8140" t="s">
        <v>103</v>
      </c>
      <c r="O8140" t="s">
        <v>591</v>
      </c>
      <c r="P8140" t="s">
        <v>103</v>
      </c>
      <c r="Q8140" t="s">
        <v>862</v>
      </c>
      <c r="R8140" t="s">
        <v>120</v>
      </c>
      <c r="S8140" t="s">
        <v>98</v>
      </c>
    </row>
    <row r="8141" spans="1:19" x14ac:dyDescent="0.3">
      <c r="A8141" t="s">
        <v>28</v>
      </c>
      <c r="B8141" t="s">
        <v>291</v>
      </c>
      <c r="C8141">
        <v>114</v>
      </c>
      <c r="D8141" t="s">
        <v>552</v>
      </c>
      <c r="E8141" t="s">
        <v>191</v>
      </c>
      <c r="F8141" t="s">
        <v>103</v>
      </c>
      <c r="G8141" t="s">
        <v>95</v>
      </c>
      <c r="H8141" t="s">
        <v>103</v>
      </c>
      <c r="I8141" t="s">
        <v>103</v>
      </c>
      <c r="J8141" t="s">
        <v>128</v>
      </c>
      <c r="K8141" t="s">
        <v>103</v>
      </c>
      <c r="L8141" t="s">
        <v>97</v>
      </c>
      <c r="M8141" t="s">
        <v>98</v>
      </c>
      <c r="N8141" t="s">
        <v>103</v>
      </c>
      <c r="O8141" t="s">
        <v>136</v>
      </c>
      <c r="P8141" t="s">
        <v>103</v>
      </c>
      <c r="Q8141" t="s">
        <v>1016</v>
      </c>
      <c r="R8141" t="s">
        <v>345</v>
      </c>
      <c r="S8141" t="s">
        <v>103</v>
      </c>
    </row>
    <row r="8142" spans="1:19" x14ac:dyDescent="0.3">
      <c r="A8142" t="s">
        <v>28</v>
      </c>
      <c r="B8142" t="s">
        <v>292</v>
      </c>
      <c r="C8142">
        <v>191</v>
      </c>
      <c r="D8142" t="s">
        <v>672</v>
      </c>
      <c r="E8142" t="s">
        <v>460</v>
      </c>
      <c r="F8142" t="s">
        <v>103</v>
      </c>
      <c r="G8142" t="s">
        <v>103</v>
      </c>
      <c r="H8142" t="s">
        <v>103</v>
      </c>
      <c r="I8142" t="s">
        <v>103</v>
      </c>
      <c r="J8142" t="s">
        <v>98</v>
      </c>
      <c r="K8142" t="s">
        <v>116</v>
      </c>
      <c r="L8142" t="s">
        <v>116</v>
      </c>
      <c r="M8142" t="s">
        <v>120</v>
      </c>
      <c r="N8142" t="s">
        <v>103</v>
      </c>
      <c r="O8142" t="s">
        <v>266</v>
      </c>
      <c r="P8142" t="s">
        <v>103</v>
      </c>
      <c r="Q8142" t="s">
        <v>618</v>
      </c>
      <c r="R8142" t="s">
        <v>266</v>
      </c>
      <c r="S8142" t="s">
        <v>97</v>
      </c>
    </row>
    <row r="8143" spans="1:19" x14ac:dyDescent="0.3">
      <c r="A8143" t="s">
        <v>28</v>
      </c>
      <c r="B8143" t="s">
        <v>308</v>
      </c>
      <c r="C8143">
        <v>12</v>
      </c>
      <c r="D8143" t="s">
        <v>103</v>
      </c>
      <c r="E8143" t="s">
        <v>103</v>
      </c>
      <c r="F8143" t="s">
        <v>103</v>
      </c>
      <c r="G8143" t="s">
        <v>103</v>
      </c>
      <c r="H8143" t="s">
        <v>103</v>
      </c>
      <c r="I8143" t="s">
        <v>103</v>
      </c>
      <c r="J8143" t="s">
        <v>103</v>
      </c>
      <c r="K8143" t="s">
        <v>103</v>
      </c>
      <c r="L8143" t="s">
        <v>103</v>
      </c>
      <c r="M8143" t="s">
        <v>103</v>
      </c>
      <c r="N8143" t="s">
        <v>103</v>
      </c>
      <c r="O8143" t="s">
        <v>103</v>
      </c>
      <c r="P8143" t="s">
        <v>482</v>
      </c>
      <c r="Q8143" t="s">
        <v>1134</v>
      </c>
      <c r="R8143" t="s">
        <v>103</v>
      </c>
      <c r="S8143" t="s">
        <v>103</v>
      </c>
    </row>
    <row r="8144" spans="1:19" x14ac:dyDescent="0.3">
      <c r="A8144" t="s">
        <v>27</v>
      </c>
      <c r="B8144" t="s">
        <v>291</v>
      </c>
      <c r="C8144">
        <v>95</v>
      </c>
      <c r="D8144" t="s">
        <v>1087</v>
      </c>
      <c r="E8144" t="s">
        <v>460</v>
      </c>
      <c r="F8144" t="s">
        <v>103</v>
      </c>
      <c r="G8144" t="s">
        <v>103</v>
      </c>
      <c r="H8144" t="s">
        <v>103</v>
      </c>
      <c r="I8144" t="s">
        <v>103</v>
      </c>
      <c r="J8144" t="s">
        <v>103</v>
      </c>
      <c r="K8144" t="s">
        <v>103</v>
      </c>
      <c r="L8144" t="s">
        <v>103</v>
      </c>
      <c r="M8144" t="s">
        <v>103</v>
      </c>
      <c r="N8144" t="s">
        <v>103</v>
      </c>
      <c r="O8144" t="s">
        <v>591</v>
      </c>
      <c r="P8144" t="s">
        <v>103</v>
      </c>
      <c r="Q8144" t="s">
        <v>583</v>
      </c>
      <c r="R8144" t="s">
        <v>126</v>
      </c>
      <c r="S8144" t="s">
        <v>103</v>
      </c>
    </row>
    <row r="8145" spans="1:19" x14ac:dyDescent="0.3">
      <c r="A8145" t="s">
        <v>27</v>
      </c>
      <c r="B8145" t="s">
        <v>292</v>
      </c>
      <c r="C8145">
        <v>198</v>
      </c>
      <c r="D8145" t="s">
        <v>1054</v>
      </c>
      <c r="E8145" t="s">
        <v>205</v>
      </c>
      <c r="F8145" t="s">
        <v>97</v>
      </c>
      <c r="G8145" t="s">
        <v>467</v>
      </c>
      <c r="H8145" t="s">
        <v>103</v>
      </c>
      <c r="I8145" t="s">
        <v>103</v>
      </c>
      <c r="J8145" t="s">
        <v>103</v>
      </c>
      <c r="K8145" t="s">
        <v>103</v>
      </c>
      <c r="L8145" t="s">
        <v>103</v>
      </c>
      <c r="M8145" t="s">
        <v>103</v>
      </c>
      <c r="N8145" t="s">
        <v>103</v>
      </c>
      <c r="O8145" t="s">
        <v>493</v>
      </c>
      <c r="P8145" t="s">
        <v>97</v>
      </c>
      <c r="Q8145" t="s">
        <v>538</v>
      </c>
      <c r="R8145" t="s">
        <v>282</v>
      </c>
      <c r="S8145" t="s">
        <v>103</v>
      </c>
    </row>
    <row r="8146" spans="1:19" x14ac:dyDescent="0.3">
      <c r="A8146" t="s">
        <v>27</v>
      </c>
      <c r="B8146" t="s">
        <v>308</v>
      </c>
      <c r="C8146">
        <v>7</v>
      </c>
      <c r="D8146" t="s">
        <v>605</v>
      </c>
      <c r="E8146" t="s">
        <v>103</v>
      </c>
      <c r="F8146" t="s">
        <v>103</v>
      </c>
      <c r="G8146" t="s">
        <v>103</v>
      </c>
      <c r="H8146" t="s">
        <v>103</v>
      </c>
      <c r="I8146" t="s">
        <v>103</v>
      </c>
      <c r="J8146" t="s">
        <v>103</v>
      </c>
      <c r="K8146" t="s">
        <v>103</v>
      </c>
      <c r="L8146" t="s">
        <v>103</v>
      </c>
      <c r="M8146" t="s">
        <v>103</v>
      </c>
      <c r="N8146" t="s">
        <v>103</v>
      </c>
      <c r="O8146" t="s">
        <v>103</v>
      </c>
      <c r="P8146" t="s">
        <v>103</v>
      </c>
      <c r="Q8146" t="s">
        <v>488</v>
      </c>
      <c r="R8146" t="s">
        <v>103</v>
      </c>
      <c r="S8146" t="s">
        <v>103</v>
      </c>
    </row>
    <row r="8147" spans="1:19" x14ac:dyDescent="0.3">
      <c r="A8147" t="s">
        <v>41</v>
      </c>
      <c r="B8147" t="s">
        <v>291</v>
      </c>
      <c r="C8147">
        <v>691</v>
      </c>
      <c r="D8147" t="s">
        <v>531</v>
      </c>
      <c r="E8147" t="s">
        <v>139</v>
      </c>
      <c r="F8147" t="s">
        <v>103</v>
      </c>
      <c r="G8147" t="s">
        <v>97</v>
      </c>
      <c r="H8147" t="s">
        <v>103</v>
      </c>
      <c r="I8147" t="s">
        <v>103</v>
      </c>
      <c r="J8147" t="s">
        <v>122</v>
      </c>
      <c r="K8147" t="s">
        <v>103</v>
      </c>
      <c r="L8147" t="s">
        <v>103</v>
      </c>
      <c r="M8147" t="s">
        <v>103</v>
      </c>
      <c r="N8147" t="s">
        <v>103</v>
      </c>
      <c r="O8147" t="s">
        <v>257</v>
      </c>
      <c r="P8147" t="s">
        <v>103</v>
      </c>
      <c r="Q8147" t="s">
        <v>818</v>
      </c>
      <c r="R8147" t="s">
        <v>345</v>
      </c>
      <c r="S8147" t="s">
        <v>66</v>
      </c>
    </row>
    <row r="8148" spans="1:19" x14ac:dyDescent="0.3">
      <c r="A8148" t="s">
        <v>41</v>
      </c>
      <c r="B8148" t="s">
        <v>292</v>
      </c>
      <c r="C8148">
        <v>1320</v>
      </c>
      <c r="D8148" t="s">
        <v>254</v>
      </c>
      <c r="E8148" t="s">
        <v>95</v>
      </c>
      <c r="F8148" t="s">
        <v>103</v>
      </c>
      <c r="G8148" t="s">
        <v>120</v>
      </c>
      <c r="H8148" t="s">
        <v>103</v>
      </c>
      <c r="I8148" t="s">
        <v>103</v>
      </c>
      <c r="J8148" t="s">
        <v>95</v>
      </c>
      <c r="K8148" t="s">
        <v>116</v>
      </c>
      <c r="L8148" t="s">
        <v>103</v>
      </c>
      <c r="M8148" t="s">
        <v>103</v>
      </c>
      <c r="N8148" t="s">
        <v>91</v>
      </c>
      <c r="O8148" t="s">
        <v>270</v>
      </c>
      <c r="P8148" t="s">
        <v>103</v>
      </c>
      <c r="Q8148" t="s">
        <v>596</v>
      </c>
      <c r="R8148" t="s">
        <v>139</v>
      </c>
      <c r="S8148" t="s">
        <v>97</v>
      </c>
    </row>
    <row r="8149" spans="1:19" x14ac:dyDescent="0.3">
      <c r="A8149" t="s">
        <v>41</v>
      </c>
      <c r="B8149" t="s">
        <v>308</v>
      </c>
      <c r="C8149">
        <v>26</v>
      </c>
      <c r="D8149" t="s">
        <v>699</v>
      </c>
      <c r="E8149" t="s">
        <v>103</v>
      </c>
      <c r="F8149" t="s">
        <v>103</v>
      </c>
      <c r="G8149" t="s">
        <v>103</v>
      </c>
      <c r="H8149" t="s">
        <v>103</v>
      </c>
      <c r="I8149" t="s">
        <v>103</v>
      </c>
      <c r="J8149" t="s">
        <v>103</v>
      </c>
      <c r="K8149" t="s">
        <v>103</v>
      </c>
      <c r="L8149" t="s">
        <v>103</v>
      </c>
      <c r="M8149" t="s">
        <v>103</v>
      </c>
      <c r="N8149" t="s">
        <v>103</v>
      </c>
      <c r="O8149" t="s">
        <v>103</v>
      </c>
      <c r="P8149" t="s">
        <v>217</v>
      </c>
      <c r="Q8149" t="s">
        <v>1243</v>
      </c>
      <c r="R8149" t="s">
        <v>103</v>
      </c>
      <c r="S8149" t="s">
        <v>103</v>
      </c>
    </row>
    <row r="8151" spans="1:19" x14ac:dyDescent="0.3">
      <c r="A8151" t="s">
        <v>2381</v>
      </c>
    </row>
    <row r="8152" spans="1:19" x14ac:dyDescent="0.3">
      <c r="A8152" t="s">
        <v>36</v>
      </c>
      <c r="B8152" t="s">
        <v>310</v>
      </c>
      <c r="C8152" t="s">
        <v>24</v>
      </c>
      <c r="D8152" t="s">
        <v>2370</v>
      </c>
      <c r="E8152" t="s">
        <v>2371</v>
      </c>
      <c r="F8152" t="s">
        <v>2372</v>
      </c>
      <c r="G8152" t="s">
        <v>2373</v>
      </c>
      <c r="H8152" t="s">
        <v>2374</v>
      </c>
      <c r="I8152" t="s">
        <v>2375</v>
      </c>
      <c r="J8152" t="s">
        <v>2376</v>
      </c>
      <c r="K8152" t="s">
        <v>2349</v>
      </c>
      <c r="L8152" t="s">
        <v>2351</v>
      </c>
      <c r="M8152" t="s">
        <v>2352</v>
      </c>
      <c r="N8152" t="s">
        <v>2377</v>
      </c>
      <c r="O8152" t="s">
        <v>2378</v>
      </c>
      <c r="P8152" t="s">
        <v>89</v>
      </c>
      <c r="Q8152" t="s">
        <v>2379</v>
      </c>
      <c r="R8152" t="s">
        <v>87</v>
      </c>
      <c r="S8152" t="s">
        <v>181</v>
      </c>
    </row>
    <row r="8153" spans="1:19" x14ac:dyDescent="0.3">
      <c r="A8153" t="s">
        <v>25</v>
      </c>
      <c r="B8153" t="s">
        <v>311</v>
      </c>
      <c r="C8153">
        <v>323</v>
      </c>
      <c r="D8153" t="s">
        <v>66</v>
      </c>
      <c r="E8153" t="s">
        <v>103</v>
      </c>
      <c r="F8153" t="s">
        <v>103</v>
      </c>
      <c r="G8153" t="s">
        <v>103</v>
      </c>
      <c r="H8153" t="s">
        <v>103</v>
      </c>
      <c r="I8153" t="s">
        <v>103</v>
      </c>
      <c r="J8153" t="s">
        <v>103</v>
      </c>
      <c r="K8153" t="s">
        <v>103</v>
      </c>
      <c r="L8153" t="s">
        <v>103</v>
      </c>
      <c r="M8153" t="s">
        <v>103</v>
      </c>
      <c r="N8153" t="s">
        <v>103</v>
      </c>
      <c r="O8153" t="s">
        <v>468</v>
      </c>
      <c r="P8153" t="s">
        <v>103</v>
      </c>
      <c r="Q8153" t="s">
        <v>1471</v>
      </c>
      <c r="R8153" t="s">
        <v>116</v>
      </c>
      <c r="S8153" t="s">
        <v>103</v>
      </c>
    </row>
    <row r="8154" spans="1:19" x14ac:dyDescent="0.3">
      <c r="A8154" t="s">
        <v>25</v>
      </c>
      <c r="B8154" t="s">
        <v>312</v>
      </c>
      <c r="C8154">
        <v>80</v>
      </c>
      <c r="D8154" t="s">
        <v>438</v>
      </c>
      <c r="E8154" t="s">
        <v>103</v>
      </c>
      <c r="F8154" t="s">
        <v>103</v>
      </c>
      <c r="G8154" t="s">
        <v>282</v>
      </c>
      <c r="H8154" t="s">
        <v>103</v>
      </c>
      <c r="I8154" t="s">
        <v>103</v>
      </c>
      <c r="J8154" t="s">
        <v>103</v>
      </c>
      <c r="K8154" t="s">
        <v>103</v>
      </c>
      <c r="L8154" t="s">
        <v>103</v>
      </c>
      <c r="M8154" t="s">
        <v>103</v>
      </c>
      <c r="N8154" t="s">
        <v>103</v>
      </c>
      <c r="O8154" t="s">
        <v>118</v>
      </c>
      <c r="P8154" t="s">
        <v>103</v>
      </c>
      <c r="Q8154" t="s">
        <v>590</v>
      </c>
      <c r="R8154" t="s">
        <v>103</v>
      </c>
      <c r="S8154" t="s">
        <v>98</v>
      </c>
    </row>
    <row r="8155" spans="1:19" x14ac:dyDescent="0.3">
      <c r="A8155" t="s">
        <v>25</v>
      </c>
      <c r="B8155" t="s">
        <v>308</v>
      </c>
      <c r="C8155">
        <v>10</v>
      </c>
      <c r="D8155" t="s">
        <v>103</v>
      </c>
      <c r="E8155" t="s">
        <v>103</v>
      </c>
      <c r="F8155" t="s">
        <v>103</v>
      </c>
      <c r="G8155" t="s">
        <v>103</v>
      </c>
      <c r="H8155" t="s">
        <v>103</v>
      </c>
      <c r="I8155" t="s">
        <v>103</v>
      </c>
      <c r="J8155" t="s">
        <v>103</v>
      </c>
      <c r="K8155" t="s">
        <v>103</v>
      </c>
      <c r="L8155" t="s">
        <v>103</v>
      </c>
      <c r="M8155" t="s">
        <v>103</v>
      </c>
      <c r="N8155" t="s">
        <v>103</v>
      </c>
      <c r="O8155" t="s">
        <v>103</v>
      </c>
      <c r="P8155" t="s">
        <v>103</v>
      </c>
      <c r="Q8155" t="s">
        <v>192</v>
      </c>
      <c r="R8155" t="s">
        <v>103</v>
      </c>
      <c r="S8155" t="s">
        <v>103</v>
      </c>
    </row>
    <row r="8156" spans="1:19" x14ac:dyDescent="0.3">
      <c r="A8156" t="s">
        <v>26</v>
      </c>
      <c r="B8156" t="s">
        <v>311</v>
      </c>
      <c r="C8156">
        <v>343</v>
      </c>
      <c r="D8156" t="s">
        <v>479</v>
      </c>
      <c r="E8156" t="s">
        <v>103</v>
      </c>
      <c r="F8156" t="s">
        <v>103</v>
      </c>
      <c r="G8156" t="s">
        <v>122</v>
      </c>
      <c r="H8156" t="s">
        <v>103</v>
      </c>
      <c r="I8156" t="s">
        <v>103</v>
      </c>
      <c r="J8156" t="s">
        <v>208</v>
      </c>
      <c r="K8156" t="s">
        <v>95</v>
      </c>
      <c r="L8156" t="s">
        <v>103</v>
      </c>
      <c r="M8156" t="s">
        <v>103</v>
      </c>
      <c r="N8156" t="s">
        <v>103</v>
      </c>
      <c r="O8156" t="s">
        <v>128</v>
      </c>
      <c r="P8156" t="s">
        <v>103</v>
      </c>
      <c r="Q8156" t="s">
        <v>1441</v>
      </c>
      <c r="R8156" t="s">
        <v>239</v>
      </c>
      <c r="S8156" t="s">
        <v>103</v>
      </c>
    </row>
    <row r="8157" spans="1:19" x14ac:dyDescent="0.3">
      <c r="A8157" t="s">
        <v>26</v>
      </c>
      <c r="B8157" t="s">
        <v>312</v>
      </c>
      <c r="C8157">
        <v>96</v>
      </c>
      <c r="D8157" t="s">
        <v>142</v>
      </c>
      <c r="E8157" t="s">
        <v>103</v>
      </c>
      <c r="F8157" t="s">
        <v>103</v>
      </c>
      <c r="G8157" t="s">
        <v>103</v>
      </c>
      <c r="H8157" t="s">
        <v>103</v>
      </c>
      <c r="I8157" t="s">
        <v>103</v>
      </c>
      <c r="J8157" t="s">
        <v>93</v>
      </c>
      <c r="K8157" t="s">
        <v>103</v>
      </c>
      <c r="L8157" t="s">
        <v>103</v>
      </c>
      <c r="M8157" t="s">
        <v>103</v>
      </c>
      <c r="N8157" t="s">
        <v>282</v>
      </c>
      <c r="O8157" t="s">
        <v>345</v>
      </c>
      <c r="P8157" t="s">
        <v>103</v>
      </c>
      <c r="Q8157" t="s">
        <v>1378</v>
      </c>
      <c r="R8157" t="s">
        <v>103</v>
      </c>
      <c r="S8157" t="s">
        <v>103</v>
      </c>
    </row>
    <row r="8158" spans="1:19" x14ac:dyDescent="0.3">
      <c r="A8158" t="s">
        <v>26</v>
      </c>
      <c r="B8158" t="s">
        <v>308</v>
      </c>
      <c r="C8158">
        <v>38</v>
      </c>
      <c r="D8158" t="s">
        <v>495</v>
      </c>
      <c r="E8158" t="s">
        <v>103</v>
      </c>
      <c r="F8158" t="s">
        <v>103</v>
      </c>
      <c r="G8158" t="s">
        <v>103</v>
      </c>
      <c r="H8158" t="s">
        <v>103</v>
      </c>
      <c r="I8158" t="s">
        <v>103</v>
      </c>
      <c r="J8158" t="s">
        <v>103</v>
      </c>
      <c r="K8158" t="s">
        <v>103</v>
      </c>
      <c r="L8158" t="s">
        <v>103</v>
      </c>
      <c r="M8158" t="s">
        <v>103</v>
      </c>
      <c r="N8158" t="s">
        <v>103</v>
      </c>
      <c r="O8158" t="s">
        <v>103</v>
      </c>
      <c r="P8158" t="s">
        <v>103</v>
      </c>
      <c r="Q8158" t="s">
        <v>1144</v>
      </c>
      <c r="R8158" t="s">
        <v>467</v>
      </c>
      <c r="S8158" t="s">
        <v>103</v>
      </c>
    </row>
    <row r="8159" spans="1:19" x14ac:dyDescent="0.3">
      <c r="A8159" t="s">
        <v>29</v>
      </c>
      <c r="B8159" t="s">
        <v>311</v>
      </c>
      <c r="C8159">
        <v>414</v>
      </c>
      <c r="D8159" t="s">
        <v>66</v>
      </c>
      <c r="E8159" t="s">
        <v>103</v>
      </c>
      <c r="F8159" t="s">
        <v>103</v>
      </c>
      <c r="G8159" t="s">
        <v>98</v>
      </c>
      <c r="H8159" t="s">
        <v>103</v>
      </c>
      <c r="I8159" t="s">
        <v>103</v>
      </c>
      <c r="J8159" t="s">
        <v>103</v>
      </c>
      <c r="K8159" t="s">
        <v>66</v>
      </c>
      <c r="L8159" t="s">
        <v>103</v>
      </c>
      <c r="M8159" t="s">
        <v>103</v>
      </c>
      <c r="N8159" t="s">
        <v>103</v>
      </c>
      <c r="O8159" t="s">
        <v>68</v>
      </c>
      <c r="P8159" t="s">
        <v>103</v>
      </c>
      <c r="Q8159" t="s">
        <v>597</v>
      </c>
      <c r="R8159" t="s">
        <v>95</v>
      </c>
      <c r="S8159" t="s">
        <v>95</v>
      </c>
    </row>
    <row r="8160" spans="1:19" x14ac:dyDescent="0.3">
      <c r="A8160" t="s">
        <v>29</v>
      </c>
      <c r="B8160" t="s">
        <v>312</v>
      </c>
      <c r="C8160">
        <v>103</v>
      </c>
      <c r="D8160" t="s">
        <v>103</v>
      </c>
      <c r="E8160" t="s">
        <v>103</v>
      </c>
      <c r="F8160" t="s">
        <v>103</v>
      </c>
      <c r="G8160" t="s">
        <v>103</v>
      </c>
      <c r="H8160" t="s">
        <v>103</v>
      </c>
      <c r="I8160" t="s">
        <v>103</v>
      </c>
      <c r="J8160" t="s">
        <v>282</v>
      </c>
      <c r="K8160" t="s">
        <v>103</v>
      </c>
      <c r="L8160" t="s">
        <v>103</v>
      </c>
      <c r="M8160" t="s">
        <v>103</v>
      </c>
      <c r="N8160" t="s">
        <v>103</v>
      </c>
      <c r="O8160" t="s">
        <v>278</v>
      </c>
      <c r="P8160" t="s">
        <v>103</v>
      </c>
      <c r="Q8160" t="s">
        <v>1027</v>
      </c>
      <c r="R8160" t="s">
        <v>116</v>
      </c>
      <c r="S8160" t="s">
        <v>91</v>
      </c>
    </row>
    <row r="8161" spans="1:19" x14ac:dyDescent="0.3">
      <c r="A8161" t="s">
        <v>29</v>
      </c>
      <c r="B8161" t="s">
        <v>308</v>
      </c>
      <c r="C8161">
        <v>13</v>
      </c>
      <c r="D8161" t="s">
        <v>103</v>
      </c>
      <c r="E8161" t="s">
        <v>103</v>
      </c>
      <c r="F8161" t="s">
        <v>103</v>
      </c>
      <c r="G8161" t="s">
        <v>103</v>
      </c>
      <c r="H8161" t="s">
        <v>103</v>
      </c>
      <c r="I8161" t="s">
        <v>103</v>
      </c>
      <c r="J8161" t="s">
        <v>103</v>
      </c>
      <c r="K8161" t="s">
        <v>103</v>
      </c>
      <c r="L8161" t="s">
        <v>103</v>
      </c>
      <c r="M8161" t="s">
        <v>103</v>
      </c>
      <c r="N8161" t="s">
        <v>103</v>
      </c>
      <c r="O8161" t="s">
        <v>103</v>
      </c>
      <c r="P8161" t="s">
        <v>103</v>
      </c>
      <c r="Q8161" t="s">
        <v>633</v>
      </c>
      <c r="R8161" t="s">
        <v>103</v>
      </c>
      <c r="S8161" t="s">
        <v>594</v>
      </c>
    </row>
    <row r="8162" spans="1:19" x14ac:dyDescent="0.3">
      <c r="A8162" t="s">
        <v>28</v>
      </c>
      <c r="B8162" t="s">
        <v>311</v>
      </c>
      <c r="C8162">
        <v>223</v>
      </c>
      <c r="D8162" t="s">
        <v>579</v>
      </c>
      <c r="E8162" t="s">
        <v>101</v>
      </c>
      <c r="F8162" t="s">
        <v>103</v>
      </c>
      <c r="G8162" t="s">
        <v>103</v>
      </c>
      <c r="H8162" t="s">
        <v>103</v>
      </c>
      <c r="I8162" t="s">
        <v>103</v>
      </c>
      <c r="J8162" t="s">
        <v>208</v>
      </c>
      <c r="K8162" t="s">
        <v>116</v>
      </c>
      <c r="L8162" t="s">
        <v>97</v>
      </c>
      <c r="M8162" t="s">
        <v>282</v>
      </c>
      <c r="N8162" t="s">
        <v>103</v>
      </c>
      <c r="O8162" t="s">
        <v>558</v>
      </c>
      <c r="P8162" t="s">
        <v>97</v>
      </c>
      <c r="Q8162" t="s">
        <v>602</v>
      </c>
      <c r="R8162" t="s">
        <v>245</v>
      </c>
      <c r="S8162" t="s">
        <v>103</v>
      </c>
    </row>
    <row r="8163" spans="1:19" x14ac:dyDescent="0.3">
      <c r="A8163" t="s">
        <v>28</v>
      </c>
      <c r="B8163" t="s">
        <v>312</v>
      </c>
      <c r="C8163">
        <v>93</v>
      </c>
      <c r="D8163" t="s">
        <v>646</v>
      </c>
      <c r="E8163" t="s">
        <v>543</v>
      </c>
      <c r="F8163" t="s">
        <v>103</v>
      </c>
      <c r="G8163" t="s">
        <v>282</v>
      </c>
      <c r="H8163" t="s">
        <v>103</v>
      </c>
      <c r="I8163" t="s">
        <v>103</v>
      </c>
      <c r="J8163" t="s">
        <v>103</v>
      </c>
      <c r="K8163" t="s">
        <v>103</v>
      </c>
      <c r="L8163" t="s">
        <v>103</v>
      </c>
      <c r="M8163" t="s">
        <v>103</v>
      </c>
      <c r="N8163" t="s">
        <v>103</v>
      </c>
      <c r="O8163" t="s">
        <v>452</v>
      </c>
      <c r="P8163" t="s">
        <v>103</v>
      </c>
      <c r="Q8163" t="s">
        <v>1362</v>
      </c>
      <c r="R8163" t="s">
        <v>266</v>
      </c>
      <c r="S8163" t="s">
        <v>345</v>
      </c>
    </row>
    <row r="8164" spans="1:19" x14ac:dyDescent="0.3">
      <c r="A8164" t="s">
        <v>28</v>
      </c>
      <c r="B8164" t="s">
        <v>308</v>
      </c>
      <c r="C8164">
        <v>1</v>
      </c>
      <c r="D8164" t="s">
        <v>103</v>
      </c>
      <c r="E8164" t="s">
        <v>103</v>
      </c>
      <c r="F8164" t="s">
        <v>103</v>
      </c>
      <c r="G8164" t="s">
        <v>103</v>
      </c>
      <c r="H8164" t="s">
        <v>103</v>
      </c>
      <c r="I8164" t="s">
        <v>103</v>
      </c>
      <c r="J8164" t="s">
        <v>103</v>
      </c>
      <c r="K8164" t="s">
        <v>103</v>
      </c>
      <c r="L8164" t="s">
        <v>103</v>
      </c>
      <c r="M8164" t="s">
        <v>103</v>
      </c>
      <c r="N8164" t="s">
        <v>103</v>
      </c>
      <c r="O8164" t="s">
        <v>103</v>
      </c>
      <c r="P8164" t="s">
        <v>103</v>
      </c>
      <c r="Q8164" t="s">
        <v>192</v>
      </c>
      <c r="R8164" t="s">
        <v>103</v>
      </c>
      <c r="S8164" t="s">
        <v>103</v>
      </c>
    </row>
    <row r="8165" spans="1:19" x14ac:dyDescent="0.3">
      <c r="A8165" t="s">
        <v>27</v>
      </c>
      <c r="B8165" t="s">
        <v>311</v>
      </c>
      <c r="C8165">
        <v>237</v>
      </c>
      <c r="D8165" t="s">
        <v>1024</v>
      </c>
      <c r="E8165" t="s">
        <v>571</v>
      </c>
      <c r="F8165" t="s">
        <v>122</v>
      </c>
      <c r="G8165" t="s">
        <v>266</v>
      </c>
      <c r="H8165" t="s">
        <v>103</v>
      </c>
      <c r="I8165" t="s">
        <v>103</v>
      </c>
      <c r="J8165" t="s">
        <v>103</v>
      </c>
      <c r="K8165" t="s">
        <v>103</v>
      </c>
      <c r="L8165" t="s">
        <v>103</v>
      </c>
      <c r="M8165" t="s">
        <v>103</v>
      </c>
      <c r="N8165" t="s">
        <v>103</v>
      </c>
      <c r="O8165" t="s">
        <v>532</v>
      </c>
      <c r="P8165" t="s">
        <v>122</v>
      </c>
      <c r="Q8165" t="s">
        <v>573</v>
      </c>
      <c r="R8165" t="s">
        <v>270</v>
      </c>
      <c r="S8165" t="s">
        <v>103</v>
      </c>
    </row>
    <row r="8166" spans="1:19" x14ac:dyDescent="0.3">
      <c r="A8166" t="s">
        <v>27</v>
      </c>
      <c r="B8166" t="s">
        <v>312</v>
      </c>
      <c r="C8166">
        <v>60</v>
      </c>
      <c r="D8166" t="s">
        <v>413</v>
      </c>
      <c r="E8166" t="s">
        <v>107</v>
      </c>
      <c r="F8166" t="s">
        <v>103</v>
      </c>
      <c r="G8166" t="s">
        <v>103</v>
      </c>
      <c r="H8166" t="s">
        <v>103</v>
      </c>
      <c r="I8166" t="s">
        <v>103</v>
      </c>
      <c r="J8166" t="s">
        <v>103</v>
      </c>
      <c r="K8166" t="s">
        <v>103</v>
      </c>
      <c r="L8166" t="s">
        <v>103</v>
      </c>
      <c r="M8166" t="s">
        <v>103</v>
      </c>
      <c r="N8166" t="s">
        <v>103</v>
      </c>
      <c r="O8166" t="s">
        <v>103</v>
      </c>
      <c r="P8166" t="s">
        <v>103</v>
      </c>
      <c r="Q8166" t="s">
        <v>424</v>
      </c>
      <c r="R8166" t="s">
        <v>467</v>
      </c>
      <c r="S8166" t="s">
        <v>103</v>
      </c>
    </row>
    <row r="8167" spans="1:19" x14ac:dyDescent="0.3">
      <c r="A8167" t="s">
        <v>27</v>
      </c>
      <c r="B8167" t="s">
        <v>308</v>
      </c>
      <c r="C8167">
        <v>3</v>
      </c>
      <c r="D8167" t="s">
        <v>527</v>
      </c>
      <c r="E8167" t="s">
        <v>103</v>
      </c>
      <c r="F8167" t="s">
        <v>103</v>
      </c>
      <c r="G8167" t="s">
        <v>103</v>
      </c>
      <c r="H8167" t="s">
        <v>103</v>
      </c>
      <c r="I8167" t="s">
        <v>103</v>
      </c>
      <c r="J8167" t="s">
        <v>103</v>
      </c>
      <c r="K8167" t="s">
        <v>103</v>
      </c>
      <c r="L8167" t="s">
        <v>103</v>
      </c>
      <c r="M8167" t="s">
        <v>103</v>
      </c>
      <c r="N8167" t="s">
        <v>103</v>
      </c>
      <c r="O8167" t="s">
        <v>103</v>
      </c>
      <c r="P8167" t="s">
        <v>103</v>
      </c>
      <c r="Q8167" t="s">
        <v>943</v>
      </c>
      <c r="R8167" t="s">
        <v>103</v>
      </c>
      <c r="S8167" t="s">
        <v>103</v>
      </c>
    </row>
    <row r="8168" spans="1:19" x14ac:dyDescent="0.3">
      <c r="A8168" t="s">
        <v>41</v>
      </c>
      <c r="B8168" t="s">
        <v>311</v>
      </c>
      <c r="C8168">
        <v>1540</v>
      </c>
      <c r="D8168" t="s">
        <v>108</v>
      </c>
      <c r="E8168" t="s">
        <v>139</v>
      </c>
      <c r="F8168" t="s">
        <v>103</v>
      </c>
      <c r="G8168" t="s">
        <v>120</v>
      </c>
      <c r="H8168" t="s">
        <v>103</v>
      </c>
      <c r="I8168" t="s">
        <v>103</v>
      </c>
      <c r="J8168" t="s">
        <v>97</v>
      </c>
      <c r="K8168" t="s">
        <v>116</v>
      </c>
      <c r="L8168" t="s">
        <v>103</v>
      </c>
      <c r="M8168" t="s">
        <v>103</v>
      </c>
      <c r="N8168" t="s">
        <v>103</v>
      </c>
      <c r="O8168" t="s">
        <v>266</v>
      </c>
      <c r="P8168" t="s">
        <v>103</v>
      </c>
      <c r="Q8168" t="s">
        <v>153</v>
      </c>
      <c r="R8168" t="s">
        <v>282</v>
      </c>
      <c r="S8168" t="s">
        <v>116</v>
      </c>
    </row>
    <row r="8169" spans="1:19" x14ac:dyDescent="0.3">
      <c r="A8169" t="s">
        <v>41</v>
      </c>
      <c r="B8169" t="s">
        <v>312</v>
      </c>
      <c r="C8169">
        <v>432</v>
      </c>
      <c r="D8169" t="s">
        <v>737</v>
      </c>
      <c r="E8169" t="s">
        <v>98</v>
      </c>
      <c r="F8169" t="s">
        <v>103</v>
      </c>
      <c r="G8169" t="s">
        <v>116</v>
      </c>
      <c r="H8169" t="s">
        <v>103</v>
      </c>
      <c r="I8169" t="s">
        <v>103</v>
      </c>
      <c r="J8169" t="s">
        <v>282</v>
      </c>
      <c r="K8169" t="s">
        <v>103</v>
      </c>
      <c r="L8169" t="s">
        <v>103</v>
      </c>
      <c r="M8169" t="s">
        <v>103</v>
      </c>
      <c r="N8169" t="s">
        <v>66</v>
      </c>
      <c r="O8169" t="s">
        <v>102</v>
      </c>
      <c r="P8169" t="s">
        <v>103</v>
      </c>
      <c r="Q8169" t="s">
        <v>168</v>
      </c>
      <c r="R8169" t="s">
        <v>97</v>
      </c>
      <c r="S8169" t="s">
        <v>116</v>
      </c>
    </row>
    <row r="8170" spans="1:19" x14ac:dyDescent="0.3">
      <c r="A8170" t="s">
        <v>41</v>
      </c>
      <c r="B8170" t="s">
        <v>308</v>
      </c>
      <c r="C8170">
        <v>65</v>
      </c>
      <c r="D8170" t="s">
        <v>549</v>
      </c>
      <c r="E8170" t="s">
        <v>103</v>
      </c>
      <c r="F8170" t="s">
        <v>103</v>
      </c>
      <c r="G8170" t="s">
        <v>103</v>
      </c>
      <c r="H8170" t="s">
        <v>103</v>
      </c>
      <c r="I8170" t="s">
        <v>103</v>
      </c>
      <c r="J8170" t="s">
        <v>103</v>
      </c>
      <c r="K8170" t="s">
        <v>103</v>
      </c>
      <c r="L8170" t="s">
        <v>103</v>
      </c>
      <c r="M8170" t="s">
        <v>103</v>
      </c>
      <c r="N8170" t="s">
        <v>103</v>
      </c>
      <c r="O8170" t="s">
        <v>103</v>
      </c>
      <c r="P8170" t="s">
        <v>103</v>
      </c>
      <c r="Q8170" t="s">
        <v>613</v>
      </c>
      <c r="R8170" t="s">
        <v>341</v>
      </c>
      <c r="S8170" t="s">
        <v>245</v>
      </c>
    </row>
    <row r="8172" spans="1:19" x14ac:dyDescent="0.3">
      <c r="A8172" t="s">
        <v>2382</v>
      </c>
    </row>
    <row r="8173" spans="1:19" x14ac:dyDescent="0.3">
      <c r="A8173" t="s">
        <v>36</v>
      </c>
      <c r="B8173" t="s">
        <v>197</v>
      </c>
      <c r="C8173" t="s">
        <v>24</v>
      </c>
      <c r="D8173" t="s">
        <v>2370</v>
      </c>
      <c r="E8173" t="s">
        <v>2371</v>
      </c>
      <c r="F8173" t="s">
        <v>2372</v>
      </c>
      <c r="G8173" t="s">
        <v>2373</v>
      </c>
      <c r="H8173" t="s">
        <v>2374</v>
      </c>
      <c r="I8173" t="s">
        <v>2375</v>
      </c>
      <c r="J8173" t="s">
        <v>2376</v>
      </c>
      <c r="K8173" t="s">
        <v>2349</v>
      </c>
      <c r="L8173" t="s">
        <v>2351</v>
      </c>
      <c r="M8173" t="s">
        <v>2352</v>
      </c>
      <c r="N8173" t="s">
        <v>2377</v>
      </c>
      <c r="O8173" t="s">
        <v>2378</v>
      </c>
      <c r="P8173" t="s">
        <v>89</v>
      </c>
      <c r="Q8173" t="s">
        <v>2379</v>
      </c>
      <c r="R8173" t="s">
        <v>87</v>
      </c>
      <c r="S8173" t="s">
        <v>181</v>
      </c>
    </row>
    <row r="8174" spans="1:19" x14ac:dyDescent="0.3">
      <c r="A8174" t="s">
        <v>25</v>
      </c>
      <c r="B8174" t="s">
        <v>198</v>
      </c>
      <c r="C8174">
        <v>104</v>
      </c>
      <c r="D8174" t="s">
        <v>103</v>
      </c>
      <c r="E8174" t="s">
        <v>103</v>
      </c>
      <c r="F8174" t="s">
        <v>103</v>
      </c>
      <c r="G8174" t="s">
        <v>98</v>
      </c>
      <c r="H8174" t="s">
        <v>103</v>
      </c>
      <c r="I8174" t="s">
        <v>103</v>
      </c>
      <c r="J8174" t="s">
        <v>103</v>
      </c>
      <c r="K8174" t="s">
        <v>103</v>
      </c>
      <c r="L8174" t="s">
        <v>103</v>
      </c>
      <c r="M8174" t="s">
        <v>103</v>
      </c>
      <c r="N8174" t="s">
        <v>103</v>
      </c>
      <c r="O8174" t="s">
        <v>105</v>
      </c>
      <c r="P8174" t="s">
        <v>103</v>
      </c>
      <c r="Q8174" t="s">
        <v>840</v>
      </c>
      <c r="R8174" t="s">
        <v>103</v>
      </c>
      <c r="S8174" t="s">
        <v>95</v>
      </c>
    </row>
    <row r="8175" spans="1:19" x14ac:dyDescent="0.3">
      <c r="A8175" t="s">
        <v>25</v>
      </c>
      <c r="B8175" t="s">
        <v>199</v>
      </c>
      <c r="C8175">
        <v>309</v>
      </c>
      <c r="D8175" t="s">
        <v>282</v>
      </c>
      <c r="E8175" t="s">
        <v>103</v>
      </c>
      <c r="F8175" t="s">
        <v>103</v>
      </c>
      <c r="G8175" t="s">
        <v>103</v>
      </c>
      <c r="H8175" t="s">
        <v>103</v>
      </c>
      <c r="I8175" t="s">
        <v>103</v>
      </c>
      <c r="J8175" t="s">
        <v>103</v>
      </c>
      <c r="K8175" t="s">
        <v>103</v>
      </c>
      <c r="L8175" t="s">
        <v>103</v>
      </c>
      <c r="M8175" t="s">
        <v>103</v>
      </c>
      <c r="N8175" t="s">
        <v>103</v>
      </c>
      <c r="O8175" t="s">
        <v>194</v>
      </c>
      <c r="P8175" t="s">
        <v>103</v>
      </c>
      <c r="Q8175" t="s">
        <v>768</v>
      </c>
      <c r="R8175" t="s">
        <v>116</v>
      </c>
      <c r="S8175" t="s">
        <v>103</v>
      </c>
    </row>
    <row r="8176" spans="1:19" x14ac:dyDescent="0.3">
      <c r="A8176" t="s">
        <v>26</v>
      </c>
      <c r="B8176" t="s">
        <v>198</v>
      </c>
      <c r="C8176">
        <v>41</v>
      </c>
      <c r="D8176" t="s">
        <v>536</v>
      </c>
      <c r="E8176" t="s">
        <v>103</v>
      </c>
      <c r="F8176" t="s">
        <v>103</v>
      </c>
      <c r="G8176" t="s">
        <v>103</v>
      </c>
      <c r="H8176" t="s">
        <v>103</v>
      </c>
      <c r="I8176" t="s">
        <v>103</v>
      </c>
      <c r="J8176" t="s">
        <v>118</v>
      </c>
      <c r="K8176" t="s">
        <v>103</v>
      </c>
      <c r="L8176" t="s">
        <v>103</v>
      </c>
      <c r="M8176" t="s">
        <v>103</v>
      </c>
      <c r="N8176" t="s">
        <v>103</v>
      </c>
      <c r="O8176" t="s">
        <v>120</v>
      </c>
      <c r="P8176" t="s">
        <v>103</v>
      </c>
      <c r="Q8176" t="s">
        <v>1022</v>
      </c>
      <c r="R8176" t="s">
        <v>118</v>
      </c>
      <c r="S8176" t="s">
        <v>103</v>
      </c>
    </row>
    <row r="8177" spans="1:19" x14ac:dyDescent="0.3">
      <c r="A8177" t="s">
        <v>26</v>
      </c>
      <c r="B8177" t="s">
        <v>199</v>
      </c>
      <c r="C8177">
        <v>436</v>
      </c>
      <c r="D8177" t="s">
        <v>727</v>
      </c>
      <c r="E8177" t="s">
        <v>103</v>
      </c>
      <c r="F8177" t="s">
        <v>103</v>
      </c>
      <c r="G8177" t="s">
        <v>116</v>
      </c>
      <c r="H8177" t="s">
        <v>103</v>
      </c>
      <c r="I8177" t="s">
        <v>103</v>
      </c>
      <c r="J8177" t="s">
        <v>105</v>
      </c>
      <c r="K8177" t="s">
        <v>97</v>
      </c>
      <c r="L8177" t="s">
        <v>103</v>
      </c>
      <c r="M8177" t="s">
        <v>103</v>
      </c>
      <c r="N8177" t="s">
        <v>66</v>
      </c>
      <c r="O8177" t="s">
        <v>341</v>
      </c>
      <c r="P8177" t="s">
        <v>103</v>
      </c>
      <c r="Q8177" t="s">
        <v>755</v>
      </c>
      <c r="R8177" t="s">
        <v>194</v>
      </c>
      <c r="S8177" t="s">
        <v>103</v>
      </c>
    </row>
    <row r="8178" spans="1:19" x14ac:dyDescent="0.3">
      <c r="A8178" t="s">
        <v>29</v>
      </c>
      <c r="B8178" t="s">
        <v>198</v>
      </c>
      <c r="C8178">
        <v>170</v>
      </c>
      <c r="D8178" t="s">
        <v>103</v>
      </c>
      <c r="E8178" t="s">
        <v>103</v>
      </c>
      <c r="F8178" t="s">
        <v>103</v>
      </c>
      <c r="G8178" t="s">
        <v>103</v>
      </c>
      <c r="H8178" t="s">
        <v>103</v>
      </c>
      <c r="I8178" t="s">
        <v>103</v>
      </c>
      <c r="J8178" t="s">
        <v>103</v>
      </c>
      <c r="K8178" t="s">
        <v>97</v>
      </c>
      <c r="L8178" t="s">
        <v>103</v>
      </c>
      <c r="M8178" t="s">
        <v>103</v>
      </c>
      <c r="N8178" t="s">
        <v>103</v>
      </c>
      <c r="O8178" t="s">
        <v>139</v>
      </c>
      <c r="P8178" t="s">
        <v>103</v>
      </c>
      <c r="Q8178" t="s">
        <v>1633</v>
      </c>
      <c r="R8178" t="s">
        <v>282</v>
      </c>
      <c r="S8178" t="s">
        <v>110</v>
      </c>
    </row>
    <row r="8179" spans="1:19" x14ac:dyDescent="0.3">
      <c r="A8179" t="s">
        <v>29</v>
      </c>
      <c r="B8179" t="s">
        <v>199</v>
      </c>
      <c r="C8179">
        <v>360</v>
      </c>
      <c r="D8179" t="s">
        <v>66</v>
      </c>
      <c r="E8179" t="s">
        <v>103</v>
      </c>
      <c r="F8179" t="s">
        <v>103</v>
      </c>
      <c r="G8179" t="s">
        <v>282</v>
      </c>
      <c r="H8179" t="s">
        <v>103</v>
      </c>
      <c r="I8179" t="s">
        <v>103</v>
      </c>
      <c r="J8179" t="s">
        <v>116</v>
      </c>
      <c r="K8179" t="s">
        <v>103</v>
      </c>
      <c r="L8179" t="s">
        <v>103</v>
      </c>
      <c r="M8179" t="s">
        <v>103</v>
      </c>
      <c r="N8179" t="s">
        <v>103</v>
      </c>
      <c r="O8179" t="s">
        <v>615</v>
      </c>
      <c r="P8179" t="s">
        <v>103</v>
      </c>
      <c r="Q8179" t="s">
        <v>636</v>
      </c>
      <c r="R8179" t="s">
        <v>122</v>
      </c>
      <c r="S8179" t="s">
        <v>122</v>
      </c>
    </row>
    <row r="8180" spans="1:19" x14ac:dyDescent="0.3">
      <c r="A8180" t="s">
        <v>28</v>
      </c>
      <c r="B8180" t="s">
        <v>198</v>
      </c>
      <c r="C8180">
        <v>70</v>
      </c>
      <c r="D8180" t="s">
        <v>103</v>
      </c>
      <c r="E8180" t="s">
        <v>103</v>
      </c>
      <c r="F8180" t="s">
        <v>103</v>
      </c>
      <c r="G8180" t="s">
        <v>103</v>
      </c>
      <c r="H8180" t="s">
        <v>103</v>
      </c>
      <c r="I8180" t="s">
        <v>103</v>
      </c>
      <c r="J8180" t="s">
        <v>103</v>
      </c>
      <c r="K8180" t="s">
        <v>103</v>
      </c>
      <c r="L8180" t="s">
        <v>103</v>
      </c>
      <c r="M8180" t="s">
        <v>103</v>
      </c>
      <c r="N8180" t="s">
        <v>103</v>
      </c>
      <c r="O8180" t="s">
        <v>103</v>
      </c>
      <c r="P8180" t="s">
        <v>103</v>
      </c>
      <c r="Q8180" t="s">
        <v>61</v>
      </c>
      <c r="R8180" t="s">
        <v>60</v>
      </c>
      <c r="S8180" t="s">
        <v>103</v>
      </c>
    </row>
    <row r="8181" spans="1:19" x14ac:dyDescent="0.3">
      <c r="A8181" t="s">
        <v>28</v>
      </c>
      <c r="B8181" t="s">
        <v>199</v>
      </c>
      <c r="C8181">
        <v>247</v>
      </c>
      <c r="D8181" t="s">
        <v>259</v>
      </c>
      <c r="E8181" t="s">
        <v>890</v>
      </c>
      <c r="F8181" t="s">
        <v>103</v>
      </c>
      <c r="G8181" t="s">
        <v>122</v>
      </c>
      <c r="H8181" t="s">
        <v>103</v>
      </c>
      <c r="I8181" t="s">
        <v>103</v>
      </c>
      <c r="J8181" t="s">
        <v>341</v>
      </c>
      <c r="K8181" t="s">
        <v>66</v>
      </c>
      <c r="L8181" t="s">
        <v>97</v>
      </c>
      <c r="M8181" t="s">
        <v>282</v>
      </c>
      <c r="N8181" t="s">
        <v>103</v>
      </c>
      <c r="O8181" t="s">
        <v>127</v>
      </c>
      <c r="P8181" t="s">
        <v>122</v>
      </c>
      <c r="Q8181" t="s">
        <v>1438</v>
      </c>
      <c r="R8181" t="s">
        <v>116</v>
      </c>
      <c r="S8181" t="s">
        <v>122</v>
      </c>
    </row>
    <row r="8182" spans="1:19" x14ac:dyDescent="0.3">
      <c r="A8182" t="s">
        <v>27</v>
      </c>
      <c r="B8182" t="s">
        <v>198</v>
      </c>
      <c r="C8182">
        <v>136</v>
      </c>
      <c r="D8182" t="s">
        <v>509</v>
      </c>
      <c r="E8182" t="s">
        <v>544</v>
      </c>
      <c r="F8182" t="s">
        <v>103</v>
      </c>
      <c r="G8182" t="s">
        <v>214</v>
      </c>
      <c r="H8182" t="s">
        <v>103</v>
      </c>
      <c r="I8182" t="s">
        <v>103</v>
      </c>
      <c r="J8182" t="s">
        <v>103</v>
      </c>
      <c r="K8182" t="s">
        <v>103</v>
      </c>
      <c r="L8182" t="s">
        <v>103</v>
      </c>
      <c r="M8182" t="s">
        <v>103</v>
      </c>
      <c r="N8182" t="s">
        <v>103</v>
      </c>
      <c r="O8182" t="s">
        <v>118</v>
      </c>
      <c r="P8182" t="s">
        <v>103</v>
      </c>
      <c r="Q8182" t="s">
        <v>390</v>
      </c>
      <c r="R8182" t="s">
        <v>217</v>
      </c>
      <c r="S8182" t="s">
        <v>103</v>
      </c>
    </row>
    <row r="8183" spans="1:19" x14ac:dyDescent="0.3">
      <c r="A8183" t="s">
        <v>27</v>
      </c>
      <c r="B8183" t="s">
        <v>199</v>
      </c>
      <c r="C8183">
        <v>164</v>
      </c>
      <c r="D8183" t="s">
        <v>527</v>
      </c>
      <c r="E8183" t="s">
        <v>125</v>
      </c>
      <c r="F8183" t="s">
        <v>120</v>
      </c>
      <c r="G8183" t="s">
        <v>103</v>
      </c>
      <c r="H8183" t="s">
        <v>103</v>
      </c>
      <c r="I8183" t="s">
        <v>103</v>
      </c>
      <c r="J8183" t="s">
        <v>103</v>
      </c>
      <c r="K8183" t="s">
        <v>103</v>
      </c>
      <c r="L8183" t="s">
        <v>103</v>
      </c>
      <c r="M8183" t="s">
        <v>103</v>
      </c>
      <c r="N8183" t="s">
        <v>103</v>
      </c>
      <c r="O8183" t="s">
        <v>33</v>
      </c>
      <c r="P8183" t="s">
        <v>95</v>
      </c>
      <c r="Q8183" t="s">
        <v>1576</v>
      </c>
      <c r="R8183" t="s">
        <v>272</v>
      </c>
      <c r="S8183" t="s">
        <v>103</v>
      </c>
    </row>
    <row r="8184" spans="1:19" x14ac:dyDescent="0.3">
      <c r="A8184" t="s">
        <v>41</v>
      </c>
      <c r="B8184" t="s">
        <v>198</v>
      </c>
      <c r="C8184">
        <v>521</v>
      </c>
      <c r="D8184" t="s">
        <v>214</v>
      </c>
      <c r="E8184" t="s">
        <v>468</v>
      </c>
      <c r="F8184" t="s">
        <v>103</v>
      </c>
      <c r="G8184" t="s">
        <v>120</v>
      </c>
      <c r="H8184" t="s">
        <v>103</v>
      </c>
      <c r="I8184" t="s">
        <v>103</v>
      </c>
      <c r="J8184" t="s">
        <v>91</v>
      </c>
      <c r="K8184" t="s">
        <v>116</v>
      </c>
      <c r="L8184" t="s">
        <v>103</v>
      </c>
      <c r="M8184" t="s">
        <v>103</v>
      </c>
      <c r="N8184" t="s">
        <v>103</v>
      </c>
      <c r="O8184" t="s">
        <v>345</v>
      </c>
      <c r="P8184" t="s">
        <v>103</v>
      </c>
      <c r="Q8184" t="s">
        <v>863</v>
      </c>
      <c r="R8184" t="s">
        <v>110</v>
      </c>
      <c r="S8184" t="s">
        <v>282</v>
      </c>
    </row>
    <row r="8185" spans="1:19" x14ac:dyDescent="0.3">
      <c r="A8185" t="s">
        <v>41</v>
      </c>
      <c r="B8185" t="s">
        <v>199</v>
      </c>
      <c r="C8185">
        <v>1516</v>
      </c>
      <c r="D8185" t="s">
        <v>482</v>
      </c>
      <c r="E8185" t="s">
        <v>120</v>
      </c>
      <c r="F8185" t="s">
        <v>103</v>
      </c>
      <c r="G8185" t="s">
        <v>97</v>
      </c>
      <c r="H8185" t="s">
        <v>103</v>
      </c>
      <c r="I8185" t="s">
        <v>103</v>
      </c>
      <c r="J8185" t="s">
        <v>139</v>
      </c>
      <c r="K8185" t="s">
        <v>66</v>
      </c>
      <c r="L8185" t="s">
        <v>103</v>
      </c>
      <c r="M8185" t="s">
        <v>103</v>
      </c>
      <c r="N8185" t="s">
        <v>91</v>
      </c>
      <c r="O8185" t="s">
        <v>467</v>
      </c>
      <c r="P8185" t="s">
        <v>103</v>
      </c>
      <c r="Q8185" t="s">
        <v>172</v>
      </c>
      <c r="R8185" t="s">
        <v>139</v>
      </c>
      <c r="S8185" t="s">
        <v>66</v>
      </c>
    </row>
    <row r="8187" spans="1:19" x14ac:dyDescent="0.3">
      <c r="A8187" t="s">
        <v>2383</v>
      </c>
    </row>
    <row r="8188" spans="1:19" x14ac:dyDescent="0.3">
      <c r="A8188" t="s">
        <v>36</v>
      </c>
      <c r="B8188" t="s">
        <v>1647</v>
      </c>
      <c r="C8188" t="s">
        <v>24</v>
      </c>
      <c r="D8188" t="s">
        <v>2370</v>
      </c>
      <c r="E8188" t="s">
        <v>2371</v>
      </c>
      <c r="F8188" t="s">
        <v>2372</v>
      </c>
      <c r="G8188" t="s">
        <v>2373</v>
      </c>
      <c r="H8188" t="s">
        <v>2374</v>
      </c>
      <c r="I8188" t="s">
        <v>2375</v>
      </c>
      <c r="J8188" t="s">
        <v>2376</v>
      </c>
      <c r="K8188" t="s">
        <v>2349</v>
      </c>
      <c r="L8188" t="s">
        <v>2351</v>
      </c>
      <c r="M8188" t="s">
        <v>2352</v>
      </c>
      <c r="N8188" t="s">
        <v>2377</v>
      </c>
      <c r="O8188" t="s">
        <v>2378</v>
      </c>
      <c r="P8188" t="s">
        <v>89</v>
      </c>
      <c r="Q8188" t="s">
        <v>2379</v>
      </c>
      <c r="R8188" t="s">
        <v>87</v>
      </c>
      <c r="S8188" t="s">
        <v>181</v>
      </c>
    </row>
    <row r="8189" spans="1:19" x14ac:dyDescent="0.3">
      <c r="A8189" t="s">
        <v>25</v>
      </c>
      <c r="B8189" t="s">
        <v>1648</v>
      </c>
      <c r="C8189">
        <v>142</v>
      </c>
      <c r="D8189" t="s">
        <v>97</v>
      </c>
      <c r="E8189" t="s">
        <v>103</v>
      </c>
      <c r="F8189" t="s">
        <v>103</v>
      </c>
      <c r="G8189" t="s">
        <v>103</v>
      </c>
      <c r="H8189" t="s">
        <v>103</v>
      </c>
      <c r="I8189" t="s">
        <v>103</v>
      </c>
      <c r="J8189" t="s">
        <v>103</v>
      </c>
      <c r="K8189" t="s">
        <v>103</v>
      </c>
      <c r="L8189" t="s">
        <v>103</v>
      </c>
      <c r="M8189" t="s">
        <v>103</v>
      </c>
      <c r="N8189" t="s">
        <v>103</v>
      </c>
      <c r="O8189" t="s">
        <v>217</v>
      </c>
      <c r="P8189" t="s">
        <v>103</v>
      </c>
      <c r="Q8189" t="s">
        <v>69</v>
      </c>
      <c r="R8189" t="s">
        <v>103</v>
      </c>
      <c r="S8189" t="s">
        <v>103</v>
      </c>
    </row>
    <row r="8190" spans="1:19" x14ac:dyDescent="0.3">
      <c r="A8190" t="s">
        <v>25</v>
      </c>
      <c r="B8190" t="s">
        <v>1649</v>
      </c>
      <c r="C8190">
        <v>271</v>
      </c>
      <c r="D8190" t="s">
        <v>98</v>
      </c>
      <c r="E8190" t="s">
        <v>103</v>
      </c>
      <c r="F8190" t="s">
        <v>103</v>
      </c>
      <c r="G8190" t="s">
        <v>116</v>
      </c>
      <c r="H8190" t="s">
        <v>103</v>
      </c>
      <c r="I8190" t="s">
        <v>103</v>
      </c>
      <c r="J8190" t="s">
        <v>103</v>
      </c>
      <c r="K8190" t="s">
        <v>103</v>
      </c>
      <c r="L8190" t="s">
        <v>103</v>
      </c>
      <c r="M8190" t="s">
        <v>103</v>
      </c>
      <c r="N8190" t="s">
        <v>103</v>
      </c>
      <c r="O8190" t="s">
        <v>95</v>
      </c>
      <c r="P8190" t="s">
        <v>103</v>
      </c>
      <c r="Q8190" t="s">
        <v>768</v>
      </c>
      <c r="R8190" t="s">
        <v>122</v>
      </c>
      <c r="S8190" t="s">
        <v>66</v>
      </c>
    </row>
    <row r="8191" spans="1:19" x14ac:dyDescent="0.3">
      <c r="A8191" t="s">
        <v>26</v>
      </c>
      <c r="B8191" t="s">
        <v>1648</v>
      </c>
      <c r="C8191">
        <v>153</v>
      </c>
      <c r="D8191" t="s">
        <v>483</v>
      </c>
      <c r="E8191" t="s">
        <v>103</v>
      </c>
      <c r="F8191" t="s">
        <v>103</v>
      </c>
      <c r="G8191" t="s">
        <v>120</v>
      </c>
      <c r="H8191" t="s">
        <v>103</v>
      </c>
      <c r="I8191" t="s">
        <v>103</v>
      </c>
      <c r="J8191" t="s">
        <v>68</v>
      </c>
      <c r="K8191" t="s">
        <v>97</v>
      </c>
      <c r="L8191" t="s">
        <v>103</v>
      </c>
      <c r="M8191" t="s">
        <v>103</v>
      </c>
      <c r="N8191" t="s">
        <v>103</v>
      </c>
      <c r="O8191" t="s">
        <v>438</v>
      </c>
      <c r="P8191" t="s">
        <v>103</v>
      </c>
      <c r="Q8191" t="s">
        <v>1239</v>
      </c>
      <c r="R8191" t="s">
        <v>97</v>
      </c>
      <c r="S8191" t="s">
        <v>103</v>
      </c>
    </row>
    <row r="8192" spans="1:19" x14ac:dyDescent="0.3">
      <c r="A8192" t="s">
        <v>26</v>
      </c>
      <c r="B8192" t="s">
        <v>1649</v>
      </c>
      <c r="C8192">
        <v>324</v>
      </c>
      <c r="D8192" t="s">
        <v>256</v>
      </c>
      <c r="E8192" t="s">
        <v>103</v>
      </c>
      <c r="F8192" t="s">
        <v>103</v>
      </c>
      <c r="G8192" t="s">
        <v>91</v>
      </c>
      <c r="H8192" t="s">
        <v>103</v>
      </c>
      <c r="I8192" t="s">
        <v>103</v>
      </c>
      <c r="J8192" t="s">
        <v>468</v>
      </c>
      <c r="K8192" t="s">
        <v>97</v>
      </c>
      <c r="L8192" t="s">
        <v>103</v>
      </c>
      <c r="M8192" t="s">
        <v>103</v>
      </c>
      <c r="N8192" t="s">
        <v>116</v>
      </c>
      <c r="O8192" t="s">
        <v>282</v>
      </c>
      <c r="P8192" t="s">
        <v>103</v>
      </c>
      <c r="Q8192" t="s">
        <v>724</v>
      </c>
      <c r="R8192" t="s">
        <v>341</v>
      </c>
      <c r="S8192" t="s">
        <v>103</v>
      </c>
    </row>
    <row r="8193" spans="1:19" x14ac:dyDescent="0.3">
      <c r="A8193" t="s">
        <v>29</v>
      </c>
      <c r="B8193" t="s">
        <v>1648</v>
      </c>
      <c r="C8193">
        <v>252</v>
      </c>
      <c r="D8193" t="s">
        <v>122</v>
      </c>
      <c r="E8193" t="s">
        <v>103</v>
      </c>
      <c r="F8193" t="s">
        <v>103</v>
      </c>
      <c r="G8193" t="s">
        <v>66</v>
      </c>
      <c r="H8193" t="s">
        <v>103</v>
      </c>
      <c r="I8193" t="s">
        <v>103</v>
      </c>
      <c r="J8193" t="s">
        <v>122</v>
      </c>
      <c r="K8193" t="s">
        <v>116</v>
      </c>
      <c r="L8193" t="s">
        <v>103</v>
      </c>
      <c r="M8193" t="s">
        <v>103</v>
      </c>
      <c r="N8193" t="s">
        <v>103</v>
      </c>
      <c r="O8193" t="s">
        <v>107</v>
      </c>
      <c r="P8193" t="s">
        <v>103</v>
      </c>
      <c r="Q8193" t="s">
        <v>882</v>
      </c>
      <c r="R8193" t="s">
        <v>139</v>
      </c>
      <c r="S8193" t="s">
        <v>345</v>
      </c>
    </row>
    <row r="8194" spans="1:19" x14ac:dyDescent="0.3">
      <c r="A8194" t="s">
        <v>29</v>
      </c>
      <c r="B8194" t="s">
        <v>1649</v>
      </c>
      <c r="C8194">
        <v>278</v>
      </c>
      <c r="D8194" t="s">
        <v>103</v>
      </c>
      <c r="E8194" t="s">
        <v>103</v>
      </c>
      <c r="F8194" t="s">
        <v>103</v>
      </c>
      <c r="G8194" t="s">
        <v>468</v>
      </c>
      <c r="H8194" t="s">
        <v>103</v>
      </c>
      <c r="I8194" t="s">
        <v>103</v>
      </c>
      <c r="J8194" t="s">
        <v>103</v>
      </c>
      <c r="K8194" t="s">
        <v>103</v>
      </c>
      <c r="L8194" t="s">
        <v>103</v>
      </c>
      <c r="M8194" t="s">
        <v>103</v>
      </c>
      <c r="N8194" t="s">
        <v>103</v>
      </c>
      <c r="O8194" t="s">
        <v>266</v>
      </c>
      <c r="P8194" t="s">
        <v>103</v>
      </c>
      <c r="Q8194" t="s">
        <v>803</v>
      </c>
      <c r="R8194" t="s">
        <v>122</v>
      </c>
      <c r="S8194" t="s">
        <v>116</v>
      </c>
    </row>
    <row r="8195" spans="1:19" x14ac:dyDescent="0.3">
      <c r="A8195" t="s">
        <v>28</v>
      </c>
      <c r="B8195" t="s">
        <v>1648</v>
      </c>
      <c r="C8195">
        <v>77</v>
      </c>
      <c r="D8195" t="s">
        <v>50</v>
      </c>
      <c r="E8195" t="s">
        <v>32</v>
      </c>
      <c r="F8195" t="s">
        <v>103</v>
      </c>
      <c r="G8195" t="s">
        <v>103</v>
      </c>
      <c r="H8195" t="s">
        <v>103</v>
      </c>
      <c r="I8195" t="s">
        <v>103</v>
      </c>
      <c r="J8195" t="s">
        <v>438</v>
      </c>
      <c r="K8195" t="s">
        <v>98</v>
      </c>
      <c r="L8195" t="s">
        <v>245</v>
      </c>
      <c r="M8195" t="s">
        <v>245</v>
      </c>
      <c r="N8195" t="s">
        <v>103</v>
      </c>
      <c r="O8195" t="s">
        <v>571</v>
      </c>
      <c r="P8195" t="s">
        <v>103</v>
      </c>
      <c r="Q8195" t="s">
        <v>267</v>
      </c>
      <c r="R8195" t="s">
        <v>282</v>
      </c>
      <c r="S8195" t="s">
        <v>103</v>
      </c>
    </row>
    <row r="8196" spans="1:19" x14ac:dyDescent="0.3">
      <c r="A8196" t="s">
        <v>28</v>
      </c>
      <c r="B8196" t="s">
        <v>1649</v>
      </c>
      <c r="C8196">
        <v>240</v>
      </c>
      <c r="D8196" t="s">
        <v>727</v>
      </c>
      <c r="E8196" t="s">
        <v>262</v>
      </c>
      <c r="F8196" t="s">
        <v>103</v>
      </c>
      <c r="G8196" t="s">
        <v>116</v>
      </c>
      <c r="H8196" t="s">
        <v>103</v>
      </c>
      <c r="I8196" t="s">
        <v>103</v>
      </c>
      <c r="J8196" t="s">
        <v>98</v>
      </c>
      <c r="K8196" t="s">
        <v>103</v>
      </c>
      <c r="L8196" t="s">
        <v>103</v>
      </c>
      <c r="M8196" t="s">
        <v>97</v>
      </c>
      <c r="N8196" t="s">
        <v>103</v>
      </c>
      <c r="O8196" t="s">
        <v>284</v>
      </c>
      <c r="P8196" t="s">
        <v>122</v>
      </c>
      <c r="Q8196" t="s">
        <v>1393</v>
      </c>
      <c r="R8196" t="s">
        <v>93</v>
      </c>
      <c r="S8196" t="s">
        <v>122</v>
      </c>
    </row>
    <row r="8197" spans="1:19" x14ac:dyDescent="0.3">
      <c r="A8197" t="s">
        <v>27</v>
      </c>
      <c r="B8197" t="s">
        <v>1648</v>
      </c>
      <c r="C8197">
        <v>64</v>
      </c>
      <c r="D8197" t="s">
        <v>893</v>
      </c>
      <c r="E8197" t="s">
        <v>148</v>
      </c>
      <c r="F8197" t="s">
        <v>110</v>
      </c>
      <c r="G8197" t="s">
        <v>190</v>
      </c>
      <c r="H8197" t="s">
        <v>103</v>
      </c>
      <c r="I8197" t="s">
        <v>103</v>
      </c>
      <c r="J8197" t="s">
        <v>103</v>
      </c>
      <c r="K8197" t="s">
        <v>103</v>
      </c>
      <c r="L8197" t="s">
        <v>103</v>
      </c>
      <c r="M8197" t="s">
        <v>103</v>
      </c>
      <c r="N8197" t="s">
        <v>103</v>
      </c>
      <c r="O8197" t="s">
        <v>251</v>
      </c>
      <c r="P8197" t="s">
        <v>103</v>
      </c>
      <c r="Q8197" t="s">
        <v>1556</v>
      </c>
      <c r="R8197" t="s">
        <v>103</v>
      </c>
      <c r="S8197" t="s">
        <v>103</v>
      </c>
    </row>
    <row r="8198" spans="1:19" x14ac:dyDescent="0.3">
      <c r="A8198" t="s">
        <v>27</v>
      </c>
      <c r="B8198" t="s">
        <v>1649</v>
      </c>
      <c r="C8198">
        <v>236</v>
      </c>
      <c r="D8198" t="s">
        <v>424</v>
      </c>
      <c r="E8198" t="s">
        <v>452</v>
      </c>
      <c r="F8198" t="s">
        <v>103</v>
      </c>
      <c r="G8198" t="s">
        <v>98</v>
      </c>
      <c r="H8198" t="s">
        <v>103</v>
      </c>
      <c r="I8198" t="s">
        <v>103</v>
      </c>
      <c r="J8198" t="s">
        <v>103</v>
      </c>
      <c r="K8198" t="s">
        <v>103</v>
      </c>
      <c r="L8198" t="s">
        <v>103</v>
      </c>
      <c r="M8198" t="s">
        <v>103</v>
      </c>
      <c r="N8198" t="s">
        <v>103</v>
      </c>
      <c r="O8198" t="s">
        <v>64</v>
      </c>
      <c r="P8198" t="s">
        <v>97</v>
      </c>
      <c r="Q8198" t="s">
        <v>420</v>
      </c>
      <c r="R8198" t="s">
        <v>188</v>
      </c>
      <c r="S8198" t="s">
        <v>103</v>
      </c>
    </row>
    <row r="8199" spans="1:19" x14ac:dyDescent="0.3">
      <c r="A8199" t="s">
        <v>41</v>
      </c>
      <c r="B8199" t="s">
        <v>1648</v>
      </c>
      <c r="C8199">
        <v>688</v>
      </c>
      <c r="D8199" t="s">
        <v>662</v>
      </c>
      <c r="E8199" t="s">
        <v>97</v>
      </c>
      <c r="F8199" t="s">
        <v>103</v>
      </c>
      <c r="G8199" t="s">
        <v>122</v>
      </c>
      <c r="H8199" t="s">
        <v>103</v>
      </c>
      <c r="I8199" t="s">
        <v>103</v>
      </c>
      <c r="J8199" t="s">
        <v>282</v>
      </c>
      <c r="K8199" t="s">
        <v>116</v>
      </c>
      <c r="L8199" t="s">
        <v>103</v>
      </c>
      <c r="M8199" t="s">
        <v>103</v>
      </c>
      <c r="N8199" t="s">
        <v>103</v>
      </c>
      <c r="O8199" t="s">
        <v>114</v>
      </c>
      <c r="P8199" t="s">
        <v>103</v>
      </c>
      <c r="Q8199" t="s">
        <v>241</v>
      </c>
      <c r="R8199" t="s">
        <v>120</v>
      </c>
      <c r="S8199" t="s">
        <v>120</v>
      </c>
    </row>
    <row r="8200" spans="1:19" x14ac:dyDescent="0.3">
      <c r="A8200" t="s">
        <v>41</v>
      </c>
      <c r="B8200" t="s">
        <v>1649</v>
      </c>
      <c r="C8200">
        <v>1349</v>
      </c>
      <c r="D8200" t="s">
        <v>649</v>
      </c>
      <c r="E8200" t="s">
        <v>98</v>
      </c>
      <c r="F8200" t="s">
        <v>103</v>
      </c>
      <c r="G8200" t="s">
        <v>120</v>
      </c>
      <c r="H8200" t="s">
        <v>103</v>
      </c>
      <c r="I8200" t="s">
        <v>103</v>
      </c>
      <c r="J8200" t="s">
        <v>122</v>
      </c>
      <c r="K8200" t="s">
        <v>91</v>
      </c>
      <c r="L8200" t="s">
        <v>103</v>
      </c>
      <c r="M8200" t="s">
        <v>103</v>
      </c>
      <c r="N8200" t="s">
        <v>91</v>
      </c>
      <c r="O8200" t="s">
        <v>208</v>
      </c>
      <c r="P8200" t="s">
        <v>91</v>
      </c>
      <c r="Q8200" t="s">
        <v>172</v>
      </c>
      <c r="R8200" t="s">
        <v>345</v>
      </c>
      <c r="S8200" t="s">
        <v>66</v>
      </c>
    </row>
    <row r="8202" spans="1:19" x14ac:dyDescent="0.3">
      <c r="A8202" t="s">
        <v>2384</v>
      </c>
    </row>
    <row r="8203" spans="1:19" x14ac:dyDescent="0.3">
      <c r="A8203" t="s">
        <v>36</v>
      </c>
      <c r="B8203" t="s">
        <v>210</v>
      </c>
      <c r="C8203" t="s">
        <v>24</v>
      </c>
      <c r="D8203" t="s">
        <v>2370</v>
      </c>
      <c r="E8203" t="s">
        <v>2371</v>
      </c>
      <c r="F8203" t="s">
        <v>2372</v>
      </c>
      <c r="G8203" t="s">
        <v>2373</v>
      </c>
      <c r="H8203" t="s">
        <v>2374</v>
      </c>
      <c r="I8203" t="s">
        <v>2375</v>
      </c>
      <c r="J8203" t="s">
        <v>2376</v>
      </c>
      <c r="K8203" t="s">
        <v>2349</v>
      </c>
      <c r="L8203" t="s">
        <v>2351</v>
      </c>
      <c r="M8203" t="s">
        <v>2352</v>
      </c>
      <c r="N8203" t="s">
        <v>2377</v>
      </c>
      <c r="O8203" t="s">
        <v>2378</v>
      </c>
      <c r="P8203" t="s">
        <v>89</v>
      </c>
      <c r="Q8203" t="s">
        <v>2379</v>
      </c>
      <c r="R8203" t="s">
        <v>87</v>
      </c>
      <c r="S8203" t="s">
        <v>181</v>
      </c>
    </row>
    <row r="8204" spans="1:19" x14ac:dyDescent="0.3">
      <c r="A8204" t="s">
        <v>25</v>
      </c>
      <c r="B8204" t="s">
        <v>211</v>
      </c>
      <c r="C8204">
        <v>413</v>
      </c>
      <c r="D8204" t="s">
        <v>139</v>
      </c>
      <c r="E8204" t="s">
        <v>103</v>
      </c>
      <c r="F8204" t="s">
        <v>103</v>
      </c>
      <c r="G8204" t="s">
        <v>66</v>
      </c>
      <c r="H8204" t="s">
        <v>103</v>
      </c>
      <c r="I8204" t="s">
        <v>103</v>
      </c>
      <c r="J8204" t="s">
        <v>103</v>
      </c>
      <c r="K8204" t="s">
        <v>103</v>
      </c>
      <c r="L8204" t="s">
        <v>103</v>
      </c>
      <c r="M8204" t="s">
        <v>103</v>
      </c>
      <c r="N8204" t="s">
        <v>103</v>
      </c>
      <c r="O8204" t="s">
        <v>110</v>
      </c>
      <c r="P8204" t="s">
        <v>103</v>
      </c>
      <c r="Q8204" t="s">
        <v>65</v>
      </c>
      <c r="R8204" t="s">
        <v>116</v>
      </c>
      <c r="S8204" t="s">
        <v>66</v>
      </c>
    </row>
    <row r="8205" spans="1:19" x14ac:dyDescent="0.3">
      <c r="A8205" t="s">
        <v>26</v>
      </c>
      <c r="B8205" t="s">
        <v>211</v>
      </c>
      <c r="C8205">
        <v>223</v>
      </c>
      <c r="D8205" t="s">
        <v>528</v>
      </c>
      <c r="E8205" t="s">
        <v>103</v>
      </c>
      <c r="F8205" t="s">
        <v>103</v>
      </c>
      <c r="G8205" t="s">
        <v>66</v>
      </c>
      <c r="H8205" t="s">
        <v>103</v>
      </c>
      <c r="I8205" t="s">
        <v>103</v>
      </c>
      <c r="J8205" t="s">
        <v>239</v>
      </c>
      <c r="K8205" t="s">
        <v>103</v>
      </c>
      <c r="L8205" t="s">
        <v>103</v>
      </c>
      <c r="M8205" t="s">
        <v>103</v>
      </c>
      <c r="N8205" t="s">
        <v>122</v>
      </c>
      <c r="O8205" t="s">
        <v>91</v>
      </c>
      <c r="P8205" t="s">
        <v>103</v>
      </c>
      <c r="Q8205" t="s">
        <v>758</v>
      </c>
      <c r="R8205" t="s">
        <v>110</v>
      </c>
      <c r="S8205" t="s">
        <v>103</v>
      </c>
    </row>
    <row r="8206" spans="1:19" x14ac:dyDescent="0.3">
      <c r="A8206" t="s">
        <v>26</v>
      </c>
      <c r="B8206" t="s">
        <v>212</v>
      </c>
      <c r="C8206">
        <v>254</v>
      </c>
      <c r="D8206" t="s">
        <v>557</v>
      </c>
      <c r="E8206" t="s">
        <v>103</v>
      </c>
      <c r="F8206" t="s">
        <v>103</v>
      </c>
      <c r="G8206" t="s">
        <v>122</v>
      </c>
      <c r="H8206" t="s">
        <v>103</v>
      </c>
      <c r="I8206" t="s">
        <v>103</v>
      </c>
      <c r="J8206" t="s">
        <v>93</v>
      </c>
      <c r="K8206" t="s">
        <v>98</v>
      </c>
      <c r="L8206" t="s">
        <v>103</v>
      </c>
      <c r="M8206" t="s">
        <v>103</v>
      </c>
      <c r="N8206" t="s">
        <v>103</v>
      </c>
      <c r="O8206" t="s">
        <v>102</v>
      </c>
      <c r="P8206" t="s">
        <v>103</v>
      </c>
      <c r="Q8206" t="s">
        <v>1137</v>
      </c>
      <c r="R8206" t="s">
        <v>110</v>
      </c>
      <c r="S8206" t="s">
        <v>103</v>
      </c>
    </row>
    <row r="8207" spans="1:19" x14ac:dyDescent="0.3">
      <c r="A8207" t="s">
        <v>29</v>
      </c>
      <c r="B8207" t="s">
        <v>211</v>
      </c>
      <c r="C8207">
        <v>530</v>
      </c>
      <c r="D8207" t="s">
        <v>66</v>
      </c>
      <c r="E8207" t="s">
        <v>103</v>
      </c>
      <c r="F8207" t="s">
        <v>103</v>
      </c>
      <c r="G8207" t="s">
        <v>95</v>
      </c>
      <c r="H8207" t="s">
        <v>103</v>
      </c>
      <c r="I8207" t="s">
        <v>103</v>
      </c>
      <c r="J8207" t="s">
        <v>66</v>
      </c>
      <c r="K8207" t="s">
        <v>66</v>
      </c>
      <c r="L8207" t="s">
        <v>103</v>
      </c>
      <c r="M8207" t="s">
        <v>103</v>
      </c>
      <c r="N8207" t="s">
        <v>103</v>
      </c>
      <c r="O8207" t="s">
        <v>438</v>
      </c>
      <c r="P8207" t="s">
        <v>103</v>
      </c>
      <c r="Q8207" t="s">
        <v>896</v>
      </c>
      <c r="R8207" t="s">
        <v>120</v>
      </c>
      <c r="S8207" t="s">
        <v>95</v>
      </c>
    </row>
    <row r="8208" spans="1:19" x14ac:dyDescent="0.3">
      <c r="A8208" t="s">
        <v>28</v>
      </c>
      <c r="B8208" t="s">
        <v>211</v>
      </c>
      <c r="C8208">
        <v>277</v>
      </c>
      <c r="D8208" t="s">
        <v>890</v>
      </c>
      <c r="E8208" t="s">
        <v>245</v>
      </c>
      <c r="F8208" t="s">
        <v>103</v>
      </c>
      <c r="G8208" t="s">
        <v>103</v>
      </c>
      <c r="H8208" t="s">
        <v>103</v>
      </c>
      <c r="I8208" t="s">
        <v>103</v>
      </c>
      <c r="J8208" t="s">
        <v>468</v>
      </c>
      <c r="K8208" t="s">
        <v>66</v>
      </c>
      <c r="L8208" t="s">
        <v>122</v>
      </c>
      <c r="M8208" t="s">
        <v>139</v>
      </c>
      <c r="N8208" t="s">
        <v>103</v>
      </c>
      <c r="O8208" t="s">
        <v>591</v>
      </c>
      <c r="P8208" t="s">
        <v>122</v>
      </c>
      <c r="Q8208" t="s">
        <v>870</v>
      </c>
      <c r="R8208" t="s">
        <v>93</v>
      </c>
      <c r="S8208" t="s">
        <v>116</v>
      </c>
    </row>
    <row r="8209" spans="1:19" x14ac:dyDescent="0.3">
      <c r="A8209" t="s">
        <v>28</v>
      </c>
      <c r="B8209" t="s">
        <v>212</v>
      </c>
      <c r="C8209">
        <v>40</v>
      </c>
      <c r="D8209" t="s">
        <v>768</v>
      </c>
      <c r="E8209" t="s">
        <v>249</v>
      </c>
      <c r="F8209" t="s">
        <v>103</v>
      </c>
      <c r="G8209" t="s">
        <v>217</v>
      </c>
      <c r="H8209" t="s">
        <v>103</v>
      </c>
      <c r="I8209" t="s">
        <v>103</v>
      </c>
      <c r="J8209" t="s">
        <v>438</v>
      </c>
      <c r="K8209" t="s">
        <v>103</v>
      </c>
      <c r="L8209" t="s">
        <v>103</v>
      </c>
      <c r="M8209" t="s">
        <v>103</v>
      </c>
      <c r="N8209" t="s">
        <v>103</v>
      </c>
      <c r="O8209" t="s">
        <v>476</v>
      </c>
      <c r="P8209" t="s">
        <v>103</v>
      </c>
      <c r="Q8209" t="s">
        <v>217</v>
      </c>
      <c r="R8209" t="s">
        <v>103</v>
      </c>
      <c r="S8209" t="s">
        <v>103</v>
      </c>
    </row>
    <row r="8210" spans="1:19" x14ac:dyDescent="0.3">
      <c r="A8210" t="s">
        <v>27</v>
      </c>
      <c r="B8210" t="s">
        <v>211</v>
      </c>
      <c r="C8210">
        <v>270</v>
      </c>
      <c r="D8210" t="s">
        <v>1231</v>
      </c>
      <c r="E8210" t="s">
        <v>205</v>
      </c>
      <c r="F8210" t="s">
        <v>116</v>
      </c>
      <c r="G8210" t="s">
        <v>118</v>
      </c>
      <c r="H8210" t="s">
        <v>103</v>
      </c>
      <c r="I8210" t="s">
        <v>103</v>
      </c>
      <c r="J8210" t="s">
        <v>103</v>
      </c>
      <c r="K8210" t="s">
        <v>103</v>
      </c>
      <c r="L8210" t="s">
        <v>103</v>
      </c>
      <c r="M8210" t="s">
        <v>103</v>
      </c>
      <c r="N8210" t="s">
        <v>103</v>
      </c>
      <c r="O8210" t="s">
        <v>114</v>
      </c>
      <c r="P8210" t="s">
        <v>122</v>
      </c>
      <c r="Q8210" t="s">
        <v>1197</v>
      </c>
      <c r="R8210" t="s">
        <v>68</v>
      </c>
      <c r="S8210" t="s">
        <v>103</v>
      </c>
    </row>
    <row r="8211" spans="1:19" s="3" customFormat="1" x14ac:dyDescent="0.3">
      <c r="A8211" s="3" t="s">
        <v>27</v>
      </c>
      <c r="B8211" s="3" t="s">
        <v>212</v>
      </c>
      <c r="C8211" s="3">
        <v>30</v>
      </c>
      <c r="D8211" s="3" t="s">
        <v>110</v>
      </c>
      <c r="E8211" s="3" t="s">
        <v>103</v>
      </c>
      <c r="F8211" s="3" t="s">
        <v>103</v>
      </c>
      <c r="G8211" s="3" t="s">
        <v>103</v>
      </c>
      <c r="H8211" s="3" t="s">
        <v>103</v>
      </c>
      <c r="I8211" s="3" t="s">
        <v>103</v>
      </c>
      <c r="J8211" s="3" t="s">
        <v>103</v>
      </c>
      <c r="K8211" s="3" t="s">
        <v>103</v>
      </c>
      <c r="L8211" s="3" t="s">
        <v>103</v>
      </c>
      <c r="M8211" s="3" t="s">
        <v>103</v>
      </c>
      <c r="N8211" s="3" t="s">
        <v>103</v>
      </c>
      <c r="O8211" s="3" t="s">
        <v>103</v>
      </c>
      <c r="P8211" s="3" t="s">
        <v>103</v>
      </c>
      <c r="Q8211" s="3" t="s">
        <v>1478</v>
      </c>
      <c r="R8211" s="3" t="s">
        <v>103</v>
      </c>
      <c r="S8211" s="3" t="s">
        <v>103</v>
      </c>
    </row>
    <row r="8212" spans="1:19" x14ac:dyDescent="0.3">
      <c r="A8212" t="s">
        <v>41</v>
      </c>
      <c r="B8212" t="s">
        <v>211</v>
      </c>
      <c r="C8212">
        <v>1713</v>
      </c>
      <c r="D8212" t="s">
        <v>70</v>
      </c>
      <c r="E8212" t="s">
        <v>97</v>
      </c>
      <c r="F8212" t="s">
        <v>103</v>
      </c>
      <c r="G8212" t="s">
        <v>120</v>
      </c>
      <c r="H8212" t="s">
        <v>103</v>
      </c>
      <c r="I8212" t="s">
        <v>103</v>
      </c>
      <c r="J8212" t="s">
        <v>122</v>
      </c>
      <c r="K8212" t="s">
        <v>91</v>
      </c>
      <c r="L8212" t="s">
        <v>103</v>
      </c>
      <c r="M8212" t="s">
        <v>103</v>
      </c>
      <c r="N8212" t="s">
        <v>103</v>
      </c>
      <c r="O8212" t="s">
        <v>217</v>
      </c>
      <c r="P8212" t="s">
        <v>103</v>
      </c>
      <c r="Q8212" t="s">
        <v>193</v>
      </c>
      <c r="R8212" t="s">
        <v>139</v>
      </c>
      <c r="S8212" t="s">
        <v>122</v>
      </c>
    </row>
    <row r="8213" spans="1:19" x14ac:dyDescent="0.3">
      <c r="A8213" t="s">
        <v>41</v>
      </c>
      <c r="B8213" t="s">
        <v>212</v>
      </c>
      <c r="C8213">
        <v>324</v>
      </c>
      <c r="D8213" t="s">
        <v>565</v>
      </c>
      <c r="E8213" t="s">
        <v>128</v>
      </c>
      <c r="F8213" t="s">
        <v>103</v>
      </c>
      <c r="G8213" t="s">
        <v>97</v>
      </c>
      <c r="H8213" t="s">
        <v>103</v>
      </c>
      <c r="I8213" t="s">
        <v>103</v>
      </c>
      <c r="J8213" t="s">
        <v>93</v>
      </c>
      <c r="K8213" t="s">
        <v>98</v>
      </c>
      <c r="L8213" t="s">
        <v>103</v>
      </c>
      <c r="M8213" t="s">
        <v>103</v>
      </c>
      <c r="N8213" t="s">
        <v>103</v>
      </c>
      <c r="O8213" t="s">
        <v>591</v>
      </c>
      <c r="P8213" t="s">
        <v>103</v>
      </c>
      <c r="Q8213" t="s">
        <v>1679</v>
      </c>
      <c r="R8213" t="s">
        <v>194</v>
      </c>
      <c r="S8213" t="s">
        <v>103</v>
      </c>
    </row>
    <row r="8215" spans="1:19" x14ac:dyDescent="0.3">
      <c r="A8215" t="s">
        <v>2385</v>
      </c>
    </row>
    <row r="8216" spans="1:19" x14ac:dyDescent="0.3">
      <c r="A8216" t="s">
        <v>36</v>
      </c>
      <c r="B8216" t="s">
        <v>24</v>
      </c>
      <c r="C8216" t="s">
        <v>87</v>
      </c>
      <c r="D8216" t="s">
        <v>58</v>
      </c>
      <c r="E8216" t="s">
        <v>2386</v>
      </c>
      <c r="F8216" t="s">
        <v>2387</v>
      </c>
    </row>
    <row r="8217" spans="1:19" x14ac:dyDescent="0.3">
      <c r="A8217" t="s">
        <v>25</v>
      </c>
      <c r="B8217">
        <v>414</v>
      </c>
      <c r="C8217" t="s">
        <v>116</v>
      </c>
      <c r="D8217" t="s">
        <v>474</v>
      </c>
      <c r="E8217" t="s">
        <v>397</v>
      </c>
      <c r="F8217" t="s">
        <v>460</v>
      </c>
    </row>
    <row r="8218" spans="1:19" x14ac:dyDescent="0.3">
      <c r="A8218" t="s">
        <v>26</v>
      </c>
      <c r="B8218">
        <v>477</v>
      </c>
      <c r="C8218" t="s">
        <v>128</v>
      </c>
      <c r="D8218" t="s">
        <v>702</v>
      </c>
      <c r="E8218" t="s">
        <v>787</v>
      </c>
      <c r="F8218" t="s">
        <v>113</v>
      </c>
    </row>
    <row r="8219" spans="1:19" x14ac:dyDescent="0.3">
      <c r="A8219" t="s">
        <v>29</v>
      </c>
      <c r="B8219">
        <v>530</v>
      </c>
      <c r="C8219" t="s">
        <v>282</v>
      </c>
      <c r="D8219" t="s">
        <v>490</v>
      </c>
      <c r="E8219" t="s">
        <v>1220</v>
      </c>
      <c r="F8219" t="s">
        <v>459</v>
      </c>
    </row>
    <row r="8220" spans="1:19" x14ac:dyDescent="0.3">
      <c r="A8220" t="s">
        <v>28</v>
      </c>
      <c r="B8220">
        <v>317</v>
      </c>
      <c r="C8220" t="s">
        <v>103</v>
      </c>
      <c r="D8220" t="s">
        <v>132</v>
      </c>
      <c r="E8220" t="s">
        <v>296</v>
      </c>
      <c r="F8220" t="s">
        <v>190</v>
      </c>
    </row>
    <row r="8221" spans="1:19" x14ac:dyDescent="0.3">
      <c r="A8221" t="s">
        <v>27</v>
      </c>
      <c r="B8221">
        <v>300</v>
      </c>
      <c r="C8221" t="s">
        <v>120</v>
      </c>
      <c r="D8221" t="s">
        <v>331</v>
      </c>
      <c r="E8221" t="s">
        <v>603</v>
      </c>
      <c r="F8221" t="s">
        <v>266</v>
      </c>
    </row>
    <row r="8222" spans="1:19" x14ac:dyDescent="0.3">
      <c r="A8222" t="s">
        <v>41</v>
      </c>
      <c r="B8222">
        <v>2038</v>
      </c>
      <c r="C8222" t="s">
        <v>345</v>
      </c>
      <c r="D8222" t="s">
        <v>534</v>
      </c>
      <c r="E8222" t="s">
        <v>835</v>
      </c>
      <c r="F8222" t="s">
        <v>100</v>
      </c>
    </row>
    <row r="8224" spans="1:19" x14ac:dyDescent="0.3">
      <c r="A8224" t="s">
        <v>2388</v>
      </c>
    </row>
    <row r="8225" spans="1:7" x14ac:dyDescent="0.3">
      <c r="A8225" t="s">
        <v>36</v>
      </c>
      <c r="B8225" t="s">
        <v>307</v>
      </c>
      <c r="C8225" t="s">
        <v>24</v>
      </c>
      <c r="D8225" t="s">
        <v>87</v>
      </c>
      <c r="E8225" t="s">
        <v>58</v>
      </c>
      <c r="F8225" t="s">
        <v>2386</v>
      </c>
      <c r="G8225" t="s">
        <v>2387</v>
      </c>
    </row>
    <row r="8226" spans="1:7" x14ac:dyDescent="0.3">
      <c r="A8226" t="s">
        <v>25</v>
      </c>
      <c r="B8226" t="s">
        <v>291</v>
      </c>
      <c r="C8226">
        <v>156</v>
      </c>
      <c r="D8226" t="s">
        <v>139</v>
      </c>
      <c r="E8226" t="s">
        <v>56</v>
      </c>
      <c r="F8226" t="s">
        <v>1244</v>
      </c>
      <c r="G8226" t="s">
        <v>224</v>
      </c>
    </row>
    <row r="8227" spans="1:7" x14ac:dyDescent="0.3">
      <c r="A8227" t="s">
        <v>25</v>
      </c>
      <c r="B8227" t="s">
        <v>292</v>
      </c>
      <c r="C8227">
        <v>254</v>
      </c>
      <c r="D8227" t="s">
        <v>103</v>
      </c>
      <c r="E8227" t="s">
        <v>253</v>
      </c>
      <c r="F8227" t="s">
        <v>1052</v>
      </c>
      <c r="G8227" t="s">
        <v>94</v>
      </c>
    </row>
    <row r="8228" spans="1:7" x14ac:dyDescent="0.3">
      <c r="A8228" t="s">
        <v>25</v>
      </c>
      <c r="B8228" t="s">
        <v>308</v>
      </c>
      <c r="C8228">
        <v>4</v>
      </c>
      <c r="D8228" t="s">
        <v>103</v>
      </c>
      <c r="E8228" t="s">
        <v>693</v>
      </c>
      <c r="F8228" t="s">
        <v>240</v>
      </c>
      <c r="G8228" t="s">
        <v>103</v>
      </c>
    </row>
    <row r="8229" spans="1:7" x14ac:dyDescent="0.3">
      <c r="A8229" t="s">
        <v>26</v>
      </c>
      <c r="B8229" t="s">
        <v>291</v>
      </c>
      <c r="C8229">
        <v>122</v>
      </c>
      <c r="D8229" t="s">
        <v>114</v>
      </c>
      <c r="E8229" t="s">
        <v>875</v>
      </c>
      <c r="F8229" t="s">
        <v>403</v>
      </c>
      <c r="G8229" t="s">
        <v>102</v>
      </c>
    </row>
    <row r="8230" spans="1:7" x14ac:dyDescent="0.3">
      <c r="A8230" t="s">
        <v>26</v>
      </c>
      <c r="B8230" t="s">
        <v>292</v>
      </c>
      <c r="C8230">
        <v>352</v>
      </c>
      <c r="D8230" t="s">
        <v>245</v>
      </c>
      <c r="E8230" t="s">
        <v>805</v>
      </c>
      <c r="F8230" t="s">
        <v>1373</v>
      </c>
      <c r="G8230" t="s">
        <v>615</v>
      </c>
    </row>
    <row r="8231" spans="1:7" x14ac:dyDescent="0.3">
      <c r="A8231" t="s">
        <v>26</v>
      </c>
      <c r="B8231" t="s">
        <v>308</v>
      </c>
      <c r="C8231">
        <v>3</v>
      </c>
      <c r="D8231" t="s">
        <v>103</v>
      </c>
      <c r="E8231" t="s">
        <v>784</v>
      </c>
      <c r="F8231" t="s">
        <v>699</v>
      </c>
      <c r="G8231" t="s">
        <v>103</v>
      </c>
    </row>
    <row r="8232" spans="1:7" x14ac:dyDescent="0.3">
      <c r="A8232" t="s">
        <v>29</v>
      </c>
      <c r="B8232" t="s">
        <v>291</v>
      </c>
      <c r="C8232">
        <v>205</v>
      </c>
      <c r="D8232" t="s">
        <v>216</v>
      </c>
      <c r="E8232" t="s">
        <v>573</v>
      </c>
      <c r="F8232" t="s">
        <v>1579</v>
      </c>
      <c r="G8232" t="s">
        <v>544</v>
      </c>
    </row>
    <row r="8233" spans="1:7" x14ac:dyDescent="0.3">
      <c r="A8233" t="s">
        <v>29</v>
      </c>
      <c r="B8233" t="s">
        <v>292</v>
      </c>
      <c r="C8233">
        <v>325</v>
      </c>
      <c r="D8233" t="s">
        <v>120</v>
      </c>
      <c r="E8233" t="s">
        <v>352</v>
      </c>
      <c r="F8233" t="s">
        <v>1556</v>
      </c>
      <c r="G8233" t="s">
        <v>224</v>
      </c>
    </row>
    <row r="8234" spans="1:7" x14ac:dyDescent="0.3">
      <c r="A8234" t="s">
        <v>28</v>
      </c>
      <c r="B8234" t="s">
        <v>291</v>
      </c>
      <c r="C8234">
        <v>114</v>
      </c>
      <c r="D8234" t="s">
        <v>103</v>
      </c>
      <c r="E8234" t="s">
        <v>746</v>
      </c>
      <c r="F8234" t="s">
        <v>835</v>
      </c>
      <c r="G8234" t="s">
        <v>130</v>
      </c>
    </row>
    <row r="8235" spans="1:7" x14ac:dyDescent="0.3">
      <c r="A8235" t="s">
        <v>28</v>
      </c>
      <c r="B8235" t="s">
        <v>292</v>
      </c>
      <c r="C8235">
        <v>191</v>
      </c>
      <c r="D8235" t="s">
        <v>103</v>
      </c>
      <c r="E8235" t="s">
        <v>515</v>
      </c>
      <c r="F8235" t="s">
        <v>1456</v>
      </c>
      <c r="G8235" t="s">
        <v>467</v>
      </c>
    </row>
    <row r="8236" spans="1:7" x14ac:dyDescent="0.3">
      <c r="A8236" t="s">
        <v>28</v>
      </c>
      <c r="B8236" t="s">
        <v>308</v>
      </c>
      <c r="C8236">
        <v>12</v>
      </c>
      <c r="D8236" t="s">
        <v>103</v>
      </c>
      <c r="E8236" t="s">
        <v>103</v>
      </c>
      <c r="F8236" t="s">
        <v>192</v>
      </c>
      <c r="G8236" t="s">
        <v>103</v>
      </c>
    </row>
    <row r="8237" spans="1:7" x14ac:dyDescent="0.3">
      <c r="A8237" t="s">
        <v>27</v>
      </c>
      <c r="B8237" t="s">
        <v>291</v>
      </c>
      <c r="C8237">
        <v>95</v>
      </c>
      <c r="D8237" t="s">
        <v>98</v>
      </c>
      <c r="E8237" t="s">
        <v>551</v>
      </c>
      <c r="F8237" t="s">
        <v>733</v>
      </c>
      <c r="G8237" t="s">
        <v>128</v>
      </c>
    </row>
    <row r="8238" spans="1:7" x14ac:dyDescent="0.3">
      <c r="A8238" t="s">
        <v>27</v>
      </c>
      <c r="B8238" t="s">
        <v>292</v>
      </c>
      <c r="C8238">
        <v>198</v>
      </c>
      <c r="D8238" t="s">
        <v>97</v>
      </c>
      <c r="E8238" t="s">
        <v>819</v>
      </c>
      <c r="F8238" t="s">
        <v>1361</v>
      </c>
      <c r="G8238" t="s">
        <v>270</v>
      </c>
    </row>
    <row r="8239" spans="1:7" x14ac:dyDescent="0.3">
      <c r="A8239" t="s">
        <v>27</v>
      </c>
      <c r="B8239" t="s">
        <v>308</v>
      </c>
      <c r="C8239">
        <v>7</v>
      </c>
      <c r="D8239" t="s">
        <v>103</v>
      </c>
      <c r="E8239" t="s">
        <v>103</v>
      </c>
      <c r="F8239" t="s">
        <v>192</v>
      </c>
      <c r="G8239" t="s">
        <v>103</v>
      </c>
    </row>
    <row r="8240" spans="1:7" x14ac:dyDescent="0.3">
      <c r="A8240" t="s">
        <v>41</v>
      </c>
      <c r="B8240" t="s">
        <v>291</v>
      </c>
      <c r="C8240">
        <v>692</v>
      </c>
      <c r="D8240" t="s">
        <v>245</v>
      </c>
      <c r="E8240" t="s">
        <v>1038</v>
      </c>
      <c r="F8240" t="s">
        <v>1018</v>
      </c>
      <c r="G8240" t="s">
        <v>693</v>
      </c>
    </row>
    <row r="8241" spans="1:7" x14ac:dyDescent="0.3">
      <c r="A8241" t="s">
        <v>41</v>
      </c>
      <c r="B8241" t="s">
        <v>292</v>
      </c>
      <c r="C8241">
        <v>1320</v>
      </c>
      <c r="D8241" t="s">
        <v>139</v>
      </c>
      <c r="E8241" t="s">
        <v>1008</v>
      </c>
      <c r="F8241" t="s">
        <v>1321</v>
      </c>
      <c r="G8241" t="s">
        <v>251</v>
      </c>
    </row>
    <row r="8242" spans="1:7" x14ac:dyDescent="0.3">
      <c r="A8242" t="s">
        <v>41</v>
      </c>
      <c r="B8242" t="s">
        <v>308</v>
      </c>
      <c r="C8242">
        <v>26</v>
      </c>
      <c r="D8242" t="s">
        <v>103</v>
      </c>
      <c r="E8242" t="s">
        <v>548</v>
      </c>
      <c r="F8242" t="s">
        <v>806</v>
      </c>
      <c r="G8242" t="s">
        <v>103</v>
      </c>
    </row>
    <row r="8244" spans="1:7" x14ac:dyDescent="0.3">
      <c r="A8244" t="s">
        <v>2389</v>
      </c>
    </row>
    <row r="8245" spans="1:7" x14ac:dyDescent="0.3">
      <c r="A8245" t="s">
        <v>36</v>
      </c>
      <c r="B8245" t="s">
        <v>310</v>
      </c>
      <c r="C8245" t="s">
        <v>24</v>
      </c>
      <c r="D8245" t="s">
        <v>87</v>
      </c>
      <c r="E8245" t="s">
        <v>58</v>
      </c>
      <c r="F8245" t="s">
        <v>2386</v>
      </c>
      <c r="G8245" t="s">
        <v>2387</v>
      </c>
    </row>
    <row r="8246" spans="1:7" x14ac:dyDescent="0.3">
      <c r="A8246" t="s">
        <v>25</v>
      </c>
      <c r="B8246" t="s">
        <v>311</v>
      </c>
      <c r="C8246">
        <v>324</v>
      </c>
      <c r="D8246" t="s">
        <v>122</v>
      </c>
      <c r="E8246" t="s">
        <v>521</v>
      </c>
      <c r="F8246" t="s">
        <v>1063</v>
      </c>
      <c r="G8246" t="s">
        <v>90</v>
      </c>
    </row>
    <row r="8247" spans="1:7" x14ac:dyDescent="0.3">
      <c r="A8247" t="s">
        <v>25</v>
      </c>
      <c r="B8247" t="s">
        <v>312</v>
      </c>
      <c r="C8247">
        <v>80</v>
      </c>
      <c r="D8247" t="s">
        <v>103</v>
      </c>
      <c r="E8247" t="s">
        <v>687</v>
      </c>
      <c r="F8247" t="s">
        <v>1056</v>
      </c>
      <c r="G8247" t="s">
        <v>188</v>
      </c>
    </row>
    <row r="8248" spans="1:7" x14ac:dyDescent="0.3">
      <c r="A8248" t="s">
        <v>25</v>
      </c>
      <c r="B8248" t="s">
        <v>308</v>
      </c>
      <c r="C8248">
        <v>10</v>
      </c>
      <c r="D8248" t="s">
        <v>103</v>
      </c>
      <c r="E8248" t="s">
        <v>665</v>
      </c>
      <c r="F8248" t="s">
        <v>664</v>
      </c>
      <c r="G8248" t="s">
        <v>103</v>
      </c>
    </row>
    <row r="8249" spans="1:7" x14ac:dyDescent="0.3">
      <c r="A8249" t="s">
        <v>26</v>
      </c>
      <c r="B8249" t="s">
        <v>311</v>
      </c>
      <c r="C8249">
        <v>343</v>
      </c>
      <c r="D8249" t="s">
        <v>270</v>
      </c>
      <c r="E8249" t="s">
        <v>702</v>
      </c>
      <c r="F8249" t="s">
        <v>2033</v>
      </c>
      <c r="G8249" t="s">
        <v>188</v>
      </c>
    </row>
    <row r="8250" spans="1:7" x14ac:dyDescent="0.3">
      <c r="A8250" t="s">
        <v>26</v>
      </c>
      <c r="B8250" t="s">
        <v>312</v>
      </c>
      <c r="C8250">
        <v>96</v>
      </c>
      <c r="D8250" t="s">
        <v>120</v>
      </c>
      <c r="E8250" t="s">
        <v>1143</v>
      </c>
      <c r="F8250" t="s">
        <v>403</v>
      </c>
      <c r="G8250" t="s">
        <v>206</v>
      </c>
    </row>
    <row r="8251" spans="1:7" x14ac:dyDescent="0.3">
      <c r="A8251" t="s">
        <v>26</v>
      </c>
      <c r="B8251" t="s">
        <v>308</v>
      </c>
      <c r="C8251">
        <v>38</v>
      </c>
      <c r="D8251" t="s">
        <v>103</v>
      </c>
      <c r="E8251" t="s">
        <v>485</v>
      </c>
      <c r="F8251" t="s">
        <v>1359</v>
      </c>
      <c r="G8251" t="s">
        <v>70</v>
      </c>
    </row>
    <row r="8252" spans="1:7" x14ac:dyDescent="0.3">
      <c r="A8252" t="s">
        <v>29</v>
      </c>
      <c r="B8252" t="s">
        <v>311</v>
      </c>
      <c r="C8252">
        <v>414</v>
      </c>
      <c r="D8252" t="s">
        <v>139</v>
      </c>
      <c r="E8252" t="s">
        <v>297</v>
      </c>
      <c r="F8252" t="s">
        <v>1242</v>
      </c>
      <c r="G8252" t="s">
        <v>649</v>
      </c>
    </row>
    <row r="8253" spans="1:7" x14ac:dyDescent="0.3">
      <c r="A8253" t="s">
        <v>29</v>
      </c>
      <c r="B8253" t="s">
        <v>312</v>
      </c>
      <c r="C8253">
        <v>103</v>
      </c>
      <c r="D8253" t="s">
        <v>93</v>
      </c>
      <c r="E8253" t="s">
        <v>545</v>
      </c>
      <c r="F8253" t="s">
        <v>401</v>
      </c>
      <c r="G8253" t="s">
        <v>136</v>
      </c>
    </row>
    <row r="8254" spans="1:7" x14ac:dyDescent="0.3">
      <c r="A8254" t="s">
        <v>29</v>
      </c>
      <c r="B8254" t="s">
        <v>308</v>
      </c>
      <c r="C8254">
        <v>13</v>
      </c>
      <c r="D8254" t="s">
        <v>103</v>
      </c>
      <c r="E8254" t="s">
        <v>696</v>
      </c>
      <c r="F8254" t="s">
        <v>635</v>
      </c>
      <c r="G8254" t="s">
        <v>108</v>
      </c>
    </row>
    <row r="8255" spans="1:7" x14ac:dyDescent="0.3">
      <c r="A8255" t="s">
        <v>28</v>
      </c>
      <c r="B8255" t="s">
        <v>311</v>
      </c>
      <c r="C8255">
        <v>223</v>
      </c>
      <c r="D8255" t="s">
        <v>103</v>
      </c>
      <c r="E8255" t="s">
        <v>485</v>
      </c>
      <c r="F8255" t="s">
        <v>1325</v>
      </c>
      <c r="G8255" t="s">
        <v>549</v>
      </c>
    </row>
    <row r="8256" spans="1:7" x14ac:dyDescent="0.3">
      <c r="A8256" t="s">
        <v>28</v>
      </c>
      <c r="B8256" t="s">
        <v>312</v>
      </c>
      <c r="C8256">
        <v>93</v>
      </c>
      <c r="D8256" t="s">
        <v>103</v>
      </c>
      <c r="E8256" t="s">
        <v>789</v>
      </c>
      <c r="F8256" t="s">
        <v>1359</v>
      </c>
      <c r="G8256" t="s">
        <v>239</v>
      </c>
    </row>
    <row r="8257" spans="1:7" x14ac:dyDescent="0.3">
      <c r="A8257" t="s">
        <v>28</v>
      </c>
      <c r="B8257" t="s">
        <v>308</v>
      </c>
      <c r="C8257">
        <v>1</v>
      </c>
      <c r="D8257" t="s">
        <v>103</v>
      </c>
      <c r="E8257" t="s">
        <v>103</v>
      </c>
      <c r="F8257" t="s">
        <v>192</v>
      </c>
      <c r="G8257" t="s">
        <v>103</v>
      </c>
    </row>
    <row r="8258" spans="1:7" x14ac:dyDescent="0.3">
      <c r="A8258" t="s">
        <v>27</v>
      </c>
      <c r="B8258" t="s">
        <v>311</v>
      </c>
      <c r="C8258">
        <v>237</v>
      </c>
      <c r="D8258" t="s">
        <v>95</v>
      </c>
      <c r="E8258" t="s">
        <v>682</v>
      </c>
      <c r="F8258" t="s">
        <v>992</v>
      </c>
      <c r="G8258" t="s">
        <v>68</v>
      </c>
    </row>
    <row r="8259" spans="1:7" x14ac:dyDescent="0.3">
      <c r="A8259" t="s">
        <v>27</v>
      </c>
      <c r="B8259" t="s">
        <v>312</v>
      </c>
      <c r="C8259">
        <v>60</v>
      </c>
      <c r="D8259" t="s">
        <v>103</v>
      </c>
      <c r="E8259" t="s">
        <v>754</v>
      </c>
      <c r="F8259" t="s">
        <v>1393</v>
      </c>
      <c r="G8259" t="s">
        <v>98</v>
      </c>
    </row>
    <row r="8260" spans="1:7" x14ac:dyDescent="0.3">
      <c r="A8260" t="s">
        <v>27</v>
      </c>
      <c r="B8260" t="s">
        <v>308</v>
      </c>
      <c r="C8260">
        <v>3</v>
      </c>
      <c r="D8260" t="s">
        <v>103</v>
      </c>
      <c r="E8260" t="s">
        <v>103</v>
      </c>
      <c r="F8260" t="s">
        <v>192</v>
      </c>
      <c r="G8260" t="s">
        <v>103</v>
      </c>
    </row>
    <row r="8261" spans="1:7" x14ac:dyDescent="0.3">
      <c r="A8261" t="s">
        <v>41</v>
      </c>
      <c r="B8261" t="s">
        <v>311</v>
      </c>
      <c r="C8261">
        <v>1541</v>
      </c>
      <c r="D8261" t="s">
        <v>345</v>
      </c>
      <c r="E8261" t="s">
        <v>685</v>
      </c>
      <c r="F8261" t="s">
        <v>417</v>
      </c>
      <c r="G8261" t="s">
        <v>575</v>
      </c>
    </row>
    <row r="8262" spans="1:7" x14ac:dyDescent="0.3">
      <c r="A8262" t="s">
        <v>41</v>
      </c>
      <c r="B8262" t="s">
        <v>312</v>
      </c>
      <c r="C8262">
        <v>432</v>
      </c>
      <c r="D8262" t="s">
        <v>468</v>
      </c>
      <c r="E8262" t="s">
        <v>507</v>
      </c>
      <c r="F8262" t="s">
        <v>593</v>
      </c>
      <c r="G8262" t="s">
        <v>124</v>
      </c>
    </row>
    <row r="8263" spans="1:7" x14ac:dyDescent="0.3">
      <c r="A8263" t="s">
        <v>41</v>
      </c>
      <c r="B8263" t="s">
        <v>308</v>
      </c>
      <c r="C8263">
        <v>65</v>
      </c>
      <c r="D8263" t="s">
        <v>103</v>
      </c>
      <c r="E8263" t="s">
        <v>541</v>
      </c>
      <c r="F8263" t="s">
        <v>690</v>
      </c>
      <c r="G8263" t="s">
        <v>278</v>
      </c>
    </row>
    <row r="8265" spans="1:7" x14ac:dyDescent="0.3">
      <c r="A8265" t="s">
        <v>2390</v>
      </c>
    </row>
    <row r="8266" spans="1:7" x14ac:dyDescent="0.3">
      <c r="A8266" t="s">
        <v>36</v>
      </c>
      <c r="B8266" t="s">
        <v>197</v>
      </c>
      <c r="C8266" t="s">
        <v>24</v>
      </c>
      <c r="D8266" t="s">
        <v>58</v>
      </c>
      <c r="E8266" t="s">
        <v>2386</v>
      </c>
      <c r="F8266" t="s">
        <v>2387</v>
      </c>
      <c r="G8266" t="s">
        <v>87</v>
      </c>
    </row>
    <row r="8267" spans="1:7" x14ac:dyDescent="0.3">
      <c r="A8267" t="s">
        <v>25</v>
      </c>
      <c r="B8267" t="s">
        <v>198</v>
      </c>
      <c r="C8267">
        <v>104</v>
      </c>
      <c r="D8267" t="s">
        <v>789</v>
      </c>
      <c r="E8267" t="s">
        <v>1063</v>
      </c>
      <c r="F8267" t="s">
        <v>125</v>
      </c>
      <c r="G8267" t="s">
        <v>103</v>
      </c>
    </row>
    <row r="8268" spans="1:7" x14ac:dyDescent="0.3">
      <c r="A8268" t="s">
        <v>25</v>
      </c>
      <c r="B8268" t="s">
        <v>199</v>
      </c>
      <c r="C8268">
        <v>310</v>
      </c>
      <c r="D8268" t="s">
        <v>734</v>
      </c>
      <c r="E8268" t="s">
        <v>397</v>
      </c>
      <c r="F8268" t="s">
        <v>205</v>
      </c>
      <c r="G8268" t="s">
        <v>122</v>
      </c>
    </row>
    <row r="8269" spans="1:7" x14ac:dyDescent="0.3">
      <c r="A8269" t="s">
        <v>26</v>
      </c>
      <c r="B8269" t="s">
        <v>198</v>
      </c>
      <c r="C8269">
        <v>41</v>
      </c>
      <c r="D8269" t="s">
        <v>144</v>
      </c>
      <c r="E8269" t="s">
        <v>174</v>
      </c>
      <c r="F8269" t="s">
        <v>118</v>
      </c>
      <c r="G8269" t="s">
        <v>103</v>
      </c>
    </row>
    <row r="8270" spans="1:7" x14ac:dyDescent="0.3">
      <c r="A8270" t="s">
        <v>26</v>
      </c>
      <c r="B8270" t="s">
        <v>199</v>
      </c>
      <c r="C8270">
        <v>436</v>
      </c>
      <c r="D8270" t="s">
        <v>505</v>
      </c>
      <c r="E8270" t="s">
        <v>1062</v>
      </c>
      <c r="F8270" t="s">
        <v>201</v>
      </c>
      <c r="G8270" t="s">
        <v>118</v>
      </c>
    </row>
    <row r="8271" spans="1:7" x14ac:dyDescent="0.3">
      <c r="A8271" t="s">
        <v>29</v>
      </c>
      <c r="B8271" t="s">
        <v>198</v>
      </c>
      <c r="C8271">
        <v>170</v>
      </c>
      <c r="D8271" t="s">
        <v>729</v>
      </c>
      <c r="E8271" t="s">
        <v>358</v>
      </c>
      <c r="F8271" t="s">
        <v>191</v>
      </c>
      <c r="G8271" t="s">
        <v>194</v>
      </c>
    </row>
    <row r="8272" spans="1:7" x14ac:dyDescent="0.3">
      <c r="A8272" t="s">
        <v>29</v>
      </c>
      <c r="B8272" t="s">
        <v>199</v>
      </c>
      <c r="C8272">
        <v>360</v>
      </c>
      <c r="D8272" t="s">
        <v>498</v>
      </c>
      <c r="E8272" t="s">
        <v>384</v>
      </c>
      <c r="F8272" t="s">
        <v>652</v>
      </c>
      <c r="G8272" t="s">
        <v>98</v>
      </c>
    </row>
    <row r="8273" spans="1:7" x14ac:dyDescent="0.3">
      <c r="A8273" t="s">
        <v>28</v>
      </c>
      <c r="B8273" t="s">
        <v>198</v>
      </c>
      <c r="C8273">
        <v>70</v>
      </c>
      <c r="D8273" t="s">
        <v>144</v>
      </c>
      <c r="E8273" t="s">
        <v>1680</v>
      </c>
      <c r="F8273" t="s">
        <v>544</v>
      </c>
      <c r="G8273" t="s">
        <v>103</v>
      </c>
    </row>
    <row r="8274" spans="1:7" x14ac:dyDescent="0.3">
      <c r="A8274" t="s">
        <v>28</v>
      </c>
      <c r="B8274" t="s">
        <v>199</v>
      </c>
      <c r="C8274">
        <v>247</v>
      </c>
      <c r="D8274" t="s">
        <v>506</v>
      </c>
      <c r="E8274" t="s">
        <v>1017</v>
      </c>
      <c r="F8274" t="s">
        <v>284</v>
      </c>
      <c r="G8274" t="s">
        <v>103</v>
      </c>
    </row>
    <row r="8275" spans="1:7" x14ac:dyDescent="0.3">
      <c r="A8275" t="s">
        <v>27</v>
      </c>
      <c r="B8275" t="s">
        <v>198</v>
      </c>
      <c r="C8275">
        <v>136</v>
      </c>
      <c r="D8275" t="s">
        <v>528</v>
      </c>
      <c r="E8275" t="s">
        <v>1381</v>
      </c>
      <c r="F8275" t="s">
        <v>102</v>
      </c>
      <c r="G8275" t="s">
        <v>194</v>
      </c>
    </row>
    <row r="8276" spans="1:7" x14ac:dyDescent="0.3">
      <c r="A8276" t="s">
        <v>27</v>
      </c>
      <c r="B8276" t="s">
        <v>199</v>
      </c>
      <c r="C8276">
        <v>164</v>
      </c>
      <c r="D8276" t="s">
        <v>548</v>
      </c>
      <c r="E8276" t="s">
        <v>227</v>
      </c>
      <c r="F8276" t="s">
        <v>341</v>
      </c>
      <c r="G8276" t="s">
        <v>103</v>
      </c>
    </row>
    <row r="8277" spans="1:7" x14ac:dyDescent="0.3">
      <c r="A8277" t="s">
        <v>41</v>
      </c>
      <c r="B8277" t="s">
        <v>198</v>
      </c>
      <c r="C8277">
        <v>521</v>
      </c>
      <c r="D8277" t="s">
        <v>456</v>
      </c>
      <c r="E8277" t="s">
        <v>1058</v>
      </c>
      <c r="F8277" t="s">
        <v>575</v>
      </c>
      <c r="G8277" t="s">
        <v>98</v>
      </c>
    </row>
    <row r="8278" spans="1:7" x14ac:dyDescent="0.3">
      <c r="A8278" t="s">
        <v>41</v>
      </c>
      <c r="B8278" t="s">
        <v>199</v>
      </c>
      <c r="C8278">
        <v>1517</v>
      </c>
      <c r="D8278" t="s">
        <v>685</v>
      </c>
      <c r="E8278" t="s">
        <v>406</v>
      </c>
      <c r="F8278" t="s">
        <v>494</v>
      </c>
      <c r="G8278" t="s">
        <v>468</v>
      </c>
    </row>
    <row r="8280" spans="1:7" x14ac:dyDescent="0.3">
      <c r="A8280" t="s">
        <v>2391</v>
      </c>
    </row>
    <row r="8281" spans="1:7" x14ac:dyDescent="0.3">
      <c r="A8281" t="s">
        <v>36</v>
      </c>
      <c r="B8281" t="s">
        <v>1647</v>
      </c>
      <c r="C8281" t="s">
        <v>24</v>
      </c>
      <c r="D8281" t="s">
        <v>58</v>
      </c>
      <c r="E8281" t="s">
        <v>2386</v>
      </c>
      <c r="F8281" t="s">
        <v>2387</v>
      </c>
      <c r="G8281" t="s">
        <v>87</v>
      </c>
    </row>
    <row r="8282" spans="1:7" x14ac:dyDescent="0.3">
      <c r="A8282" t="s">
        <v>25</v>
      </c>
      <c r="B8282" t="s">
        <v>1648</v>
      </c>
      <c r="C8282">
        <v>143</v>
      </c>
      <c r="D8282" t="s">
        <v>578</v>
      </c>
      <c r="E8282" t="s">
        <v>1012</v>
      </c>
      <c r="F8282" t="s">
        <v>460</v>
      </c>
      <c r="G8282" t="s">
        <v>103</v>
      </c>
    </row>
    <row r="8283" spans="1:7" x14ac:dyDescent="0.3">
      <c r="A8283" t="s">
        <v>25</v>
      </c>
      <c r="B8283" t="s">
        <v>1649</v>
      </c>
      <c r="C8283">
        <v>271</v>
      </c>
      <c r="D8283" t="s">
        <v>142</v>
      </c>
      <c r="E8283" t="s">
        <v>1013</v>
      </c>
      <c r="F8283" t="s">
        <v>460</v>
      </c>
      <c r="G8283" t="s">
        <v>97</v>
      </c>
    </row>
    <row r="8284" spans="1:7" x14ac:dyDescent="0.3">
      <c r="A8284" t="s">
        <v>26</v>
      </c>
      <c r="B8284" t="s">
        <v>1648</v>
      </c>
      <c r="C8284">
        <v>153</v>
      </c>
      <c r="D8284" t="s">
        <v>514</v>
      </c>
      <c r="E8284" t="s">
        <v>1001</v>
      </c>
      <c r="F8284" t="s">
        <v>217</v>
      </c>
      <c r="G8284" t="s">
        <v>103</v>
      </c>
    </row>
    <row r="8285" spans="1:7" x14ac:dyDescent="0.3">
      <c r="A8285" t="s">
        <v>26</v>
      </c>
      <c r="B8285" t="s">
        <v>1649</v>
      </c>
      <c r="C8285">
        <v>324</v>
      </c>
      <c r="D8285" t="s">
        <v>650</v>
      </c>
      <c r="E8285" t="s">
        <v>1175</v>
      </c>
      <c r="F8285" t="s">
        <v>281</v>
      </c>
      <c r="G8285" t="s">
        <v>438</v>
      </c>
    </row>
    <row r="8286" spans="1:7" x14ac:dyDescent="0.3">
      <c r="A8286" t="s">
        <v>29</v>
      </c>
      <c r="B8286" t="s">
        <v>1648</v>
      </c>
      <c r="C8286">
        <v>252</v>
      </c>
      <c r="D8286" t="s">
        <v>619</v>
      </c>
      <c r="E8286" t="s">
        <v>1279</v>
      </c>
      <c r="F8286" t="s">
        <v>224</v>
      </c>
      <c r="G8286" t="s">
        <v>97</v>
      </c>
    </row>
    <row r="8287" spans="1:7" x14ac:dyDescent="0.3">
      <c r="A8287" t="s">
        <v>29</v>
      </c>
      <c r="B8287" t="s">
        <v>1649</v>
      </c>
      <c r="C8287">
        <v>278</v>
      </c>
      <c r="D8287" t="s">
        <v>404</v>
      </c>
      <c r="E8287" t="s">
        <v>932</v>
      </c>
      <c r="F8287" t="s">
        <v>119</v>
      </c>
      <c r="G8287" t="s">
        <v>239</v>
      </c>
    </row>
    <row r="8288" spans="1:7" x14ac:dyDescent="0.3">
      <c r="A8288" t="s">
        <v>28</v>
      </c>
      <c r="B8288" t="s">
        <v>1648</v>
      </c>
      <c r="C8288">
        <v>77</v>
      </c>
      <c r="D8288" t="s">
        <v>271</v>
      </c>
      <c r="E8288" t="s">
        <v>711</v>
      </c>
      <c r="F8288" t="s">
        <v>591</v>
      </c>
      <c r="G8288" t="s">
        <v>103</v>
      </c>
    </row>
    <row r="8289" spans="1:7" x14ac:dyDescent="0.3">
      <c r="A8289" t="s">
        <v>28</v>
      </c>
      <c r="B8289" t="s">
        <v>1649</v>
      </c>
      <c r="C8289">
        <v>240</v>
      </c>
      <c r="D8289" t="s">
        <v>552</v>
      </c>
      <c r="E8289" t="s">
        <v>1322</v>
      </c>
      <c r="F8289" t="s">
        <v>100</v>
      </c>
      <c r="G8289" t="s">
        <v>103</v>
      </c>
    </row>
    <row r="8290" spans="1:7" x14ac:dyDescent="0.3">
      <c r="A8290" t="s">
        <v>27</v>
      </c>
      <c r="B8290" t="s">
        <v>1648</v>
      </c>
      <c r="C8290">
        <v>64</v>
      </c>
      <c r="D8290" t="s">
        <v>132</v>
      </c>
      <c r="E8290" t="s">
        <v>227</v>
      </c>
      <c r="F8290" t="s">
        <v>217</v>
      </c>
      <c r="G8290" t="s">
        <v>103</v>
      </c>
    </row>
    <row r="8291" spans="1:7" x14ac:dyDescent="0.3">
      <c r="A8291" t="s">
        <v>27</v>
      </c>
      <c r="B8291" t="s">
        <v>1649</v>
      </c>
      <c r="C8291">
        <v>236</v>
      </c>
      <c r="D8291" t="s">
        <v>521</v>
      </c>
      <c r="E8291" t="s">
        <v>757</v>
      </c>
      <c r="F8291" t="s">
        <v>266</v>
      </c>
      <c r="G8291" t="s">
        <v>139</v>
      </c>
    </row>
    <row r="8292" spans="1:7" x14ac:dyDescent="0.3">
      <c r="A8292" t="s">
        <v>41</v>
      </c>
      <c r="B8292" t="s">
        <v>1648</v>
      </c>
      <c r="C8292">
        <v>689</v>
      </c>
      <c r="D8292" t="s">
        <v>261</v>
      </c>
      <c r="E8292" t="s">
        <v>1170</v>
      </c>
      <c r="F8292" t="s">
        <v>607</v>
      </c>
      <c r="G8292" t="s">
        <v>116</v>
      </c>
    </row>
    <row r="8293" spans="1:7" x14ac:dyDescent="0.3">
      <c r="A8293" t="s">
        <v>41</v>
      </c>
      <c r="B8293" t="s">
        <v>1649</v>
      </c>
      <c r="C8293">
        <v>1349</v>
      </c>
      <c r="D8293" t="s">
        <v>1093</v>
      </c>
      <c r="E8293" t="s">
        <v>1230</v>
      </c>
      <c r="F8293" t="s">
        <v>242</v>
      </c>
      <c r="G8293" t="s">
        <v>245</v>
      </c>
    </row>
    <row r="8295" spans="1:7" x14ac:dyDescent="0.3">
      <c r="A8295" t="s">
        <v>2392</v>
      </c>
    </row>
    <row r="8296" spans="1:7" x14ac:dyDescent="0.3">
      <c r="A8296" t="s">
        <v>36</v>
      </c>
      <c r="B8296" t="s">
        <v>210</v>
      </c>
      <c r="C8296" t="s">
        <v>24</v>
      </c>
      <c r="D8296" t="s">
        <v>87</v>
      </c>
      <c r="E8296" t="s">
        <v>58</v>
      </c>
      <c r="F8296" t="s">
        <v>2386</v>
      </c>
      <c r="G8296" t="s">
        <v>2387</v>
      </c>
    </row>
    <row r="8297" spans="1:7" x14ac:dyDescent="0.3">
      <c r="A8297" t="s">
        <v>25</v>
      </c>
      <c r="B8297" t="s">
        <v>211</v>
      </c>
      <c r="C8297">
        <v>414</v>
      </c>
      <c r="D8297" t="s">
        <v>116</v>
      </c>
      <c r="E8297" t="s">
        <v>474</v>
      </c>
      <c r="F8297" t="s">
        <v>397</v>
      </c>
      <c r="G8297" t="s">
        <v>460</v>
      </c>
    </row>
    <row r="8298" spans="1:7" x14ac:dyDescent="0.3">
      <c r="A8298" t="s">
        <v>26</v>
      </c>
      <c r="B8298" t="s">
        <v>211</v>
      </c>
      <c r="C8298">
        <v>223</v>
      </c>
      <c r="D8298" t="s">
        <v>468</v>
      </c>
      <c r="E8298" t="s">
        <v>557</v>
      </c>
      <c r="F8298" t="s">
        <v>736</v>
      </c>
      <c r="G8298" t="s">
        <v>100</v>
      </c>
    </row>
    <row r="8299" spans="1:7" x14ac:dyDescent="0.3">
      <c r="A8299" t="s">
        <v>26</v>
      </c>
      <c r="B8299" t="s">
        <v>212</v>
      </c>
      <c r="C8299">
        <v>254</v>
      </c>
      <c r="D8299" t="s">
        <v>272</v>
      </c>
      <c r="E8299" t="s">
        <v>1023</v>
      </c>
      <c r="F8299" t="s">
        <v>944</v>
      </c>
      <c r="G8299" t="s">
        <v>110</v>
      </c>
    </row>
    <row r="8300" spans="1:7" x14ac:dyDescent="0.3">
      <c r="A8300" t="s">
        <v>29</v>
      </c>
      <c r="B8300" t="s">
        <v>211</v>
      </c>
      <c r="C8300">
        <v>530</v>
      </c>
      <c r="D8300" t="s">
        <v>282</v>
      </c>
      <c r="E8300" t="s">
        <v>490</v>
      </c>
      <c r="F8300" t="s">
        <v>1220</v>
      </c>
      <c r="G8300" t="s">
        <v>459</v>
      </c>
    </row>
    <row r="8301" spans="1:7" x14ac:dyDescent="0.3">
      <c r="A8301" t="s">
        <v>28</v>
      </c>
      <c r="B8301" t="s">
        <v>211</v>
      </c>
      <c r="C8301">
        <v>277</v>
      </c>
      <c r="D8301" t="s">
        <v>103</v>
      </c>
      <c r="E8301" t="s">
        <v>521</v>
      </c>
      <c r="F8301" t="s">
        <v>1680</v>
      </c>
      <c r="G8301" t="s">
        <v>100</v>
      </c>
    </row>
    <row r="8302" spans="1:7" x14ac:dyDescent="0.3">
      <c r="A8302" t="s">
        <v>28</v>
      </c>
      <c r="B8302" t="s">
        <v>212</v>
      </c>
      <c r="C8302">
        <v>40</v>
      </c>
      <c r="D8302" t="s">
        <v>103</v>
      </c>
      <c r="E8302" t="s">
        <v>893</v>
      </c>
      <c r="F8302" t="s">
        <v>892</v>
      </c>
      <c r="G8302" t="s">
        <v>103</v>
      </c>
    </row>
    <row r="8303" spans="1:7" x14ac:dyDescent="0.3">
      <c r="A8303" t="s">
        <v>27</v>
      </c>
      <c r="B8303" t="s">
        <v>211</v>
      </c>
      <c r="C8303">
        <v>270</v>
      </c>
      <c r="D8303" t="s">
        <v>120</v>
      </c>
      <c r="E8303" t="s">
        <v>474</v>
      </c>
      <c r="F8303" t="s">
        <v>1001</v>
      </c>
      <c r="G8303" t="s">
        <v>64</v>
      </c>
    </row>
    <row r="8304" spans="1:7" s="3" customFormat="1" x14ac:dyDescent="0.3">
      <c r="A8304" s="3" t="s">
        <v>27</v>
      </c>
      <c r="B8304" s="3" t="s">
        <v>212</v>
      </c>
      <c r="C8304" s="3">
        <v>30</v>
      </c>
      <c r="D8304" s="3" t="s">
        <v>103</v>
      </c>
      <c r="E8304" s="3" t="s">
        <v>652</v>
      </c>
      <c r="F8304" s="3" t="s">
        <v>606</v>
      </c>
      <c r="G8304" s="3" t="s">
        <v>103</v>
      </c>
    </row>
    <row r="8305" spans="1:8" x14ac:dyDescent="0.3">
      <c r="A8305" t="s">
        <v>41</v>
      </c>
      <c r="B8305" t="s">
        <v>211</v>
      </c>
      <c r="C8305">
        <v>1714</v>
      </c>
      <c r="D8305" t="s">
        <v>139</v>
      </c>
      <c r="E8305" t="s">
        <v>647</v>
      </c>
      <c r="F8305" t="s">
        <v>508</v>
      </c>
      <c r="G8305" t="s">
        <v>224</v>
      </c>
    </row>
    <row r="8306" spans="1:8" x14ac:dyDescent="0.3">
      <c r="A8306" t="s">
        <v>41</v>
      </c>
      <c r="B8306" t="s">
        <v>212</v>
      </c>
      <c r="C8306">
        <v>324</v>
      </c>
      <c r="D8306" t="s">
        <v>68</v>
      </c>
      <c r="E8306" t="s">
        <v>754</v>
      </c>
      <c r="F8306" t="s">
        <v>1436</v>
      </c>
      <c r="G8306" t="s">
        <v>194</v>
      </c>
    </row>
    <row r="8308" spans="1:8" x14ac:dyDescent="0.3">
      <c r="A8308" t="s">
        <v>2393</v>
      </c>
    </row>
    <row r="8309" spans="1:8" x14ac:dyDescent="0.3">
      <c r="A8309" t="s">
        <v>36</v>
      </c>
      <c r="B8309" t="s">
        <v>24</v>
      </c>
      <c r="C8309" t="s">
        <v>87</v>
      </c>
      <c r="D8309" t="s">
        <v>58</v>
      </c>
      <c r="E8309" t="s">
        <v>2394</v>
      </c>
      <c r="F8309" t="s">
        <v>2395</v>
      </c>
      <c r="G8309" t="s">
        <v>2396</v>
      </c>
    </row>
    <row r="8310" spans="1:8" x14ac:dyDescent="0.3">
      <c r="A8310" t="s">
        <v>25</v>
      </c>
      <c r="B8310">
        <v>414</v>
      </c>
      <c r="C8310" t="s">
        <v>890</v>
      </c>
      <c r="D8310" t="s">
        <v>158</v>
      </c>
      <c r="E8310" t="s">
        <v>345</v>
      </c>
      <c r="F8310" t="s">
        <v>103</v>
      </c>
      <c r="G8310" t="s">
        <v>103</v>
      </c>
    </row>
    <row r="8311" spans="1:8" x14ac:dyDescent="0.3">
      <c r="A8311" t="s">
        <v>26</v>
      </c>
      <c r="B8311">
        <v>477</v>
      </c>
      <c r="C8311" t="s">
        <v>519</v>
      </c>
      <c r="D8311" t="s">
        <v>709</v>
      </c>
      <c r="E8311" t="s">
        <v>239</v>
      </c>
      <c r="F8311" t="s">
        <v>91</v>
      </c>
      <c r="G8311" t="s">
        <v>282</v>
      </c>
    </row>
    <row r="8312" spans="1:8" x14ac:dyDescent="0.3">
      <c r="A8312" t="s">
        <v>29</v>
      </c>
      <c r="B8312">
        <v>530</v>
      </c>
      <c r="C8312" t="s">
        <v>254</v>
      </c>
      <c r="D8312" t="s">
        <v>889</v>
      </c>
      <c r="E8312" t="s">
        <v>468</v>
      </c>
      <c r="F8312" t="s">
        <v>103</v>
      </c>
      <c r="G8312" t="s">
        <v>122</v>
      </c>
    </row>
    <row r="8313" spans="1:8" x14ac:dyDescent="0.3">
      <c r="A8313" t="s">
        <v>28</v>
      </c>
      <c r="B8313">
        <v>317</v>
      </c>
      <c r="C8313" t="s">
        <v>813</v>
      </c>
      <c r="D8313" t="s">
        <v>717</v>
      </c>
      <c r="E8313" t="s">
        <v>515</v>
      </c>
      <c r="F8313" t="s">
        <v>103</v>
      </c>
      <c r="G8313" t="s">
        <v>272</v>
      </c>
    </row>
    <row r="8314" spans="1:8" x14ac:dyDescent="0.3">
      <c r="A8314" t="s">
        <v>27</v>
      </c>
      <c r="B8314">
        <v>300</v>
      </c>
      <c r="C8314" t="s">
        <v>1093</v>
      </c>
      <c r="D8314" t="s">
        <v>686</v>
      </c>
      <c r="E8314" t="s">
        <v>1212</v>
      </c>
      <c r="F8314" t="s">
        <v>116</v>
      </c>
      <c r="G8314" t="s">
        <v>93</v>
      </c>
    </row>
    <row r="8315" spans="1:8" x14ac:dyDescent="0.3">
      <c r="A8315" t="s">
        <v>41</v>
      </c>
      <c r="B8315">
        <v>2038</v>
      </c>
      <c r="C8315" t="s">
        <v>536</v>
      </c>
      <c r="D8315" t="s">
        <v>189</v>
      </c>
      <c r="E8315" t="s">
        <v>114</v>
      </c>
      <c r="F8315" t="s">
        <v>103</v>
      </c>
      <c r="G8315" t="s">
        <v>95</v>
      </c>
    </row>
    <row r="8317" spans="1:8" x14ac:dyDescent="0.3">
      <c r="A8317" t="s">
        <v>2397</v>
      </c>
    </row>
    <row r="8318" spans="1:8" x14ac:dyDescent="0.3">
      <c r="A8318" t="s">
        <v>36</v>
      </c>
      <c r="B8318" t="s">
        <v>307</v>
      </c>
      <c r="C8318" t="s">
        <v>24</v>
      </c>
      <c r="D8318" t="s">
        <v>87</v>
      </c>
      <c r="E8318" t="s">
        <v>58</v>
      </c>
      <c r="F8318" t="s">
        <v>2394</v>
      </c>
      <c r="G8318" t="s">
        <v>2396</v>
      </c>
      <c r="H8318" t="s">
        <v>2395</v>
      </c>
    </row>
    <row r="8319" spans="1:8" x14ac:dyDescent="0.3">
      <c r="A8319" t="s">
        <v>25</v>
      </c>
      <c r="B8319" t="s">
        <v>291</v>
      </c>
      <c r="C8319">
        <v>156</v>
      </c>
      <c r="D8319" t="s">
        <v>164</v>
      </c>
      <c r="E8319" t="s">
        <v>721</v>
      </c>
      <c r="F8319" t="s">
        <v>341</v>
      </c>
      <c r="G8319" t="s">
        <v>103</v>
      </c>
      <c r="H8319" t="s">
        <v>103</v>
      </c>
    </row>
    <row r="8320" spans="1:8" x14ac:dyDescent="0.3">
      <c r="A8320" t="s">
        <v>25</v>
      </c>
      <c r="B8320" t="s">
        <v>292</v>
      </c>
      <c r="C8320">
        <v>254</v>
      </c>
      <c r="D8320" t="s">
        <v>601</v>
      </c>
      <c r="E8320" t="s">
        <v>240</v>
      </c>
      <c r="F8320" t="s">
        <v>120</v>
      </c>
      <c r="G8320" t="s">
        <v>103</v>
      </c>
      <c r="H8320" t="s">
        <v>103</v>
      </c>
    </row>
    <row r="8321" spans="1:8" x14ac:dyDescent="0.3">
      <c r="A8321" t="s">
        <v>25</v>
      </c>
      <c r="B8321" t="s">
        <v>308</v>
      </c>
      <c r="C8321">
        <v>4</v>
      </c>
      <c r="D8321" t="s">
        <v>103</v>
      </c>
      <c r="E8321" t="s">
        <v>192</v>
      </c>
      <c r="F8321" t="s">
        <v>103</v>
      </c>
      <c r="G8321" t="s">
        <v>103</v>
      </c>
      <c r="H8321" t="s">
        <v>103</v>
      </c>
    </row>
    <row r="8322" spans="1:8" x14ac:dyDescent="0.3">
      <c r="A8322" t="s">
        <v>26</v>
      </c>
      <c r="B8322" t="s">
        <v>291</v>
      </c>
      <c r="C8322">
        <v>122</v>
      </c>
      <c r="D8322" t="s">
        <v>654</v>
      </c>
      <c r="E8322" t="s">
        <v>1393</v>
      </c>
      <c r="F8322" t="s">
        <v>139</v>
      </c>
      <c r="G8322" t="s">
        <v>216</v>
      </c>
      <c r="H8322" t="s">
        <v>103</v>
      </c>
    </row>
    <row r="8323" spans="1:8" x14ac:dyDescent="0.3">
      <c r="A8323" t="s">
        <v>26</v>
      </c>
      <c r="B8323" t="s">
        <v>292</v>
      </c>
      <c r="C8323">
        <v>352</v>
      </c>
      <c r="D8323" t="s">
        <v>244</v>
      </c>
      <c r="E8323" t="s">
        <v>174</v>
      </c>
      <c r="F8323" t="s">
        <v>105</v>
      </c>
      <c r="G8323" t="s">
        <v>139</v>
      </c>
      <c r="H8323" t="s">
        <v>66</v>
      </c>
    </row>
    <row r="8324" spans="1:8" x14ac:dyDescent="0.3">
      <c r="A8324" t="s">
        <v>26</v>
      </c>
      <c r="B8324" t="s">
        <v>308</v>
      </c>
      <c r="C8324">
        <v>3</v>
      </c>
      <c r="D8324" t="s">
        <v>784</v>
      </c>
      <c r="E8324" t="s">
        <v>699</v>
      </c>
      <c r="F8324" t="s">
        <v>103</v>
      </c>
      <c r="G8324" t="s">
        <v>103</v>
      </c>
      <c r="H8324" t="s">
        <v>103</v>
      </c>
    </row>
    <row r="8325" spans="1:8" x14ac:dyDescent="0.3">
      <c r="A8325" t="s">
        <v>29</v>
      </c>
      <c r="B8325" t="s">
        <v>291</v>
      </c>
      <c r="C8325">
        <v>205</v>
      </c>
      <c r="D8325" t="s">
        <v>232</v>
      </c>
      <c r="E8325" t="s">
        <v>598</v>
      </c>
      <c r="F8325" t="s">
        <v>195</v>
      </c>
      <c r="G8325" t="s">
        <v>103</v>
      </c>
      <c r="H8325" t="s">
        <v>103</v>
      </c>
    </row>
    <row r="8326" spans="1:8" x14ac:dyDescent="0.3">
      <c r="A8326" t="s">
        <v>29</v>
      </c>
      <c r="B8326" t="s">
        <v>292</v>
      </c>
      <c r="C8326">
        <v>325</v>
      </c>
      <c r="D8326" t="s">
        <v>117</v>
      </c>
      <c r="E8326" t="s">
        <v>241</v>
      </c>
      <c r="F8326" t="s">
        <v>103</v>
      </c>
      <c r="G8326" t="s">
        <v>120</v>
      </c>
      <c r="H8326" t="s">
        <v>103</v>
      </c>
    </row>
    <row r="8327" spans="1:8" x14ac:dyDescent="0.3">
      <c r="A8327" t="s">
        <v>28</v>
      </c>
      <c r="B8327" t="s">
        <v>291</v>
      </c>
      <c r="C8327">
        <v>114</v>
      </c>
      <c r="D8327" t="s">
        <v>488</v>
      </c>
      <c r="E8327" t="s">
        <v>979</v>
      </c>
      <c r="F8327" t="s">
        <v>829</v>
      </c>
      <c r="G8327" t="s">
        <v>266</v>
      </c>
      <c r="H8327" t="s">
        <v>103</v>
      </c>
    </row>
    <row r="8328" spans="1:8" x14ac:dyDescent="0.3">
      <c r="A8328" t="s">
        <v>28</v>
      </c>
      <c r="B8328" t="s">
        <v>292</v>
      </c>
      <c r="C8328">
        <v>191</v>
      </c>
      <c r="D8328" t="s">
        <v>130</v>
      </c>
      <c r="E8328" t="s">
        <v>796</v>
      </c>
      <c r="F8328" t="s">
        <v>807</v>
      </c>
      <c r="G8328" t="s">
        <v>188</v>
      </c>
      <c r="H8328" t="s">
        <v>103</v>
      </c>
    </row>
    <row r="8329" spans="1:8" x14ac:dyDescent="0.3">
      <c r="A8329" t="s">
        <v>28</v>
      </c>
      <c r="B8329" t="s">
        <v>308</v>
      </c>
      <c r="C8329">
        <v>12</v>
      </c>
      <c r="D8329" t="s">
        <v>459</v>
      </c>
      <c r="E8329" t="s">
        <v>818</v>
      </c>
      <c r="F8329" t="s">
        <v>103</v>
      </c>
      <c r="G8329" t="s">
        <v>103</v>
      </c>
      <c r="H8329" t="s">
        <v>103</v>
      </c>
    </row>
    <row r="8330" spans="1:8" x14ac:dyDescent="0.3">
      <c r="A8330" t="s">
        <v>27</v>
      </c>
      <c r="B8330" t="s">
        <v>291</v>
      </c>
      <c r="C8330">
        <v>95</v>
      </c>
      <c r="D8330" t="s">
        <v>499</v>
      </c>
      <c r="E8330" t="s">
        <v>921</v>
      </c>
      <c r="F8330" t="s">
        <v>402</v>
      </c>
      <c r="G8330" t="s">
        <v>272</v>
      </c>
      <c r="H8330" t="s">
        <v>468</v>
      </c>
    </row>
    <row r="8331" spans="1:8" x14ac:dyDescent="0.3">
      <c r="A8331" t="s">
        <v>27</v>
      </c>
      <c r="B8331" t="s">
        <v>292</v>
      </c>
      <c r="C8331">
        <v>198</v>
      </c>
      <c r="D8331" t="s">
        <v>686</v>
      </c>
      <c r="E8331" t="s">
        <v>477</v>
      </c>
      <c r="F8331" t="s">
        <v>546</v>
      </c>
      <c r="G8331" t="s">
        <v>341</v>
      </c>
      <c r="H8331" t="s">
        <v>103</v>
      </c>
    </row>
    <row r="8332" spans="1:8" x14ac:dyDescent="0.3">
      <c r="A8332" t="s">
        <v>27</v>
      </c>
      <c r="B8332" t="s">
        <v>308</v>
      </c>
      <c r="C8332">
        <v>7</v>
      </c>
      <c r="D8332" t="s">
        <v>504</v>
      </c>
      <c r="E8332" t="s">
        <v>103</v>
      </c>
      <c r="F8332" t="s">
        <v>811</v>
      </c>
      <c r="G8332" t="s">
        <v>103</v>
      </c>
      <c r="H8332" t="s">
        <v>103</v>
      </c>
    </row>
    <row r="8333" spans="1:8" x14ac:dyDescent="0.3">
      <c r="A8333" t="s">
        <v>41</v>
      </c>
      <c r="B8333" t="s">
        <v>291</v>
      </c>
      <c r="C8333">
        <v>692</v>
      </c>
      <c r="D8333" t="s">
        <v>743</v>
      </c>
      <c r="E8333" t="s">
        <v>775</v>
      </c>
      <c r="F8333" t="s">
        <v>107</v>
      </c>
      <c r="G8333" t="s">
        <v>97</v>
      </c>
      <c r="H8333" t="s">
        <v>103</v>
      </c>
    </row>
    <row r="8334" spans="1:8" x14ac:dyDescent="0.3">
      <c r="A8334" t="s">
        <v>41</v>
      </c>
      <c r="B8334" t="s">
        <v>292</v>
      </c>
      <c r="C8334">
        <v>1320</v>
      </c>
      <c r="D8334" t="s">
        <v>481</v>
      </c>
      <c r="E8334" t="s">
        <v>622</v>
      </c>
      <c r="F8334" t="s">
        <v>125</v>
      </c>
      <c r="G8334" t="s">
        <v>139</v>
      </c>
      <c r="H8334" t="s">
        <v>103</v>
      </c>
    </row>
    <row r="8335" spans="1:8" x14ac:dyDescent="0.3">
      <c r="A8335" t="s">
        <v>41</v>
      </c>
      <c r="B8335" t="s">
        <v>308</v>
      </c>
      <c r="C8335">
        <v>26</v>
      </c>
      <c r="D8335" t="s">
        <v>746</v>
      </c>
      <c r="E8335" t="s">
        <v>298</v>
      </c>
      <c r="F8335" t="s">
        <v>92</v>
      </c>
      <c r="G8335" t="s">
        <v>103</v>
      </c>
      <c r="H8335" t="s">
        <v>103</v>
      </c>
    </row>
    <row r="8337" spans="1:8" x14ac:dyDescent="0.3">
      <c r="A8337" t="s">
        <v>2398</v>
      </c>
    </row>
    <row r="8338" spans="1:8" x14ac:dyDescent="0.3">
      <c r="A8338" t="s">
        <v>36</v>
      </c>
      <c r="B8338" t="s">
        <v>310</v>
      </c>
      <c r="C8338" t="s">
        <v>24</v>
      </c>
      <c r="D8338" t="s">
        <v>87</v>
      </c>
      <c r="E8338" t="s">
        <v>58</v>
      </c>
      <c r="F8338" t="s">
        <v>2394</v>
      </c>
      <c r="G8338" t="s">
        <v>2396</v>
      </c>
      <c r="H8338" t="s">
        <v>2395</v>
      </c>
    </row>
    <row r="8339" spans="1:8" x14ac:dyDescent="0.3">
      <c r="A8339" t="s">
        <v>25</v>
      </c>
      <c r="B8339" t="s">
        <v>311</v>
      </c>
      <c r="C8339">
        <v>324</v>
      </c>
      <c r="D8339" t="s">
        <v>247</v>
      </c>
      <c r="E8339" t="s">
        <v>170</v>
      </c>
      <c r="F8339" t="s">
        <v>110</v>
      </c>
      <c r="G8339" t="s">
        <v>103</v>
      </c>
      <c r="H8339" t="s">
        <v>103</v>
      </c>
    </row>
    <row r="8340" spans="1:8" x14ac:dyDescent="0.3">
      <c r="A8340" t="s">
        <v>25</v>
      </c>
      <c r="B8340" t="s">
        <v>312</v>
      </c>
      <c r="C8340">
        <v>80</v>
      </c>
      <c r="D8340" t="s">
        <v>649</v>
      </c>
      <c r="E8340" t="s">
        <v>828</v>
      </c>
      <c r="F8340" t="s">
        <v>103</v>
      </c>
      <c r="G8340" t="s">
        <v>103</v>
      </c>
      <c r="H8340" t="s">
        <v>103</v>
      </c>
    </row>
    <row r="8341" spans="1:8" x14ac:dyDescent="0.3">
      <c r="A8341" t="s">
        <v>25</v>
      </c>
      <c r="B8341" t="s">
        <v>308</v>
      </c>
      <c r="C8341">
        <v>10</v>
      </c>
      <c r="D8341" t="s">
        <v>546</v>
      </c>
      <c r="E8341" t="s">
        <v>1426</v>
      </c>
      <c r="F8341" t="s">
        <v>103</v>
      </c>
      <c r="G8341" t="s">
        <v>103</v>
      </c>
      <c r="H8341" t="s">
        <v>103</v>
      </c>
    </row>
    <row r="8342" spans="1:8" x14ac:dyDescent="0.3">
      <c r="A8342" t="s">
        <v>26</v>
      </c>
      <c r="B8342" t="s">
        <v>311</v>
      </c>
      <c r="C8342">
        <v>343</v>
      </c>
      <c r="D8342" t="s">
        <v>807</v>
      </c>
      <c r="E8342" t="s">
        <v>49</v>
      </c>
      <c r="F8342" t="s">
        <v>341</v>
      </c>
      <c r="G8342" t="s">
        <v>139</v>
      </c>
      <c r="H8342" t="s">
        <v>103</v>
      </c>
    </row>
    <row r="8343" spans="1:8" x14ac:dyDescent="0.3">
      <c r="A8343" t="s">
        <v>26</v>
      </c>
      <c r="B8343" t="s">
        <v>312</v>
      </c>
      <c r="C8343">
        <v>96</v>
      </c>
      <c r="D8343" t="s">
        <v>171</v>
      </c>
      <c r="E8343" t="s">
        <v>720</v>
      </c>
      <c r="F8343" t="s">
        <v>95</v>
      </c>
      <c r="G8343" t="s">
        <v>93</v>
      </c>
      <c r="H8343" t="s">
        <v>95</v>
      </c>
    </row>
    <row r="8344" spans="1:8" x14ac:dyDescent="0.3">
      <c r="A8344" t="s">
        <v>26</v>
      </c>
      <c r="B8344" t="s">
        <v>308</v>
      </c>
      <c r="C8344">
        <v>38</v>
      </c>
      <c r="D8344" t="s">
        <v>188</v>
      </c>
      <c r="E8344" t="s">
        <v>833</v>
      </c>
      <c r="F8344" t="s">
        <v>103</v>
      </c>
      <c r="G8344" t="s">
        <v>103</v>
      </c>
      <c r="H8344" t="s">
        <v>103</v>
      </c>
    </row>
    <row r="8345" spans="1:8" x14ac:dyDescent="0.3">
      <c r="A8345" t="s">
        <v>29</v>
      </c>
      <c r="B8345" t="s">
        <v>311</v>
      </c>
      <c r="C8345">
        <v>414</v>
      </c>
      <c r="D8345" t="s">
        <v>459</v>
      </c>
      <c r="E8345" t="s">
        <v>147</v>
      </c>
      <c r="F8345" t="s">
        <v>103</v>
      </c>
      <c r="G8345" t="s">
        <v>66</v>
      </c>
      <c r="H8345" t="s">
        <v>103</v>
      </c>
    </row>
    <row r="8346" spans="1:8" x14ac:dyDescent="0.3">
      <c r="A8346" t="s">
        <v>29</v>
      </c>
      <c r="B8346" t="s">
        <v>312</v>
      </c>
      <c r="C8346">
        <v>103</v>
      </c>
      <c r="D8346" t="s">
        <v>133</v>
      </c>
      <c r="E8346" t="s">
        <v>740</v>
      </c>
      <c r="F8346" t="s">
        <v>531</v>
      </c>
      <c r="G8346" t="s">
        <v>345</v>
      </c>
      <c r="H8346" t="s">
        <v>103</v>
      </c>
    </row>
    <row r="8347" spans="1:8" x14ac:dyDescent="0.3">
      <c r="A8347" t="s">
        <v>29</v>
      </c>
      <c r="B8347" t="s">
        <v>308</v>
      </c>
      <c r="C8347">
        <v>13</v>
      </c>
      <c r="D8347" t="s">
        <v>103</v>
      </c>
      <c r="E8347" t="s">
        <v>192</v>
      </c>
      <c r="F8347" t="s">
        <v>103</v>
      </c>
      <c r="G8347" t="s">
        <v>103</v>
      </c>
      <c r="H8347" t="s">
        <v>103</v>
      </c>
    </row>
    <row r="8348" spans="1:8" x14ac:dyDescent="0.3">
      <c r="A8348" t="s">
        <v>28</v>
      </c>
      <c r="B8348" t="s">
        <v>311</v>
      </c>
      <c r="C8348">
        <v>223</v>
      </c>
      <c r="D8348" t="s">
        <v>519</v>
      </c>
      <c r="E8348" t="s">
        <v>1094</v>
      </c>
      <c r="F8348" t="s">
        <v>516</v>
      </c>
      <c r="G8348" t="s">
        <v>128</v>
      </c>
      <c r="H8348" t="s">
        <v>103</v>
      </c>
    </row>
    <row r="8349" spans="1:8" x14ac:dyDescent="0.3">
      <c r="A8349" t="s">
        <v>28</v>
      </c>
      <c r="B8349" t="s">
        <v>312</v>
      </c>
      <c r="C8349">
        <v>93</v>
      </c>
      <c r="D8349" t="s">
        <v>126</v>
      </c>
      <c r="E8349" t="s">
        <v>233</v>
      </c>
      <c r="F8349" t="s">
        <v>756</v>
      </c>
      <c r="G8349" t="s">
        <v>558</v>
      </c>
      <c r="H8349" t="s">
        <v>103</v>
      </c>
    </row>
    <row r="8350" spans="1:8" x14ac:dyDescent="0.3">
      <c r="A8350" t="s">
        <v>28</v>
      </c>
      <c r="B8350" t="s">
        <v>308</v>
      </c>
      <c r="C8350">
        <v>1</v>
      </c>
      <c r="D8350" t="s">
        <v>103</v>
      </c>
      <c r="E8350" t="s">
        <v>192</v>
      </c>
      <c r="F8350" t="s">
        <v>103</v>
      </c>
      <c r="G8350" t="s">
        <v>103</v>
      </c>
      <c r="H8350" t="s">
        <v>103</v>
      </c>
    </row>
    <row r="8351" spans="1:8" x14ac:dyDescent="0.3">
      <c r="A8351" t="s">
        <v>27</v>
      </c>
      <c r="B8351" t="s">
        <v>311</v>
      </c>
      <c r="C8351">
        <v>237</v>
      </c>
      <c r="D8351" t="s">
        <v>1213</v>
      </c>
      <c r="E8351" t="s">
        <v>504</v>
      </c>
      <c r="F8351" t="s">
        <v>1015</v>
      </c>
      <c r="G8351" t="s">
        <v>341</v>
      </c>
      <c r="H8351" t="s">
        <v>103</v>
      </c>
    </row>
    <row r="8352" spans="1:8" x14ac:dyDescent="0.3">
      <c r="A8352" t="s">
        <v>27</v>
      </c>
      <c r="B8352" t="s">
        <v>312</v>
      </c>
      <c r="C8352">
        <v>60</v>
      </c>
      <c r="D8352" t="s">
        <v>1227</v>
      </c>
      <c r="E8352" t="s">
        <v>746</v>
      </c>
      <c r="F8352" t="s">
        <v>396</v>
      </c>
      <c r="G8352" t="s">
        <v>186</v>
      </c>
      <c r="H8352" t="s">
        <v>208</v>
      </c>
    </row>
    <row r="8353" spans="1:8" x14ac:dyDescent="0.3">
      <c r="A8353" t="s">
        <v>27</v>
      </c>
      <c r="B8353" t="s">
        <v>308</v>
      </c>
      <c r="C8353">
        <v>3</v>
      </c>
      <c r="D8353" t="s">
        <v>192</v>
      </c>
      <c r="E8353" t="s">
        <v>103</v>
      </c>
      <c r="F8353" t="s">
        <v>103</v>
      </c>
      <c r="G8353" t="s">
        <v>103</v>
      </c>
      <c r="H8353" t="s">
        <v>103</v>
      </c>
    </row>
    <row r="8354" spans="1:8" x14ac:dyDescent="0.3">
      <c r="A8354" t="s">
        <v>41</v>
      </c>
      <c r="B8354" t="s">
        <v>311</v>
      </c>
      <c r="C8354">
        <v>1541</v>
      </c>
      <c r="D8354" t="s">
        <v>271</v>
      </c>
      <c r="E8354" t="s">
        <v>711</v>
      </c>
      <c r="F8354" t="s">
        <v>102</v>
      </c>
      <c r="G8354" t="s">
        <v>97</v>
      </c>
      <c r="H8354" t="s">
        <v>103</v>
      </c>
    </row>
    <row r="8355" spans="1:8" x14ac:dyDescent="0.3">
      <c r="A8355" t="s">
        <v>41</v>
      </c>
      <c r="B8355" t="s">
        <v>312</v>
      </c>
      <c r="C8355">
        <v>432</v>
      </c>
      <c r="D8355" t="s">
        <v>629</v>
      </c>
      <c r="E8355" t="s">
        <v>45</v>
      </c>
      <c r="F8355" t="s">
        <v>531</v>
      </c>
      <c r="G8355" t="s">
        <v>216</v>
      </c>
      <c r="H8355" t="s">
        <v>66</v>
      </c>
    </row>
    <row r="8356" spans="1:8" x14ac:dyDescent="0.3">
      <c r="A8356" t="s">
        <v>41</v>
      </c>
      <c r="B8356" t="s">
        <v>308</v>
      </c>
      <c r="C8356">
        <v>65</v>
      </c>
      <c r="D8356" t="s">
        <v>652</v>
      </c>
      <c r="E8356" t="s">
        <v>606</v>
      </c>
      <c r="F8356" t="s">
        <v>103</v>
      </c>
      <c r="G8356" t="s">
        <v>103</v>
      </c>
      <c r="H8356" t="s">
        <v>103</v>
      </c>
    </row>
    <row r="8358" spans="1:8" x14ac:dyDescent="0.3">
      <c r="A8358" t="s">
        <v>2399</v>
      </c>
    </row>
    <row r="8359" spans="1:8" x14ac:dyDescent="0.3">
      <c r="A8359" t="s">
        <v>36</v>
      </c>
      <c r="B8359" t="s">
        <v>197</v>
      </c>
      <c r="C8359" t="s">
        <v>24</v>
      </c>
      <c r="D8359" t="s">
        <v>87</v>
      </c>
      <c r="E8359" t="s">
        <v>58</v>
      </c>
      <c r="F8359" t="s">
        <v>2394</v>
      </c>
      <c r="G8359" t="s">
        <v>2395</v>
      </c>
      <c r="H8359" t="s">
        <v>2396</v>
      </c>
    </row>
    <row r="8360" spans="1:8" x14ac:dyDescent="0.3">
      <c r="A8360" t="s">
        <v>25</v>
      </c>
      <c r="B8360" t="s">
        <v>198</v>
      </c>
      <c r="C8360">
        <v>104</v>
      </c>
      <c r="D8360" t="s">
        <v>517</v>
      </c>
      <c r="E8360" t="s">
        <v>776</v>
      </c>
      <c r="F8360" t="s">
        <v>103</v>
      </c>
      <c r="G8360" t="s">
        <v>103</v>
      </c>
      <c r="H8360" t="s">
        <v>103</v>
      </c>
    </row>
    <row r="8361" spans="1:8" x14ac:dyDescent="0.3">
      <c r="A8361" t="s">
        <v>25</v>
      </c>
      <c r="B8361" t="s">
        <v>199</v>
      </c>
      <c r="C8361">
        <v>310</v>
      </c>
      <c r="D8361" t="s">
        <v>62</v>
      </c>
      <c r="E8361" t="s">
        <v>783</v>
      </c>
      <c r="F8361" t="s">
        <v>110</v>
      </c>
      <c r="G8361" t="s">
        <v>103</v>
      </c>
      <c r="H8361" t="s">
        <v>103</v>
      </c>
    </row>
    <row r="8362" spans="1:8" x14ac:dyDescent="0.3">
      <c r="A8362" t="s">
        <v>26</v>
      </c>
      <c r="B8362" t="s">
        <v>198</v>
      </c>
      <c r="C8362">
        <v>41</v>
      </c>
      <c r="D8362" t="s">
        <v>737</v>
      </c>
      <c r="E8362" t="s">
        <v>606</v>
      </c>
      <c r="F8362" t="s">
        <v>245</v>
      </c>
      <c r="G8362" t="s">
        <v>103</v>
      </c>
      <c r="H8362" t="s">
        <v>103</v>
      </c>
    </row>
    <row r="8363" spans="1:8" x14ac:dyDescent="0.3">
      <c r="A8363" t="s">
        <v>26</v>
      </c>
      <c r="B8363" t="s">
        <v>199</v>
      </c>
      <c r="C8363">
        <v>436</v>
      </c>
      <c r="D8363" t="s">
        <v>54</v>
      </c>
      <c r="E8363" t="s">
        <v>1144</v>
      </c>
      <c r="F8363" t="s">
        <v>239</v>
      </c>
      <c r="G8363" t="s">
        <v>91</v>
      </c>
      <c r="H8363" t="s">
        <v>345</v>
      </c>
    </row>
    <row r="8364" spans="1:8" x14ac:dyDescent="0.3">
      <c r="A8364" t="s">
        <v>29</v>
      </c>
      <c r="B8364" t="s">
        <v>198</v>
      </c>
      <c r="C8364">
        <v>170</v>
      </c>
      <c r="D8364" t="s">
        <v>90</v>
      </c>
      <c r="E8364" t="s">
        <v>1177</v>
      </c>
      <c r="F8364" t="s">
        <v>103</v>
      </c>
      <c r="G8364" t="s">
        <v>103</v>
      </c>
      <c r="H8364" t="s">
        <v>103</v>
      </c>
    </row>
    <row r="8365" spans="1:8" x14ac:dyDescent="0.3">
      <c r="A8365" t="s">
        <v>29</v>
      </c>
      <c r="B8365" t="s">
        <v>199</v>
      </c>
      <c r="C8365">
        <v>360</v>
      </c>
      <c r="D8365" t="s">
        <v>482</v>
      </c>
      <c r="E8365" t="s">
        <v>241</v>
      </c>
      <c r="F8365" t="s">
        <v>245</v>
      </c>
      <c r="G8365" t="s">
        <v>103</v>
      </c>
      <c r="H8365" t="s">
        <v>97</v>
      </c>
    </row>
    <row r="8366" spans="1:8" x14ac:dyDescent="0.3">
      <c r="A8366" t="s">
        <v>28</v>
      </c>
      <c r="B8366" t="s">
        <v>198</v>
      </c>
      <c r="C8366">
        <v>70</v>
      </c>
      <c r="D8366" t="s">
        <v>230</v>
      </c>
      <c r="E8366" t="s">
        <v>1137</v>
      </c>
      <c r="F8366" t="s">
        <v>103</v>
      </c>
      <c r="G8366" t="s">
        <v>103</v>
      </c>
      <c r="H8366" t="s">
        <v>103</v>
      </c>
    </row>
    <row r="8367" spans="1:8" x14ac:dyDescent="0.3">
      <c r="A8367" t="s">
        <v>28</v>
      </c>
      <c r="B8367" t="s">
        <v>199</v>
      </c>
      <c r="C8367">
        <v>247</v>
      </c>
      <c r="D8367" t="s">
        <v>108</v>
      </c>
      <c r="E8367" t="s">
        <v>1180</v>
      </c>
      <c r="F8367" t="s">
        <v>264</v>
      </c>
      <c r="G8367" t="s">
        <v>103</v>
      </c>
      <c r="H8367" t="s">
        <v>113</v>
      </c>
    </row>
    <row r="8368" spans="1:8" x14ac:dyDescent="0.3">
      <c r="A8368" t="s">
        <v>27</v>
      </c>
      <c r="B8368" t="s">
        <v>198</v>
      </c>
      <c r="C8368">
        <v>136</v>
      </c>
      <c r="D8368" t="s">
        <v>1207</v>
      </c>
      <c r="E8368" t="s">
        <v>658</v>
      </c>
      <c r="F8368" t="s">
        <v>500</v>
      </c>
      <c r="G8368" t="s">
        <v>103</v>
      </c>
      <c r="H8368" t="s">
        <v>194</v>
      </c>
    </row>
    <row r="8369" spans="1:8" x14ac:dyDescent="0.3">
      <c r="A8369" t="s">
        <v>27</v>
      </c>
      <c r="B8369" t="s">
        <v>199</v>
      </c>
      <c r="C8369">
        <v>164</v>
      </c>
      <c r="D8369" t="s">
        <v>553</v>
      </c>
      <c r="E8369" t="s">
        <v>705</v>
      </c>
      <c r="F8369" t="s">
        <v>499</v>
      </c>
      <c r="G8369" t="s">
        <v>120</v>
      </c>
      <c r="H8369" t="s">
        <v>68</v>
      </c>
    </row>
    <row r="8370" spans="1:8" x14ac:dyDescent="0.3">
      <c r="A8370" t="s">
        <v>41</v>
      </c>
      <c r="B8370" t="s">
        <v>198</v>
      </c>
      <c r="C8370">
        <v>521</v>
      </c>
      <c r="D8370" t="s">
        <v>544</v>
      </c>
      <c r="E8370" t="s">
        <v>775</v>
      </c>
      <c r="F8370" t="s">
        <v>615</v>
      </c>
      <c r="G8370" t="s">
        <v>103</v>
      </c>
      <c r="H8370" t="s">
        <v>91</v>
      </c>
    </row>
    <row r="8371" spans="1:8" x14ac:dyDescent="0.3">
      <c r="A8371" t="s">
        <v>41</v>
      </c>
      <c r="B8371" t="s">
        <v>199</v>
      </c>
      <c r="C8371">
        <v>1517</v>
      </c>
      <c r="D8371" t="s">
        <v>536</v>
      </c>
      <c r="E8371" t="s">
        <v>238</v>
      </c>
      <c r="F8371" t="s">
        <v>125</v>
      </c>
      <c r="G8371" t="s">
        <v>91</v>
      </c>
      <c r="H8371" t="s">
        <v>98</v>
      </c>
    </row>
    <row r="8373" spans="1:8" x14ac:dyDescent="0.3">
      <c r="A8373" t="s">
        <v>2400</v>
      </c>
    </row>
    <row r="8374" spans="1:8" x14ac:dyDescent="0.3">
      <c r="A8374" t="s">
        <v>36</v>
      </c>
      <c r="B8374" t="s">
        <v>1647</v>
      </c>
      <c r="C8374" t="s">
        <v>24</v>
      </c>
      <c r="D8374" t="s">
        <v>87</v>
      </c>
      <c r="E8374" t="s">
        <v>58</v>
      </c>
      <c r="F8374" t="s">
        <v>2394</v>
      </c>
      <c r="G8374" t="s">
        <v>2395</v>
      </c>
      <c r="H8374" t="s">
        <v>2396</v>
      </c>
    </row>
    <row r="8375" spans="1:8" x14ac:dyDescent="0.3">
      <c r="A8375" t="s">
        <v>25</v>
      </c>
      <c r="B8375" t="s">
        <v>1648</v>
      </c>
      <c r="C8375">
        <v>143</v>
      </c>
      <c r="D8375" t="s">
        <v>135</v>
      </c>
      <c r="E8375" t="s">
        <v>771</v>
      </c>
      <c r="F8375" t="s">
        <v>282</v>
      </c>
      <c r="G8375" t="s">
        <v>103</v>
      </c>
      <c r="H8375" t="s">
        <v>103</v>
      </c>
    </row>
    <row r="8376" spans="1:8" x14ac:dyDescent="0.3">
      <c r="A8376" t="s">
        <v>25</v>
      </c>
      <c r="B8376" t="s">
        <v>1649</v>
      </c>
      <c r="C8376">
        <v>271</v>
      </c>
      <c r="D8376" t="s">
        <v>117</v>
      </c>
      <c r="E8376" t="s">
        <v>712</v>
      </c>
      <c r="F8376" t="s">
        <v>345</v>
      </c>
      <c r="G8376" t="s">
        <v>103</v>
      </c>
      <c r="H8376" t="s">
        <v>103</v>
      </c>
    </row>
    <row r="8377" spans="1:8" x14ac:dyDescent="0.3">
      <c r="A8377" t="s">
        <v>26</v>
      </c>
      <c r="B8377" t="s">
        <v>1648</v>
      </c>
      <c r="C8377">
        <v>153</v>
      </c>
      <c r="D8377" t="s">
        <v>918</v>
      </c>
      <c r="E8377" t="s">
        <v>622</v>
      </c>
      <c r="F8377" t="s">
        <v>128</v>
      </c>
      <c r="G8377" t="s">
        <v>122</v>
      </c>
      <c r="H8377" t="s">
        <v>468</v>
      </c>
    </row>
    <row r="8378" spans="1:8" x14ac:dyDescent="0.3">
      <c r="A8378" t="s">
        <v>26</v>
      </c>
      <c r="B8378" t="s">
        <v>1649</v>
      </c>
      <c r="C8378">
        <v>324</v>
      </c>
      <c r="D8378" t="s">
        <v>470</v>
      </c>
      <c r="E8378" t="s">
        <v>1141</v>
      </c>
      <c r="F8378" t="s">
        <v>345</v>
      </c>
      <c r="G8378" t="s">
        <v>103</v>
      </c>
      <c r="H8378" t="s">
        <v>98</v>
      </c>
    </row>
    <row r="8379" spans="1:8" x14ac:dyDescent="0.3">
      <c r="A8379" t="s">
        <v>29</v>
      </c>
      <c r="B8379" t="s">
        <v>1648</v>
      </c>
      <c r="C8379">
        <v>252</v>
      </c>
      <c r="D8379" t="s">
        <v>652</v>
      </c>
      <c r="E8379" t="s">
        <v>749</v>
      </c>
      <c r="F8379" t="s">
        <v>245</v>
      </c>
      <c r="G8379" t="s">
        <v>103</v>
      </c>
      <c r="H8379" t="s">
        <v>103</v>
      </c>
    </row>
    <row r="8380" spans="1:8" x14ac:dyDescent="0.3">
      <c r="A8380" t="s">
        <v>29</v>
      </c>
      <c r="B8380" t="s">
        <v>1649</v>
      </c>
      <c r="C8380">
        <v>278</v>
      </c>
      <c r="D8380" t="s">
        <v>126</v>
      </c>
      <c r="E8380" t="s">
        <v>1134</v>
      </c>
      <c r="F8380" t="s">
        <v>120</v>
      </c>
      <c r="G8380" t="s">
        <v>103</v>
      </c>
      <c r="H8380" t="s">
        <v>95</v>
      </c>
    </row>
    <row r="8381" spans="1:8" x14ac:dyDescent="0.3">
      <c r="A8381" t="s">
        <v>28</v>
      </c>
      <c r="B8381" t="s">
        <v>1648</v>
      </c>
      <c r="C8381">
        <v>77</v>
      </c>
      <c r="D8381" t="s">
        <v>466</v>
      </c>
      <c r="E8381" t="s">
        <v>755</v>
      </c>
      <c r="F8381" t="s">
        <v>570</v>
      </c>
      <c r="G8381" t="s">
        <v>103</v>
      </c>
      <c r="H8381" t="s">
        <v>282</v>
      </c>
    </row>
    <row r="8382" spans="1:8" x14ac:dyDescent="0.3">
      <c r="A8382" t="s">
        <v>28</v>
      </c>
      <c r="B8382" t="s">
        <v>1649</v>
      </c>
      <c r="C8382">
        <v>240</v>
      </c>
      <c r="D8382" t="s">
        <v>519</v>
      </c>
      <c r="E8382" t="s">
        <v>1175</v>
      </c>
      <c r="F8382" t="s">
        <v>160</v>
      </c>
      <c r="G8382" t="s">
        <v>103</v>
      </c>
      <c r="H8382" t="s">
        <v>188</v>
      </c>
    </row>
    <row r="8383" spans="1:8" x14ac:dyDescent="0.3">
      <c r="A8383" t="s">
        <v>27</v>
      </c>
      <c r="B8383" t="s">
        <v>1648</v>
      </c>
      <c r="C8383">
        <v>64</v>
      </c>
      <c r="D8383" t="s">
        <v>756</v>
      </c>
      <c r="E8383" t="s">
        <v>1293</v>
      </c>
      <c r="F8383" t="s">
        <v>464</v>
      </c>
      <c r="G8383" t="s">
        <v>103</v>
      </c>
      <c r="H8383" t="s">
        <v>103</v>
      </c>
    </row>
    <row r="8384" spans="1:8" x14ac:dyDescent="0.3">
      <c r="A8384" t="s">
        <v>27</v>
      </c>
      <c r="B8384" t="s">
        <v>1649</v>
      </c>
      <c r="C8384">
        <v>236</v>
      </c>
      <c r="D8384" t="s">
        <v>560</v>
      </c>
      <c r="E8384" t="s">
        <v>1198</v>
      </c>
      <c r="F8384" t="s">
        <v>1216</v>
      </c>
      <c r="G8384" t="s">
        <v>122</v>
      </c>
      <c r="H8384" t="s">
        <v>270</v>
      </c>
    </row>
    <row r="8385" spans="1:8" x14ac:dyDescent="0.3">
      <c r="A8385" t="s">
        <v>41</v>
      </c>
      <c r="B8385" t="s">
        <v>1648</v>
      </c>
      <c r="C8385">
        <v>689</v>
      </c>
      <c r="D8385" t="s">
        <v>169</v>
      </c>
      <c r="E8385" t="s">
        <v>163</v>
      </c>
      <c r="F8385" t="s">
        <v>68</v>
      </c>
      <c r="G8385" t="s">
        <v>91</v>
      </c>
      <c r="H8385" t="s">
        <v>116</v>
      </c>
    </row>
    <row r="8386" spans="1:8" x14ac:dyDescent="0.3">
      <c r="A8386" t="s">
        <v>41</v>
      </c>
      <c r="B8386" t="s">
        <v>1649</v>
      </c>
      <c r="C8386">
        <v>1349</v>
      </c>
      <c r="D8386" t="s">
        <v>152</v>
      </c>
      <c r="E8386" t="s">
        <v>1459</v>
      </c>
      <c r="F8386" t="s">
        <v>201</v>
      </c>
      <c r="G8386" t="s">
        <v>103</v>
      </c>
      <c r="H8386" t="s">
        <v>282</v>
      </c>
    </row>
    <row r="8388" spans="1:8" x14ac:dyDescent="0.3">
      <c r="A8388" t="s">
        <v>2401</v>
      </c>
    </row>
    <row r="8389" spans="1:8" x14ac:dyDescent="0.3">
      <c r="A8389" t="s">
        <v>36</v>
      </c>
      <c r="B8389" t="s">
        <v>210</v>
      </c>
      <c r="C8389" t="s">
        <v>24</v>
      </c>
      <c r="D8389" t="s">
        <v>87</v>
      </c>
      <c r="E8389" t="s">
        <v>58</v>
      </c>
      <c r="F8389" t="s">
        <v>2394</v>
      </c>
      <c r="G8389" t="s">
        <v>2395</v>
      </c>
      <c r="H8389" t="s">
        <v>2396</v>
      </c>
    </row>
    <row r="8390" spans="1:8" x14ac:dyDescent="0.3">
      <c r="A8390" t="s">
        <v>25</v>
      </c>
      <c r="B8390" t="s">
        <v>211</v>
      </c>
      <c r="C8390">
        <v>414</v>
      </c>
      <c r="D8390" t="s">
        <v>890</v>
      </c>
      <c r="E8390" t="s">
        <v>158</v>
      </c>
      <c r="F8390" t="s">
        <v>345</v>
      </c>
      <c r="G8390" t="s">
        <v>103</v>
      </c>
      <c r="H8390" t="s">
        <v>103</v>
      </c>
    </row>
    <row r="8391" spans="1:8" x14ac:dyDescent="0.3">
      <c r="A8391" t="s">
        <v>26</v>
      </c>
      <c r="B8391" t="s">
        <v>211</v>
      </c>
      <c r="C8391">
        <v>223</v>
      </c>
      <c r="D8391" t="s">
        <v>341</v>
      </c>
      <c r="E8391" t="s">
        <v>339</v>
      </c>
      <c r="F8391" t="s">
        <v>97</v>
      </c>
      <c r="G8391" t="s">
        <v>103</v>
      </c>
      <c r="H8391" t="s">
        <v>103</v>
      </c>
    </row>
    <row r="8392" spans="1:8" x14ac:dyDescent="0.3">
      <c r="A8392" t="s">
        <v>26</v>
      </c>
      <c r="B8392" t="s">
        <v>212</v>
      </c>
      <c r="C8392">
        <v>254</v>
      </c>
      <c r="D8392" t="s">
        <v>52</v>
      </c>
      <c r="E8392" t="s">
        <v>1037</v>
      </c>
      <c r="F8392" t="s">
        <v>118</v>
      </c>
      <c r="G8392" t="s">
        <v>66</v>
      </c>
      <c r="H8392" t="s">
        <v>341</v>
      </c>
    </row>
    <row r="8393" spans="1:8" x14ac:dyDescent="0.3">
      <c r="A8393" t="s">
        <v>29</v>
      </c>
      <c r="B8393" t="s">
        <v>211</v>
      </c>
      <c r="C8393">
        <v>530</v>
      </c>
      <c r="D8393" t="s">
        <v>254</v>
      </c>
      <c r="E8393" t="s">
        <v>889</v>
      </c>
      <c r="F8393" t="s">
        <v>468</v>
      </c>
      <c r="G8393" t="s">
        <v>103</v>
      </c>
      <c r="H8393" t="s">
        <v>122</v>
      </c>
    </row>
    <row r="8394" spans="1:8" x14ac:dyDescent="0.3">
      <c r="A8394" t="s">
        <v>28</v>
      </c>
      <c r="B8394" t="s">
        <v>211</v>
      </c>
      <c r="C8394">
        <v>277</v>
      </c>
      <c r="D8394" t="s">
        <v>162</v>
      </c>
      <c r="E8394" t="s">
        <v>252</v>
      </c>
      <c r="F8394" t="s">
        <v>459</v>
      </c>
      <c r="G8394" t="s">
        <v>103</v>
      </c>
      <c r="H8394" t="s">
        <v>95</v>
      </c>
    </row>
    <row r="8395" spans="1:8" x14ac:dyDescent="0.3">
      <c r="A8395" t="s">
        <v>28</v>
      </c>
      <c r="B8395" t="s">
        <v>212</v>
      </c>
      <c r="C8395">
        <v>40</v>
      </c>
      <c r="D8395" t="s">
        <v>438</v>
      </c>
      <c r="E8395" t="s">
        <v>214</v>
      </c>
      <c r="F8395" t="s">
        <v>1283</v>
      </c>
      <c r="G8395" t="s">
        <v>103</v>
      </c>
      <c r="H8395" t="s">
        <v>660</v>
      </c>
    </row>
    <row r="8396" spans="1:8" x14ac:dyDescent="0.3">
      <c r="A8396" t="s">
        <v>27</v>
      </c>
      <c r="B8396" t="s">
        <v>211</v>
      </c>
      <c r="C8396">
        <v>270</v>
      </c>
      <c r="D8396" t="s">
        <v>261</v>
      </c>
      <c r="E8396" t="s">
        <v>921</v>
      </c>
      <c r="F8396" t="s">
        <v>1293</v>
      </c>
      <c r="G8396" t="s">
        <v>116</v>
      </c>
      <c r="H8396" t="s">
        <v>118</v>
      </c>
    </row>
    <row r="8397" spans="1:8" s="3" customFormat="1" x14ac:dyDescent="0.3">
      <c r="A8397" s="3" t="s">
        <v>27</v>
      </c>
      <c r="B8397" s="3" t="s">
        <v>212</v>
      </c>
      <c r="C8397" s="3">
        <v>30</v>
      </c>
      <c r="D8397" s="3" t="s">
        <v>799</v>
      </c>
      <c r="E8397" s="3" t="s">
        <v>1207</v>
      </c>
      <c r="F8397" s="3" t="s">
        <v>103</v>
      </c>
      <c r="G8397" s="3" t="s">
        <v>103</v>
      </c>
      <c r="H8397" s="3" t="s">
        <v>103</v>
      </c>
    </row>
    <row r="8398" spans="1:8" x14ac:dyDescent="0.3">
      <c r="A8398" t="s">
        <v>41</v>
      </c>
      <c r="B8398" t="s">
        <v>211</v>
      </c>
      <c r="C8398">
        <v>1714</v>
      </c>
      <c r="D8398" t="s">
        <v>99</v>
      </c>
      <c r="E8398" t="s">
        <v>994</v>
      </c>
      <c r="F8398" t="s">
        <v>493</v>
      </c>
      <c r="G8398" t="s">
        <v>103</v>
      </c>
      <c r="H8398" t="s">
        <v>122</v>
      </c>
    </row>
    <row r="8399" spans="1:8" x14ac:dyDescent="0.3">
      <c r="A8399" t="s">
        <v>41</v>
      </c>
      <c r="B8399" t="s">
        <v>212</v>
      </c>
      <c r="C8399">
        <v>324</v>
      </c>
      <c r="D8399" t="s">
        <v>1226</v>
      </c>
      <c r="E8399" t="s">
        <v>801</v>
      </c>
      <c r="F8399" t="s">
        <v>32</v>
      </c>
      <c r="G8399" t="s">
        <v>66</v>
      </c>
      <c r="H8399" t="s">
        <v>64</v>
      </c>
    </row>
    <row r="8401" spans="1:8" x14ac:dyDescent="0.3">
      <c r="A8401" t="s">
        <v>2402</v>
      </c>
    </row>
    <row r="8402" spans="1:8" x14ac:dyDescent="0.3">
      <c r="A8402" t="s">
        <v>36</v>
      </c>
      <c r="B8402" t="s">
        <v>24</v>
      </c>
      <c r="C8402" t="s">
        <v>2403</v>
      </c>
      <c r="D8402" t="s">
        <v>2404</v>
      </c>
      <c r="E8402" t="s">
        <v>2395</v>
      </c>
      <c r="F8402" t="s">
        <v>2405</v>
      </c>
      <c r="G8402" t="s">
        <v>2406</v>
      </c>
    </row>
    <row r="8403" spans="1:8" s="3" customFormat="1" x14ac:dyDescent="0.3">
      <c r="A8403" s="3" t="s">
        <v>25</v>
      </c>
      <c r="B8403" s="3">
        <v>3</v>
      </c>
      <c r="C8403" s="3" t="s">
        <v>553</v>
      </c>
      <c r="D8403" s="3" t="s">
        <v>1322</v>
      </c>
      <c r="E8403" s="3" t="s">
        <v>103</v>
      </c>
      <c r="F8403" s="3" t="s">
        <v>103</v>
      </c>
      <c r="G8403" s="3" t="s">
        <v>103</v>
      </c>
    </row>
    <row r="8404" spans="1:8" s="3" customFormat="1" x14ac:dyDescent="0.3">
      <c r="A8404" s="3" t="s">
        <v>26</v>
      </c>
      <c r="B8404" s="3">
        <v>15</v>
      </c>
      <c r="C8404" s="3" t="s">
        <v>929</v>
      </c>
      <c r="D8404" s="3" t="s">
        <v>266</v>
      </c>
      <c r="E8404" s="3" t="s">
        <v>607</v>
      </c>
      <c r="F8404" s="3" t="s">
        <v>416</v>
      </c>
      <c r="G8404" s="3" t="s">
        <v>103</v>
      </c>
    </row>
    <row r="8405" spans="1:8" s="3" customFormat="1" x14ac:dyDescent="0.3">
      <c r="A8405" s="3" t="s">
        <v>29</v>
      </c>
      <c r="B8405" s="3">
        <v>4</v>
      </c>
      <c r="C8405" s="3" t="s">
        <v>392</v>
      </c>
      <c r="D8405" s="3" t="s">
        <v>103</v>
      </c>
      <c r="E8405" s="3" t="s">
        <v>103</v>
      </c>
      <c r="F8405" s="3" t="s">
        <v>376</v>
      </c>
      <c r="G8405" s="3" t="s">
        <v>169</v>
      </c>
    </row>
    <row r="8406" spans="1:8" x14ac:dyDescent="0.3">
      <c r="A8406" t="s">
        <v>28</v>
      </c>
      <c r="B8406">
        <v>75</v>
      </c>
      <c r="C8406" t="s">
        <v>175</v>
      </c>
      <c r="D8406" t="s">
        <v>103</v>
      </c>
      <c r="E8406" t="s">
        <v>103</v>
      </c>
      <c r="F8406" t="s">
        <v>176</v>
      </c>
      <c r="G8406" t="s">
        <v>103</v>
      </c>
    </row>
    <row r="8407" spans="1:8" x14ac:dyDescent="0.3">
      <c r="A8407" t="s">
        <v>27</v>
      </c>
      <c r="B8407">
        <v>112</v>
      </c>
      <c r="C8407" t="s">
        <v>251</v>
      </c>
      <c r="D8407" t="s">
        <v>133</v>
      </c>
      <c r="E8407" t="s">
        <v>139</v>
      </c>
      <c r="F8407" t="s">
        <v>187</v>
      </c>
      <c r="G8407" t="s">
        <v>103</v>
      </c>
    </row>
    <row r="8408" spans="1:8" x14ac:dyDescent="0.3">
      <c r="A8408" t="s">
        <v>41</v>
      </c>
      <c r="B8408">
        <v>209</v>
      </c>
      <c r="C8408" t="s">
        <v>478</v>
      </c>
      <c r="D8408" t="s">
        <v>466</v>
      </c>
      <c r="E8408" t="s">
        <v>194</v>
      </c>
      <c r="F8408" t="s">
        <v>1037</v>
      </c>
      <c r="G8408" t="s">
        <v>245</v>
      </c>
    </row>
    <row r="8410" spans="1:8" x14ac:dyDescent="0.3">
      <c r="A8410" t="s">
        <v>2407</v>
      </c>
    </row>
    <row r="8411" spans="1:8" x14ac:dyDescent="0.3">
      <c r="A8411" t="s">
        <v>36</v>
      </c>
      <c r="B8411" t="s">
        <v>307</v>
      </c>
      <c r="C8411" t="s">
        <v>24</v>
      </c>
      <c r="D8411" t="s">
        <v>2403</v>
      </c>
      <c r="E8411" t="s">
        <v>2404</v>
      </c>
      <c r="F8411" t="s">
        <v>2405</v>
      </c>
      <c r="G8411" t="s">
        <v>2395</v>
      </c>
      <c r="H8411" t="s">
        <v>2406</v>
      </c>
    </row>
    <row r="8412" spans="1:8" s="3" customFormat="1" x14ac:dyDescent="0.3">
      <c r="A8412" s="3" t="s">
        <v>25</v>
      </c>
      <c r="B8412" s="3" t="s">
        <v>291</v>
      </c>
      <c r="C8412" s="3">
        <v>2</v>
      </c>
      <c r="D8412" s="3" t="s">
        <v>1212</v>
      </c>
      <c r="E8412" s="3" t="s">
        <v>1034</v>
      </c>
      <c r="F8412" s="3" t="s">
        <v>103</v>
      </c>
      <c r="G8412" s="3" t="s">
        <v>103</v>
      </c>
      <c r="H8412" s="3" t="s">
        <v>103</v>
      </c>
    </row>
    <row r="8413" spans="1:8" s="3" customFormat="1" x14ac:dyDescent="0.3">
      <c r="A8413" s="3" t="s">
        <v>25</v>
      </c>
      <c r="B8413" s="3" t="s">
        <v>292</v>
      </c>
      <c r="C8413" s="3">
        <v>1</v>
      </c>
      <c r="D8413" s="3" t="s">
        <v>103</v>
      </c>
      <c r="E8413" s="3" t="s">
        <v>192</v>
      </c>
      <c r="F8413" s="3" t="s">
        <v>103</v>
      </c>
      <c r="G8413" s="3" t="s">
        <v>103</v>
      </c>
      <c r="H8413" s="3" t="s">
        <v>103</v>
      </c>
    </row>
    <row r="8414" spans="1:8" s="3" customFormat="1" x14ac:dyDescent="0.3">
      <c r="A8414" s="3" t="s">
        <v>26</v>
      </c>
      <c r="B8414" s="3" t="s">
        <v>291</v>
      </c>
      <c r="C8414" s="3">
        <v>3</v>
      </c>
      <c r="D8414" s="3" t="s">
        <v>103</v>
      </c>
      <c r="E8414" s="3" t="s">
        <v>103</v>
      </c>
      <c r="F8414" s="3" t="s">
        <v>192</v>
      </c>
      <c r="G8414" s="3" t="s">
        <v>103</v>
      </c>
      <c r="H8414" s="3" t="s">
        <v>103</v>
      </c>
    </row>
    <row r="8415" spans="1:8" s="3" customFormat="1" x14ac:dyDescent="0.3">
      <c r="A8415" s="3" t="s">
        <v>26</v>
      </c>
      <c r="B8415" s="3" t="s">
        <v>292</v>
      </c>
      <c r="C8415" s="3">
        <v>12</v>
      </c>
      <c r="D8415" s="3" t="s">
        <v>258</v>
      </c>
      <c r="E8415" s="3" t="s">
        <v>102</v>
      </c>
      <c r="F8415" s="3" t="s">
        <v>261</v>
      </c>
      <c r="G8415" s="3" t="s">
        <v>601</v>
      </c>
      <c r="H8415" s="3" t="s">
        <v>103</v>
      </c>
    </row>
    <row r="8416" spans="1:8" s="3" customFormat="1" x14ac:dyDescent="0.3">
      <c r="A8416" s="3" t="s">
        <v>29</v>
      </c>
      <c r="B8416" s="3" t="s">
        <v>291</v>
      </c>
      <c r="C8416" s="3">
        <v>2</v>
      </c>
      <c r="D8416" s="3" t="s">
        <v>1398</v>
      </c>
      <c r="E8416" s="3" t="s">
        <v>103</v>
      </c>
      <c r="F8416" s="3" t="s">
        <v>457</v>
      </c>
      <c r="G8416" s="3" t="s">
        <v>103</v>
      </c>
      <c r="H8416" s="3" t="s">
        <v>103</v>
      </c>
    </row>
    <row r="8417" spans="1:8" s="3" customFormat="1" x14ac:dyDescent="0.3">
      <c r="A8417" s="3" t="s">
        <v>29</v>
      </c>
      <c r="B8417" s="3" t="s">
        <v>292</v>
      </c>
      <c r="C8417" s="3">
        <v>2</v>
      </c>
      <c r="D8417" s="3" t="s">
        <v>103</v>
      </c>
      <c r="E8417" s="3" t="s">
        <v>103</v>
      </c>
      <c r="F8417" s="3" t="s">
        <v>231</v>
      </c>
      <c r="G8417" s="3" t="s">
        <v>103</v>
      </c>
      <c r="H8417" s="3" t="s">
        <v>1055</v>
      </c>
    </row>
    <row r="8418" spans="1:8" s="3" customFormat="1" x14ac:dyDescent="0.3">
      <c r="A8418" s="3" t="s">
        <v>28</v>
      </c>
      <c r="B8418" s="3" t="s">
        <v>291</v>
      </c>
      <c r="C8418" s="3">
        <v>25</v>
      </c>
      <c r="D8418" s="3" t="s">
        <v>46</v>
      </c>
      <c r="E8418" s="3" t="s">
        <v>103</v>
      </c>
      <c r="F8418" s="3" t="s">
        <v>45</v>
      </c>
      <c r="G8418" s="3" t="s">
        <v>103</v>
      </c>
      <c r="H8418" s="3" t="s">
        <v>103</v>
      </c>
    </row>
    <row r="8419" spans="1:8" x14ac:dyDescent="0.3">
      <c r="A8419" t="s">
        <v>28</v>
      </c>
      <c r="B8419" t="s">
        <v>292</v>
      </c>
      <c r="C8419">
        <v>50</v>
      </c>
      <c r="D8419" t="s">
        <v>269</v>
      </c>
      <c r="E8419" t="s">
        <v>103</v>
      </c>
      <c r="F8419" t="s">
        <v>614</v>
      </c>
      <c r="G8419" t="s">
        <v>103</v>
      </c>
      <c r="H8419" t="s">
        <v>103</v>
      </c>
    </row>
    <row r="8420" spans="1:8" s="3" customFormat="1" x14ac:dyDescent="0.3">
      <c r="A8420" s="3" t="s">
        <v>27</v>
      </c>
      <c r="B8420" s="3" t="s">
        <v>291</v>
      </c>
      <c r="C8420" s="3">
        <v>23</v>
      </c>
      <c r="D8420" s="3" t="s">
        <v>111</v>
      </c>
      <c r="E8420" s="3" t="s">
        <v>103</v>
      </c>
      <c r="F8420" s="3" t="s">
        <v>742</v>
      </c>
      <c r="G8420" s="3" t="s">
        <v>103</v>
      </c>
      <c r="H8420" s="3" t="s">
        <v>103</v>
      </c>
    </row>
    <row r="8421" spans="1:8" x14ac:dyDescent="0.3">
      <c r="A8421" t="s">
        <v>27</v>
      </c>
      <c r="B8421" t="s">
        <v>292</v>
      </c>
      <c r="C8421">
        <v>84</v>
      </c>
      <c r="D8421" t="s">
        <v>70</v>
      </c>
      <c r="E8421" t="s">
        <v>494</v>
      </c>
      <c r="F8421" t="s">
        <v>605</v>
      </c>
      <c r="G8421" t="s">
        <v>345</v>
      </c>
      <c r="H8421" t="s">
        <v>103</v>
      </c>
    </row>
    <row r="8422" spans="1:8" x14ac:dyDescent="0.3">
      <c r="A8422" t="s">
        <v>27</v>
      </c>
      <c r="B8422" t="s">
        <v>308</v>
      </c>
      <c r="C8422">
        <v>5</v>
      </c>
      <c r="D8422" t="s">
        <v>103</v>
      </c>
      <c r="E8422" t="s">
        <v>103</v>
      </c>
      <c r="F8422" t="s">
        <v>192</v>
      </c>
      <c r="G8422" t="s">
        <v>103</v>
      </c>
      <c r="H8422" t="s">
        <v>103</v>
      </c>
    </row>
    <row r="8423" spans="1:8" x14ac:dyDescent="0.3">
      <c r="A8423" t="s">
        <v>41</v>
      </c>
      <c r="B8423" t="s">
        <v>291</v>
      </c>
      <c r="C8423">
        <v>55</v>
      </c>
      <c r="D8423" t="s">
        <v>1218</v>
      </c>
      <c r="E8423" t="s">
        <v>278</v>
      </c>
      <c r="F8423" t="s">
        <v>1064</v>
      </c>
      <c r="G8423" t="s">
        <v>103</v>
      </c>
      <c r="H8423" t="s">
        <v>103</v>
      </c>
    </row>
    <row r="8424" spans="1:8" x14ac:dyDescent="0.3">
      <c r="A8424" t="s">
        <v>41</v>
      </c>
      <c r="B8424" t="s">
        <v>292</v>
      </c>
      <c r="C8424">
        <v>149</v>
      </c>
      <c r="D8424" t="s">
        <v>54</v>
      </c>
      <c r="E8424" t="s">
        <v>60</v>
      </c>
      <c r="F8424" t="s">
        <v>2109</v>
      </c>
      <c r="G8424" t="s">
        <v>329</v>
      </c>
      <c r="H8424" t="s">
        <v>266</v>
      </c>
    </row>
    <row r="8425" spans="1:8" x14ac:dyDescent="0.3">
      <c r="A8425" t="s">
        <v>41</v>
      </c>
      <c r="B8425" t="s">
        <v>308</v>
      </c>
      <c r="C8425">
        <v>5</v>
      </c>
      <c r="D8425" t="s">
        <v>103</v>
      </c>
      <c r="E8425" t="s">
        <v>103</v>
      </c>
      <c r="F8425" t="s">
        <v>192</v>
      </c>
      <c r="G8425" t="s">
        <v>103</v>
      </c>
      <c r="H8425" t="s">
        <v>103</v>
      </c>
    </row>
    <row r="8427" spans="1:8" x14ac:dyDescent="0.3">
      <c r="A8427" t="s">
        <v>2408</v>
      </c>
    </row>
    <row r="8428" spans="1:8" x14ac:dyDescent="0.3">
      <c r="A8428" t="s">
        <v>36</v>
      </c>
      <c r="B8428" t="s">
        <v>310</v>
      </c>
      <c r="C8428" t="s">
        <v>24</v>
      </c>
      <c r="D8428" t="s">
        <v>2403</v>
      </c>
      <c r="E8428" t="s">
        <v>2404</v>
      </c>
      <c r="F8428" t="s">
        <v>2395</v>
      </c>
      <c r="G8428" t="s">
        <v>2405</v>
      </c>
      <c r="H8428" t="s">
        <v>2406</v>
      </c>
    </row>
    <row r="8429" spans="1:8" s="3" customFormat="1" x14ac:dyDescent="0.3">
      <c r="A8429" s="3" t="s">
        <v>25</v>
      </c>
      <c r="B8429" s="3" t="s">
        <v>311</v>
      </c>
      <c r="C8429" s="3">
        <v>3</v>
      </c>
      <c r="D8429" s="3" t="s">
        <v>553</v>
      </c>
      <c r="E8429" s="3" t="s">
        <v>1322</v>
      </c>
      <c r="F8429" s="3" t="s">
        <v>103</v>
      </c>
      <c r="G8429" s="3" t="s">
        <v>103</v>
      </c>
      <c r="H8429" s="3" t="s">
        <v>103</v>
      </c>
    </row>
    <row r="8430" spans="1:8" s="3" customFormat="1" x14ac:dyDescent="0.3">
      <c r="A8430" s="3" t="s">
        <v>26</v>
      </c>
      <c r="B8430" s="3" t="s">
        <v>311</v>
      </c>
      <c r="C8430" s="3">
        <v>12</v>
      </c>
      <c r="D8430" s="3" t="s">
        <v>793</v>
      </c>
      <c r="E8430" s="3" t="s">
        <v>438</v>
      </c>
      <c r="F8430" s="3" t="s">
        <v>549</v>
      </c>
      <c r="G8430" s="3" t="s">
        <v>435</v>
      </c>
      <c r="H8430" s="3" t="s">
        <v>103</v>
      </c>
    </row>
    <row r="8431" spans="1:8" s="3" customFormat="1" x14ac:dyDescent="0.3">
      <c r="A8431" s="3" t="s">
        <v>26</v>
      </c>
      <c r="B8431" s="3" t="s">
        <v>312</v>
      </c>
      <c r="C8431" s="3">
        <v>3</v>
      </c>
      <c r="D8431" s="3" t="s">
        <v>103</v>
      </c>
      <c r="E8431" s="3" t="s">
        <v>103</v>
      </c>
      <c r="F8431" s="3" t="s">
        <v>103</v>
      </c>
      <c r="G8431" s="3" t="s">
        <v>192</v>
      </c>
      <c r="H8431" s="3" t="s">
        <v>103</v>
      </c>
    </row>
    <row r="8432" spans="1:8" s="3" customFormat="1" x14ac:dyDescent="0.3">
      <c r="A8432" s="3" t="s">
        <v>29</v>
      </c>
      <c r="B8432" s="3" t="s">
        <v>311</v>
      </c>
      <c r="C8432" s="3">
        <v>1</v>
      </c>
      <c r="D8432" s="3" t="s">
        <v>103</v>
      </c>
      <c r="E8432" s="3" t="s">
        <v>103</v>
      </c>
      <c r="F8432" s="3" t="s">
        <v>103</v>
      </c>
      <c r="G8432" s="3" t="s">
        <v>103</v>
      </c>
      <c r="H8432" s="3" t="s">
        <v>192</v>
      </c>
    </row>
    <row r="8433" spans="1:8" s="3" customFormat="1" x14ac:dyDescent="0.3">
      <c r="A8433" s="3" t="s">
        <v>29</v>
      </c>
      <c r="B8433" s="3" t="s">
        <v>312</v>
      </c>
      <c r="C8433" s="3">
        <v>3</v>
      </c>
      <c r="D8433" s="3" t="s">
        <v>419</v>
      </c>
      <c r="E8433" s="3" t="s">
        <v>103</v>
      </c>
      <c r="F8433" s="3" t="s">
        <v>103</v>
      </c>
      <c r="G8433" s="3" t="s">
        <v>367</v>
      </c>
      <c r="H8433" s="3" t="s">
        <v>103</v>
      </c>
    </row>
    <row r="8434" spans="1:8" x14ac:dyDescent="0.3">
      <c r="A8434" t="s">
        <v>28</v>
      </c>
      <c r="B8434" t="s">
        <v>311</v>
      </c>
      <c r="C8434">
        <v>48</v>
      </c>
      <c r="D8434" t="s">
        <v>568</v>
      </c>
      <c r="E8434" t="s">
        <v>103</v>
      </c>
      <c r="F8434" t="s">
        <v>103</v>
      </c>
      <c r="G8434" t="s">
        <v>603</v>
      </c>
      <c r="H8434" t="s">
        <v>103</v>
      </c>
    </row>
    <row r="8435" spans="1:8" s="3" customFormat="1" x14ac:dyDescent="0.3">
      <c r="A8435" s="3" t="s">
        <v>28</v>
      </c>
      <c r="B8435" s="3" t="s">
        <v>312</v>
      </c>
      <c r="C8435" s="3">
        <v>27</v>
      </c>
      <c r="D8435" s="3" t="s">
        <v>103</v>
      </c>
      <c r="E8435" s="3" t="s">
        <v>103</v>
      </c>
      <c r="F8435" s="3" t="s">
        <v>103</v>
      </c>
      <c r="G8435" s="3" t="s">
        <v>192</v>
      </c>
      <c r="H8435" s="3" t="s">
        <v>103</v>
      </c>
    </row>
    <row r="8436" spans="1:8" x14ac:dyDescent="0.3">
      <c r="A8436" t="s">
        <v>27</v>
      </c>
      <c r="B8436" t="s">
        <v>311</v>
      </c>
      <c r="C8436">
        <v>91</v>
      </c>
      <c r="D8436" t="s">
        <v>206</v>
      </c>
      <c r="E8436" t="s">
        <v>532</v>
      </c>
      <c r="F8436" t="s">
        <v>103</v>
      </c>
      <c r="G8436" t="s">
        <v>889</v>
      </c>
      <c r="H8436" t="s">
        <v>103</v>
      </c>
    </row>
    <row r="8437" spans="1:8" s="3" customFormat="1" x14ac:dyDescent="0.3">
      <c r="A8437" s="3" t="s">
        <v>27</v>
      </c>
      <c r="B8437" s="3" t="s">
        <v>312</v>
      </c>
      <c r="C8437" s="3">
        <v>21</v>
      </c>
      <c r="D8437" s="3" t="s">
        <v>247</v>
      </c>
      <c r="E8437" s="3" t="s">
        <v>649</v>
      </c>
      <c r="F8437" s="3" t="s">
        <v>532</v>
      </c>
      <c r="G8437" s="3" t="s">
        <v>1169</v>
      </c>
      <c r="H8437" s="3" t="s">
        <v>103</v>
      </c>
    </row>
    <row r="8438" spans="1:8" x14ac:dyDescent="0.3">
      <c r="A8438" t="s">
        <v>41</v>
      </c>
      <c r="B8438" t="s">
        <v>311</v>
      </c>
      <c r="C8438">
        <v>155</v>
      </c>
      <c r="D8438" t="s">
        <v>486</v>
      </c>
      <c r="E8438" t="s">
        <v>242</v>
      </c>
      <c r="F8438" t="s">
        <v>194</v>
      </c>
      <c r="G8438" t="s">
        <v>255</v>
      </c>
      <c r="H8438" t="s">
        <v>118</v>
      </c>
    </row>
    <row r="8439" spans="1:8" x14ac:dyDescent="0.3">
      <c r="A8439" t="s">
        <v>41</v>
      </c>
      <c r="B8439" t="s">
        <v>312</v>
      </c>
      <c r="C8439">
        <v>54</v>
      </c>
      <c r="D8439" t="s">
        <v>1090</v>
      </c>
      <c r="E8439" t="s">
        <v>118</v>
      </c>
      <c r="F8439" t="s">
        <v>345</v>
      </c>
      <c r="G8439" t="s">
        <v>1047</v>
      </c>
      <c r="H8439" t="s">
        <v>103</v>
      </c>
    </row>
    <row r="8441" spans="1:8" x14ac:dyDescent="0.3">
      <c r="A8441" t="s">
        <v>2409</v>
      </c>
    </row>
    <row r="8442" spans="1:8" x14ac:dyDescent="0.3">
      <c r="A8442" t="s">
        <v>36</v>
      </c>
      <c r="B8442" t="s">
        <v>197</v>
      </c>
      <c r="C8442" t="s">
        <v>24</v>
      </c>
      <c r="D8442" t="s">
        <v>2403</v>
      </c>
      <c r="E8442" t="s">
        <v>2404</v>
      </c>
      <c r="F8442" t="s">
        <v>2395</v>
      </c>
      <c r="G8442" t="s">
        <v>2405</v>
      </c>
      <c r="H8442" t="s">
        <v>2406</v>
      </c>
    </row>
    <row r="8443" spans="1:8" s="3" customFormat="1" x14ac:dyDescent="0.3">
      <c r="A8443" s="3" t="s">
        <v>25</v>
      </c>
      <c r="B8443" s="3" t="s">
        <v>199</v>
      </c>
      <c r="C8443" s="3">
        <v>3</v>
      </c>
      <c r="D8443" s="3" t="s">
        <v>553</v>
      </c>
      <c r="E8443" s="3" t="s">
        <v>1322</v>
      </c>
      <c r="F8443" s="3" t="s">
        <v>103</v>
      </c>
      <c r="G8443" s="3" t="s">
        <v>103</v>
      </c>
      <c r="H8443" s="3" t="s">
        <v>103</v>
      </c>
    </row>
    <row r="8444" spans="1:8" s="3" customFormat="1" x14ac:dyDescent="0.3">
      <c r="A8444" s="3" t="s">
        <v>26</v>
      </c>
      <c r="B8444" s="3" t="s">
        <v>198</v>
      </c>
      <c r="C8444" s="3">
        <v>2</v>
      </c>
      <c r="D8444" s="3" t="s">
        <v>935</v>
      </c>
      <c r="E8444" s="3" t="s">
        <v>2111</v>
      </c>
      <c r="F8444" s="3" t="s">
        <v>103</v>
      </c>
      <c r="G8444" s="3" t="s">
        <v>103</v>
      </c>
      <c r="H8444" s="3" t="s">
        <v>103</v>
      </c>
    </row>
    <row r="8445" spans="1:8" s="3" customFormat="1" x14ac:dyDescent="0.3">
      <c r="A8445" s="3" t="s">
        <v>26</v>
      </c>
      <c r="B8445" s="3" t="s">
        <v>199</v>
      </c>
      <c r="C8445" s="3">
        <v>13</v>
      </c>
      <c r="D8445" s="3" t="s">
        <v>934</v>
      </c>
      <c r="E8445" s="3" t="s">
        <v>103</v>
      </c>
      <c r="F8445" s="3" t="s">
        <v>60</v>
      </c>
      <c r="G8445" s="3" t="s">
        <v>1545</v>
      </c>
      <c r="H8445" s="3" t="s">
        <v>103</v>
      </c>
    </row>
    <row r="8446" spans="1:8" s="3" customFormat="1" x14ac:dyDescent="0.3">
      <c r="A8446" s="3" t="s">
        <v>29</v>
      </c>
      <c r="B8446" s="3" t="s">
        <v>199</v>
      </c>
      <c r="C8446" s="3">
        <v>4</v>
      </c>
      <c r="D8446" s="3" t="s">
        <v>392</v>
      </c>
      <c r="E8446" s="3" t="s">
        <v>103</v>
      </c>
      <c r="F8446" s="3" t="s">
        <v>103</v>
      </c>
      <c r="G8446" s="3" t="s">
        <v>376</v>
      </c>
      <c r="H8446" s="3" t="s">
        <v>169</v>
      </c>
    </row>
    <row r="8447" spans="1:8" x14ac:dyDescent="0.3">
      <c r="A8447" t="s">
        <v>28</v>
      </c>
      <c r="B8447" t="s">
        <v>199</v>
      </c>
      <c r="C8447">
        <v>75</v>
      </c>
      <c r="D8447" t="s">
        <v>175</v>
      </c>
      <c r="E8447" t="s">
        <v>103</v>
      </c>
      <c r="F8447" t="s">
        <v>103</v>
      </c>
      <c r="G8447" t="s">
        <v>176</v>
      </c>
      <c r="H8447" t="s">
        <v>103</v>
      </c>
    </row>
    <row r="8448" spans="1:8" x14ac:dyDescent="0.3">
      <c r="A8448" t="s">
        <v>27</v>
      </c>
      <c r="B8448" t="s">
        <v>198</v>
      </c>
      <c r="C8448">
        <v>58</v>
      </c>
      <c r="D8448" t="s">
        <v>543</v>
      </c>
      <c r="E8448" t="s">
        <v>110</v>
      </c>
      <c r="F8448" t="s">
        <v>239</v>
      </c>
      <c r="G8448" t="s">
        <v>176</v>
      </c>
      <c r="H8448" t="s">
        <v>103</v>
      </c>
    </row>
    <row r="8449" spans="1:8" x14ac:dyDescent="0.3">
      <c r="A8449" t="s">
        <v>27</v>
      </c>
      <c r="B8449" t="s">
        <v>199</v>
      </c>
      <c r="C8449">
        <v>54</v>
      </c>
      <c r="D8449" t="s">
        <v>128</v>
      </c>
      <c r="E8449" t="s">
        <v>649</v>
      </c>
      <c r="F8449" t="s">
        <v>103</v>
      </c>
      <c r="G8449" t="s">
        <v>246</v>
      </c>
      <c r="H8449" t="s">
        <v>103</v>
      </c>
    </row>
    <row r="8450" spans="1:8" x14ac:dyDescent="0.3">
      <c r="A8450" t="s">
        <v>41</v>
      </c>
      <c r="B8450" t="s">
        <v>198</v>
      </c>
      <c r="C8450">
        <v>60</v>
      </c>
      <c r="D8450" t="s">
        <v>117</v>
      </c>
      <c r="E8450" t="s">
        <v>270</v>
      </c>
      <c r="F8450" t="s">
        <v>239</v>
      </c>
      <c r="G8450" t="s">
        <v>902</v>
      </c>
      <c r="H8450" t="s">
        <v>103</v>
      </c>
    </row>
    <row r="8451" spans="1:8" x14ac:dyDescent="0.3">
      <c r="A8451" t="s">
        <v>41</v>
      </c>
      <c r="B8451" t="s">
        <v>199</v>
      </c>
      <c r="C8451">
        <v>149</v>
      </c>
      <c r="D8451" t="s">
        <v>484</v>
      </c>
      <c r="E8451" t="s">
        <v>124</v>
      </c>
      <c r="F8451" t="s">
        <v>468</v>
      </c>
      <c r="G8451" t="s">
        <v>364</v>
      </c>
      <c r="H8451" t="s">
        <v>93</v>
      </c>
    </row>
    <row r="8453" spans="1:8" x14ac:dyDescent="0.3">
      <c r="A8453" t="s">
        <v>2410</v>
      </c>
    </row>
    <row r="8454" spans="1:8" x14ac:dyDescent="0.3">
      <c r="A8454" t="s">
        <v>36</v>
      </c>
      <c r="B8454" t="s">
        <v>210</v>
      </c>
      <c r="C8454" t="s">
        <v>24</v>
      </c>
      <c r="D8454" t="s">
        <v>2403</v>
      </c>
      <c r="E8454" t="s">
        <v>2404</v>
      </c>
      <c r="F8454" t="s">
        <v>2395</v>
      </c>
      <c r="G8454" t="s">
        <v>2405</v>
      </c>
      <c r="H8454" t="s">
        <v>2406</v>
      </c>
    </row>
    <row r="8455" spans="1:8" s="3" customFormat="1" x14ac:dyDescent="0.3">
      <c r="A8455" s="3" t="s">
        <v>25</v>
      </c>
      <c r="B8455" s="3" t="s">
        <v>211</v>
      </c>
      <c r="C8455" s="3">
        <v>3</v>
      </c>
      <c r="D8455" s="3" t="s">
        <v>553</v>
      </c>
      <c r="E8455" s="3" t="s">
        <v>1322</v>
      </c>
      <c r="F8455" s="3" t="s">
        <v>103</v>
      </c>
      <c r="G8455" s="3" t="s">
        <v>103</v>
      </c>
      <c r="H8455" s="3" t="s">
        <v>103</v>
      </c>
    </row>
    <row r="8456" spans="1:8" s="3" customFormat="1" x14ac:dyDescent="0.3">
      <c r="A8456" s="3" t="s">
        <v>26</v>
      </c>
      <c r="B8456" s="3" t="s">
        <v>211</v>
      </c>
      <c r="C8456" s="3">
        <v>3</v>
      </c>
      <c r="D8456" s="3" t="s">
        <v>811</v>
      </c>
      <c r="E8456" s="3" t="s">
        <v>504</v>
      </c>
      <c r="F8456" s="3" t="s">
        <v>103</v>
      </c>
      <c r="G8456" s="3" t="s">
        <v>103</v>
      </c>
      <c r="H8456" s="3" t="s">
        <v>103</v>
      </c>
    </row>
    <row r="8457" spans="1:8" s="3" customFormat="1" x14ac:dyDescent="0.3">
      <c r="A8457" s="3" t="s">
        <v>26</v>
      </c>
      <c r="B8457" s="3" t="s">
        <v>212</v>
      </c>
      <c r="C8457" s="3">
        <v>12</v>
      </c>
      <c r="D8457" s="3" t="s">
        <v>496</v>
      </c>
      <c r="E8457" s="3" t="s">
        <v>103</v>
      </c>
      <c r="F8457" s="3" t="s">
        <v>100</v>
      </c>
      <c r="G8457" s="3" t="s">
        <v>1461</v>
      </c>
      <c r="H8457" s="3" t="s">
        <v>103</v>
      </c>
    </row>
    <row r="8458" spans="1:8" s="3" customFormat="1" x14ac:dyDescent="0.3">
      <c r="A8458" s="3" t="s">
        <v>29</v>
      </c>
      <c r="B8458" s="3" t="s">
        <v>211</v>
      </c>
      <c r="C8458" s="3">
        <v>4</v>
      </c>
      <c r="D8458" s="3" t="s">
        <v>392</v>
      </c>
      <c r="E8458" s="3" t="s">
        <v>103</v>
      </c>
      <c r="F8458" s="3" t="s">
        <v>103</v>
      </c>
      <c r="G8458" s="3" t="s">
        <v>376</v>
      </c>
      <c r="H8458" s="3" t="s">
        <v>169</v>
      </c>
    </row>
    <row r="8459" spans="1:8" x14ac:dyDescent="0.3">
      <c r="A8459" t="s">
        <v>28</v>
      </c>
      <c r="B8459" t="s">
        <v>211</v>
      </c>
      <c r="C8459">
        <v>38</v>
      </c>
      <c r="D8459" t="s">
        <v>687</v>
      </c>
      <c r="E8459" t="s">
        <v>103</v>
      </c>
      <c r="F8459" t="s">
        <v>103</v>
      </c>
      <c r="G8459" t="s">
        <v>622</v>
      </c>
      <c r="H8459" t="s">
        <v>103</v>
      </c>
    </row>
    <row r="8460" spans="1:8" x14ac:dyDescent="0.3">
      <c r="A8460" t="s">
        <v>28</v>
      </c>
      <c r="B8460" t="s">
        <v>212</v>
      </c>
      <c r="C8460">
        <v>37</v>
      </c>
      <c r="D8460" t="s">
        <v>890</v>
      </c>
      <c r="E8460" t="s">
        <v>103</v>
      </c>
      <c r="F8460" t="s">
        <v>103</v>
      </c>
      <c r="G8460" t="s">
        <v>889</v>
      </c>
      <c r="H8460" t="s">
        <v>103</v>
      </c>
    </row>
    <row r="8461" spans="1:8" x14ac:dyDescent="0.3">
      <c r="A8461" t="s">
        <v>27</v>
      </c>
      <c r="B8461" t="s">
        <v>211</v>
      </c>
      <c r="C8461">
        <v>112</v>
      </c>
      <c r="D8461" t="s">
        <v>251</v>
      </c>
      <c r="E8461" t="s">
        <v>133</v>
      </c>
      <c r="F8461" t="s">
        <v>139</v>
      </c>
      <c r="G8461" t="s">
        <v>187</v>
      </c>
      <c r="H8461" t="s">
        <v>103</v>
      </c>
    </row>
    <row r="8462" spans="1:8" x14ac:dyDescent="0.3">
      <c r="A8462" t="s">
        <v>41</v>
      </c>
      <c r="B8462" t="s">
        <v>211</v>
      </c>
      <c r="C8462">
        <v>160</v>
      </c>
      <c r="D8462" t="s">
        <v>479</v>
      </c>
      <c r="E8462" t="s">
        <v>242</v>
      </c>
      <c r="F8462" t="s">
        <v>97</v>
      </c>
      <c r="G8462" t="s">
        <v>1062</v>
      </c>
      <c r="H8462" t="s">
        <v>329</v>
      </c>
    </row>
    <row r="8463" spans="1:8" x14ac:dyDescent="0.3">
      <c r="A8463" t="s">
        <v>41</v>
      </c>
      <c r="B8463" t="s">
        <v>212</v>
      </c>
      <c r="C8463">
        <v>49</v>
      </c>
      <c r="D8463" t="s">
        <v>574</v>
      </c>
      <c r="E8463" t="s">
        <v>103</v>
      </c>
      <c r="F8463" t="s">
        <v>186</v>
      </c>
      <c r="G8463" t="s">
        <v>937</v>
      </c>
      <c r="H8463" t="s">
        <v>103</v>
      </c>
    </row>
    <row r="8465" spans="1:8" x14ac:dyDescent="0.3">
      <c r="A8465" t="s">
        <v>2411</v>
      </c>
    </row>
    <row r="8466" spans="1:8" x14ac:dyDescent="0.3">
      <c r="A8466" t="s">
        <v>36</v>
      </c>
      <c r="B8466" t="s">
        <v>1647</v>
      </c>
      <c r="C8466" t="s">
        <v>24</v>
      </c>
      <c r="D8466" t="s">
        <v>2404</v>
      </c>
      <c r="E8466" t="s">
        <v>2403</v>
      </c>
      <c r="F8466" t="s">
        <v>2405</v>
      </c>
      <c r="G8466" t="s">
        <v>2395</v>
      </c>
      <c r="H8466" t="s">
        <v>2406</v>
      </c>
    </row>
    <row r="8467" spans="1:8" s="3" customFormat="1" x14ac:dyDescent="0.3">
      <c r="A8467" s="3" t="s">
        <v>25</v>
      </c>
      <c r="B8467" s="3" t="s">
        <v>1648</v>
      </c>
      <c r="C8467" s="3">
        <v>1</v>
      </c>
      <c r="D8467" s="3" t="s">
        <v>192</v>
      </c>
      <c r="E8467" s="3" t="s">
        <v>103</v>
      </c>
      <c r="F8467" s="3" t="s">
        <v>103</v>
      </c>
      <c r="G8467" s="3" t="s">
        <v>103</v>
      </c>
      <c r="H8467" s="3" t="s">
        <v>103</v>
      </c>
    </row>
    <row r="8468" spans="1:8" s="3" customFormat="1" x14ac:dyDescent="0.3">
      <c r="A8468" s="3" t="s">
        <v>25</v>
      </c>
      <c r="B8468" s="3" t="s">
        <v>1649</v>
      </c>
      <c r="C8468" s="3">
        <v>2</v>
      </c>
      <c r="D8468" s="3" t="s">
        <v>1034</v>
      </c>
      <c r="E8468" s="3" t="s">
        <v>1212</v>
      </c>
      <c r="F8468" s="3" t="s">
        <v>103</v>
      </c>
      <c r="G8468" s="3" t="s">
        <v>103</v>
      </c>
      <c r="H8468" s="3" t="s">
        <v>103</v>
      </c>
    </row>
    <row r="8469" spans="1:8" s="3" customFormat="1" x14ac:dyDescent="0.3">
      <c r="A8469" s="3" t="s">
        <v>26</v>
      </c>
      <c r="B8469" s="3" t="s">
        <v>1648</v>
      </c>
      <c r="C8469" s="3">
        <v>8</v>
      </c>
      <c r="D8469" s="3" t="s">
        <v>662</v>
      </c>
      <c r="E8469" s="3" t="s">
        <v>1260</v>
      </c>
      <c r="F8469" s="3" t="s">
        <v>1216</v>
      </c>
      <c r="G8469" s="3" t="s">
        <v>103</v>
      </c>
      <c r="H8469" s="3" t="s">
        <v>103</v>
      </c>
    </row>
    <row r="8470" spans="1:8" s="3" customFormat="1" x14ac:dyDescent="0.3">
      <c r="A8470" s="3" t="s">
        <v>26</v>
      </c>
      <c r="B8470" s="3" t="s">
        <v>1649</v>
      </c>
      <c r="C8470" s="3">
        <v>7</v>
      </c>
      <c r="D8470" s="3" t="s">
        <v>103</v>
      </c>
      <c r="E8470" s="3" t="s">
        <v>677</v>
      </c>
      <c r="F8470" s="3" t="s">
        <v>353</v>
      </c>
      <c r="G8470" s="3" t="s">
        <v>164</v>
      </c>
      <c r="H8470" s="3" t="s">
        <v>103</v>
      </c>
    </row>
    <row r="8471" spans="1:8" s="3" customFormat="1" x14ac:dyDescent="0.3">
      <c r="A8471" s="3" t="s">
        <v>29</v>
      </c>
      <c r="B8471" s="3" t="s">
        <v>1648</v>
      </c>
      <c r="C8471" s="3">
        <v>1</v>
      </c>
      <c r="D8471" s="3" t="s">
        <v>103</v>
      </c>
      <c r="E8471" s="3" t="s">
        <v>192</v>
      </c>
      <c r="F8471" s="3" t="s">
        <v>103</v>
      </c>
      <c r="G8471" s="3" t="s">
        <v>103</v>
      </c>
      <c r="H8471" s="3" t="s">
        <v>103</v>
      </c>
    </row>
    <row r="8472" spans="1:8" s="3" customFormat="1" x14ac:dyDescent="0.3">
      <c r="A8472" s="3" t="s">
        <v>29</v>
      </c>
      <c r="B8472" s="3" t="s">
        <v>1649</v>
      </c>
      <c r="C8472" s="3">
        <v>3</v>
      </c>
      <c r="D8472" s="3" t="s">
        <v>103</v>
      </c>
      <c r="E8472" s="3" t="s">
        <v>103</v>
      </c>
      <c r="F8472" s="3" t="s">
        <v>1368</v>
      </c>
      <c r="G8472" s="3" t="s">
        <v>103</v>
      </c>
      <c r="H8472" s="3" t="s">
        <v>505</v>
      </c>
    </row>
    <row r="8473" spans="1:8" s="3" customFormat="1" x14ac:dyDescent="0.3">
      <c r="A8473" s="3" t="s">
        <v>28</v>
      </c>
      <c r="B8473" s="3" t="s">
        <v>1648</v>
      </c>
      <c r="C8473" s="3">
        <v>15</v>
      </c>
      <c r="D8473" s="3" t="s">
        <v>103</v>
      </c>
      <c r="E8473" s="3" t="s">
        <v>1196</v>
      </c>
      <c r="F8473" s="3" t="s">
        <v>1283</v>
      </c>
      <c r="G8473" s="3" t="s">
        <v>103</v>
      </c>
      <c r="H8473" s="3" t="s">
        <v>103</v>
      </c>
    </row>
    <row r="8474" spans="1:8" x14ac:dyDescent="0.3">
      <c r="A8474" t="s">
        <v>28</v>
      </c>
      <c r="B8474" t="s">
        <v>1649</v>
      </c>
      <c r="C8474">
        <v>60</v>
      </c>
      <c r="D8474" t="s">
        <v>103</v>
      </c>
      <c r="E8474" t="s">
        <v>571</v>
      </c>
      <c r="F8474" t="s">
        <v>851</v>
      </c>
      <c r="G8474" t="s">
        <v>103</v>
      </c>
      <c r="H8474" t="s">
        <v>103</v>
      </c>
    </row>
    <row r="8475" spans="1:8" s="3" customFormat="1" x14ac:dyDescent="0.3">
      <c r="A8475" s="3" t="s">
        <v>27</v>
      </c>
      <c r="B8475" s="3" t="s">
        <v>1648</v>
      </c>
      <c r="C8475" s="3">
        <v>22</v>
      </c>
      <c r="D8475" s="3" t="s">
        <v>493</v>
      </c>
      <c r="E8475" s="3" t="s">
        <v>108</v>
      </c>
      <c r="F8475" s="3" t="s">
        <v>749</v>
      </c>
      <c r="G8475" s="3" t="s">
        <v>103</v>
      </c>
      <c r="H8475" s="3" t="s">
        <v>103</v>
      </c>
    </row>
    <row r="8476" spans="1:8" x14ac:dyDescent="0.3">
      <c r="A8476" t="s">
        <v>27</v>
      </c>
      <c r="B8476" t="s">
        <v>1649</v>
      </c>
      <c r="C8476">
        <v>90</v>
      </c>
      <c r="D8476" t="s">
        <v>232</v>
      </c>
      <c r="E8476" t="s">
        <v>531</v>
      </c>
      <c r="F8476" t="s">
        <v>149</v>
      </c>
      <c r="G8476" t="s">
        <v>282</v>
      </c>
      <c r="H8476" t="s">
        <v>103</v>
      </c>
    </row>
    <row r="8477" spans="1:8" x14ac:dyDescent="0.3">
      <c r="A8477" t="s">
        <v>41</v>
      </c>
      <c r="B8477" t="s">
        <v>1648</v>
      </c>
      <c r="C8477">
        <v>47</v>
      </c>
      <c r="D8477" t="s">
        <v>127</v>
      </c>
      <c r="E8477" t="s">
        <v>1065</v>
      </c>
      <c r="F8477" t="s">
        <v>1214</v>
      </c>
      <c r="G8477" t="s">
        <v>103</v>
      </c>
      <c r="H8477" t="s">
        <v>103</v>
      </c>
    </row>
    <row r="8478" spans="1:8" x14ac:dyDescent="0.3">
      <c r="A8478" t="s">
        <v>41</v>
      </c>
      <c r="B8478" t="s">
        <v>1649</v>
      </c>
      <c r="C8478">
        <v>162</v>
      </c>
      <c r="D8478" t="s">
        <v>558</v>
      </c>
      <c r="E8478" t="s">
        <v>119</v>
      </c>
      <c r="F8478" t="s">
        <v>753</v>
      </c>
      <c r="G8478" t="s">
        <v>105</v>
      </c>
      <c r="H8478" t="s">
        <v>118</v>
      </c>
    </row>
    <row r="8480" spans="1:8" x14ac:dyDescent="0.3">
      <c r="A8480" t="s">
        <v>2412</v>
      </c>
    </row>
    <row r="8481" spans="1:7" x14ac:dyDescent="0.3">
      <c r="A8481" t="s">
        <v>36</v>
      </c>
      <c r="B8481" t="s">
        <v>24</v>
      </c>
      <c r="C8481" t="s">
        <v>58</v>
      </c>
      <c r="D8481" t="s">
        <v>59</v>
      </c>
      <c r="E8481" t="s">
        <v>348</v>
      </c>
      <c r="F8481" t="s">
        <v>181</v>
      </c>
    </row>
    <row r="8482" spans="1:7" s="3" customFormat="1" x14ac:dyDescent="0.3">
      <c r="A8482" s="3" t="s">
        <v>25</v>
      </c>
      <c r="B8482" s="3">
        <v>3</v>
      </c>
      <c r="C8482" s="3" t="s">
        <v>1322</v>
      </c>
      <c r="D8482" s="3" t="s">
        <v>553</v>
      </c>
      <c r="E8482" s="3" t="s">
        <v>103</v>
      </c>
      <c r="F8482" s="3" t="s">
        <v>103</v>
      </c>
    </row>
    <row r="8483" spans="1:7" s="3" customFormat="1" x14ac:dyDescent="0.3">
      <c r="A8483" s="3" t="s">
        <v>26</v>
      </c>
      <c r="B8483" s="3">
        <v>15</v>
      </c>
      <c r="C8483" s="3" t="s">
        <v>461</v>
      </c>
      <c r="D8483" s="3" t="s">
        <v>746</v>
      </c>
      <c r="E8483" s="3" t="s">
        <v>225</v>
      </c>
      <c r="F8483" s="3" t="s">
        <v>103</v>
      </c>
    </row>
    <row r="8484" spans="1:7" s="3" customFormat="1" x14ac:dyDescent="0.3">
      <c r="A8484" s="3" t="s">
        <v>29</v>
      </c>
      <c r="B8484" s="3">
        <v>4</v>
      </c>
      <c r="C8484" s="3" t="s">
        <v>192</v>
      </c>
      <c r="D8484" s="3" t="s">
        <v>103</v>
      </c>
      <c r="E8484" s="3" t="s">
        <v>103</v>
      </c>
      <c r="F8484" s="3" t="s">
        <v>103</v>
      </c>
    </row>
    <row r="8485" spans="1:7" x14ac:dyDescent="0.3">
      <c r="A8485" t="s">
        <v>28</v>
      </c>
      <c r="B8485">
        <v>75</v>
      </c>
      <c r="C8485" t="s">
        <v>96</v>
      </c>
      <c r="D8485" t="s">
        <v>1257</v>
      </c>
      <c r="E8485" t="s">
        <v>60</v>
      </c>
      <c r="F8485" t="s">
        <v>103</v>
      </c>
    </row>
    <row r="8486" spans="1:7" x14ac:dyDescent="0.3">
      <c r="A8486" t="s">
        <v>27</v>
      </c>
      <c r="B8486">
        <v>112</v>
      </c>
      <c r="C8486" t="s">
        <v>477</v>
      </c>
      <c r="D8486" t="s">
        <v>577</v>
      </c>
      <c r="E8486" t="s">
        <v>932</v>
      </c>
      <c r="F8486" t="s">
        <v>139</v>
      </c>
    </row>
    <row r="8487" spans="1:7" x14ac:dyDescent="0.3">
      <c r="A8487" t="s">
        <v>41</v>
      </c>
      <c r="B8487">
        <v>209</v>
      </c>
      <c r="C8487" t="s">
        <v>496</v>
      </c>
      <c r="D8487" t="s">
        <v>261</v>
      </c>
      <c r="E8487" t="s">
        <v>1213</v>
      </c>
      <c r="F8487" t="s">
        <v>122</v>
      </c>
    </row>
    <row r="8489" spans="1:7" x14ac:dyDescent="0.3">
      <c r="A8489" t="s">
        <v>2413</v>
      </c>
    </row>
    <row r="8490" spans="1:7" x14ac:dyDescent="0.3">
      <c r="A8490" t="s">
        <v>36</v>
      </c>
      <c r="B8490" t="s">
        <v>307</v>
      </c>
      <c r="C8490" t="s">
        <v>24</v>
      </c>
      <c r="D8490" t="s">
        <v>58</v>
      </c>
      <c r="E8490" t="s">
        <v>59</v>
      </c>
      <c r="F8490" t="s">
        <v>348</v>
      </c>
      <c r="G8490" t="s">
        <v>181</v>
      </c>
    </row>
    <row r="8491" spans="1:7" s="3" customFormat="1" x14ac:dyDescent="0.3">
      <c r="A8491" s="3" t="s">
        <v>25</v>
      </c>
      <c r="B8491" s="3" t="s">
        <v>291</v>
      </c>
      <c r="C8491" s="3">
        <v>2</v>
      </c>
      <c r="D8491" s="3" t="s">
        <v>1034</v>
      </c>
      <c r="E8491" s="3" t="s">
        <v>1212</v>
      </c>
      <c r="F8491" s="3" t="s">
        <v>103</v>
      </c>
      <c r="G8491" s="3" t="s">
        <v>103</v>
      </c>
    </row>
    <row r="8492" spans="1:7" s="3" customFormat="1" x14ac:dyDescent="0.3">
      <c r="A8492" s="3" t="s">
        <v>25</v>
      </c>
      <c r="B8492" s="3" t="s">
        <v>292</v>
      </c>
      <c r="C8492" s="3">
        <v>1</v>
      </c>
      <c r="D8492" s="3" t="s">
        <v>192</v>
      </c>
      <c r="E8492" s="3" t="s">
        <v>103</v>
      </c>
      <c r="F8492" s="3" t="s">
        <v>103</v>
      </c>
      <c r="G8492" s="3" t="s">
        <v>103</v>
      </c>
    </row>
    <row r="8493" spans="1:7" s="3" customFormat="1" x14ac:dyDescent="0.3">
      <c r="A8493" s="3" t="s">
        <v>26</v>
      </c>
      <c r="B8493" s="3" t="s">
        <v>291</v>
      </c>
      <c r="C8493" s="3">
        <v>3</v>
      </c>
      <c r="D8493" s="3" t="s">
        <v>1224</v>
      </c>
      <c r="E8493" s="3" t="s">
        <v>1088</v>
      </c>
      <c r="F8493" s="3" t="s">
        <v>1050</v>
      </c>
      <c r="G8493" s="3" t="s">
        <v>103</v>
      </c>
    </row>
    <row r="8494" spans="1:7" s="3" customFormat="1" x14ac:dyDescent="0.3">
      <c r="A8494" s="3" t="s">
        <v>26</v>
      </c>
      <c r="B8494" s="3" t="s">
        <v>292</v>
      </c>
      <c r="C8494" s="3">
        <v>12</v>
      </c>
      <c r="D8494" s="3" t="s">
        <v>702</v>
      </c>
      <c r="E8494" s="3" t="s">
        <v>900</v>
      </c>
      <c r="F8494" s="3" t="s">
        <v>1025</v>
      </c>
      <c r="G8494" s="3" t="s">
        <v>103</v>
      </c>
    </row>
    <row r="8495" spans="1:7" s="3" customFormat="1" x14ac:dyDescent="0.3">
      <c r="A8495" s="3" t="s">
        <v>29</v>
      </c>
      <c r="B8495" s="3" t="s">
        <v>291</v>
      </c>
      <c r="C8495" s="3">
        <v>2</v>
      </c>
      <c r="D8495" s="3" t="s">
        <v>192</v>
      </c>
      <c r="E8495" s="3" t="s">
        <v>103</v>
      </c>
      <c r="F8495" s="3" t="s">
        <v>103</v>
      </c>
      <c r="G8495" s="3" t="s">
        <v>103</v>
      </c>
    </row>
    <row r="8496" spans="1:7" s="3" customFormat="1" x14ac:dyDescent="0.3">
      <c r="A8496" s="3" t="s">
        <v>29</v>
      </c>
      <c r="B8496" s="3" t="s">
        <v>292</v>
      </c>
      <c r="C8496" s="3">
        <v>2</v>
      </c>
      <c r="D8496" s="3" t="s">
        <v>192</v>
      </c>
      <c r="E8496" s="3" t="s">
        <v>103</v>
      </c>
      <c r="F8496" s="3" t="s">
        <v>103</v>
      </c>
      <c r="G8496" s="3" t="s">
        <v>103</v>
      </c>
    </row>
    <row r="8497" spans="1:7" s="3" customFormat="1" x14ac:dyDescent="0.3">
      <c r="A8497" s="3" t="s">
        <v>28</v>
      </c>
      <c r="B8497" s="3" t="s">
        <v>291</v>
      </c>
      <c r="C8497" s="3">
        <v>25</v>
      </c>
      <c r="D8497" s="3" t="s">
        <v>1043</v>
      </c>
      <c r="E8497" s="3" t="s">
        <v>413</v>
      </c>
      <c r="F8497" s="3" t="s">
        <v>925</v>
      </c>
      <c r="G8497" s="3" t="s">
        <v>103</v>
      </c>
    </row>
    <row r="8498" spans="1:7" x14ac:dyDescent="0.3">
      <c r="A8498" t="s">
        <v>28</v>
      </c>
      <c r="B8498" t="s">
        <v>292</v>
      </c>
      <c r="C8498">
        <v>50</v>
      </c>
      <c r="D8498" t="s">
        <v>421</v>
      </c>
      <c r="E8498" t="s">
        <v>678</v>
      </c>
      <c r="F8498" t="s">
        <v>195</v>
      </c>
      <c r="G8498" t="s">
        <v>103</v>
      </c>
    </row>
    <row r="8499" spans="1:7" s="3" customFormat="1" x14ac:dyDescent="0.3">
      <c r="A8499" s="3" t="s">
        <v>27</v>
      </c>
      <c r="B8499" s="3" t="s">
        <v>291</v>
      </c>
      <c r="C8499" s="3">
        <v>23</v>
      </c>
      <c r="D8499" s="3" t="s">
        <v>489</v>
      </c>
      <c r="E8499" s="3" t="s">
        <v>1319</v>
      </c>
      <c r="F8499" s="3" t="s">
        <v>423</v>
      </c>
      <c r="G8499" s="3" t="s">
        <v>103</v>
      </c>
    </row>
    <row r="8500" spans="1:7" x14ac:dyDescent="0.3">
      <c r="A8500" t="s">
        <v>27</v>
      </c>
      <c r="B8500" t="s">
        <v>292</v>
      </c>
      <c r="C8500">
        <v>84</v>
      </c>
      <c r="D8500" t="s">
        <v>582</v>
      </c>
      <c r="E8500" t="s">
        <v>236</v>
      </c>
      <c r="F8500" t="s">
        <v>355</v>
      </c>
      <c r="G8500" t="s">
        <v>345</v>
      </c>
    </row>
    <row r="8501" spans="1:7" x14ac:dyDescent="0.3">
      <c r="A8501" t="s">
        <v>27</v>
      </c>
      <c r="B8501" t="s">
        <v>308</v>
      </c>
      <c r="C8501">
        <v>5</v>
      </c>
      <c r="D8501" t="s">
        <v>103</v>
      </c>
      <c r="E8501" t="s">
        <v>299</v>
      </c>
      <c r="F8501" t="s">
        <v>300</v>
      </c>
      <c r="G8501" t="s">
        <v>103</v>
      </c>
    </row>
    <row r="8502" spans="1:7" x14ac:dyDescent="0.3">
      <c r="A8502" t="s">
        <v>41</v>
      </c>
      <c r="B8502" t="s">
        <v>291</v>
      </c>
      <c r="C8502">
        <v>55</v>
      </c>
      <c r="D8502" t="s">
        <v>948</v>
      </c>
      <c r="E8502" t="s">
        <v>568</v>
      </c>
      <c r="F8502" t="s">
        <v>552</v>
      </c>
      <c r="G8502" t="s">
        <v>103</v>
      </c>
    </row>
    <row r="8503" spans="1:7" x14ac:dyDescent="0.3">
      <c r="A8503" t="s">
        <v>41</v>
      </c>
      <c r="B8503" t="s">
        <v>292</v>
      </c>
      <c r="C8503">
        <v>149</v>
      </c>
      <c r="D8503" t="s">
        <v>303</v>
      </c>
      <c r="E8503" t="s">
        <v>698</v>
      </c>
      <c r="F8503" t="s">
        <v>1050</v>
      </c>
      <c r="G8503" t="s">
        <v>120</v>
      </c>
    </row>
    <row r="8504" spans="1:7" x14ac:dyDescent="0.3">
      <c r="A8504" t="s">
        <v>41</v>
      </c>
      <c r="B8504" t="s">
        <v>308</v>
      </c>
      <c r="C8504">
        <v>5</v>
      </c>
      <c r="D8504" t="s">
        <v>103</v>
      </c>
      <c r="E8504" t="s">
        <v>299</v>
      </c>
      <c r="F8504" t="s">
        <v>300</v>
      </c>
      <c r="G8504" t="s">
        <v>103</v>
      </c>
    </row>
    <row r="8506" spans="1:7" x14ac:dyDescent="0.3">
      <c r="A8506" t="s">
        <v>2414</v>
      </c>
    </row>
    <row r="8507" spans="1:7" x14ac:dyDescent="0.3">
      <c r="A8507" t="s">
        <v>36</v>
      </c>
      <c r="B8507" t="s">
        <v>310</v>
      </c>
      <c r="C8507" t="s">
        <v>24</v>
      </c>
      <c r="D8507" t="s">
        <v>58</v>
      </c>
      <c r="E8507" t="s">
        <v>59</v>
      </c>
      <c r="F8507" t="s">
        <v>348</v>
      </c>
      <c r="G8507" t="s">
        <v>181</v>
      </c>
    </row>
    <row r="8508" spans="1:7" s="3" customFormat="1" x14ac:dyDescent="0.3">
      <c r="A8508" s="3" t="s">
        <v>25</v>
      </c>
      <c r="B8508" s="3" t="s">
        <v>311</v>
      </c>
      <c r="C8508" s="3">
        <v>3</v>
      </c>
      <c r="D8508" s="3" t="s">
        <v>1322</v>
      </c>
      <c r="E8508" s="3" t="s">
        <v>553</v>
      </c>
      <c r="F8508" s="3" t="s">
        <v>103</v>
      </c>
      <c r="G8508" s="3" t="s">
        <v>103</v>
      </c>
    </row>
    <row r="8509" spans="1:7" s="3" customFormat="1" x14ac:dyDescent="0.3">
      <c r="A8509" s="3" t="s">
        <v>26</v>
      </c>
      <c r="B8509" s="3" t="s">
        <v>311</v>
      </c>
      <c r="C8509" s="3">
        <v>12</v>
      </c>
      <c r="D8509" s="3" t="s">
        <v>583</v>
      </c>
      <c r="E8509" s="3" t="s">
        <v>517</v>
      </c>
      <c r="F8509" s="3" t="s">
        <v>1294</v>
      </c>
      <c r="G8509" s="3" t="s">
        <v>103</v>
      </c>
    </row>
    <row r="8510" spans="1:7" s="3" customFormat="1" x14ac:dyDescent="0.3">
      <c r="A8510" s="3" t="s">
        <v>26</v>
      </c>
      <c r="B8510" s="3" t="s">
        <v>312</v>
      </c>
      <c r="C8510" s="3">
        <v>3</v>
      </c>
      <c r="D8510" s="3" t="s">
        <v>103</v>
      </c>
      <c r="E8510" s="3" t="s">
        <v>976</v>
      </c>
      <c r="F8510" s="3" t="s">
        <v>975</v>
      </c>
      <c r="G8510" s="3" t="s">
        <v>103</v>
      </c>
    </row>
    <row r="8511" spans="1:7" s="3" customFormat="1" x14ac:dyDescent="0.3">
      <c r="A8511" s="3" t="s">
        <v>29</v>
      </c>
      <c r="B8511" s="3" t="s">
        <v>311</v>
      </c>
      <c r="C8511" s="3">
        <v>1</v>
      </c>
      <c r="D8511" s="3" t="s">
        <v>192</v>
      </c>
      <c r="E8511" s="3" t="s">
        <v>103</v>
      </c>
      <c r="F8511" s="3" t="s">
        <v>103</v>
      </c>
      <c r="G8511" s="3" t="s">
        <v>103</v>
      </c>
    </row>
    <row r="8512" spans="1:7" s="3" customFormat="1" x14ac:dyDescent="0.3">
      <c r="A8512" s="3" t="s">
        <v>29</v>
      </c>
      <c r="B8512" s="3" t="s">
        <v>312</v>
      </c>
      <c r="C8512" s="3">
        <v>3</v>
      </c>
      <c r="D8512" s="3" t="s">
        <v>192</v>
      </c>
      <c r="E8512" s="3" t="s">
        <v>103</v>
      </c>
      <c r="F8512" s="3" t="s">
        <v>103</v>
      </c>
      <c r="G8512" s="3" t="s">
        <v>103</v>
      </c>
    </row>
    <row r="8513" spans="1:7" x14ac:dyDescent="0.3">
      <c r="A8513" t="s">
        <v>28</v>
      </c>
      <c r="B8513" t="s">
        <v>311</v>
      </c>
      <c r="C8513">
        <v>48</v>
      </c>
      <c r="D8513" t="s">
        <v>1007</v>
      </c>
      <c r="E8513" t="s">
        <v>1555</v>
      </c>
      <c r="F8513" t="s">
        <v>90</v>
      </c>
      <c r="G8513" t="s">
        <v>103</v>
      </c>
    </row>
    <row r="8514" spans="1:7" s="3" customFormat="1" x14ac:dyDescent="0.3">
      <c r="A8514" s="3" t="s">
        <v>28</v>
      </c>
      <c r="B8514" s="3" t="s">
        <v>312</v>
      </c>
      <c r="C8514" s="3">
        <v>27</v>
      </c>
      <c r="D8514" s="3" t="s">
        <v>352</v>
      </c>
      <c r="E8514" s="3" t="s">
        <v>748</v>
      </c>
      <c r="F8514" s="3" t="s">
        <v>284</v>
      </c>
      <c r="G8514" s="3" t="s">
        <v>103</v>
      </c>
    </row>
    <row r="8515" spans="1:7" x14ac:dyDescent="0.3">
      <c r="A8515" t="s">
        <v>27</v>
      </c>
      <c r="B8515" t="s">
        <v>311</v>
      </c>
      <c r="C8515">
        <v>91</v>
      </c>
      <c r="D8515" t="s">
        <v>1143</v>
      </c>
      <c r="E8515" t="s">
        <v>553</v>
      </c>
      <c r="F8515" t="s">
        <v>350</v>
      </c>
      <c r="G8515" t="s">
        <v>103</v>
      </c>
    </row>
    <row r="8516" spans="1:7" s="3" customFormat="1" x14ac:dyDescent="0.3">
      <c r="A8516" s="3" t="s">
        <v>27</v>
      </c>
      <c r="B8516" s="3" t="s">
        <v>312</v>
      </c>
      <c r="C8516" s="3">
        <v>21</v>
      </c>
      <c r="D8516" s="3" t="s">
        <v>499</v>
      </c>
      <c r="E8516" s="3" t="s">
        <v>473</v>
      </c>
      <c r="F8516" s="3" t="s">
        <v>1202</v>
      </c>
      <c r="G8516" s="3" t="s">
        <v>532</v>
      </c>
    </row>
    <row r="8517" spans="1:7" x14ac:dyDescent="0.3">
      <c r="A8517" t="s">
        <v>41</v>
      </c>
      <c r="B8517" t="s">
        <v>311</v>
      </c>
      <c r="C8517">
        <v>155</v>
      </c>
      <c r="D8517" t="s">
        <v>1211</v>
      </c>
      <c r="E8517" t="s">
        <v>1227</v>
      </c>
      <c r="F8517" t="s">
        <v>729</v>
      </c>
      <c r="G8517" t="s">
        <v>103</v>
      </c>
    </row>
    <row r="8518" spans="1:7" x14ac:dyDescent="0.3">
      <c r="A8518" t="s">
        <v>41</v>
      </c>
      <c r="B8518" t="s">
        <v>312</v>
      </c>
      <c r="C8518">
        <v>54</v>
      </c>
      <c r="D8518" t="s">
        <v>294</v>
      </c>
      <c r="E8518" t="s">
        <v>691</v>
      </c>
      <c r="F8518" t="s">
        <v>175</v>
      </c>
      <c r="G8518" t="s">
        <v>345</v>
      </c>
    </row>
    <row r="8520" spans="1:7" x14ac:dyDescent="0.3">
      <c r="A8520" t="s">
        <v>2415</v>
      </c>
    </row>
    <row r="8521" spans="1:7" x14ac:dyDescent="0.3">
      <c r="A8521" t="s">
        <v>36</v>
      </c>
      <c r="B8521" t="s">
        <v>197</v>
      </c>
      <c r="C8521" t="s">
        <v>24</v>
      </c>
      <c r="D8521" t="s">
        <v>58</v>
      </c>
      <c r="E8521" t="s">
        <v>59</v>
      </c>
      <c r="F8521" t="s">
        <v>348</v>
      </c>
      <c r="G8521" t="s">
        <v>181</v>
      </c>
    </row>
    <row r="8522" spans="1:7" s="3" customFormat="1" x14ac:dyDescent="0.3">
      <c r="A8522" s="3" t="s">
        <v>25</v>
      </c>
      <c r="B8522" s="3" t="s">
        <v>199</v>
      </c>
      <c r="C8522" s="3">
        <v>3</v>
      </c>
      <c r="D8522" s="3" t="s">
        <v>1322</v>
      </c>
      <c r="E8522" s="3" t="s">
        <v>553</v>
      </c>
      <c r="F8522" s="3" t="s">
        <v>103</v>
      </c>
      <c r="G8522" s="3" t="s">
        <v>103</v>
      </c>
    </row>
    <row r="8523" spans="1:7" s="3" customFormat="1" x14ac:dyDescent="0.3">
      <c r="A8523" s="3" t="s">
        <v>26</v>
      </c>
      <c r="B8523" s="3" t="s">
        <v>198</v>
      </c>
      <c r="C8523" s="3">
        <v>2</v>
      </c>
      <c r="D8523" s="3" t="s">
        <v>2111</v>
      </c>
      <c r="E8523" s="3" t="s">
        <v>935</v>
      </c>
      <c r="F8523" s="3" t="s">
        <v>103</v>
      </c>
      <c r="G8523" s="3" t="s">
        <v>103</v>
      </c>
    </row>
    <row r="8524" spans="1:7" s="3" customFormat="1" x14ac:dyDescent="0.3">
      <c r="A8524" s="3" t="s">
        <v>26</v>
      </c>
      <c r="B8524" s="3" t="s">
        <v>199</v>
      </c>
      <c r="C8524" s="3">
        <v>13</v>
      </c>
      <c r="D8524" s="3" t="s">
        <v>825</v>
      </c>
      <c r="E8524" s="3" t="s">
        <v>671</v>
      </c>
      <c r="F8524" s="3" t="s">
        <v>572</v>
      </c>
      <c r="G8524" s="3" t="s">
        <v>103</v>
      </c>
    </row>
    <row r="8525" spans="1:7" s="3" customFormat="1" x14ac:dyDescent="0.3">
      <c r="A8525" s="3" t="s">
        <v>29</v>
      </c>
      <c r="B8525" s="3" t="s">
        <v>199</v>
      </c>
      <c r="C8525" s="3">
        <v>4</v>
      </c>
      <c r="D8525" s="3" t="s">
        <v>192</v>
      </c>
      <c r="E8525" s="3" t="s">
        <v>103</v>
      </c>
      <c r="F8525" s="3" t="s">
        <v>103</v>
      </c>
      <c r="G8525" s="3" t="s">
        <v>103</v>
      </c>
    </row>
    <row r="8526" spans="1:7" x14ac:dyDescent="0.3">
      <c r="A8526" t="s">
        <v>28</v>
      </c>
      <c r="B8526" t="s">
        <v>199</v>
      </c>
      <c r="C8526">
        <v>75</v>
      </c>
      <c r="D8526" t="s">
        <v>96</v>
      </c>
      <c r="E8526" t="s">
        <v>1257</v>
      </c>
      <c r="F8526" t="s">
        <v>60</v>
      </c>
      <c r="G8526" t="s">
        <v>103</v>
      </c>
    </row>
    <row r="8527" spans="1:7" x14ac:dyDescent="0.3">
      <c r="A8527" t="s">
        <v>27</v>
      </c>
      <c r="B8527" t="s">
        <v>198</v>
      </c>
      <c r="C8527">
        <v>58</v>
      </c>
      <c r="D8527" t="s">
        <v>788</v>
      </c>
      <c r="E8527" t="s">
        <v>706</v>
      </c>
      <c r="F8527" t="s">
        <v>934</v>
      </c>
      <c r="G8527" t="s">
        <v>239</v>
      </c>
    </row>
    <row r="8528" spans="1:7" x14ac:dyDescent="0.3">
      <c r="A8528" t="s">
        <v>27</v>
      </c>
      <c r="B8528" t="s">
        <v>199</v>
      </c>
      <c r="C8528">
        <v>54</v>
      </c>
      <c r="D8528" t="s">
        <v>651</v>
      </c>
      <c r="E8528" t="s">
        <v>1223</v>
      </c>
      <c r="F8528" t="s">
        <v>391</v>
      </c>
      <c r="G8528" t="s">
        <v>103</v>
      </c>
    </row>
    <row r="8529" spans="1:7" x14ac:dyDescent="0.3">
      <c r="A8529" t="s">
        <v>41</v>
      </c>
      <c r="B8529" t="s">
        <v>198</v>
      </c>
      <c r="C8529">
        <v>60</v>
      </c>
      <c r="D8529" t="s">
        <v>129</v>
      </c>
      <c r="E8529" t="s">
        <v>805</v>
      </c>
      <c r="F8529" t="s">
        <v>932</v>
      </c>
      <c r="G8529" t="s">
        <v>239</v>
      </c>
    </row>
    <row r="8530" spans="1:7" x14ac:dyDescent="0.3">
      <c r="A8530" t="s">
        <v>41</v>
      </c>
      <c r="B8530" t="s">
        <v>199</v>
      </c>
      <c r="C8530">
        <v>149</v>
      </c>
      <c r="D8530" t="s">
        <v>873</v>
      </c>
      <c r="E8530" t="s">
        <v>1213</v>
      </c>
      <c r="F8530" t="s">
        <v>505</v>
      </c>
      <c r="G8530" t="s">
        <v>103</v>
      </c>
    </row>
    <row r="8532" spans="1:7" x14ac:dyDescent="0.3">
      <c r="A8532" t="s">
        <v>2416</v>
      </c>
    </row>
    <row r="8533" spans="1:7" x14ac:dyDescent="0.3">
      <c r="A8533" t="s">
        <v>36</v>
      </c>
      <c r="B8533" t="s">
        <v>1647</v>
      </c>
      <c r="C8533" t="s">
        <v>24</v>
      </c>
      <c r="D8533" t="s">
        <v>58</v>
      </c>
      <c r="E8533" t="s">
        <v>59</v>
      </c>
      <c r="F8533" t="s">
        <v>348</v>
      </c>
      <c r="G8533" t="s">
        <v>181</v>
      </c>
    </row>
    <row r="8534" spans="1:7" s="3" customFormat="1" x14ac:dyDescent="0.3">
      <c r="A8534" s="3" t="s">
        <v>25</v>
      </c>
      <c r="B8534" s="3" t="s">
        <v>1648</v>
      </c>
      <c r="C8534" s="3">
        <v>1</v>
      </c>
      <c r="D8534" s="3" t="s">
        <v>192</v>
      </c>
      <c r="E8534" s="3" t="s">
        <v>103</v>
      </c>
      <c r="F8534" s="3" t="s">
        <v>103</v>
      </c>
      <c r="G8534" s="3" t="s">
        <v>103</v>
      </c>
    </row>
    <row r="8535" spans="1:7" s="3" customFormat="1" x14ac:dyDescent="0.3">
      <c r="A8535" s="3" t="s">
        <v>25</v>
      </c>
      <c r="B8535" s="3" t="s">
        <v>1649</v>
      </c>
      <c r="C8535" s="3">
        <v>2</v>
      </c>
      <c r="D8535" s="3" t="s">
        <v>1034</v>
      </c>
      <c r="E8535" s="3" t="s">
        <v>1212</v>
      </c>
      <c r="F8535" s="3" t="s">
        <v>103</v>
      </c>
      <c r="G8535" s="3" t="s">
        <v>103</v>
      </c>
    </row>
    <row r="8536" spans="1:7" s="3" customFormat="1" x14ac:dyDescent="0.3">
      <c r="A8536" s="3" t="s">
        <v>26</v>
      </c>
      <c r="B8536" s="3" t="s">
        <v>1648</v>
      </c>
      <c r="C8536" s="3">
        <v>8</v>
      </c>
      <c r="D8536" s="3" t="s">
        <v>666</v>
      </c>
      <c r="E8536" s="3" t="s">
        <v>132</v>
      </c>
      <c r="F8536" s="3" t="s">
        <v>413</v>
      </c>
      <c r="G8536" s="3" t="s">
        <v>103</v>
      </c>
    </row>
    <row r="8537" spans="1:7" s="3" customFormat="1" x14ac:dyDescent="0.3">
      <c r="A8537" s="3" t="s">
        <v>26</v>
      </c>
      <c r="B8537" s="3" t="s">
        <v>1649</v>
      </c>
      <c r="C8537" s="3">
        <v>7</v>
      </c>
      <c r="D8537" s="3" t="s">
        <v>160</v>
      </c>
      <c r="E8537" s="3" t="s">
        <v>1204</v>
      </c>
      <c r="F8537" s="3" t="s">
        <v>354</v>
      </c>
      <c r="G8537" s="3" t="s">
        <v>103</v>
      </c>
    </row>
    <row r="8538" spans="1:7" s="3" customFormat="1" x14ac:dyDescent="0.3">
      <c r="A8538" s="3" t="s">
        <v>29</v>
      </c>
      <c r="B8538" s="3" t="s">
        <v>1648</v>
      </c>
      <c r="C8538" s="3">
        <v>1</v>
      </c>
      <c r="D8538" s="3" t="s">
        <v>192</v>
      </c>
      <c r="E8538" s="3" t="s">
        <v>103</v>
      </c>
      <c r="F8538" s="3" t="s">
        <v>103</v>
      </c>
      <c r="G8538" s="3" t="s">
        <v>103</v>
      </c>
    </row>
    <row r="8539" spans="1:7" s="3" customFormat="1" x14ac:dyDescent="0.3">
      <c r="A8539" s="3" t="s">
        <v>29</v>
      </c>
      <c r="B8539" s="3" t="s">
        <v>1649</v>
      </c>
      <c r="C8539" s="3">
        <v>3</v>
      </c>
      <c r="D8539" s="3" t="s">
        <v>192</v>
      </c>
      <c r="E8539" s="3" t="s">
        <v>103</v>
      </c>
      <c r="F8539" s="3" t="s">
        <v>103</v>
      </c>
      <c r="G8539" s="3" t="s">
        <v>103</v>
      </c>
    </row>
    <row r="8540" spans="1:7" s="3" customFormat="1" x14ac:dyDescent="0.3">
      <c r="A8540" s="3" t="s">
        <v>28</v>
      </c>
      <c r="B8540" s="3" t="s">
        <v>1648</v>
      </c>
      <c r="C8540" s="3">
        <v>15</v>
      </c>
      <c r="D8540" s="3" t="s">
        <v>509</v>
      </c>
      <c r="E8540" s="3" t="s">
        <v>427</v>
      </c>
      <c r="F8540" s="3" t="s">
        <v>819</v>
      </c>
      <c r="G8540" s="3" t="s">
        <v>103</v>
      </c>
    </row>
    <row r="8541" spans="1:7" x14ac:dyDescent="0.3">
      <c r="A8541" t="s">
        <v>28</v>
      </c>
      <c r="B8541" t="s">
        <v>1649</v>
      </c>
      <c r="C8541">
        <v>60</v>
      </c>
      <c r="D8541" t="s">
        <v>663</v>
      </c>
      <c r="E8541" t="s">
        <v>1577</v>
      </c>
      <c r="F8541" t="s">
        <v>532</v>
      </c>
      <c r="G8541" t="s">
        <v>103</v>
      </c>
    </row>
    <row r="8542" spans="1:7" s="3" customFormat="1" x14ac:dyDescent="0.3">
      <c r="A8542" s="3" t="s">
        <v>27</v>
      </c>
      <c r="B8542" s="3" t="s">
        <v>1648</v>
      </c>
      <c r="C8542" s="3">
        <v>22</v>
      </c>
      <c r="D8542" s="3" t="s">
        <v>480</v>
      </c>
      <c r="E8542" s="3" t="s">
        <v>1219</v>
      </c>
      <c r="F8542" s="3" t="s">
        <v>1250</v>
      </c>
      <c r="G8542" s="3" t="s">
        <v>103</v>
      </c>
    </row>
    <row r="8543" spans="1:7" x14ac:dyDescent="0.3">
      <c r="A8543" t="s">
        <v>27</v>
      </c>
      <c r="B8543" t="s">
        <v>1649</v>
      </c>
      <c r="C8543">
        <v>90</v>
      </c>
      <c r="D8543" t="s">
        <v>250</v>
      </c>
      <c r="E8543" t="s">
        <v>582</v>
      </c>
      <c r="F8543" t="s">
        <v>375</v>
      </c>
      <c r="G8543" t="s">
        <v>282</v>
      </c>
    </row>
    <row r="8544" spans="1:7" x14ac:dyDescent="0.3">
      <c r="A8544" t="s">
        <v>41</v>
      </c>
      <c r="B8544" t="s">
        <v>1648</v>
      </c>
      <c r="C8544">
        <v>47</v>
      </c>
      <c r="D8544" t="s">
        <v>748</v>
      </c>
      <c r="E8544" t="s">
        <v>682</v>
      </c>
      <c r="F8544" t="s">
        <v>1082</v>
      </c>
      <c r="G8544" t="s">
        <v>103</v>
      </c>
    </row>
    <row r="8545" spans="1:20" x14ac:dyDescent="0.3">
      <c r="A8545" t="s">
        <v>41</v>
      </c>
      <c r="B8545" t="s">
        <v>1649</v>
      </c>
      <c r="C8545">
        <v>162</v>
      </c>
      <c r="D8545" t="s">
        <v>407</v>
      </c>
      <c r="E8545" t="s">
        <v>382</v>
      </c>
      <c r="F8545" t="s">
        <v>815</v>
      </c>
      <c r="G8545" t="s">
        <v>97</v>
      </c>
    </row>
    <row r="8547" spans="1:20" x14ac:dyDescent="0.3">
      <c r="A8547" t="s">
        <v>2417</v>
      </c>
    </row>
    <row r="8548" spans="1:20" x14ac:dyDescent="0.3">
      <c r="A8548" t="s">
        <v>36</v>
      </c>
      <c r="B8548" t="s">
        <v>210</v>
      </c>
      <c r="C8548" t="s">
        <v>24</v>
      </c>
      <c r="D8548" t="s">
        <v>58</v>
      </c>
      <c r="E8548" t="s">
        <v>59</v>
      </c>
      <c r="F8548" t="s">
        <v>348</v>
      </c>
      <c r="G8548" t="s">
        <v>181</v>
      </c>
    </row>
    <row r="8549" spans="1:20" s="3" customFormat="1" x14ac:dyDescent="0.3">
      <c r="A8549" s="3" t="s">
        <v>25</v>
      </c>
      <c r="B8549" s="3" t="s">
        <v>211</v>
      </c>
      <c r="C8549" s="3">
        <v>3</v>
      </c>
      <c r="D8549" s="3" t="s">
        <v>1322</v>
      </c>
      <c r="E8549" s="3" t="s">
        <v>553</v>
      </c>
      <c r="F8549" s="3" t="s">
        <v>103</v>
      </c>
      <c r="G8549" s="3" t="s">
        <v>103</v>
      </c>
    </row>
    <row r="8550" spans="1:20" s="3" customFormat="1" x14ac:dyDescent="0.3">
      <c r="A8550" s="3" t="s">
        <v>26</v>
      </c>
      <c r="B8550" s="3" t="s">
        <v>211</v>
      </c>
      <c r="C8550" s="3">
        <v>3</v>
      </c>
      <c r="D8550" s="3" t="s">
        <v>215</v>
      </c>
      <c r="E8550" s="3" t="s">
        <v>104</v>
      </c>
      <c r="F8550" s="3" t="s">
        <v>103</v>
      </c>
      <c r="G8550" s="3" t="s">
        <v>103</v>
      </c>
    </row>
    <row r="8551" spans="1:20" s="3" customFormat="1" x14ac:dyDescent="0.3">
      <c r="A8551" s="3" t="s">
        <v>26</v>
      </c>
      <c r="B8551" s="3" t="s">
        <v>212</v>
      </c>
      <c r="C8551" s="3">
        <v>12</v>
      </c>
      <c r="D8551" s="3" t="s">
        <v>471</v>
      </c>
      <c r="E8551" s="3" t="s">
        <v>688</v>
      </c>
      <c r="F8551" s="3" t="s">
        <v>374</v>
      </c>
      <c r="G8551" s="3" t="s">
        <v>103</v>
      </c>
    </row>
    <row r="8552" spans="1:20" s="3" customFormat="1" x14ac:dyDescent="0.3">
      <c r="A8552" s="3" t="s">
        <v>29</v>
      </c>
      <c r="B8552" s="3" t="s">
        <v>211</v>
      </c>
      <c r="C8552" s="3">
        <v>4</v>
      </c>
      <c r="D8552" s="3" t="s">
        <v>192</v>
      </c>
      <c r="E8552" s="3" t="s">
        <v>103</v>
      </c>
      <c r="F8552" s="3" t="s">
        <v>103</v>
      </c>
      <c r="G8552" s="3" t="s">
        <v>103</v>
      </c>
    </row>
    <row r="8553" spans="1:20" x14ac:dyDescent="0.3">
      <c r="A8553" t="s">
        <v>28</v>
      </c>
      <c r="B8553" t="s">
        <v>211</v>
      </c>
      <c r="C8553">
        <v>38</v>
      </c>
      <c r="D8553" t="s">
        <v>500</v>
      </c>
      <c r="E8553" t="s">
        <v>396</v>
      </c>
      <c r="F8553" t="s">
        <v>750</v>
      </c>
      <c r="G8553" t="s">
        <v>103</v>
      </c>
    </row>
    <row r="8554" spans="1:20" x14ac:dyDescent="0.3">
      <c r="A8554" t="s">
        <v>28</v>
      </c>
      <c r="B8554" t="s">
        <v>212</v>
      </c>
      <c r="C8554">
        <v>37</v>
      </c>
      <c r="D8554" t="s">
        <v>679</v>
      </c>
      <c r="E8554" t="s">
        <v>814</v>
      </c>
      <c r="F8554" t="s">
        <v>103</v>
      </c>
      <c r="G8554" t="s">
        <v>103</v>
      </c>
    </row>
    <row r="8555" spans="1:20" x14ac:dyDescent="0.3">
      <c r="A8555" t="s">
        <v>27</v>
      </c>
      <c r="B8555" t="s">
        <v>211</v>
      </c>
      <c r="C8555">
        <v>112</v>
      </c>
      <c r="D8555" t="s">
        <v>477</v>
      </c>
      <c r="E8555" t="s">
        <v>577</v>
      </c>
      <c r="F8555" t="s">
        <v>932</v>
      </c>
      <c r="G8555" t="s">
        <v>139</v>
      </c>
    </row>
    <row r="8556" spans="1:20" x14ac:dyDescent="0.3">
      <c r="A8556" t="s">
        <v>41</v>
      </c>
      <c r="B8556" t="s">
        <v>211</v>
      </c>
      <c r="C8556">
        <v>160</v>
      </c>
      <c r="D8556" t="s">
        <v>1402</v>
      </c>
      <c r="E8556" t="s">
        <v>522</v>
      </c>
      <c r="F8556" t="s">
        <v>429</v>
      </c>
      <c r="G8556" t="s">
        <v>97</v>
      </c>
    </row>
    <row r="8557" spans="1:20" x14ac:dyDescent="0.3">
      <c r="A8557" t="s">
        <v>41</v>
      </c>
      <c r="B8557" t="s">
        <v>212</v>
      </c>
      <c r="C8557">
        <v>49</v>
      </c>
      <c r="D8557" t="s">
        <v>1143</v>
      </c>
      <c r="E8557" t="s">
        <v>416</v>
      </c>
      <c r="F8557" t="s">
        <v>683</v>
      </c>
      <c r="G8557" t="s">
        <v>103</v>
      </c>
    </row>
    <row r="8559" spans="1:20" x14ac:dyDescent="0.3">
      <c r="A8559" t="s">
        <v>2418</v>
      </c>
    </row>
    <row r="8560" spans="1:20" x14ac:dyDescent="0.3">
      <c r="A8560" t="s">
        <v>36</v>
      </c>
      <c r="B8560" t="s">
        <v>24</v>
      </c>
      <c r="C8560" t="s">
        <v>1195</v>
      </c>
      <c r="D8560" t="s">
        <v>2419</v>
      </c>
      <c r="E8560" t="s">
        <v>2420</v>
      </c>
      <c r="F8560" t="s">
        <v>2421</v>
      </c>
      <c r="G8560" t="s">
        <v>2422</v>
      </c>
      <c r="H8560" t="s">
        <v>2423</v>
      </c>
      <c r="I8560" t="s">
        <v>2424</v>
      </c>
      <c r="J8560" t="s">
        <v>2425</v>
      </c>
      <c r="K8560" t="s">
        <v>2426</v>
      </c>
      <c r="L8560" t="s">
        <v>2427</v>
      </c>
      <c r="M8560" t="s">
        <v>2428</v>
      </c>
      <c r="N8560" t="s">
        <v>2429</v>
      </c>
      <c r="O8560" t="s">
        <v>2430</v>
      </c>
      <c r="P8560" t="s">
        <v>2431</v>
      </c>
      <c r="Q8560" t="s">
        <v>2432</v>
      </c>
      <c r="R8560" t="s">
        <v>183</v>
      </c>
      <c r="S8560" t="s">
        <v>87</v>
      </c>
      <c r="T8560" t="s">
        <v>181</v>
      </c>
    </row>
    <row r="8561" spans="1:21" x14ac:dyDescent="0.3">
      <c r="A8561" t="s">
        <v>25</v>
      </c>
      <c r="B8561">
        <v>414</v>
      </c>
      <c r="C8561" t="s">
        <v>896</v>
      </c>
      <c r="D8561" t="s">
        <v>103</v>
      </c>
      <c r="E8561" t="s">
        <v>103</v>
      </c>
      <c r="F8561" t="s">
        <v>468</v>
      </c>
      <c r="G8561" t="s">
        <v>103</v>
      </c>
      <c r="H8561" t="s">
        <v>139</v>
      </c>
      <c r="I8561" t="s">
        <v>282</v>
      </c>
      <c r="J8561" t="s">
        <v>66</v>
      </c>
      <c r="K8561" t="s">
        <v>95</v>
      </c>
      <c r="L8561" t="s">
        <v>116</v>
      </c>
      <c r="M8561" t="s">
        <v>120</v>
      </c>
      <c r="N8561" t="s">
        <v>103</v>
      </c>
      <c r="O8561" t="s">
        <v>103</v>
      </c>
      <c r="P8561" t="s">
        <v>103</v>
      </c>
      <c r="Q8561" t="s">
        <v>103</v>
      </c>
      <c r="R8561" t="s">
        <v>103</v>
      </c>
      <c r="S8561" t="s">
        <v>194</v>
      </c>
      <c r="T8561" t="s">
        <v>103</v>
      </c>
    </row>
    <row r="8562" spans="1:21" x14ac:dyDescent="0.3">
      <c r="A8562" t="s">
        <v>26</v>
      </c>
      <c r="B8562">
        <v>476</v>
      </c>
      <c r="C8562" t="s">
        <v>168</v>
      </c>
      <c r="D8562" t="s">
        <v>103</v>
      </c>
      <c r="E8562" t="s">
        <v>66</v>
      </c>
      <c r="F8562" t="s">
        <v>128</v>
      </c>
      <c r="G8562" t="s">
        <v>66</v>
      </c>
      <c r="H8562" t="s">
        <v>125</v>
      </c>
      <c r="I8562" t="s">
        <v>122</v>
      </c>
      <c r="J8562" t="s">
        <v>116</v>
      </c>
      <c r="K8562" t="s">
        <v>139</v>
      </c>
      <c r="L8562" t="s">
        <v>103</v>
      </c>
      <c r="M8562" t="s">
        <v>103</v>
      </c>
      <c r="N8562" t="s">
        <v>468</v>
      </c>
      <c r="O8562" t="s">
        <v>216</v>
      </c>
      <c r="P8562" t="s">
        <v>103</v>
      </c>
      <c r="Q8562" t="s">
        <v>103</v>
      </c>
      <c r="R8562" t="s">
        <v>103</v>
      </c>
      <c r="S8562" t="s">
        <v>112</v>
      </c>
      <c r="T8562" t="s">
        <v>66</v>
      </c>
    </row>
    <row r="8563" spans="1:21" x14ac:dyDescent="0.3">
      <c r="A8563" t="s">
        <v>29</v>
      </c>
      <c r="B8563">
        <v>530</v>
      </c>
      <c r="C8563" t="s">
        <v>978</v>
      </c>
      <c r="D8563" t="s">
        <v>120</v>
      </c>
      <c r="E8563" t="s">
        <v>345</v>
      </c>
      <c r="F8563" t="s">
        <v>95</v>
      </c>
      <c r="G8563" t="s">
        <v>66</v>
      </c>
      <c r="H8563" t="s">
        <v>468</v>
      </c>
      <c r="I8563" t="s">
        <v>282</v>
      </c>
      <c r="J8563" t="s">
        <v>122</v>
      </c>
      <c r="K8563" t="s">
        <v>66</v>
      </c>
      <c r="L8563" t="s">
        <v>103</v>
      </c>
      <c r="M8563" t="s">
        <v>329</v>
      </c>
      <c r="N8563" t="s">
        <v>103</v>
      </c>
      <c r="O8563" t="s">
        <v>103</v>
      </c>
      <c r="P8563" t="s">
        <v>66</v>
      </c>
      <c r="Q8563" t="s">
        <v>103</v>
      </c>
      <c r="R8563" t="s">
        <v>116</v>
      </c>
      <c r="S8563" t="s">
        <v>475</v>
      </c>
      <c r="T8563" t="s">
        <v>103</v>
      </c>
    </row>
    <row r="8564" spans="1:21" x14ac:dyDescent="0.3">
      <c r="A8564" t="s">
        <v>28</v>
      </c>
      <c r="B8564">
        <v>317</v>
      </c>
      <c r="C8564" t="s">
        <v>1308</v>
      </c>
      <c r="D8564" t="s">
        <v>116</v>
      </c>
      <c r="E8564" t="s">
        <v>116</v>
      </c>
      <c r="F8564" t="s">
        <v>531</v>
      </c>
      <c r="G8564" t="s">
        <v>103</v>
      </c>
      <c r="H8564" t="s">
        <v>97</v>
      </c>
      <c r="I8564" t="s">
        <v>122</v>
      </c>
      <c r="J8564" t="s">
        <v>103</v>
      </c>
      <c r="K8564" t="s">
        <v>103</v>
      </c>
      <c r="L8564" t="s">
        <v>122</v>
      </c>
      <c r="M8564" t="s">
        <v>103</v>
      </c>
      <c r="N8564" t="s">
        <v>103</v>
      </c>
      <c r="O8564" t="s">
        <v>116</v>
      </c>
      <c r="P8564" t="s">
        <v>103</v>
      </c>
      <c r="Q8564" t="s">
        <v>103</v>
      </c>
      <c r="R8564" t="s">
        <v>103</v>
      </c>
      <c r="S8564" t="s">
        <v>571</v>
      </c>
      <c r="T8564" t="s">
        <v>103</v>
      </c>
    </row>
    <row r="8565" spans="1:21" x14ac:dyDescent="0.3">
      <c r="A8565" t="s">
        <v>27</v>
      </c>
      <c r="B8565">
        <v>300</v>
      </c>
      <c r="C8565" t="s">
        <v>1063</v>
      </c>
      <c r="D8565" t="s">
        <v>103</v>
      </c>
      <c r="E8565" t="s">
        <v>103</v>
      </c>
      <c r="F8565" t="s">
        <v>171</v>
      </c>
      <c r="G8565" t="s">
        <v>103</v>
      </c>
      <c r="H8565" t="s">
        <v>103</v>
      </c>
      <c r="I8565" t="s">
        <v>245</v>
      </c>
      <c r="J8565" t="s">
        <v>103</v>
      </c>
      <c r="K8565" t="s">
        <v>116</v>
      </c>
      <c r="L8565" t="s">
        <v>103</v>
      </c>
      <c r="M8565" t="s">
        <v>122</v>
      </c>
      <c r="N8565" t="s">
        <v>103</v>
      </c>
      <c r="O8565" t="s">
        <v>103</v>
      </c>
      <c r="P8565" t="s">
        <v>103</v>
      </c>
      <c r="Q8565" t="s">
        <v>103</v>
      </c>
      <c r="R8565" t="s">
        <v>95</v>
      </c>
      <c r="S8565" t="s">
        <v>693</v>
      </c>
      <c r="T8565" t="s">
        <v>103</v>
      </c>
    </row>
    <row r="8566" spans="1:21" x14ac:dyDescent="0.3">
      <c r="A8566" t="s">
        <v>41</v>
      </c>
      <c r="B8566">
        <v>2037</v>
      </c>
      <c r="C8566" t="s">
        <v>622</v>
      </c>
      <c r="D8566" t="s">
        <v>116</v>
      </c>
      <c r="E8566" t="s">
        <v>120</v>
      </c>
      <c r="F8566" t="s">
        <v>329</v>
      </c>
      <c r="G8566" t="s">
        <v>91</v>
      </c>
      <c r="H8566" t="s">
        <v>216</v>
      </c>
      <c r="I8566" t="s">
        <v>98</v>
      </c>
      <c r="J8566" t="s">
        <v>116</v>
      </c>
      <c r="K8566" t="s">
        <v>97</v>
      </c>
      <c r="L8566" t="s">
        <v>91</v>
      </c>
      <c r="M8566" t="s">
        <v>345</v>
      </c>
      <c r="N8566" t="s">
        <v>116</v>
      </c>
      <c r="O8566" t="s">
        <v>122</v>
      </c>
      <c r="P8566" t="s">
        <v>91</v>
      </c>
      <c r="Q8566" t="s">
        <v>103</v>
      </c>
      <c r="R8566" t="s">
        <v>66</v>
      </c>
      <c r="S8566" t="s">
        <v>693</v>
      </c>
      <c r="T8566" t="s">
        <v>103</v>
      </c>
    </row>
    <row r="8568" spans="1:21" x14ac:dyDescent="0.3">
      <c r="A8568" t="s">
        <v>2433</v>
      </c>
    </row>
    <row r="8569" spans="1:21" x14ac:dyDescent="0.3">
      <c r="A8569" t="s">
        <v>36</v>
      </c>
      <c r="B8569" t="s">
        <v>307</v>
      </c>
      <c r="C8569" t="s">
        <v>24</v>
      </c>
      <c r="D8569" t="s">
        <v>1195</v>
      </c>
      <c r="E8569" t="s">
        <v>2419</v>
      </c>
      <c r="F8569" t="s">
        <v>2420</v>
      </c>
      <c r="G8569" t="s">
        <v>2421</v>
      </c>
      <c r="H8569" t="s">
        <v>2422</v>
      </c>
      <c r="I8569" t="s">
        <v>2423</v>
      </c>
      <c r="J8569" t="s">
        <v>2424</v>
      </c>
      <c r="K8569" t="s">
        <v>2425</v>
      </c>
      <c r="L8569" t="s">
        <v>2426</v>
      </c>
      <c r="M8569" t="s">
        <v>2427</v>
      </c>
      <c r="N8569" t="s">
        <v>2428</v>
      </c>
      <c r="O8569" t="s">
        <v>2429</v>
      </c>
      <c r="P8569" t="s">
        <v>2430</v>
      </c>
      <c r="Q8569" t="s">
        <v>2431</v>
      </c>
      <c r="R8569" t="s">
        <v>2432</v>
      </c>
      <c r="S8569" t="s">
        <v>183</v>
      </c>
      <c r="T8569" t="s">
        <v>87</v>
      </c>
      <c r="U8569" t="s">
        <v>181</v>
      </c>
    </row>
    <row r="8570" spans="1:21" x14ac:dyDescent="0.3">
      <c r="A8570" t="s">
        <v>25</v>
      </c>
      <c r="B8570" t="s">
        <v>291</v>
      </c>
      <c r="C8570">
        <v>156</v>
      </c>
      <c r="D8570" t="s">
        <v>213</v>
      </c>
      <c r="E8570" t="s">
        <v>103</v>
      </c>
      <c r="F8570" t="s">
        <v>103</v>
      </c>
      <c r="G8570" t="s">
        <v>468</v>
      </c>
      <c r="H8570" t="s">
        <v>103</v>
      </c>
      <c r="I8570" t="s">
        <v>103</v>
      </c>
      <c r="J8570" t="s">
        <v>103</v>
      </c>
      <c r="K8570" t="s">
        <v>103</v>
      </c>
      <c r="L8570" t="s">
        <v>103</v>
      </c>
      <c r="M8570" t="s">
        <v>103</v>
      </c>
      <c r="N8570" t="s">
        <v>97</v>
      </c>
      <c r="O8570" t="s">
        <v>103</v>
      </c>
      <c r="P8570" t="s">
        <v>103</v>
      </c>
      <c r="Q8570" t="s">
        <v>103</v>
      </c>
      <c r="R8570" t="s">
        <v>103</v>
      </c>
      <c r="S8570" t="s">
        <v>103</v>
      </c>
      <c r="T8570" t="s">
        <v>195</v>
      </c>
      <c r="U8570" t="s">
        <v>103</v>
      </c>
    </row>
    <row r="8571" spans="1:21" x14ac:dyDescent="0.3">
      <c r="A8571" t="s">
        <v>25</v>
      </c>
      <c r="B8571" t="s">
        <v>292</v>
      </c>
      <c r="C8571">
        <v>254</v>
      </c>
      <c r="D8571" t="s">
        <v>849</v>
      </c>
      <c r="E8571" t="s">
        <v>103</v>
      </c>
      <c r="F8571" t="s">
        <v>103</v>
      </c>
      <c r="G8571" t="s">
        <v>194</v>
      </c>
      <c r="H8571" t="s">
        <v>103</v>
      </c>
      <c r="I8571" t="s">
        <v>194</v>
      </c>
      <c r="J8571" t="s">
        <v>245</v>
      </c>
      <c r="K8571" t="s">
        <v>116</v>
      </c>
      <c r="L8571" t="s">
        <v>345</v>
      </c>
      <c r="M8571" t="s">
        <v>122</v>
      </c>
      <c r="N8571" t="s">
        <v>95</v>
      </c>
      <c r="O8571" t="s">
        <v>103</v>
      </c>
      <c r="P8571" t="s">
        <v>103</v>
      </c>
      <c r="Q8571" t="s">
        <v>103</v>
      </c>
      <c r="R8571" t="s">
        <v>103</v>
      </c>
      <c r="S8571" t="s">
        <v>103</v>
      </c>
      <c r="T8571" t="s">
        <v>116</v>
      </c>
      <c r="U8571" t="s">
        <v>103</v>
      </c>
    </row>
    <row r="8572" spans="1:21" x14ac:dyDescent="0.3">
      <c r="A8572" t="s">
        <v>25</v>
      </c>
      <c r="B8572" t="s">
        <v>308</v>
      </c>
      <c r="C8572">
        <v>4</v>
      </c>
      <c r="D8572" t="s">
        <v>192</v>
      </c>
      <c r="E8572" t="s">
        <v>103</v>
      </c>
      <c r="F8572" t="s">
        <v>103</v>
      </c>
      <c r="G8572" t="s">
        <v>103</v>
      </c>
      <c r="H8572" t="s">
        <v>103</v>
      </c>
      <c r="I8572" t="s">
        <v>103</v>
      </c>
      <c r="J8572" t="s">
        <v>103</v>
      </c>
      <c r="K8572" t="s">
        <v>103</v>
      </c>
      <c r="L8572" t="s">
        <v>103</v>
      </c>
      <c r="M8572" t="s">
        <v>103</v>
      </c>
      <c r="N8572" t="s">
        <v>103</v>
      </c>
      <c r="O8572" t="s">
        <v>103</v>
      </c>
      <c r="P8572" t="s">
        <v>103</v>
      </c>
      <c r="Q8572" t="s">
        <v>103</v>
      </c>
      <c r="R8572" t="s">
        <v>103</v>
      </c>
      <c r="S8572" t="s">
        <v>103</v>
      </c>
      <c r="T8572" t="s">
        <v>103</v>
      </c>
      <c r="U8572" t="s">
        <v>103</v>
      </c>
    </row>
    <row r="8573" spans="1:21" x14ac:dyDescent="0.3">
      <c r="A8573" t="s">
        <v>26</v>
      </c>
      <c r="B8573" t="s">
        <v>291</v>
      </c>
      <c r="C8573">
        <v>122</v>
      </c>
      <c r="D8573" t="s">
        <v>240</v>
      </c>
      <c r="E8573" t="s">
        <v>103</v>
      </c>
      <c r="F8573" t="s">
        <v>103</v>
      </c>
      <c r="G8573" t="s">
        <v>194</v>
      </c>
      <c r="H8573" t="s">
        <v>103</v>
      </c>
      <c r="I8573" t="s">
        <v>139</v>
      </c>
      <c r="J8573" t="s">
        <v>122</v>
      </c>
      <c r="K8573" t="s">
        <v>122</v>
      </c>
      <c r="L8573" t="s">
        <v>103</v>
      </c>
      <c r="M8573" t="s">
        <v>103</v>
      </c>
      <c r="N8573" t="s">
        <v>103</v>
      </c>
      <c r="O8573" t="s">
        <v>103</v>
      </c>
      <c r="P8573" t="s">
        <v>103</v>
      </c>
      <c r="Q8573" t="s">
        <v>103</v>
      </c>
      <c r="R8573" t="s">
        <v>103</v>
      </c>
      <c r="S8573" t="s">
        <v>103</v>
      </c>
      <c r="T8573" t="s">
        <v>466</v>
      </c>
      <c r="U8573" t="s">
        <v>95</v>
      </c>
    </row>
    <row r="8574" spans="1:21" x14ac:dyDescent="0.3">
      <c r="A8574" t="s">
        <v>26</v>
      </c>
      <c r="B8574" t="s">
        <v>292</v>
      </c>
      <c r="C8574">
        <v>351</v>
      </c>
      <c r="D8574" t="s">
        <v>600</v>
      </c>
      <c r="E8574" t="s">
        <v>103</v>
      </c>
      <c r="F8574" t="s">
        <v>116</v>
      </c>
      <c r="G8574" t="s">
        <v>266</v>
      </c>
      <c r="H8574" t="s">
        <v>116</v>
      </c>
      <c r="I8574" t="s">
        <v>615</v>
      </c>
      <c r="J8574" t="s">
        <v>122</v>
      </c>
      <c r="K8574" t="s">
        <v>116</v>
      </c>
      <c r="L8574" t="s">
        <v>345</v>
      </c>
      <c r="M8574" t="s">
        <v>103</v>
      </c>
      <c r="N8574" t="s">
        <v>103</v>
      </c>
      <c r="O8574" t="s">
        <v>216</v>
      </c>
      <c r="P8574" t="s">
        <v>329</v>
      </c>
      <c r="Q8574" t="s">
        <v>103</v>
      </c>
      <c r="R8574" t="s">
        <v>103</v>
      </c>
      <c r="S8574" t="s">
        <v>103</v>
      </c>
      <c r="T8574" t="s">
        <v>70</v>
      </c>
      <c r="U8574" t="s">
        <v>103</v>
      </c>
    </row>
    <row r="8575" spans="1:21" x14ac:dyDescent="0.3">
      <c r="A8575" t="s">
        <v>26</v>
      </c>
      <c r="B8575" t="s">
        <v>308</v>
      </c>
      <c r="C8575">
        <v>3</v>
      </c>
      <c r="D8575" t="s">
        <v>192</v>
      </c>
      <c r="E8575" t="s">
        <v>103</v>
      </c>
      <c r="F8575" t="s">
        <v>103</v>
      </c>
      <c r="G8575" t="s">
        <v>103</v>
      </c>
      <c r="H8575" t="s">
        <v>103</v>
      </c>
      <c r="I8575" t="s">
        <v>103</v>
      </c>
      <c r="J8575" t="s">
        <v>103</v>
      </c>
      <c r="K8575" t="s">
        <v>103</v>
      </c>
      <c r="L8575" t="s">
        <v>103</v>
      </c>
      <c r="M8575" t="s">
        <v>103</v>
      </c>
      <c r="N8575" t="s">
        <v>103</v>
      </c>
      <c r="O8575" t="s">
        <v>103</v>
      </c>
      <c r="P8575" t="s">
        <v>103</v>
      </c>
      <c r="Q8575" t="s">
        <v>103</v>
      </c>
      <c r="R8575" t="s">
        <v>103</v>
      </c>
      <c r="S8575" t="s">
        <v>103</v>
      </c>
      <c r="T8575" t="s">
        <v>103</v>
      </c>
      <c r="U8575" t="s">
        <v>103</v>
      </c>
    </row>
    <row r="8576" spans="1:21" x14ac:dyDescent="0.3">
      <c r="A8576" t="s">
        <v>29</v>
      </c>
      <c r="B8576" t="s">
        <v>291</v>
      </c>
      <c r="C8576">
        <v>205</v>
      </c>
      <c r="D8576" t="s">
        <v>1131</v>
      </c>
      <c r="E8576" t="s">
        <v>95</v>
      </c>
      <c r="F8576" t="s">
        <v>95</v>
      </c>
      <c r="G8576" t="s">
        <v>105</v>
      </c>
      <c r="H8576" t="s">
        <v>97</v>
      </c>
      <c r="I8576" t="s">
        <v>97</v>
      </c>
      <c r="J8576" t="s">
        <v>103</v>
      </c>
      <c r="K8576" t="s">
        <v>122</v>
      </c>
      <c r="L8576" t="s">
        <v>103</v>
      </c>
      <c r="M8576" t="s">
        <v>103</v>
      </c>
      <c r="N8576" t="s">
        <v>95</v>
      </c>
      <c r="O8576" t="s">
        <v>103</v>
      </c>
      <c r="P8576" t="s">
        <v>103</v>
      </c>
      <c r="Q8576" t="s">
        <v>97</v>
      </c>
      <c r="R8576" t="s">
        <v>103</v>
      </c>
      <c r="S8576" t="s">
        <v>103</v>
      </c>
      <c r="T8576" t="s">
        <v>463</v>
      </c>
      <c r="U8576" t="s">
        <v>103</v>
      </c>
    </row>
    <row r="8577" spans="1:21" x14ac:dyDescent="0.3">
      <c r="A8577" t="s">
        <v>29</v>
      </c>
      <c r="B8577" t="s">
        <v>292</v>
      </c>
      <c r="C8577">
        <v>325</v>
      </c>
      <c r="D8577" t="s">
        <v>1680</v>
      </c>
      <c r="E8577" t="s">
        <v>97</v>
      </c>
      <c r="F8577" t="s">
        <v>110</v>
      </c>
      <c r="G8577" t="s">
        <v>103</v>
      </c>
      <c r="H8577" t="s">
        <v>103</v>
      </c>
      <c r="I8577" t="s">
        <v>245</v>
      </c>
      <c r="J8577" t="s">
        <v>245</v>
      </c>
      <c r="K8577" t="s">
        <v>116</v>
      </c>
      <c r="L8577" t="s">
        <v>122</v>
      </c>
      <c r="M8577" t="s">
        <v>103</v>
      </c>
      <c r="N8577" t="s">
        <v>270</v>
      </c>
      <c r="O8577" t="s">
        <v>103</v>
      </c>
      <c r="P8577" t="s">
        <v>103</v>
      </c>
      <c r="Q8577" t="s">
        <v>103</v>
      </c>
      <c r="R8577" t="s">
        <v>103</v>
      </c>
      <c r="S8577" t="s">
        <v>97</v>
      </c>
      <c r="T8577" t="s">
        <v>331</v>
      </c>
      <c r="U8577" t="s">
        <v>103</v>
      </c>
    </row>
    <row r="8578" spans="1:21" x14ac:dyDescent="0.3">
      <c r="A8578" t="s">
        <v>28</v>
      </c>
      <c r="B8578" t="s">
        <v>291</v>
      </c>
      <c r="C8578">
        <v>114</v>
      </c>
      <c r="D8578" t="s">
        <v>1138</v>
      </c>
      <c r="E8578" t="s">
        <v>95</v>
      </c>
      <c r="F8578" t="s">
        <v>103</v>
      </c>
      <c r="G8578" t="s">
        <v>32</v>
      </c>
      <c r="H8578" t="s">
        <v>103</v>
      </c>
      <c r="I8578" t="s">
        <v>98</v>
      </c>
      <c r="J8578" t="s">
        <v>98</v>
      </c>
      <c r="K8578" t="s">
        <v>103</v>
      </c>
      <c r="L8578" t="s">
        <v>103</v>
      </c>
      <c r="M8578" t="s">
        <v>103</v>
      </c>
      <c r="N8578" t="s">
        <v>103</v>
      </c>
      <c r="O8578" t="s">
        <v>103</v>
      </c>
      <c r="P8578" t="s">
        <v>95</v>
      </c>
      <c r="Q8578" t="s">
        <v>103</v>
      </c>
      <c r="R8578" t="s">
        <v>103</v>
      </c>
      <c r="S8578" t="s">
        <v>103</v>
      </c>
      <c r="T8578" t="s">
        <v>544</v>
      </c>
      <c r="U8578" t="s">
        <v>103</v>
      </c>
    </row>
    <row r="8579" spans="1:21" x14ac:dyDescent="0.3">
      <c r="A8579" t="s">
        <v>28</v>
      </c>
      <c r="B8579" t="s">
        <v>292</v>
      </c>
      <c r="C8579">
        <v>191</v>
      </c>
      <c r="D8579" t="s">
        <v>902</v>
      </c>
      <c r="E8579" t="s">
        <v>103</v>
      </c>
      <c r="F8579" t="s">
        <v>97</v>
      </c>
      <c r="G8579" t="s">
        <v>124</v>
      </c>
      <c r="H8579" t="s">
        <v>103</v>
      </c>
      <c r="I8579" t="s">
        <v>116</v>
      </c>
      <c r="J8579" t="s">
        <v>103</v>
      </c>
      <c r="K8579" t="s">
        <v>103</v>
      </c>
      <c r="L8579" t="s">
        <v>103</v>
      </c>
      <c r="M8579" t="s">
        <v>120</v>
      </c>
      <c r="N8579" t="s">
        <v>103</v>
      </c>
      <c r="O8579" t="s">
        <v>103</v>
      </c>
      <c r="P8579" t="s">
        <v>103</v>
      </c>
      <c r="Q8579" t="s">
        <v>103</v>
      </c>
      <c r="R8579" t="s">
        <v>103</v>
      </c>
      <c r="S8579" t="s">
        <v>103</v>
      </c>
      <c r="T8579" t="s">
        <v>140</v>
      </c>
      <c r="U8579" t="s">
        <v>103</v>
      </c>
    </row>
    <row r="8580" spans="1:21" x14ac:dyDescent="0.3">
      <c r="A8580" t="s">
        <v>28</v>
      </c>
      <c r="B8580" t="s">
        <v>308</v>
      </c>
      <c r="C8580">
        <v>12</v>
      </c>
      <c r="D8580" t="s">
        <v>192</v>
      </c>
      <c r="E8580" t="s">
        <v>103</v>
      </c>
      <c r="F8580" t="s">
        <v>103</v>
      </c>
      <c r="G8580" t="s">
        <v>103</v>
      </c>
      <c r="H8580" t="s">
        <v>103</v>
      </c>
      <c r="I8580" t="s">
        <v>103</v>
      </c>
      <c r="J8580" t="s">
        <v>103</v>
      </c>
      <c r="K8580" t="s">
        <v>103</v>
      </c>
      <c r="L8580" t="s">
        <v>103</v>
      </c>
      <c r="M8580" t="s">
        <v>103</v>
      </c>
      <c r="N8580" t="s">
        <v>103</v>
      </c>
      <c r="O8580" t="s">
        <v>103</v>
      </c>
      <c r="P8580" t="s">
        <v>103</v>
      </c>
      <c r="Q8580" t="s">
        <v>103</v>
      </c>
      <c r="R8580" t="s">
        <v>103</v>
      </c>
      <c r="S8580" t="s">
        <v>103</v>
      </c>
      <c r="T8580" t="s">
        <v>103</v>
      </c>
      <c r="U8580" t="s">
        <v>103</v>
      </c>
    </row>
    <row r="8581" spans="1:21" x14ac:dyDescent="0.3">
      <c r="A8581" t="s">
        <v>27</v>
      </c>
      <c r="B8581" t="s">
        <v>291</v>
      </c>
      <c r="C8581">
        <v>95</v>
      </c>
      <c r="D8581" t="s">
        <v>1013</v>
      </c>
      <c r="E8581" t="s">
        <v>103</v>
      </c>
      <c r="F8581" t="s">
        <v>103</v>
      </c>
      <c r="G8581" t="s">
        <v>104</v>
      </c>
      <c r="H8581" t="s">
        <v>103</v>
      </c>
      <c r="I8581" t="s">
        <v>103</v>
      </c>
      <c r="J8581" t="s">
        <v>103</v>
      </c>
      <c r="K8581" t="s">
        <v>103</v>
      </c>
      <c r="L8581" t="s">
        <v>98</v>
      </c>
      <c r="M8581" t="s">
        <v>103</v>
      </c>
      <c r="N8581" t="s">
        <v>91</v>
      </c>
      <c r="O8581" t="s">
        <v>103</v>
      </c>
      <c r="P8581" t="s">
        <v>103</v>
      </c>
      <c r="Q8581" t="s">
        <v>103</v>
      </c>
      <c r="R8581" t="s">
        <v>103</v>
      </c>
      <c r="S8581" t="s">
        <v>468</v>
      </c>
      <c r="T8581" t="s">
        <v>918</v>
      </c>
      <c r="U8581" t="s">
        <v>103</v>
      </c>
    </row>
    <row r="8582" spans="1:21" x14ac:dyDescent="0.3">
      <c r="A8582" t="s">
        <v>27</v>
      </c>
      <c r="B8582" t="s">
        <v>292</v>
      </c>
      <c r="C8582">
        <v>198</v>
      </c>
      <c r="D8582" t="s">
        <v>1441</v>
      </c>
      <c r="E8582" t="s">
        <v>103</v>
      </c>
      <c r="F8582" t="s">
        <v>103</v>
      </c>
      <c r="G8582" t="s">
        <v>524</v>
      </c>
      <c r="H8582" t="s">
        <v>103</v>
      </c>
      <c r="I8582" t="s">
        <v>103</v>
      </c>
      <c r="J8582" t="s">
        <v>118</v>
      </c>
      <c r="K8582" t="s">
        <v>103</v>
      </c>
      <c r="L8582" t="s">
        <v>103</v>
      </c>
      <c r="M8582" t="s">
        <v>103</v>
      </c>
      <c r="N8582" t="s">
        <v>97</v>
      </c>
      <c r="O8582" t="s">
        <v>103</v>
      </c>
      <c r="P8582" t="s">
        <v>103</v>
      </c>
      <c r="Q8582" t="s">
        <v>103</v>
      </c>
      <c r="R8582" t="s">
        <v>103</v>
      </c>
      <c r="S8582" t="s">
        <v>97</v>
      </c>
      <c r="T8582" t="s">
        <v>242</v>
      </c>
      <c r="U8582" t="s">
        <v>103</v>
      </c>
    </row>
    <row r="8583" spans="1:21" x14ac:dyDescent="0.3">
      <c r="A8583" t="s">
        <v>27</v>
      </c>
      <c r="B8583" t="s">
        <v>308</v>
      </c>
      <c r="C8583">
        <v>7</v>
      </c>
      <c r="D8583" t="s">
        <v>823</v>
      </c>
      <c r="E8583" t="s">
        <v>103</v>
      </c>
      <c r="F8583" t="s">
        <v>103</v>
      </c>
      <c r="G8583" t="s">
        <v>131</v>
      </c>
      <c r="H8583" t="s">
        <v>103</v>
      </c>
      <c r="I8583" t="s">
        <v>103</v>
      </c>
      <c r="J8583" t="s">
        <v>103</v>
      </c>
      <c r="K8583" t="s">
        <v>103</v>
      </c>
      <c r="L8583" t="s">
        <v>103</v>
      </c>
      <c r="M8583" t="s">
        <v>103</v>
      </c>
      <c r="N8583" t="s">
        <v>103</v>
      </c>
      <c r="O8583" t="s">
        <v>103</v>
      </c>
      <c r="P8583" t="s">
        <v>103</v>
      </c>
      <c r="Q8583" t="s">
        <v>103</v>
      </c>
      <c r="R8583" t="s">
        <v>103</v>
      </c>
      <c r="S8583" t="s">
        <v>103</v>
      </c>
      <c r="T8583" t="s">
        <v>469</v>
      </c>
      <c r="U8583" t="s">
        <v>103</v>
      </c>
    </row>
    <row r="8584" spans="1:21" x14ac:dyDescent="0.3">
      <c r="A8584" t="s">
        <v>41</v>
      </c>
      <c r="B8584" t="s">
        <v>291</v>
      </c>
      <c r="C8584">
        <v>692</v>
      </c>
      <c r="D8584" t="s">
        <v>187</v>
      </c>
      <c r="E8584" t="s">
        <v>122</v>
      </c>
      <c r="F8584" t="s">
        <v>122</v>
      </c>
      <c r="G8584" t="s">
        <v>329</v>
      </c>
      <c r="H8584" t="s">
        <v>116</v>
      </c>
      <c r="I8584" t="s">
        <v>97</v>
      </c>
      <c r="J8584" t="s">
        <v>91</v>
      </c>
      <c r="K8584" t="s">
        <v>116</v>
      </c>
      <c r="L8584" t="s">
        <v>103</v>
      </c>
      <c r="M8584" t="s">
        <v>103</v>
      </c>
      <c r="N8584" t="s">
        <v>97</v>
      </c>
      <c r="O8584" t="s">
        <v>103</v>
      </c>
      <c r="P8584" t="s">
        <v>103</v>
      </c>
      <c r="Q8584" t="s">
        <v>116</v>
      </c>
      <c r="R8584" t="s">
        <v>103</v>
      </c>
      <c r="S8584" t="s">
        <v>103</v>
      </c>
      <c r="T8584" t="s">
        <v>262</v>
      </c>
      <c r="U8584" t="s">
        <v>91</v>
      </c>
    </row>
    <row r="8585" spans="1:21" x14ac:dyDescent="0.3">
      <c r="A8585" t="s">
        <v>41</v>
      </c>
      <c r="B8585" t="s">
        <v>292</v>
      </c>
      <c r="C8585">
        <v>1319</v>
      </c>
      <c r="D8585" t="s">
        <v>739</v>
      </c>
      <c r="E8585" t="s">
        <v>66</v>
      </c>
      <c r="F8585" t="s">
        <v>95</v>
      </c>
      <c r="G8585" t="s">
        <v>208</v>
      </c>
      <c r="H8585" t="s">
        <v>91</v>
      </c>
      <c r="I8585" t="s">
        <v>128</v>
      </c>
      <c r="J8585" t="s">
        <v>194</v>
      </c>
      <c r="K8585" t="s">
        <v>116</v>
      </c>
      <c r="L8585" t="s">
        <v>95</v>
      </c>
      <c r="M8585" t="s">
        <v>91</v>
      </c>
      <c r="N8585" t="s">
        <v>110</v>
      </c>
      <c r="O8585" t="s">
        <v>122</v>
      </c>
      <c r="P8585" t="s">
        <v>120</v>
      </c>
      <c r="Q8585" t="s">
        <v>103</v>
      </c>
      <c r="R8585" t="s">
        <v>103</v>
      </c>
      <c r="S8585" t="s">
        <v>116</v>
      </c>
      <c r="T8585" t="s">
        <v>459</v>
      </c>
      <c r="U8585" t="s">
        <v>103</v>
      </c>
    </row>
    <row r="8586" spans="1:21" x14ac:dyDescent="0.3">
      <c r="A8586" t="s">
        <v>41</v>
      </c>
      <c r="B8586" t="s">
        <v>308</v>
      </c>
      <c r="C8586">
        <v>26</v>
      </c>
      <c r="D8586" t="s">
        <v>611</v>
      </c>
      <c r="E8586" t="s">
        <v>103</v>
      </c>
      <c r="F8586" t="s">
        <v>103</v>
      </c>
      <c r="G8586" t="s">
        <v>266</v>
      </c>
      <c r="H8586" t="s">
        <v>103</v>
      </c>
      <c r="I8586" t="s">
        <v>103</v>
      </c>
      <c r="J8586" t="s">
        <v>103</v>
      </c>
      <c r="K8586" t="s">
        <v>103</v>
      </c>
      <c r="L8586" t="s">
        <v>103</v>
      </c>
      <c r="M8586" t="s">
        <v>103</v>
      </c>
      <c r="N8586" t="s">
        <v>103</v>
      </c>
      <c r="O8586" t="s">
        <v>103</v>
      </c>
      <c r="P8586" t="s">
        <v>103</v>
      </c>
      <c r="Q8586" t="s">
        <v>103</v>
      </c>
      <c r="R8586" t="s">
        <v>103</v>
      </c>
      <c r="S8586" t="s">
        <v>103</v>
      </c>
      <c r="T8586" t="s">
        <v>195</v>
      </c>
      <c r="U8586" t="s">
        <v>103</v>
      </c>
    </row>
    <row r="8588" spans="1:21" x14ac:dyDescent="0.3">
      <c r="A8588" t="s">
        <v>2434</v>
      </c>
    </row>
    <row r="8589" spans="1:21" x14ac:dyDescent="0.3">
      <c r="A8589" t="s">
        <v>36</v>
      </c>
      <c r="B8589" t="s">
        <v>310</v>
      </c>
      <c r="C8589" t="s">
        <v>24</v>
      </c>
      <c r="D8589" t="s">
        <v>1195</v>
      </c>
      <c r="E8589" t="s">
        <v>2419</v>
      </c>
      <c r="F8589" t="s">
        <v>2420</v>
      </c>
      <c r="G8589" t="s">
        <v>2421</v>
      </c>
      <c r="H8589" t="s">
        <v>2422</v>
      </c>
      <c r="I8589" t="s">
        <v>2423</v>
      </c>
      <c r="J8589" t="s">
        <v>2424</v>
      </c>
      <c r="K8589" t="s">
        <v>2425</v>
      </c>
      <c r="L8589" t="s">
        <v>2426</v>
      </c>
      <c r="M8589" t="s">
        <v>2427</v>
      </c>
      <c r="N8589" t="s">
        <v>2428</v>
      </c>
      <c r="O8589" t="s">
        <v>2429</v>
      </c>
      <c r="P8589" t="s">
        <v>2430</v>
      </c>
      <c r="Q8589" t="s">
        <v>2431</v>
      </c>
      <c r="R8589" t="s">
        <v>2432</v>
      </c>
      <c r="S8589" t="s">
        <v>183</v>
      </c>
      <c r="T8589" t="s">
        <v>87</v>
      </c>
      <c r="U8589" t="s">
        <v>181</v>
      </c>
    </row>
    <row r="8590" spans="1:21" x14ac:dyDescent="0.3">
      <c r="A8590" t="s">
        <v>25</v>
      </c>
      <c r="B8590" t="s">
        <v>311</v>
      </c>
      <c r="C8590">
        <v>324</v>
      </c>
      <c r="D8590" t="s">
        <v>862</v>
      </c>
      <c r="E8590" t="s">
        <v>103</v>
      </c>
      <c r="F8590" t="s">
        <v>103</v>
      </c>
      <c r="G8590" t="s">
        <v>216</v>
      </c>
      <c r="H8590" t="s">
        <v>103</v>
      </c>
      <c r="I8590" t="s">
        <v>282</v>
      </c>
      <c r="J8590" t="s">
        <v>194</v>
      </c>
      <c r="K8590" t="s">
        <v>66</v>
      </c>
      <c r="L8590" t="s">
        <v>98</v>
      </c>
      <c r="M8590" t="s">
        <v>116</v>
      </c>
      <c r="N8590" t="s">
        <v>139</v>
      </c>
      <c r="O8590" t="s">
        <v>103</v>
      </c>
      <c r="P8590" t="s">
        <v>103</v>
      </c>
      <c r="Q8590" t="s">
        <v>103</v>
      </c>
      <c r="R8590" t="s">
        <v>103</v>
      </c>
      <c r="S8590" t="s">
        <v>103</v>
      </c>
      <c r="T8590" t="s">
        <v>282</v>
      </c>
      <c r="U8590" t="s">
        <v>103</v>
      </c>
    </row>
    <row r="8591" spans="1:21" x14ac:dyDescent="0.3">
      <c r="A8591" t="s">
        <v>25</v>
      </c>
      <c r="B8591" t="s">
        <v>312</v>
      </c>
      <c r="C8591">
        <v>80</v>
      </c>
      <c r="D8591" t="s">
        <v>69</v>
      </c>
      <c r="E8591" t="s">
        <v>103</v>
      </c>
      <c r="F8591" t="s">
        <v>103</v>
      </c>
      <c r="G8591" t="s">
        <v>103</v>
      </c>
      <c r="H8591" t="s">
        <v>103</v>
      </c>
      <c r="I8591" t="s">
        <v>103</v>
      </c>
      <c r="J8591" t="s">
        <v>103</v>
      </c>
      <c r="K8591" t="s">
        <v>103</v>
      </c>
      <c r="L8591" t="s">
        <v>103</v>
      </c>
      <c r="M8591" t="s">
        <v>103</v>
      </c>
      <c r="N8591" t="s">
        <v>103</v>
      </c>
      <c r="O8591" t="s">
        <v>103</v>
      </c>
      <c r="P8591" t="s">
        <v>103</v>
      </c>
      <c r="Q8591" t="s">
        <v>103</v>
      </c>
      <c r="R8591" t="s">
        <v>103</v>
      </c>
      <c r="S8591" t="s">
        <v>103</v>
      </c>
      <c r="T8591" t="s">
        <v>68</v>
      </c>
      <c r="U8591" t="s">
        <v>103</v>
      </c>
    </row>
    <row r="8592" spans="1:21" x14ac:dyDescent="0.3">
      <c r="A8592" t="s">
        <v>25</v>
      </c>
      <c r="B8592" t="s">
        <v>308</v>
      </c>
      <c r="C8592">
        <v>10</v>
      </c>
      <c r="D8592" t="s">
        <v>192</v>
      </c>
      <c r="E8592" t="s">
        <v>103</v>
      </c>
      <c r="F8592" t="s">
        <v>103</v>
      </c>
      <c r="G8592" t="s">
        <v>103</v>
      </c>
      <c r="H8592" t="s">
        <v>103</v>
      </c>
      <c r="I8592" t="s">
        <v>103</v>
      </c>
      <c r="J8592" t="s">
        <v>103</v>
      </c>
      <c r="K8592" t="s">
        <v>103</v>
      </c>
      <c r="L8592" t="s">
        <v>103</v>
      </c>
      <c r="M8592" t="s">
        <v>103</v>
      </c>
      <c r="N8592" t="s">
        <v>103</v>
      </c>
      <c r="O8592" t="s">
        <v>103</v>
      </c>
      <c r="P8592" t="s">
        <v>103</v>
      </c>
      <c r="Q8592" t="s">
        <v>103</v>
      </c>
      <c r="R8592" t="s">
        <v>103</v>
      </c>
      <c r="S8592" t="s">
        <v>103</v>
      </c>
      <c r="T8592" t="s">
        <v>103</v>
      </c>
      <c r="U8592" t="s">
        <v>103</v>
      </c>
    </row>
    <row r="8593" spans="1:21" x14ac:dyDescent="0.3">
      <c r="A8593" t="s">
        <v>26</v>
      </c>
      <c r="B8593" t="s">
        <v>311</v>
      </c>
      <c r="C8593">
        <v>342</v>
      </c>
      <c r="D8593" t="s">
        <v>712</v>
      </c>
      <c r="E8593" t="s">
        <v>103</v>
      </c>
      <c r="F8593" t="s">
        <v>103</v>
      </c>
      <c r="G8593" t="s">
        <v>257</v>
      </c>
      <c r="H8593" t="s">
        <v>103</v>
      </c>
      <c r="I8593" t="s">
        <v>102</v>
      </c>
      <c r="J8593" t="s">
        <v>120</v>
      </c>
      <c r="K8593" t="s">
        <v>122</v>
      </c>
      <c r="L8593" t="s">
        <v>120</v>
      </c>
      <c r="M8593" t="s">
        <v>103</v>
      </c>
      <c r="N8593" t="s">
        <v>103</v>
      </c>
      <c r="O8593" t="s">
        <v>194</v>
      </c>
      <c r="P8593" t="s">
        <v>216</v>
      </c>
      <c r="Q8593" t="s">
        <v>103</v>
      </c>
      <c r="R8593" t="s">
        <v>103</v>
      </c>
      <c r="S8593" t="s">
        <v>103</v>
      </c>
      <c r="T8593" t="s">
        <v>113</v>
      </c>
      <c r="U8593" t="s">
        <v>66</v>
      </c>
    </row>
    <row r="8594" spans="1:21" x14ac:dyDescent="0.3">
      <c r="A8594" t="s">
        <v>26</v>
      </c>
      <c r="B8594" t="s">
        <v>312</v>
      </c>
      <c r="C8594">
        <v>96</v>
      </c>
      <c r="D8594" t="s">
        <v>1141</v>
      </c>
      <c r="E8594" t="s">
        <v>103</v>
      </c>
      <c r="F8594" t="s">
        <v>345</v>
      </c>
      <c r="G8594" t="s">
        <v>239</v>
      </c>
      <c r="H8594" t="s">
        <v>103</v>
      </c>
      <c r="I8594" t="s">
        <v>214</v>
      </c>
      <c r="J8594" t="s">
        <v>103</v>
      </c>
      <c r="K8594" t="s">
        <v>103</v>
      </c>
      <c r="L8594" t="s">
        <v>98</v>
      </c>
      <c r="M8594" t="s">
        <v>103</v>
      </c>
      <c r="N8594" t="s">
        <v>103</v>
      </c>
      <c r="O8594" t="s">
        <v>103</v>
      </c>
      <c r="P8594" t="s">
        <v>98</v>
      </c>
      <c r="Q8594" t="s">
        <v>103</v>
      </c>
      <c r="R8594" t="s">
        <v>103</v>
      </c>
      <c r="S8594" t="s">
        <v>103</v>
      </c>
      <c r="T8594" t="s">
        <v>137</v>
      </c>
      <c r="U8594" t="s">
        <v>103</v>
      </c>
    </row>
    <row r="8595" spans="1:21" x14ac:dyDescent="0.3">
      <c r="A8595" t="s">
        <v>26</v>
      </c>
      <c r="B8595" t="s">
        <v>308</v>
      </c>
      <c r="C8595">
        <v>38</v>
      </c>
      <c r="D8595" t="s">
        <v>168</v>
      </c>
      <c r="E8595" t="s">
        <v>103</v>
      </c>
      <c r="F8595" t="s">
        <v>103</v>
      </c>
      <c r="G8595" t="s">
        <v>257</v>
      </c>
      <c r="H8595" t="s">
        <v>257</v>
      </c>
      <c r="I8595" t="s">
        <v>257</v>
      </c>
      <c r="J8595" t="s">
        <v>103</v>
      </c>
      <c r="K8595" t="s">
        <v>103</v>
      </c>
      <c r="L8595" t="s">
        <v>64</v>
      </c>
      <c r="M8595" t="s">
        <v>103</v>
      </c>
      <c r="N8595" t="s">
        <v>103</v>
      </c>
      <c r="O8595" t="s">
        <v>257</v>
      </c>
      <c r="P8595" t="s">
        <v>257</v>
      </c>
      <c r="Q8595" t="s">
        <v>103</v>
      </c>
      <c r="R8595" t="s">
        <v>103</v>
      </c>
      <c r="S8595" t="s">
        <v>103</v>
      </c>
      <c r="T8595" t="s">
        <v>126</v>
      </c>
      <c r="U8595" t="s">
        <v>103</v>
      </c>
    </row>
    <row r="8596" spans="1:21" x14ac:dyDescent="0.3">
      <c r="A8596" t="s">
        <v>29</v>
      </c>
      <c r="B8596" t="s">
        <v>311</v>
      </c>
      <c r="C8596">
        <v>414</v>
      </c>
      <c r="D8596" t="s">
        <v>603</v>
      </c>
      <c r="E8596" t="s">
        <v>97</v>
      </c>
      <c r="F8596" t="s">
        <v>98</v>
      </c>
      <c r="G8596" t="s">
        <v>98</v>
      </c>
      <c r="H8596" t="s">
        <v>66</v>
      </c>
      <c r="I8596" t="s">
        <v>282</v>
      </c>
      <c r="J8596" t="s">
        <v>345</v>
      </c>
      <c r="K8596" t="s">
        <v>97</v>
      </c>
      <c r="L8596" t="s">
        <v>116</v>
      </c>
      <c r="M8596" t="s">
        <v>103</v>
      </c>
      <c r="N8596" t="s">
        <v>118</v>
      </c>
      <c r="O8596" t="s">
        <v>103</v>
      </c>
      <c r="P8596" t="s">
        <v>103</v>
      </c>
      <c r="Q8596" t="s">
        <v>66</v>
      </c>
      <c r="R8596" t="s">
        <v>103</v>
      </c>
      <c r="S8596" t="s">
        <v>122</v>
      </c>
      <c r="T8596" t="s">
        <v>524</v>
      </c>
      <c r="U8596" t="s">
        <v>103</v>
      </c>
    </row>
    <row r="8597" spans="1:21" x14ac:dyDescent="0.3">
      <c r="A8597" t="s">
        <v>29</v>
      </c>
      <c r="B8597" t="s">
        <v>312</v>
      </c>
      <c r="C8597">
        <v>103</v>
      </c>
      <c r="D8597" t="s">
        <v>1675</v>
      </c>
      <c r="E8597" t="s">
        <v>282</v>
      </c>
      <c r="F8597" t="s">
        <v>208</v>
      </c>
      <c r="G8597" t="s">
        <v>103</v>
      </c>
      <c r="H8597" t="s">
        <v>103</v>
      </c>
      <c r="I8597" t="s">
        <v>118</v>
      </c>
      <c r="J8597" t="s">
        <v>120</v>
      </c>
      <c r="K8597" t="s">
        <v>103</v>
      </c>
      <c r="L8597" t="s">
        <v>103</v>
      </c>
      <c r="M8597" t="s">
        <v>103</v>
      </c>
      <c r="N8597" t="s">
        <v>282</v>
      </c>
      <c r="O8597" t="s">
        <v>103</v>
      </c>
      <c r="P8597" t="s">
        <v>103</v>
      </c>
      <c r="Q8597" t="s">
        <v>103</v>
      </c>
      <c r="R8597" t="s">
        <v>103</v>
      </c>
      <c r="S8597" t="s">
        <v>103</v>
      </c>
      <c r="T8597" t="s">
        <v>829</v>
      </c>
      <c r="U8597" t="s">
        <v>103</v>
      </c>
    </row>
    <row r="8598" spans="1:21" x14ac:dyDescent="0.3">
      <c r="A8598" t="s">
        <v>29</v>
      </c>
      <c r="B8598" t="s">
        <v>308</v>
      </c>
      <c r="C8598">
        <v>13</v>
      </c>
      <c r="D8598" t="s">
        <v>1324</v>
      </c>
      <c r="E8598" t="s">
        <v>103</v>
      </c>
      <c r="F8598" t="s">
        <v>103</v>
      </c>
      <c r="G8598" t="s">
        <v>103</v>
      </c>
      <c r="H8598" t="s">
        <v>103</v>
      </c>
      <c r="I8598" t="s">
        <v>103</v>
      </c>
      <c r="J8598" t="s">
        <v>103</v>
      </c>
      <c r="K8598" t="s">
        <v>103</v>
      </c>
      <c r="L8598" t="s">
        <v>103</v>
      </c>
      <c r="M8598" t="s">
        <v>103</v>
      </c>
      <c r="N8598" t="s">
        <v>103</v>
      </c>
      <c r="O8598" t="s">
        <v>103</v>
      </c>
      <c r="P8598" t="s">
        <v>103</v>
      </c>
      <c r="Q8598" t="s">
        <v>103</v>
      </c>
      <c r="R8598" t="s">
        <v>103</v>
      </c>
      <c r="S8598" t="s">
        <v>103</v>
      </c>
      <c r="T8598" t="s">
        <v>522</v>
      </c>
      <c r="U8598" t="s">
        <v>103</v>
      </c>
    </row>
    <row r="8599" spans="1:21" x14ac:dyDescent="0.3">
      <c r="A8599" t="s">
        <v>28</v>
      </c>
      <c r="B8599" t="s">
        <v>311</v>
      </c>
      <c r="C8599">
        <v>223</v>
      </c>
      <c r="D8599" t="s">
        <v>902</v>
      </c>
      <c r="E8599" t="s">
        <v>116</v>
      </c>
      <c r="F8599" t="s">
        <v>103</v>
      </c>
      <c r="G8599" t="s">
        <v>278</v>
      </c>
      <c r="H8599" t="s">
        <v>103</v>
      </c>
      <c r="I8599" t="s">
        <v>116</v>
      </c>
      <c r="J8599" t="s">
        <v>103</v>
      </c>
      <c r="K8599" t="s">
        <v>103</v>
      </c>
      <c r="L8599" t="s">
        <v>103</v>
      </c>
      <c r="M8599" t="s">
        <v>97</v>
      </c>
      <c r="N8599" t="s">
        <v>103</v>
      </c>
      <c r="O8599" t="s">
        <v>103</v>
      </c>
      <c r="P8599" t="s">
        <v>103</v>
      </c>
      <c r="Q8599" t="s">
        <v>103</v>
      </c>
      <c r="R8599" t="s">
        <v>103</v>
      </c>
      <c r="S8599" t="s">
        <v>103</v>
      </c>
      <c r="T8599" t="s">
        <v>693</v>
      </c>
      <c r="U8599" t="s">
        <v>103</v>
      </c>
    </row>
    <row r="8600" spans="1:21" x14ac:dyDescent="0.3">
      <c r="A8600" t="s">
        <v>28</v>
      </c>
      <c r="B8600" t="s">
        <v>312</v>
      </c>
      <c r="C8600">
        <v>93</v>
      </c>
      <c r="D8600" t="s">
        <v>143</v>
      </c>
      <c r="E8600" t="s">
        <v>103</v>
      </c>
      <c r="F8600" t="s">
        <v>345</v>
      </c>
      <c r="G8600" t="s">
        <v>254</v>
      </c>
      <c r="H8600" t="s">
        <v>103</v>
      </c>
      <c r="I8600" t="s">
        <v>194</v>
      </c>
      <c r="J8600" t="s">
        <v>194</v>
      </c>
      <c r="K8600" t="s">
        <v>103</v>
      </c>
      <c r="L8600" t="s">
        <v>103</v>
      </c>
      <c r="M8600" t="s">
        <v>103</v>
      </c>
      <c r="N8600" t="s">
        <v>103</v>
      </c>
      <c r="O8600" t="s">
        <v>103</v>
      </c>
      <c r="P8600" t="s">
        <v>282</v>
      </c>
      <c r="Q8600" t="s">
        <v>103</v>
      </c>
      <c r="R8600" t="s">
        <v>103</v>
      </c>
      <c r="S8600" t="s">
        <v>103</v>
      </c>
      <c r="T8600" t="s">
        <v>558</v>
      </c>
      <c r="U8600" t="s">
        <v>103</v>
      </c>
    </row>
    <row r="8601" spans="1:21" x14ac:dyDescent="0.3">
      <c r="A8601" t="s">
        <v>28</v>
      </c>
      <c r="B8601" t="s">
        <v>308</v>
      </c>
      <c r="C8601">
        <v>1</v>
      </c>
      <c r="D8601" t="s">
        <v>192</v>
      </c>
      <c r="E8601" t="s">
        <v>103</v>
      </c>
      <c r="F8601" t="s">
        <v>103</v>
      </c>
      <c r="G8601" t="s">
        <v>103</v>
      </c>
      <c r="H8601" t="s">
        <v>103</v>
      </c>
      <c r="I8601" t="s">
        <v>103</v>
      </c>
      <c r="J8601" t="s">
        <v>103</v>
      </c>
      <c r="K8601" t="s">
        <v>103</v>
      </c>
      <c r="L8601" t="s">
        <v>103</v>
      </c>
      <c r="M8601" t="s">
        <v>103</v>
      </c>
      <c r="N8601" t="s">
        <v>103</v>
      </c>
      <c r="O8601" t="s">
        <v>103</v>
      </c>
      <c r="P8601" t="s">
        <v>103</v>
      </c>
      <c r="Q8601" t="s">
        <v>103</v>
      </c>
      <c r="R8601" t="s">
        <v>103</v>
      </c>
      <c r="S8601" t="s">
        <v>103</v>
      </c>
      <c r="T8601" t="s">
        <v>103</v>
      </c>
      <c r="U8601" t="s">
        <v>103</v>
      </c>
    </row>
    <row r="8602" spans="1:21" x14ac:dyDescent="0.3">
      <c r="A8602" t="s">
        <v>27</v>
      </c>
      <c r="B8602" t="s">
        <v>311</v>
      </c>
      <c r="C8602">
        <v>237</v>
      </c>
      <c r="D8602" t="s">
        <v>1035</v>
      </c>
      <c r="E8602" t="s">
        <v>103</v>
      </c>
      <c r="F8602" t="s">
        <v>103</v>
      </c>
      <c r="G8602" t="s">
        <v>469</v>
      </c>
      <c r="H8602" t="s">
        <v>103</v>
      </c>
      <c r="I8602" t="s">
        <v>103</v>
      </c>
      <c r="J8602" t="s">
        <v>329</v>
      </c>
      <c r="K8602" t="s">
        <v>103</v>
      </c>
      <c r="L8602" t="s">
        <v>116</v>
      </c>
      <c r="M8602" t="s">
        <v>103</v>
      </c>
      <c r="N8602" t="s">
        <v>97</v>
      </c>
      <c r="O8602" t="s">
        <v>103</v>
      </c>
      <c r="P8602" t="s">
        <v>103</v>
      </c>
      <c r="Q8602" t="s">
        <v>103</v>
      </c>
      <c r="R8602" t="s">
        <v>103</v>
      </c>
      <c r="S8602" t="s">
        <v>139</v>
      </c>
      <c r="T8602" t="s">
        <v>601</v>
      </c>
      <c r="U8602" t="s">
        <v>103</v>
      </c>
    </row>
    <row r="8603" spans="1:21" x14ac:dyDescent="0.3">
      <c r="A8603" t="s">
        <v>27</v>
      </c>
      <c r="B8603" t="s">
        <v>312</v>
      </c>
      <c r="C8603">
        <v>60</v>
      </c>
      <c r="D8603" t="s">
        <v>276</v>
      </c>
      <c r="E8603" t="s">
        <v>103</v>
      </c>
      <c r="F8603" t="s">
        <v>103</v>
      </c>
      <c r="G8603" t="s">
        <v>591</v>
      </c>
      <c r="H8603" t="s">
        <v>103</v>
      </c>
      <c r="I8603" t="s">
        <v>103</v>
      </c>
      <c r="J8603" t="s">
        <v>103</v>
      </c>
      <c r="K8603" t="s">
        <v>103</v>
      </c>
      <c r="L8603" t="s">
        <v>103</v>
      </c>
      <c r="M8603" t="s">
        <v>103</v>
      </c>
      <c r="N8603" t="s">
        <v>103</v>
      </c>
      <c r="O8603" t="s">
        <v>103</v>
      </c>
      <c r="P8603" t="s">
        <v>103</v>
      </c>
      <c r="Q8603" t="s">
        <v>103</v>
      </c>
      <c r="R8603" t="s">
        <v>103</v>
      </c>
      <c r="S8603" t="s">
        <v>103</v>
      </c>
      <c r="T8603" t="s">
        <v>544</v>
      </c>
      <c r="U8603" t="s">
        <v>103</v>
      </c>
    </row>
    <row r="8604" spans="1:21" x14ac:dyDescent="0.3">
      <c r="A8604" t="s">
        <v>27</v>
      </c>
      <c r="B8604" t="s">
        <v>308</v>
      </c>
      <c r="C8604">
        <v>3</v>
      </c>
      <c r="D8604" t="s">
        <v>192</v>
      </c>
      <c r="E8604" t="s">
        <v>103</v>
      </c>
      <c r="F8604" t="s">
        <v>103</v>
      </c>
      <c r="G8604" t="s">
        <v>103</v>
      </c>
      <c r="H8604" t="s">
        <v>103</v>
      </c>
      <c r="I8604" t="s">
        <v>103</v>
      </c>
      <c r="J8604" t="s">
        <v>103</v>
      </c>
      <c r="K8604" t="s">
        <v>103</v>
      </c>
      <c r="L8604" t="s">
        <v>103</v>
      </c>
      <c r="M8604" t="s">
        <v>103</v>
      </c>
      <c r="N8604" t="s">
        <v>103</v>
      </c>
      <c r="O8604" t="s">
        <v>103</v>
      </c>
      <c r="P8604" t="s">
        <v>103</v>
      </c>
      <c r="Q8604" t="s">
        <v>103</v>
      </c>
      <c r="R8604" t="s">
        <v>103</v>
      </c>
      <c r="S8604" t="s">
        <v>103</v>
      </c>
      <c r="T8604" t="s">
        <v>103</v>
      </c>
      <c r="U8604" t="s">
        <v>103</v>
      </c>
    </row>
    <row r="8605" spans="1:21" x14ac:dyDescent="0.3">
      <c r="A8605" t="s">
        <v>41</v>
      </c>
      <c r="B8605" t="s">
        <v>311</v>
      </c>
      <c r="C8605">
        <v>1540</v>
      </c>
      <c r="D8605" t="s">
        <v>1308</v>
      </c>
      <c r="E8605" t="s">
        <v>116</v>
      </c>
      <c r="F8605" t="s">
        <v>122</v>
      </c>
      <c r="G8605" t="s">
        <v>128</v>
      </c>
      <c r="H8605" t="s">
        <v>91</v>
      </c>
      <c r="I8605" t="s">
        <v>239</v>
      </c>
      <c r="J8605" t="s">
        <v>282</v>
      </c>
      <c r="K8605" t="s">
        <v>122</v>
      </c>
      <c r="L8605" t="s">
        <v>97</v>
      </c>
      <c r="M8605" t="s">
        <v>91</v>
      </c>
      <c r="N8605" t="s">
        <v>194</v>
      </c>
      <c r="O8605" t="s">
        <v>116</v>
      </c>
      <c r="P8605" t="s">
        <v>122</v>
      </c>
      <c r="Q8605" t="s">
        <v>91</v>
      </c>
      <c r="R8605" t="s">
        <v>103</v>
      </c>
      <c r="S8605" t="s">
        <v>66</v>
      </c>
      <c r="T8605" t="s">
        <v>601</v>
      </c>
      <c r="U8605" t="s">
        <v>91</v>
      </c>
    </row>
    <row r="8606" spans="1:21" x14ac:dyDescent="0.3">
      <c r="A8606" t="s">
        <v>41</v>
      </c>
      <c r="B8606" t="s">
        <v>312</v>
      </c>
      <c r="C8606">
        <v>432</v>
      </c>
      <c r="D8606" t="s">
        <v>720</v>
      </c>
      <c r="E8606" t="s">
        <v>97</v>
      </c>
      <c r="F8606" t="s">
        <v>194</v>
      </c>
      <c r="G8606" t="s">
        <v>345</v>
      </c>
      <c r="H8606" t="s">
        <v>103</v>
      </c>
      <c r="I8606" t="s">
        <v>128</v>
      </c>
      <c r="J8606" t="s">
        <v>122</v>
      </c>
      <c r="K8606" t="s">
        <v>103</v>
      </c>
      <c r="L8606" t="s">
        <v>66</v>
      </c>
      <c r="M8606" t="s">
        <v>103</v>
      </c>
      <c r="N8606" t="s">
        <v>97</v>
      </c>
      <c r="O8606" t="s">
        <v>103</v>
      </c>
      <c r="P8606" t="s">
        <v>116</v>
      </c>
      <c r="Q8606" t="s">
        <v>103</v>
      </c>
      <c r="R8606" t="s">
        <v>103</v>
      </c>
      <c r="S8606" t="s">
        <v>103</v>
      </c>
      <c r="T8606" t="s">
        <v>463</v>
      </c>
      <c r="U8606" t="s">
        <v>103</v>
      </c>
    </row>
    <row r="8607" spans="1:21" x14ac:dyDescent="0.3">
      <c r="A8607" t="s">
        <v>41</v>
      </c>
      <c r="B8607" t="s">
        <v>308</v>
      </c>
      <c r="C8607">
        <v>65</v>
      </c>
      <c r="D8607" t="s">
        <v>1357</v>
      </c>
      <c r="E8607" t="s">
        <v>103</v>
      </c>
      <c r="F8607" t="s">
        <v>103</v>
      </c>
      <c r="G8607" t="s">
        <v>110</v>
      </c>
      <c r="H8607" t="s">
        <v>110</v>
      </c>
      <c r="I8607" t="s">
        <v>110</v>
      </c>
      <c r="J8607" t="s">
        <v>103</v>
      </c>
      <c r="K8607" t="s">
        <v>103</v>
      </c>
      <c r="L8607" t="s">
        <v>216</v>
      </c>
      <c r="M8607" t="s">
        <v>103</v>
      </c>
      <c r="N8607" t="s">
        <v>103</v>
      </c>
      <c r="O8607" t="s">
        <v>110</v>
      </c>
      <c r="P8607" t="s">
        <v>110</v>
      </c>
      <c r="Q8607" t="s">
        <v>103</v>
      </c>
      <c r="R8607" t="s">
        <v>103</v>
      </c>
      <c r="S8607" t="s">
        <v>103</v>
      </c>
      <c r="T8607" t="s">
        <v>890</v>
      </c>
      <c r="U8607" t="s">
        <v>103</v>
      </c>
    </row>
    <row r="8609" spans="1:21" x14ac:dyDescent="0.3">
      <c r="A8609" t="s">
        <v>2435</v>
      </c>
    </row>
    <row r="8610" spans="1:21" x14ac:dyDescent="0.3">
      <c r="A8610" t="s">
        <v>36</v>
      </c>
      <c r="B8610" t="s">
        <v>197</v>
      </c>
      <c r="C8610" t="s">
        <v>24</v>
      </c>
      <c r="D8610" t="s">
        <v>1195</v>
      </c>
      <c r="E8610" t="s">
        <v>2419</v>
      </c>
      <c r="F8610" t="s">
        <v>2420</v>
      </c>
      <c r="G8610" t="s">
        <v>2421</v>
      </c>
      <c r="H8610" t="s">
        <v>2422</v>
      </c>
      <c r="I8610" t="s">
        <v>2423</v>
      </c>
      <c r="J8610" t="s">
        <v>2424</v>
      </c>
      <c r="K8610" t="s">
        <v>2425</v>
      </c>
      <c r="L8610" t="s">
        <v>2426</v>
      </c>
      <c r="M8610" t="s">
        <v>2427</v>
      </c>
      <c r="N8610" t="s">
        <v>2428</v>
      </c>
      <c r="O8610" t="s">
        <v>2429</v>
      </c>
      <c r="P8610" t="s">
        <v>2430</v>
      </c>
      <c r="Q8610" t="s">
        <v>2431</v>
      </c>
      <c r="R8610" t="s">
        <v>2432</v>
      </c>
      <c r="S8610" t="s">
        <v>183</v>
      </c>
      <c r="T8610" t="s">
        <v>87</v>
      </c>
      <c r="U8610" t="s">
        <v>181</v>
      </c>
    </row>
    <row r="8611" spans="1:21" x14ac:dyDescent="0.3">
      <c r="A8611" t="s">
        <v>25</v>
      </c>
      <c r="B8611" t="s">
        <v>198</v>
      </c>
      <c r="C8611">
        <v>104</v>
      </c>
      <c r="D8611" t="s">
        <v>185</v>
      </c>
      <c r="E8611" t="s">
        <v>103</v>
      </c>
      <c r="F8611" t="s">
        <v>103</v>
      </c>
      <c r="G8611" t="s">
        <v>128</v>
      </c>
      <c r="H8611" t="s">
        <v>103</v>
      </c>
      <c r="I8611" t="s">
        <v>103</v>
      </c>
      <c r="J8611" t="s">
        <v>105</v>
      </c>
      <c r="K8611" t="s">
        <v>103</v>
      </c>
      <c r="L8611" t="s">
        <v>105</v>
      </c>
      <c r="M8611" t="s">
        <v>103</v>
      </c>
      <c r="N8611" t="s">
        <v>103</v>
      </c>
      <c r="O8611" t="s">
        <v>103</v>
      </c>
      <c r="P8611" t="s">
        <v>103</v>
      </c>
      <c r="Q8611" t="s">
        <v>103</v>
      </c>
      <c r="R8611" t="s">
        <v>103</v>
      </c>
      <c r="S8611" t="s">
        <v>103</v>
      </c>
      <c r="T8611" t="s">
        <v>103</v>
      </c>
      <c r="U8611" t="s">
        <v>103</v>
      </c>
    </row>
    <row r="8612" spans="1:21" x14ac:dyDescent="0.3">
      <c r="A8612" t="s">
        <v>25</v>
      </c>
      <c r="B8612" t="s">
        <v>199</v>
      </c>
      <c r="C8612">
        <v>310</v>
      </c>
      <c r="D8612" t="s">
        <v>752</v>
      </c>
      <c r="E8612" t="s">
        <v>103</v>
      </c>
      <c r="F8612" t="s">
        <v>103</v>
      </c>
      <c r="G8612" t="s">
        <v>282</v>
      </c>
      <c r="H8612" t="s">
        <v>103</v>
      </c>
      <c r="I8612" t="s">
        <v>282</v>
      </c>
      <c r="J8612" t="s">
        <v>139</v>
      </c>
      <c r="K8612" t="s">
        <v>66</v>
      </c>
      <c r="L8612" t="s">
        <v>122</v>
      </c>
      <c r="M8612" t="s">
        <v>116</v>
      </c>
      <c r="N8612" t="s">
        <v>139</v>
      </c>
      <c r="O8612" t="s">
        <v>103</v>
      </c>
      <c r="P8612" t="s">
        <v>103</v>
      </c>
      <c r="Q8612" t="s">
        <v>103</v>
      </c>
      <c r="R8612" t="s">
        <v>103</v>
      </c>
      <c r="S8612" t="s">
        <v>103</v>
      </c>
      <c r="T8612" t="s">
        <v>245</v>
      </c>
      <c r="U8612" t="s">
        <v>103</v>
      </c>
    </row>
    <row r="8613" spans="1:21" x14ac:dyDescent="0.3">
      <c r="A8613" t="s">
        <v>26</v>
      </c>
      <c r="B8613" t="s">
        <v>198</v>
      </c>
      <c r="C8613">
        <v>41</v>
      </c>
      <c r="D8613" t="s">
        <v>864</v>
      </c>
      <c r="E8613" t="s">
        <v>103</v>
      </c>
      <c r="F8613" t="s">
        <v>103</v>
      </c>
      <c r="G8613" t="s">
        <v>103</v>
      </c>
      <c r="H8613" t="s">
        <v>103</v>
      </c>
      <c r="I8613" t="s">
        <v>103</v>
      </c>
      <c r="J8613" t="s">
        <v>103</v>
      </c>
      <c r="K8613" t="s">
        <v>103</v>
      </c>
      <c r="L8613" t="s">
        <v>103</v>
      </c>
      <c r="M8613" t="s">
        <v>103</v>
      </c>
      <c r="N8613" t="s">
        <v>103</v>
      </c>
      <c r="O8613" t="s">
        <v>103</v>
      </c>
      <c r="P8613" t="s">
        <v>103</v>
      </c>
      <c r="Q8613" t="s">
        <v>103</v>
      </c>
      <c r="R8613" t="s">
        <v>103</v>
      </c>
      <c r="S8613" t="s">
        <v>103</v>
      </c>
      <c r="T8613" t="s">
        <v>232</v>
      </c>
      <c r="U8613" t="s">
        <v>103</v>
      </c>
    </row>
    <row r="8614" spans="1:21" x14ac:dyDescent="0.3">
      <c r="A8614" t="s">
        <v>26</v>
      </c>
      <c r="B8614" t="s">
        <v>199</v>
      </c>
      <c r="C8614">
        <v>435</v>
      </c>
      <c r="D8614" t="s">
        <v>172</v>
      </c>
      <c r="E8614" t="s">
        <v>103</v>
      </c>
      <c r="F8614" t="s">
        <v>66</v>
      </c>
      <c r="G8614" t="s">
        <v>118</v>
      </c>
      <c r="H8614" t="s">
        <v>66</v>
      </c>
      <c r="I8614" t="s">
        <v>188</v>
      </c>
      <c r="J8614" t="s">
        <v>122</v>
      </c>
      <c r="K8614" t="s">
        <v>116</v>
      </c>
      <c r="L8614" t="s">
        <v>98</v>
      </c>
      <c r="M8614" t="s">
        <v>103</v>
      </c>
      <c r="N8614" t="s">
        <v>103</v>
      </c>
      <c r="O8614" t="s">
        <v>468</v>
      </c>
      <c r="P8614" t="s">
        <v>245</v>
      </c>
      <c r="Q8614" t="s">
        <v>103</v>
      </c>
      <c r="R8614" t="s">
        <v>103</v>
      </c>
      <c r="S8614" t="s">
        <v>103</v>
      </c>
      <c r="T8614" t="s">
        <v>112</v>
      </c>
      <c r="U8614" t="s">
        <v>66</v>
      </c>
    </row>
    <row r="8615" spans="1:21" x14ac:dyDescent="0.3">
      <c r="A8615" t="s">
        <v>29</v>
      </c>
      <c r="B8615" t="s">
        <v>198</v>
      </c>
      <c r="C8615">
        <v>170</v>
      </c>
      <c r="D8615" t="s">
        <v>1144</v>
      </c>
      <c r="E8615" t="s">
        <v>103</v>
      </c>
      <c r="F8615" t="s">
        <v>98</v>
      </c>
      <c r="G8615" t="s">
        <v>103</v>
      </c>
      <c r="H8615" t="s">
        <v>103</v>
      </c>
      <c r="I8615" t="s">
        <v>282</v>
      </c>
      <c r="J8615" t="s">
        <v>97</v>
      </c>
      <c r="K8615" t="s">
        <v>103</v>
      </c>
      <c r="L8615" t="s">
        <v>103</v>
      </c>
      <c r="M8615" t="s">
        <v>103</v>
      </c>
      <c r="N8615" t="s">
        <v>118</v>
      </c>
      <c r="O8615" t="s">
        <v>103</v>
      </c>
      <c r="P8615" t="s">
        <v>103</v>
      </c>
      <c r="Q8615" t="s">
        <v>103</v>
      </c>
      <c r="R8615" t="s">
        <v>103</v>
      </c>
      <c r="S8615" t="s">
        <v>282</v>
      </c>
      <c r="T8615" t="s">
        <v>271</v>
      </c>
      <c r="U8615" t="s">
        <v>103</v>
      </c>
    </row>
    <row r="8616" spans="1:21" x14ac:dyDescent="0.3">
      <c r="A8616" t="s">
        <v>29</v>
      </c>
      <c r="B8616" t="s">
        <v>199</v>
      </c>
      <c r="C8616">
        <v>360</v>
      </c>
      <c r="D8616" t="s">
        <v>610</v>
      </c>
      <c r="E8616" t="s">
        <v>98</v>
      </c>
      <c r="F8616" t="s">
        <v>468</v>
      </c>
      <c r="G8616" t="s">
        <v>282</v>
      </c>
      <c r="H8616" t="s">
        <v>116</v>
      </c>
      <c r="I8616" t="s">
        <v>110</v>
      </c>
      <c r="J8616" t="s">
        <v>194</v>
      </c>
      <c r="K8616" t="s">
        <v>97</v>
      </c>
      <c r="L8616" t="s">
        <v>116</v>
      </c>
      <c r="M8616" t="s">
        <v>103</v>
      </c>
      <c r="N8616" t="s">
        <v>341</v>
      </c>
      <c r="O8616" t="s">
        <v>103</v>
      </c>
      <c r="P8616" t="s">
        <v>103</v>
      </c>
      <c r="Q8616" t="s">
        <v>116</v>
      </c>
      <c r="R8616" t="s">
        <v>103</v>
      </c>
      <c r="S8616" t="s">
        <v>103</v>
      </c>
      <c r="T8616" t="s">
        <v>470</v>
      </c>
      <c r="U8616" t="s">
        <v>103</v>
      </c>
    </row>
    <row r="8617" spans="1:21" x14ac:dyDescent="0.3">
      <c r="A8617" t="s">
        <v>28</v>
      </c>
      <c r="B8617" t="s">
        <v>198</v>
      </c>
      <c r="C8617">
        <v>70</v>
      </c>
      <c r="D8617" t="s">
        <v>711</v>
      </c>
      <c r="E8617" t="s">
        <v>103</v>
      </c>
      <c r="F8617" t="s">
        <v>103</v>
      </c>
      <c r="G8617" t="s">
        <v>103</v>
      </c>
      <c r="H8617" t="s">
        <v>103</v>
      </c>
      <c r="I8617" t="s">
        <v>103</v>
      </c>
      <c r="J8617" t="s">
        <v>103</v>
      </c>
      <c r="K8617" t="s">
        <v>103</v>
      </c>
      <c r="L8617" t="s">
        <v>103</v>
      </c>
      <c r="M8617" t="s">
        <v>103</v>
      </c>
      <c r="N8617" t="s">
        <v>103</v>
      </c>
      <c r="O8617" t="s">
        <v>103</v>
      </c>
      <c r="P8617" t="s">
        <v>103</v>
      </c>
      <c r="Q8617" t="s">
        <v>103</v>
      </c>
      <c r="R8617" t="s">
        <v>103</v>
      </c>
      <c r="S8617" t="s">
        <v>103</v>
      </c>
      <c r="T8617" t="s">
        <v>570</v>
      </c>
      <c r="U8617" t="s">
        <v>103</v>
      </c>
    </row>
    <row r="8618" spans="1:21" x14ac:dyDescent="0.3">
      <c r="A8618" t="s">
        <v>28</v>
      </c>
      <c r="B8618" t="s">
        <v>199</v>
      </c>
      <c r="C8618">
        <v>247</v>
      </c>
      <c r="D8618" t="s">
        <v>725</v>
      </c>
      <c r="E8618" t="s">
        <v>116</v>
      </c>
      <c r="F8618" t="s">
        <v>122</v>
      </c>
      <c r="G8618" t="s">
        <v>242</v>
      </c>
      <c r="H8618" t="s">
        <v>103</v>
      </c>
      <c r="I8618" t="s">
        <v>95</v>
      </c>
      <c r="J8618" t="s">
        <v>97</v>
      </c>
      <c r="K8618" t="s">
        <v>103</v>
      </c>
      <c r="L8618" t="s">
        <v>103</v>
      </c>
      <c r="M8618" t="s">
        <v>97</v>
      </c>
      <c r="N8618" t="s">
        <v>103</v>
      </c>
      <c r="O8618" t="s">
        <v>103</v>
      </c>
      <c r="P8618" t="s">
        <v>122</v>
      </c>
      <c r="Q8618" t="s">
        <v>103</v>
      </c>
      <c r="R8618" t="s">
        <v>103</v>
      </c>
      <c r="S8618" t="s">
        <v>103</v>
      </c>
      <c r="T8618" t="s">
        <v>232</v>
      </c>
      <c r="U8618" t="s">
        <v>103</v>
      </c>
    </row>
    <row r="8619" spans="1:21" x14ac:dyDescent="0.3">
      <c r="A8619" t="s">
        <v>27</v>
      </c>
      <c r="B8619" t="s">
        <v>198</v>
      </c>
      <c r="C8619">
        <v>136</v>
      </c>
      <c r="D8619" t="s">
        <v>1441</v>
      </c>
      <c r="E8619" t="s">
        <v>103</v>
      </c>
      <c r="F8619" t="s">
        <v>103</v>
      </c>
      <c r="G8619" t="s">
        <v>92</v>
      </c>
      <c r="H8619" t="s">
        <v>103</v>
      </c>
      <c r="I8619" t="s">
        <v>103</v>
      </c>
      <c r="J8619" t="s">
        <v>329</v>
      </c>
      <c r="K8619" t="s">
        <v>103</v>
      </c>
      <c r="L8619" t="s">
        <v>97</v>
      </c>
      <c r="M8619" t="s">
        <v>103</v>
      </c>
      <c r="N8619" t="s">
        <v>103</v>
      </c>
      <c r="O8619" t="s">
        <v>103</v>
      </c>
      <c r="P8619" t="s">
        <v>103</v>
      </c>
      <c r="Q8619" t="s">
        <v>103</v>
      </c>
      <c r="R8619" t="s">
        <v>103</v>
      </c>
      <c r="S8619" t="s">
        <v>103</v>
      </c>
      <c r="T8619" t="s">
        <v>135</v>
      </c>
      <c r="U8619" t="s">
        <v>103</v>
      </c>
    </row>
    <row r="8620" spans="1:21" x14ac:dyDescent="0.3">
      <c r="A8620" t="s">
        <v>27</v>
      </c>
      <c r="B8620" t="s">
        <v>199</v>
      </c>
      <c r="C8620">
        <v>164</v>
      </c>
      <c r="D8620" t="s">
        <v>1281</v>
      </c>
      <c r="E8620" t="s">
        <v>103</v>
      </c>
      <c r="F8620" t="s">
        <v>103</v>
      </c>
      <c r="G8620" t="s">
        <v>167</v>
      </c>
      <c r="H8620" t="s">
        <v>103</v>
      </c>
      <c r="I8620" t="s">
        <v>103</v>
      </c>
      <c r="J8620" t="s">
        <v>194</v>
      </c>
      <c r="K8620" t="s">
        <v>103</v>
      </c>
      <c r="L8620" t="s">
        <v>103</v>
      </c>
      <c r="M8620" t="s">
        <v>103</v>
      </c>
      <c r="N8620" t="s">
        <v>95</v>
      </c>
      <c r="O8620" t="s">
        <v>103</v>
      </c>
      <c r="P8620" t="s">
        <v>103</v>
      </c>
      <c r="Q8620" t="s">
        <v>103</v>
      </c>
      <c r="R8620" t="s">
        <v>103</v>
      </c>
      <c r="S8620" t="s">
        <v>194</v>
      </c>
      <c r="T8620" t="s">
        <v>137</v>
      </c>
      <c r="U8620" t="s">
        <v>103</v>
      </c>
    </row>
    <row r="8621" spans="1:21" x14ac:dyDescent="0.3">
      <c r="A8621" t="s">
        <v>41</v>
      </c>
      <c r="B8621" t="s">
        <v>198</v>
      </c>
      <c r="C8621">
        <v>521</v>
      </c>
      <c r="D8621" t="s">
        <v>1131</v>
      </c>
      <c r="E8621" t="s">
        <v>103</v>
      </c>
      <c r="F8621" t="s">
        <v>120</v>
      </c>
      <c r="G8621" t="s">
        <v>105</v>
      </c>
      <c r="H8621" t="s">
        <v>103</v>
      </c>
      <c r="I8621" t="s">
        <v>120</v>
      </c>
      <c r="J8621" t="s">
        <v>139</v>
      </c>
      <c r="K8621" t="s">
        <v>103</v>
      </c>
      <c r="L8621" t="s">
        <v>122</v>
      </c>
      <c r="M8621" t="s">
        <v>103</v>
      </c>
      <c r="N8621" t="s">
        <v>239</v>
      </c>
      <c r="O8621" t="s">
        <v>103</v>
      </c>
      <c r="P8621" t="s">
        <v>103</v>
      </c>
      <c r="Q8621" t="s">
        <v>103</v>
      </c>
      <c r="R8621" t="s">
        <v>103</v>
      </c>
      <c r="S8621" t="s">
        <v>120</v>
      </c>
      <c r="T8621" t="s">
        <v>135</v>
      </c>
      <c r="U8621" t="s">
        <v>103</v>
      </c>
    </row>
    <row r="8622" spans="1:21" x14ac:dyDescent="0.3">
      <c r="A8622" t="s">
        <v>41</v>
      </c>
      <c r="B8622" t="s">
        <v>199</v>
      </c>
      <c r="C8622">
        <v>1516</v>
      </c>
      <c r="D8622" t="s">
        <v>276</v>
      </c>
      <c r="E8622" t="s">
        <v>122</v>
      </c>
      <c r="F8622" t="s">
        <v>120</v>
      </c>
      <c r="G8622" t="s">
        <v>329</v>
      </c>
      <c r="H8622" t="s">
        <v>66</v>
      </c>
      <c r="I8622" t="s">
        <v>341</v>
      </c>
      <c r="J8622" t="s">
        <v>98</v>
      </c>
      <c r="K8622" t="s">
        <v>122</v>
      </c>
      <c r="L8622" t="s">
        <v>97</v>
      </c>
      <c r="M8622" t="s">
        <v>91</v>
      </c>
      <c r="N8622" t="s">
        <v>282</v>
      </c>
      <c r="O8622" t="s">
        <v>122</v>
      </c>
      <c r="P8622" t="s">
        <v>97</v>
      </c>
      <c r="Q8622" t="s">
        <v>91</v>
      </c>
      <c r="R8622" t="s">
        <v>103</v>
      </c>
      <c r="S8622" t="s">
        <v>103</v>
      </c>
      <c r="T8622" t="s">
        <v>629</v>
      </c>
      <c r="U8622" t="s">
        <v>91</v>
      </c>
    </row>
    <row r="8624" spans="1:21" x14ac:dyDescent="0.3">
      <c r="A8624" t="s">
        <v>2436</v>
      </c>
    </row>
    <row r="8625" spans="1:21" x14ac:dyDescent="0.3">
      <c r="A8625" t="s">
        <v>36</v>
      </c>
      <c r="B8625" t="s">
        <v>1647</v>
      </c>
      <c r="C8625" t="s">
        <v>24</v>
      </c>
      <c r="D8625" t="s">
        <v>1195</v>
      </c>
      <c r="E8625" t="s">
        <v>2419</v>
      </c>
      <c r="F8625" t="s">
        <v>2420</v>
      </c>
      <c r="G8625" t="s">
        <v>2421</v>
      </c>
      <c r="H8625" t="s">
        <v>2422</v>
      </c>
      <c r="I8625" t="s">
        <v>2423</v>
      </c>
      <c r="J8625" t="s">
        <v>2424</v>
      </c>
      <c r="K8625" t="s">
        <v>2425</v>
      </c>
      <c r="L8625" t="s">
        <v>2426</v>
      </c>
      <c r="M8625" t="s">
        <v>2427</v>
      </c>
      <c r="N8625" t="s">
        <v>2428</v>
      </c>
      <c r="O8625" t="s">
        <v>2429</v>
      </c>
      <c r="P8625" t="s">
        <v>2430</v>
      </c>
      <c r="Q8625" t="s">
        <v>2431</v>
      </c>
      <c r="R8625" t="s">
        <v>2432</v>
      </c>
      <c r="S8625" t="s">
        <v>183</v>
      </c>
      <c r="T8625" t="s">
        <v>87</v>
      </c>
      <c r="U8625" t="s">
        <v>181</v>
      </c>
    </row>
    <row r="8626" spans="1:21" x14ac:dyDescent="0.3">
      <c r="A8626" t="s">
        <v>25</v>
      </c>
      <c r="B8626" t="s">
        <v>1648</v>
      </c>
      <c r="C8626">
        <v>143</v>
      </c>
      <c r="D8626" t="s">
        <v>613</v>
      </c>
      <c r="E8626" t="s">
        <v>103</v>
      </c>
      <c r="F8626" t="s">
        <v>103</v>
      </c>
      <c r="G8626" t="s">
        <v>217</v>
      </c>
      <c r="H8626" t="s">
        <v>103</v>
      </c>
      <c r="I8626" t="s">
        <v>128</v>
      </c>
      <c r="J8626" t="s">
        <v>270</v>
      </c>
      <c r="K8626" t="s">
        <v>120</v>
      </c>
      <c r="L8626" t="s">
        <v>208</v>
      </c>
      <c r="M8626" t="s">
        <v>103</v>
      </c>
      <c r="N8626" t="s">
        <v>105</v>
      </c>
      <c r="O8626" t="s">
        <v>103</v>
      </c>
      <c r="P8626" t="s">
        <v>103</v>
      </c>
      <c r="Q8626" t="s">
        <v>103</v>
      </c>
      <c r="R8626" t="s">
        <v>103</v>
      </c>
      <c r="S8626" t="s">
        <v>103</v>
      </c>
      <c r="T8626" t="s">
        <v>93</v>
      </c>
      <c r="U8626" t="s">
        <v>103</v>
      </c>
    </row>
    <row r="8627" spans="1:21" x14ac:dyDescent="0.3">
      <c r="A8627" t="s">
        <v>25</v>
      </c>
      <c r="B8627" t="s">
        <v>1649</v>
      </c>
      <c r="C8627">
        <v>271</v>
      </c>
      <c r="D8627" t="s">
        <v>322</v>
      </c>
      <c r="E8627" t="s">
        <v>103</v>
      </c>
      <c r="F8627" t="s">
        <v>103</v>
      </c>
      <c r="G8627" t="s">
        <v>97</v>
      </c>
      <c r="H8627" t="s">
        <v>103</v>
      </c>
      <c r="I8627" t="s">
        <v>103</v>
      </c>
      <c r="J8627" t="s">
        <v>103</v>
      </c>
      <c r="K8627" t="s">
        <v>103</v>
      </c>
      <c r="L8627" t="s">
        <v>103</v>
      </c>
      <c r="M8627" t="s">
        <v>122</v>
      </c>
      <c r="N8627" t="s">
        <v>103</v>
      </c>
      <c r="O8627" t="s">
        <v>103</v>
      </c>
      <c r="P8627" t="s">
        <v>103</v>
      </c>
      <c r="Q8627" t="s">
        <v>103</v>
      </c>
      <c r="R8627" t="s">
        <v>103</v>
      </c>
      <c r="S8627" t="s">
        <v>103</v>
      </c>
      <c r="T8627" t="s">
        <v>139</v>
      </c>
      <c r="U8627" t="s">
        <v>103</v>
      </c>
    </row>
    <row r="8628" spans="1:21" x14ac:dyDescent="0.3">
      <c r="A8628" t="s">
        <v>26</v>
      </c>
      <c r="B8628" t="s">
        <v>1648</v>
      </c>
      <c r="C8628">
        <v>152</v>
      </c>
      <c r="D8628" t="s">
        <v>600</v>
      </c>
      <c r="E8628" t="s">
        <v>103</v>
      </c>
      <c r="F8628" t="s">
        <v>120</v>
      </c>
      <c r="G8628" t="s">
        <v>68</v>
      </c>
      <c r="H8628" t="s">
        <v>103</v>
      </c>
      <c r="I8628" t="s">
        <v>113</v>
      </c>
      <c r="J8628" t="s">
        <v>120</v>
      </c>
      <c r="K8628" t="s">
        <v>120</v>
      </c>
      <c r="L8628" t="s">
        <v>105</v>
      </c>
      <c r="M8628" t="s">
        <v>103</v>
      </c>
      <c r="N8628" t="s">
        <v>103</v>
      </c>
      <c r="O8628" t="s">
        <v>216</v>
      </c>
      <c r="P8628" t="s">
        <v>329</v>
      </c>
      <c r="Q8628" t="s">
        <v>103</v>
      </c>
      <c r="R8628" t="s">
        <v>103</v>
      </c>
      <c r="S8628" t="s">
        <v>103</v>
      </c>
      <c r="T8628" t="s">
        <v>257</v>
      </c>
      <c r="U8628" t="s">
        <v>97</v>
      </c>
    </row>
    <row r="8629" spans="1:21" x14ac:dyDescent="0.3">
      <c r="A8629" t="s">
        <v>26</v>
      </c>
      <c r="B8629" t="s">
        <v>1649</v>
      </c>
      <c r="C8629">
        <v>324</v>
      </c>
      <c r="D8629" t="s">
        <v>599</v>
      </c>
      <c r="E8629" t="s">
        <v>103</v>
      </c>
      <c r="F8629" t="s">
        <v>103</v>
      </c>
      <c r="G8629" t="s">
        <v>341</v>
      </c>
      <c r="H8629" t="s">
        <v>116</v>
      </c>
      <c r="I8629" t="s">
        <v>272</v>
      </c>
      <c r="J8629" t="s">
        <v>116</v>
      </c>
      <c r="K8629" t="s">
        <v>66</v>
      </c>
      <c r="L8629" t="s">
        <v>116</v>
      </c>
      <c r="M8629" t="s">
        <v>103</v>
      </c>
      <c r="N8629" t="s">
        <v>103</v>
      </c>
      <c r="O8629" t="s">
        <v>98</v>
      </c>
      <c r="P8629" t="s">
        <v>194</v>
      </c>
      <c r="Q8629" t="s">
        <v>103</v>
      </c>
      <c r="R8629" t="s">
        <v>103</v>
      </c>
      <c r="S8629" t="s">
        <v>103</v>
      </c>
      <c r="T8629" t="s">
        <v>60</v>
      </c>
      <c r="U8629" t="s">
        <v>103</v>
      </c>
    </row>
    <row r="8630" spans="1:21" x14ac:dyDescent="0.3">
      <c r="A8630" t="s">
        <v>29</v>
      </c>
      <c r="B8630" t="s">
        <v>1648</v>
      </c>
      <c r="C8630">
        <v>252</v>
      </c>
      <c r="D8630" t="s">
        <v>408</v>
      </c>
      <c r="E8630" t="s">
        <v>66</v>
      </c>
      <c r="F8630" t="s">
        <v>110</v>
      </c>
      <c r="G8630" t="s">
        <v>98</v>
      </c>
      <c r="H8630" t="s">
        <v>122</v>
      </c>
      <c r="I8630" t="s">
        <v>239</v>
      </c>
      <c r="J8630" t="s">
        <v>245</v>
      </c>
      <c r="K8630" t="s">
        <v>122</v>
      </c>
      <c r="L8630" t="s">
        <v>91</v>
      </c>
      <c r="M8630" t="s">
        <v>103</v>
      </c>
      <c r="N8630" t="s">
        <v>102</v>
      </c>
      <c r="O8630" t="s">
        <v>103</v>
      </c>
      <c r="P8630" t="s">
        <v>103</v>
      </c>
      <c r="Q8630" t="s">
        <v>122</v>
      </c>
      <c r="R8630" t="s">
        <v>103</v>
      </c>
      <c r="S8630" t="s">
        <v>116</v>
      </c>
      <c r="T8630" t="s">
        <v>734</v>
      </c>
      <c r="U8630" t="s">
        <v>103</v>
      </c>
    </row>
    <row r="8631" spans="1:21" x14ac:dyDescent="0.3">
      <c r="A8631" t="s">
        <v>29</v>
      </c>
      <c r="B8631" t="s">
        <v>1649</v>
      </c>
      <c r="C8631">
        <v>278</v>
      </c>
      <c r="D8631" t="s">
        <v>709</v>
      </c>
      <c r="E8631" t="s">
        <v>98</v>
      </c>
      <c r="F8631" t="s">
        <v>98</v>
      </c>
      <c r="G8631" t="s">
        <v>97</v>
      </c>
      <c r="H8631" t="s">
        <v>103</v>
      </c>
      <c r="I8631" t="s">
        <v>282</v>
      </c>
      <c r="J8631" t="s">
        <v>122</v>
      </c>
      <c r="K8631" t="s">
        <v>116</v>
      </c>
      <c r="L8631" t="s">
        <v>122</v>
      </c>
      <c r="M8631" t="s">
        <v>103</v>
      </c>
      <c r="N8631" t="s">
        <v>95</v>
      </c>
      <c r="O8631" t="s">
        <v>103</v>
      </c>
      <c r="P8631" t="s">
        <v>103</v>
      </c>
      <c r="Q8631" t="s">
        <v>103</v>
      </c>
      <c r="R8631" t="s">
        <v>103</v>
      </c>
      <c r="S8631" t="s">
        <v>116</v>
      </c>
      <c r="T8631" t="s">
        <v>171</v>
      </c>
      <c r="U8631" t="s">
        <v>103</v>
      </c>
    </row>
    <row r="8632" spans="1:21" x14ac:dyDescent="0.3">
      <c r="A8632" t="s">
        <v>28</v>
      </c>
      <c r="B8632" t="s">
        <v>1648</v>
      </c>
      <c r="C8632">
        <v>77</v>
      </c>
      <c r="D8632" t="s">
        <v>207</v>
      </c>
      <c r="E8632" t="s">
        <v>103</v>
      </c>
      <c r="F8632" t="s">
        <v>194</v>
      </c>
      <c r="G8632" t="s">
        <v>266</v>
      </c>
      <c r="H8632" t="s">
        <v>103</v>
      </c>
      <c r="I8632" t="s">
        <v>98</v>
      </c>
      <c r="J8632" t="s">
        <v>103</v>
      </c>
      <c r="K8632" t="s">
        <v>103</v>
      </c>
      <c r="L8632" t="s">
        <v>103</v>
      </c>
      <c r="M8632" t="s">
        <v>245</v>
      </c>
      <c r="N8632" t="s">
        <v>103</v>
      </c>
      <c r="O8632" t="s">
        <v>103</v>
      </c>
      <c r="P8632" t="s">
        <v>103</v>
      </c>
      <c r="Q8632" t="s">
        <v>103</v>
      </c>
      <c r="R8632" t="s">
        <v>103</v>
      </c>
      <c r="S8632" t="s">
        <v>103</v>
      </c>
      <c r="T8632" t="s">
        <v>216</v>
      </c>
      <c r="U8632" t="s">
        <v>103</v>
      </c>
    </row>
    <row r="8633" spans="1:21" x14ac:dyDescent="0.3">
      <c r="A8633" t="s">
        <v>28</v>
      </c>
      <c r="B8633" t="s">
        <v>1649</v>
      </c>
      <c r="C8633">
        <v>240</v>
      </c>
      <c r="D8633" t="s">
        <v>143</v>
      </c>
      <c r="E8633" t="s">
        <v>116</v>
      </c>
      <c r="F8633" t="s">
        <v>103</v>
      </c>
      <c r="G8633" t="s">
        <v>101</v>
      </c>
      <c r="H8633" t="s">
        <v>103</v>
      </c>
      <c r="I8633" t="s">
        <v>122</v>
      </c>
      <c r="J8633" t="s">
        <v>122</v>
      </c>
      <c r="K8633" t="s">
        <v>103</v>
      </c>
      <c r="L8633" t="s">
        <v>103</v>
      </c>
      <c r="M8633" t="s">
        <v>103</v>
      </c>
      <c r="N8633" t="s">
        <v>103</v>
      </c>
      <c r="O8633" t="s">
        <v>103</v>
      </c>
      <c r="P8633" t="s">
        <v>116</v>
      </c>
      <c r="Q8633" t="s">
        <v>103</v>
      </c>
      <c r="R8633" t="s">
        <v>103</v>
      </c>
      <c r="S8633" t="s">
        <v>103</v>
      </c>
      <c r="T8633" t="s">
        <v>62</v>
      </c>
      <c r="U8633" t="s">
        <v>103</v>
      </c>
    </row>
    <row r="8634" spans="1:21" x14ac:dyDescent="0.3">
      <c r="A8634" t="s">
        <v>27</v>
      </c>
      <c r="B8634" t="s">
        <v>1648</v>
      </c>
      <c r="C8634">
        <v>64</v>
      </c>
      <c r="D8634" t="s">
        <v>1001</v>
      </c>
      <c r="E8634" t="s">
        <v>103</v>
      </c>
      <c r="F8634" t="s">
        <v>103</v>
      </c>
      <c r="G8634" t="s">
        <v>244</v>
      </c>
      <c r="H8634" t="s">
        <v>103</v>
      </c>
      <c r="I8634" t="s">
        <v>103</v>
      </c>
      <c r="J8634" t="s">
        <v>110</v>
      </c>
      <c r="K8634" t="s">
        <v>103</v>
      </c>
      <c r="L8634" t="s">
        <v>103</v>
      </c>
      <c r="M8634" t="s">
        <v>103</v>
      </c>
      <c r="N8634" t="s">
        <v>103</v>
      </c>
      <c r="O8634" t="s">
        <v>103</v>
      </c>
      <c r="P8634" t="s">
        <v>103</v>
      </c>
      <c r="Q8634" t="s">
        <v>103</v>
      </c>
      <c r="R8634" t="s">
        <v>103</v>
      </c>
      <c r="S8634" t="s">
        <v>239</v>
      </c>
      <c r="T8634" t="s">
        <v>126</v>
      </c>
      <c r="U8634" t="s">
        <v>103</v>
      </c>
    </row>
    <row r="8635" spans="1:21" x14ac:dyDescent="0.3">
      <c r="A8635" t="s">
        <v>27</v>
      </c>
      <c r="B8635" t="s">
        <v>1649</v>
      </c>
      <c r="C8635">
        <v>236</v>
      </c>
      <c r="D8635" t="s">
        <v>834</v>
      </c>
      <c r="E8635" t="s">
        <v>103</v>
      </c>
      <c r="F8635" t="s">
        <v>103</v>
      </c>
      <c r="G8635" t="s">
        <v>162</v>
      </c>
      <c r="H8635" t="s">
        <v>103</v>
      </c>
      <c r="I8635" t="s">
        <v>103</v>
      </c>
      <c r="J8635" t="s">
        <v>105</v>
      </c>
      <c r="K8635" t="s">
        <v>103</v>
      </c>
      <c r="L8635" t="s">
        <v>116</v>
      </c>
      <c r="M8635" t="s">
        <v>103</v>
      </c>
      <c r="N8635" t="s">
        <v>97</v>
      </c>
      <c r="O8635" t="s">
        <v>103</v>
      </c>
      <c r="P8635" t="s">
        <v>103</v>
      </c>
      <c r="Q8635" t="s">
        <v>103</v>
      </c>
      <c r="R8635" t="s">
        <v>103</v>
      </c>
      <c r="S8635" t="s">
        <v>97</v>
      </c>
      <c r="T8635" t="s">
        <v>135</v>
      </c>
      <c r="U8635" t="s">
        <v>103</v>
      </c>
    </row>
    <row r="8636" spans="1:21" x14ac:dyDescent="0.3">
      <c r="A8636" t="s">
        <v>41</v>
      </c>
      <c r="B8636" t="s">
        <v>1648</v>
      </c>
      <c r="C8636">
        <v>688</v>
      </c>
      <c r="D8636" t="s">
        <v>1056</v>
      </c>
      <c r="E8636" t="s">
        <v>91</v>
      </c>
      <c r="F8636" t="s">
        <v>98</v>
      </c>
      <c r="G8636" t="s">
        <v>208</v>
      </c>
      <c r="H8636" t="s">
        <v>66</v>
      </c>
      <c r="I8636" t="s">
        <v>329</v>
      </c>
      <c r="J8636" t="s">
        <v>216</v>
      </c>
      <c r="K8636" t="s">
        <v>122</v>
      </c>
      <c r="L8636" t="s">
        <v>95</v>
      </c>
      <c r="M8636" t="s">
        <v>103</v>
      </c>
      <c r="N8636" t="s">
        <v>128</v>
      </c>
      <c r="O8636" t="s">
        <v>116</v>
      </c>
      <c r="P8636" t="s">
        <v>122</v>
      </c>
      <c r="Q8636" t="s">
        <v>66</v>
      </c>
      <c r="R8636" t="s">
        <v>103</v>
      </c>
      <c r="S8636" t="s">
        <v>66</v>
      </c>
      <c r="T8636" t="s">
        <v>269</v>
      </c>
      <c r="U8636" t="s">
        <v>91</v>
      </c>
    </row>
    <row r="8637" spans="1:21" x14ac:dyDescent="0.3">
      <c r="A8637" t="s">
        <v>41</v>
      </c>
      <c r="B8637" t="s">
        <v>1649</v>
      </c>
      <c r="C8637">
        <v>1349</v>
      </c>
      <c r="D8637" t="s">
        <v>1357</v>
      </c>
      <c r="E8637" t="s">
        <v>122</v>
      </c>
      <c r="F8637" t="s">
        <v>116</v>
      </c>
      <c r="G8637" t="s">
        <v>329</v>
      </c>
      <c r="H8637" t="s">
        <v>91</v>
      </c>
      <c r="I8637" t="s">
        <v>194</v>
      </c>
      <c r="J8637" t="s">
        <v>122</v>
      </c>
      <c r="K8637" t="s">
        <v>66</v>
      </c>
      <c r="L8637" t="s">
        <v>116</v>
      </c>
      <c r="M8637" t="s">
        <v>91</v>
      </c>
      <c r="N8637" t="s">
        <v>116</v>
      </c>
      <c r="O8637" t="s">
        <v>66</v>
      </c>
      <c r="P8637" t="s">
        <v>122</v>
      </c>
      <c r="Q8637" t="s">
        <v>103</v>
      </c>
      <c r="R8637" t="s">
        <v>103</v>
      </c>
      <c r="S8637" t="s">
        <v>66</v>
      </c>
      <c r="T8637" t="s">
        <v>262</v>
      </c>
      <c r="U8637" t="s">
        <v>103</v>
      </c>
    </row>
    <row r="8639" spans="1:21" x14ac:dyDescent="0.3">
      <c r="A8639" t="s">
        <v>2437</v>
      </c>
    </row>
    <row r="8640" spans="1:21" x14ac:dyDescent="0.3">
      <c r="A8640" t="s">
        <v>36</v>
      </c>
      <c r="B8640" t="s">
        <v>210</v>
      </c>
      <c r="C8640" t="s">
        <v>24</v>
      </c>
      <c r="D8640" t="s">
        <v>1195</v>
      </c>
      <c r="E8640" t="s">
        <v>2419</v>
      </c>
      <c r="F8640" t="s">
        <v>2420</v>
      </c>
      <c r="G8640" t="s">
        <v>2421</v>
      </c>
      <c r="H8640" t="s">
        <v>2422</v>
      </c>
      <c r="I8640" t="s">
        <v>2423</v>
      </c>
      <c r="J8640" t="s">
        <v>2424</v>
      </c>
      <c r="K8640" t="s">
        <v>2425</v>
      </c>
      <c r="L8640" t="s">
        <v>2426</v>
      </c>
      <c r="M8640" t="s">
        <v>2427</v>
      </c>
      <c r="N8640" t="s">
        <v>2428</v>
      </c>
      <c r="O8640" t="s">
        <v>2429</v>
      </c>
      <c r="P8640" t="s">
        <v>2430</v>
      </c>
      <c r="Q8640" t="s">
        <v>2431</v>
      </c>
      <c r="R8640" t="s">
        <v>2432</v>
      </c>
      <c r="S8640" t="s">
        <v>183</v>
      </c>
      <c r="T8640" t="s">
        <v>87</v>
      </c>
      <c r="U8640" t="s">
        <v>181</v>
      </c>
    </row>
    <row r="8641" spans="1:22" x14ac:dyDescent="0.3">
      <c r="A8641" t="s">
        <v>25</v>
      </c>
      <c r="B8641" t="s">
        <v>211</v>
      </c>
      <c r="C8641">
        <v>414</v>
      </c>
      <c r="D8641" t="s">
        <v>896</v>
      </c>
      <c r="E8641" t="s">
        <v>103</v>
      </c>
      <c r="F8641" t="s">
        <v>103</v>
      </c>
      <c r="G8641" t="s">
        <v>468</v>
      </c>
      <c r="H8641" t="s">
        <v>103</v>
      </c>
      <c r="I8641" t="s">
        <v>139</v>
      </c>
      <c r="J8641" t="s">
        <v>282</v>
      </c>
      <c r="K8641" t="s">
        <v>66</v>
      </c>
      <c r="L8641" t="s">
        <v>95</v>
      </c>
      <c r="M8641" t="s">
        <v>116</v>
      </c>
      <c r="N8641" t="s">
        <v>120</v>
      </c>
      <c r="O8641" t="s">
        <v>103</v>
      </c>
      <c r="P8641" t="s">
        <v>103</v>
      </c>
      <c r="Q8641" t="s">
        <v>103</v>
      </c>
      <c r="R8641" t="s">
        <v>103</v>
      </c>
      <c r="S8641" t="s">
        <v>103</v>
      </c>
      <c r="T8641" t="s">
        <v>194</v>
      </c>
      <c r="U8641" t="s">
        <v>103</v>
      </c>
    </row>
    <row r="8642" spans="1:22" x14ac:dyDescent="0.3">
      <c r="A8642" t="s">
        <v>26</v>
      </c>
      <c r="B8642" t="s">
        <v>211</v>
      </c>
      <c r="C8642">
        <v>222</v>
      </c>
      <c r="D8642" t="s">
        <v>994</v>
      </c>
      <c r="E8642" t="s">
        <v>103</v>
      </c>
      <c r="F8642" t="s">
        <v>103</v>
      </c>
      <c r="G8642" t="s">
        <v>122</v>
      </c>
      <c r="H8642" t="s">
        <v>122</v>
      </c>
      <c r="I8642" t="s">
        <v>140</v>
      </c>
      <c r="J8642" t="s">
        <v>122</v>
      </c>
      <c r="K8642" t="s">
        <v>66</v>
      </c>
      <c r="L8642" t="s">
        <v>103</v>
      </c>
      <c r="M8642" t="s">
        <v>103</v>
      </c>
      <c r="N8642" t="s">
        <v>103</v>
      </c>
      <c r="O8642" t="s">
        <v>257</v>
      </c>
      <c r="P8642" t="s">
        <v>270</v>
      </c>
      <c r="Q8642" t="s">
        <v>103</v>
      </c>
      <c r="R8642" t="s">
        <v>103</v>
      </c>
      <c r="S8642" t="s">
        <v>103</v>
      </c>
      <c r="T8642" t="s">
        <v>190</v>
      </c>
      <c r="U8642" t="s">
        <v>103</v>
      </c>
    </row>
    <row r="8643" spans="1:22" x14ac:dyDescent="0.3">
      <c r="A8643" t="s">
        <v>26</v>
      </c>
      <c r="B8643" t="s">
        <v>212</v>
      </c>
      <c r="C8643">
        <v>254</v>
      </c>
      <c r="D8643" t="s">
        <v>187</v>
      </c>
      <c r="E8643" t="s">
        <v>103</v>
      </c>
      <c r="F8643" t="s">
        <v>122</v>
      </c>
      <c r="G8643" t="s">
        <v>591</v>
      </c>
      <c r="H8643" t="s">
        <v>103</v>
      </c>
      <c r="I8643" t="s">
        <v>98</v>
      </c>
      <c r="J8643" t="s">
        <v>122</v>
      </c>
      <c r="K8643" t="s">
        <v>122</v>
      </c>
      <c r="L8643" t="s">
        <v>216</v>
      </c>
      <c r="M8643" t="s">
        <v>103</v>
      </c>
      <c r="N8643" t="s">
        <v>103</v>
      </c>
      <c r="O8643" t="s">
        <v>103</v>
      </c>
      <c r="P8643" t="s">
        <v>116</v>
      </c>
      <c r="Q8643" t="s">
        <v>103</v>
      </c>
      <c r="R8643" t="s">
        <v>103</v>
      </c>
      <c r="S8643" t="s">
        <v>103</v>
      </c>
      <c r="T8643" t="s">
        <v>201</v>
      </c>
      <c r="U8643" t="s">
        <v>116</v>
      </c>
    </row>
    <row r="8644" spans="1:22" x14ac:dyDescent="0.3">
      <c r="A8644" t="s">
        <v>29</v>
      </c>
      <c r="B8644" t="s">
        <v>211</v>
      </c>
      <c r="C8644">
        <v>530</v>
      </c>
      <c r="D8644" t="s">
        <v>978</v>
      </c>
      <c r="E8644" t="s">
        <v>120</v>
      </c>
      <c r="F8644" t="s">
        <v>345</v>
      </c>
      <c r="G8644" t="s">
        <v>95</v>
      </c>
      <c r="H8644" t="s">
        <v>66</v>
      </c>
      <c r="I8644" t="s">
        <v>468</v>
      </c>
      <c r="J8644" t="s">
        <v>282</v>
      </c>
      <c r="K8644" t="s">
        <v>122</v>
      </c>
      <c r="L8644" t="s">
        <v>66</v>
      </c>
      <c r="M8644" t="s">
        <v>103</v>
      </c>
      <c r="N8644" t="s">
        <v>329</v>
      </c>
      <c r="O8644" t="s">
        <v>103</v>
      </c>
      <c r="P8644" t="s">
        <v>103</v>
      </c>
      <c r="Q8644" t="s">
        <v>66</v>
      </c>
      <c r="R8644" t="s">
        <v>103</v>
      </c>
      <c r="S8644" t="s">
        <v>116</v>
      </c>
      <c r="T8644" t="s">
        <v>475</v>
      </c>
      <c r="U8644" t="s">
        <v>103</v>
      </c>
    </row>
    <row r="8645" spans="1:22" x14ac:dyDescent="0.3">
      <c r="A8645" t="s">
        <v>28</v>
      </c>
      <c r="B8645" t="s">
        <v>211</v>
      </c>
      <c r="C8645">
        <v>277</v>
      </c>
      <c r="D8645" t="s">
        <v>776</v>
      </c>
      <c r="E8645" t="s">
        <v>116</v>
      </c>
      <c r="F8645" t="s">
        <v>116</v>
      </c>
      <c r="G8645" t="s">
        <v>139</v>
      </c>
      <c r="H8645" t="s">
        <v>103</v>
      </c>
      <c r="I8645" t="s">
        <v>120</v>
      </c>
      <c r="J8645" t="s">
        <v>122</v>
      </c>
      <c r="K8645" t="s">
        <v>103</v>
      </c>
      <c r="L8645" t="s">
        <v>103</v>
      </c>
      <c r="M8645" t="s">
        <v>122</v>
      </c>
      <c r="N8645" t="s">
        <v>103</v>
      </c>
      <c r="O8645" t="s">
        <v>103</v>
      </c>
      <c r="P8645" t="s">
        <v>103</v>
      </c>
      <c r="Q8645" t="s">
        <v>103</v>
      </c>
      <c r="R8645" t="s">
        <v>103</v>
      </c>
      <c r="S8645" t="s">
        <v>103</v>
      </c>
      <c r="T8645" t="s">
        <v>482</v>
      </c>
      <c r="U8645" t="s">
        <v>103</v>
      </c>
    </row>
    <row r="8646" spans="1:22" x14ac:dyDescent="0.3">
      <c r="A8646" t="s">
        <v>28</v>
      </c>
      <c r="B8646" t="s">
        <v>212</v>
      </c>
      <c r="C8646">
        <v>40</v>
      </c>
      <c r="D8646" t="s">
        <v>512</v>
      </c>
      <c r="E8646" t="s">
        <v>103</v>
      </c>
      <c r="F8646" t="s">
        <v>103</v>
      </c>
      <c r="G8646" t="s">
        <v>673</v>
      </c>
      <c r="H8646" t="s">
        <v>103</v>
      </c>
      <c r="I8646" t="s">
        <v>103</v>
      </c>
      <c r="J8646" t="s">
        <v>103</v>
      </c>
      <c r="K8646" t="s">
        <v>103</v>
      </c>
      <c r="L8646" t="s">
        <v>103</v>
      </c>
      <c r="M8646" t="s">
        <v>103</v>
      </c>
      <c r="N8646" t="s">
        <v>103</v>
      </c>
      <c r="O8646" t="s">
        <v>103</v>
      </c>
      <c r="P8646" t="s">
        <v>217</v>
      </c>
      <c r="Q8646" t="s">
        <v>103</v>
      </c>
      <c r="R8646" t="s">
        <v>103</v>
      </c>
      <c r="S8646" t="s">
        <v>103</v>
      </c>
      <c r="T8646" t="s">
        <v>217</v>
      </c>
      <c r="U8646" t="s">
        <v>103</v>
      </c>
    </row>
    <row r="8647" spans="1:22" x14ac:dyDescent="0.3">
      <c r="A8647" t="s">
        <v>27</v>
      </c>
      <c r="B8647" t="s">
        <v>211</v>
      </c>
      <c r="C8647">
        <v>270</v>
      </c>
      <c r="D8647" t="s">
        <v>1178</v>
      </c>
      <c r="E8647" t="s">
        <v>103</v>
      </c>
      <c r="F8647" t="s">
        <v>103</v>
      </c>
      <c r="G8647" t="s">
        <v>750</v>
      </c>
      <c r="H8647" t="s">
        <v>103</v>
      </c>
      <c r="I8647" t="s">
        <v>103</v>
      </c>
      <c r="J8647" t="s">
        <v>105</v>
      </c>
      <c r="K8647" t="s">
        <v>103</v>
      </c>
      <c r="L8647" t="s">
        <v>116</v>
      </c>
      <c r="M8647" t="s">
        <v>103</v>
      </c>
      <c r="N8647" t="s">
        <v>122</v>
      </c>
      <c r="O8647" t="s">
        <v>103</v>
      </c>
      <c r="P8647" t="s">
        <v>103</v>
      </c>
      <c r="Q8647" t="s">
        <v>103</v>
      </c>
      <c r="R8647" t="s">
        <v>103</v>
      </c>
      <c r="S8647" t="s">
        <v>95</v>
      </c>
      <c r="T8647" t="s">
        <v>99</v>
      </c>
      <c r="U8647" t="s">
        <v>103</v>
      </c>
    </row>
    <row r="8648" spans="1:22" s="3" customFormat="1" x14ac:dyDescent="0.3">
      <c r="A8648" s="3" t="s">
        <v>27</v>
      </c>
      <c r="B8648" s="3" t="s">
        <v>212</v>
      </c>
      <c r="C8648" s="3">
        <v>30</v>
      </c>
      <c r="D8648" s="3" t="s">
        <v>882</v>
      </c>
      <c r="E8648" s="3" t="s">
        <v>103</v>
      </c>
      <c r="F8648" s="3" t="s">
        <v>103</v>
      </c>
      <c r="G8648" s="3" t="s">
        <v>103</v>
      </c>
      <c r="H8648" s="3" t="s">
        <v>103</v>
      </c>
      <c r="I8648" s="3" t="s">
        <v>103</v>
      </c>
      <c r="J8648" s="3" t="s">
        <v>103</v>
      </c>
      <c r="K8648" s="3" t="s">
        <v>103</v>
      </c>
      <c r="L8648" s="3" t="s">
        <v>103</v>
      </c>
      <c r="M8648" s="3" t="s">
        <v>103</v>
      </c>
      <c r="N8648" s="3" t="s">
        <v>103</v>
      </c>
      <c r="O8648" s="3" t="s">
        <v>103</v>
      </c>
      <c r="P8648" s="3" t="s">
        <v>103</v>
      </c>
      <c r="Q8648" s="3" t="s">
        <v>103</v>
      </c>
      <c r="R8648" s="3" t="s">
        <v>103</v>
      </c>
      <c r="S8648" s="3" t="s">
        <v>103</v>
      </c>
      <c r="T8648" s="3" t="s">
        <v>101</v>
      </c>
      <c r="U8648" s="3" t="s">
        <v>103</v>
      </c>
    </row>
    <row r="8649" spans="1:22" x14ac:dyDescent="0.3">
      <c r="A8649" t="s">
        <v>41</v>
      </c>
      <c r="B8649" t="s">
        <v>211</v>
      </c>
      <c r="C8649">
        <v>1713</v>
      </c>
      <c r="D8649" t="s">
        <v>903</v>
      </c>
      <c r="E8649" t="s">
        <v>116</v>
      </c>
      <c r="F8649" t="s">
        <v>120</v>
      </c>
      <c r="G8649" t="s">
        <v>239</v>
      </c>
      <c r="H8649" t="s">
        <v>66</v>
      </c>
      <c r="I8649" t="s">
        <v>105</v>
      </c>
      <c r="J8649" t="s">
        <v>98</v>
      </c>
      <c r="K8649" t="s">
        <v>116</v>
      </c>
      <c r="L8649" t="s">
        <v>116</v>
      </c>
      <c r="M8649" t="s">
        <v>91</v>
      </c>
      <c r="N8649" t="s">
        <v>194</v>
      </c>
      <c r="O8649" t="s">
        <v>116</v>
      </c>
      <c r="P8649" t="s">
        <v>122</v>
      </c>
      <c r="Q8649" t="s">
        <v>91</v>
      </c>
      <c r="R8649" t="s">
        <v>103</v>
      </c>
      <c r="S8649" t="s">
        <v>66</v>
      </c>
      <c r="T8649" t="s">
        <v>62</v>
      </c>
      <c r="U8649" t="s">
        <v>103</v>
      </c>
    </row>
    <row r="8650" spans="1:22" x14ac:dyDescent="0.3">
      <c r="A8650" t="s">
        <v>41</v>
      </c>
      <c r="B8650" t="s">
        <v>212</v>
      </c>
      <c r="C8650">
        <v>324</v>
      </c>
      <c r="D8650" t="s">
        <v>751</v>
      </c>
      <c r="E8650" t="s">
        <v>103</v>
      </c>
      <c r="F8650" t="s">
        <v>122</v>
      </c>
      <c r="G8650" t="s">
        <v>558</v>
      </c>
      <c r="H8650" t="s">
        <v>103</v>
      </c>
      <c r="I8650" t="s">
        <v>139</v>
      </c>
      <c r="J8650" t="s">
        <v>122</v>
      </c>
      <c r="K8650" t="s">
        <v>122</v>
      </c>
      <c r="L8650" t="s">
        <v>239</v>
      </c>
      <c r="M8650" t="s">
        <v>103</v>
      </c>
      <c r="N8650" t="s">
        <v>103</v>
      </c>
      <c r="O8650" t="s">
        <v>103</v>
      </c>
      <c r="P8650" t="s">
        <v>122</v>
      </c>
      <c r="Q8650" t="s">
        <v>103</v>
      </c>
      <c r="R8650" t="s">
        <v>103</v>
      </c>
      <c r="S8650" t="s">
        <v>103</v>
      </c>
      <c r="T8650" t="s">
        <v>113</v>
      </c>
      <c r="U8650" t="s">
        <v>116</v>
      </c>
    </row>
    <row r="8652" spans="1:22" x14ac:dyDescent="0.3">
      <c r="A8652" t="s">
        <v>2438</v>
      </c>
    </row>
    <row r="8653" spans="1:22" x14ac:dyDescent="0.3">
      <c r="A8653" t="s">
        <v>36</v>
      </c>
      <c r="B8653" t="s">
        <v>24</v>
      </c>
      <c r="C8653" t="s">
        <v>1195</v>
      </c>
      <c r="D8653" t="s">
        <v>2419</v>
      </c>
      <c r="E8653" t="s">
        <v>2420</v>
      </c>
      <c r="F8653" t="s">
        <v>2421</v>
      </c>
      <c r="G8653" t="s">
        <v>2439</v>
      </c>
      <c r="H8653" t="s">
        <v>2422</v>
      </c>
      <c r="I8653" t="s">
        <v>2440</v>
      </c>
      <c r="J8653" t="s">
        <v>2423</v>
      </c>
      <c r="K8653" t="s">
        <v>2424</v>
      </c>
      <c r="L8653" t="s">
        <v>2425</v>
      </c>
      <c r="M8653" t="s">
        <v>2426</v>
      </c>
      <c r="N8653" t="s">
        <v>2427</v>
      </c>
      <c r="O8653" t="s">
        <v>2428</v>
      </c>
      <c r="P8653" t="s">
        <v>2429</v>
      </c>
      <c r="Q8653" t="s">
        <v>2430</v>
      </c>
      <c r="R8653" t="s">
        <v>2431</v>
      </c>
      <c r="S8653" t="s">
        <v>2432</v>
      </c>
      <c r="T8653" t="s">
        <v>183</v>
      </c>
      <c r="U8653" t="s">
        <v>87</v>
      </c>
      <c r="V8653" t="s">
        <v>181</v>
      </c>
    </row>
    <row r="8654" spans="1:22" x14ac:dyDescent="0.3">
      <c r="A8654" t="s">
        <v>25</v>
      </c>
      <c r="B8654">
        <v>414</v>
      </c>
      <c r="C8654" t="s">
        <v>279</v>
      </c>
      <c r="D8654" t="s">
        <v>103</v>
      </c>
      <c r="E8654" t="s">
        <v>103</v>
      </c>
      <c r="F8654" t="s">
        <v>139</v>
      </c>
      <c r="G8654" t="s">
        <v>282</v>
      </c>
      <c r="H8654" t="s">
        <v>122</v>
      </c>
      <c r="I8654" t="s">
        <v>103</v>
      </c>
      <c r="J8654" t="s">
        <v>66</v>
      </c>
      <c r="K8654" t="s">
        <v>95</v>
      </c>
      <c r="L8654" t="s">
        <v>103</v>
      </c>
      <c r="M8654" t="s">
        <v>345</v>
      </c>
      <c r="N8654" t="s">
        <v>103</v>
      </c>
      <c r="O8654" t="s">
        <v>103</v>
      </c>
      <c r="P8654" t="s">
        <v>103</v>
      </c>
      <c r="Q8654" t="s">
        <v>103</v>
      </c>
      <c r="R8654" t="s">
        <v>103</v>
      </c>
      <c r="S8654" t="s">
        <v>103</v>
      </c>
      <c r="T8654" t="s">
        <v>103</v>
      </c>
      <c r="U8654" t="s">
        <v>468</v>
      </c>
      <c r="V8654" t="s">
        <v>103</v>
      </c>
    </row>
    <row r="8655" spans="1:22" x14ac:dyDescent="0.3">
      <c r="A8655" t="s">
        <v>26</v>
      </c>
      <c r="B8655">
        <v>477</v>
      </c>
      <c r="C8655" t="s">
        <v>1056</v>
      </c>
      <c r="D8655" t="s">
        <v>103</v>
      </c>
      <c r="E8655" t="s">
        <v>66</v>
      </c>
      <c r="F8655" t="s">
        <v>125</v>
      </c>
      <c r="G8655" t="s">
        <v>103</v>
      </c>
      <c r="H8655" t="s">
        <v>468</v>
      </c>
      <c r="I8655" t="s">
        <v>103</v>
      </c>
      <c r="J8655" t="s">
        <v>345</v>
      </c>
      <c r="K8655" t="s">
        <v>103</v>
      </c>
      <c r="L8655" t="s">
        <v>120</v>
      </c>
      <c r="M8655" t="s">
        <v>95</v>
      </c>
      <c r="N8655" t="s">
        <v>66</v>
      </c>
      <c r="O8655" t="s">
        <v>103</v>
      </c>
      <c r="P8655" t="s">
        <v>95</v>
      </c>
      <c r="Q8655" t="s">
        <v>98</v>
      </c>
      <c r="R8655" t="s">
        <v>103</v>
      </c>
      <c r="S8655" t="s">
        <v>103</v>
      </c>
      <c r="T8655" t="s">
        <v>66</v>
      </c>
      <c r="U8655" t="s">
        <v>164</v>
      </c>
      <c r="V8655" t="s">
        <v>66</v>
      </c>
    </row>
    <row r="8656" spans="1:22" x14ac:dyDescent="0.3">
      <c r="A8656" t="s">
        <v>29</v>
      </c>
      <c r="B8656">
        <v>530</v>
      </c>
      <c r="C8656" t="s">
        <v>806</v>
      </c>
      <c r="D8656" t="s">
        <v>103</v>
      </c>
      <c r="E8656" t="s">
        <v>103</v>
      </c>
      <c r="F8656" t="s">
        <v>116</v>
      </c>
      <c r="G8656" t="s">
        <v>103</v>
      </c>
      <c r="H8656" t="s">
        <v>120</v>
      </c>
      <c r="I8656" t="s">
        <v>245</v>
      </c>
      <c r="J8656" t="s">
        <v>120</v>
      </c>
      <c r="K8656" t="s">
        <v>120</v>
      </c>
      <c r="L8656" t="s">
        <v>103</v>
      </c>
      <c r="M8656" t="s">
        <v>239</v>
      </c>
      <c r="N8656" t="s">
        <v>103</v>
      </c>
      <c r="O8656" t="s">
        <v>468</v>
      </c>
      <c r="P8656" t="s">
        <v>103</v>
      </c>
      <c r="Q8656" t="s">
        <v>103</v>
      </c>
      <c r="R8656" t="s">
        <v>103</v>
      </c>
      <c r="S8656" t="s">
        <v>103</v>
      </c>
      <c r="T8656" t="s">
        <v>91</v>
      </c>
      <c r="U8656" t="s">
        <v>173</v>
      </c>
      <c r="V8656" t="s">
        <v>103</v>
      </c>
    </row>
    <row r="8657" spans="1:23" x14ac:dyDescent="0.3">
      <c r="A8657" t="s">
        <v>28</v>
      </c>
      <c r="B8657">
        <v>317</v>
      </c>
      <c r="C8657" t="s">
        <v>202</v>
      </c>
      <c r="D8657" t="s">
        <v>116</v>
      </c>
      <c r="E8657" t="s">
        <v>116</v>
      </c>
      <c r="F8657" t="s">
        <v>232</v>
      </c>
      <c r="G8657" t="s">
        <v>66</v>
      </c>
      <c r="H8657" t="s">
        <v>103</v>
      </c>
      <c r="I8657" t="s">
        <v>103</v>
      </c>
      <c r="J8657" t="s">
        <v>66</v>
      </c>
      <c r="K8657" t="s">
        <v>66</v>
      </c>
      <c r="L8657" t="s">
        <v>103</v>
      </c>
      <c r="M8657" t="s">
        <v>103</v>
      </c>
      <c r="N8657" t="s">
        <v>103</v>
      </c>
      <c r="O8657" t="s">
        <v>103</v>
      </c>
      <c r="P8657" t="s">
        <v>103</v>
      </c>
      <c r="Q8657" t="s">
        <v>116</v>
      </c>
      <c r="R8657" t="s">
        <v>103</v>
      </c>
      <c r="S8657" t="s">
        <v>103</v>
      </c>
      <c r="T8657" t="s">
        <v>103</v>
      </c>
      <c r="U8657" t="s">
        <v>652</v>
      </c>
      <c r="V8657" t="s">
        <v>103</v>
      </c>
    </row>
    <row r="8658" spans="1:23" x14ac:dyDescent="0.3">
      <c r="A8658" t="s">
        <v>27</v>
      </c>
      <c r="B8658">
        <v>300</v>
      </c>
      <c r="C8658" t="s">
        <v>263</v>
      </c>
      <c r="D8658" t="s">
        <v>103</v>
      </c>
      <c r="E8658" t="s">
        <v>103</v>
      </c>
      <c r="F8658" t="s">
        <v>518</v>
      </c>
      <c r="G8658" t="s">
        <v>103</v>
      </c>
      <c r="H8658" t="s">
        <v>103</v>
      </c>
      <c r="I8658" t="s">
        <v>103</v>
      </c>
      <c r="J8658" t="s">
        <v>103</v>
      </c>
      <c r="K8658" t="s">
        <v>194</v>
      </c>
      <c r="L8658" t="s">
        <v>103</v>
      </c>
      <c r="M8658" t="s">
        <v>120</v>
      </c>
      <c r="N8658" t="s">
        <v>103</v>
      </c>
      <c r="O8658" t="s">
        <v>103</v>
      </c>
      <c r="P8658" t="s">
        <v>103</v>
      </c>
      <c r="Q8658" t="s">
        <v>103</v>
      </c>
      <c r="R8658" t="s">
        <v>103</v>
      </c>
      <c r="S8658" t="s">
        <v>103</v>
      </c>
      <c r="T8658" t="s">
        <v>95</v>
      </c>
      <c r="U8658" t="s">
        <v>519</v>
      </c>
      <c r="V8658" t="s">
        <v>103</v>
      </c>
    </row>
    <row r="8659" spans="1:23" x14ac:dyDescent="0.3">
      <c r="A8659" t="s">
        <v>41</v>
      </c>
      <c r="B8659">
        <v>2038</v>
      </c>
      <c r="C8659" t="s">
        <v>720</v>
      </c>
      <c r="D8659" t="s">
        <v>103</v>
      </c>
      <c r="E8659" t="s">
        <v>91</v>
      </c>
      <c r="F8659" t="s">
        <v>329</v>
      </c>
      <c r="G8659" t="s">
        <v>66</v>
      </c>
      <c r="H8659" t="s">
        <v>120</v>
      </c>
      <c r="I8659" t="s">
        <v>139</v>
      </c>
      <c r="J8659" t="s">
        <v>120</v>
      </c>
      <c r="K8659" t="s">
        <v>97</v>
      </c>
      <c r="L8659" t="s">
        <v>91</v>
      </c>
      <c r="M8659" t="s">
        <v>345</v>
      </c>
      <c r="N8659" t="s">
        <v>103</v>
      </c>
      <c r="O8659" t="s">
        <v>120</v>
      </c>
      <c r="P8659" t="s">
        <v>66</v>
      </c>
      <c r="Q8659" t="s">
        <v>66</v>
      </c>
      <c r="R8659" t="s">
        <v>103</v>
      </c>
      <c r="S8659" t="s">
        <v>103</v>
      </c>
      <c r="T8659" t="s">
        <v>66</v>
      </c>
      <c r="U8659" t="s">
        <v>111</v>
      </c>
      <c r="V8659" t="s">
        <v>103</v>
      </c>
    </row>
    <row r="8661" spans="1:23" x14ac:dyDescent="0.3">
      <c r="A8661" t="s">
        <v>2441</v>
      </c>
    </row>
    <row r="8662" spans="1:23" x14ac:dyDescent="0.3">
      <c r="A8662" t="s">
        <v>36</v>
      </c>
      <c r="B8662" t="s">
        <v>307</v>
      </c>
      <c r="C8662" t="s">
        <v>24</v>
      </c>
      <c r="D8662" t="s">
        <v>1195</v>
      </c>
      <c r="E8662" t="s">
        <v>2419</v>
      </c>
      <c r="F8662" t="s">
        <v>2420</v>
      </c>
      <c r="G8662" t="s">
        <v>2421</v>
      </c>
      <c r="H8662" t="s">
        <v>2439</v>
      </c>
      <c r="I8662" t="s">
        <v>2422</v>
      </c>
      <c r="J8662" t="s">
        <v>2440</v>
      </c>
      <c r="K8662" t="s">
        <v>2423</v>
      </c>
      <c r="L8662" t="s">
        <v>2424</v>
      </c>
      <c r="M8662" t="s">
        <v>2425</v>
      </c>
      <c r="N8662" t="s">
        <v>2426</v>
      </c>
      <c r="O8662" t="s">
        <v>2427</v>
      </c>
      <c r="P8662" t="s">
        <v>2428</v>
      </c>
      <c r="Q8662" t="s">
        <v>2429</v>
      </c>
      <c r="R8662" t="s">
        <v>2430</v>
      </c>
      <c r="S8662" t="s">
        <v>2431</v>
      </c>
      <c r="T8662" t="s">
        <v>2432</v>
      </c>
      <c r="U8662" t="s">
        <v>183</v>
      </c>
      <c r="V8662" t="s">
        <v>87</v>
      </c>
      <c r="W8662" t="s">
        <v>181</v>
      </c>
    </row>
    <row r="8663" spans="1:23" x14ac:dyDescent="0.3">
      <c r="A8663" t="s">
        <v>25</v>
      </c>
      <c r="B8663" t="s">
        <v>291</v>
      </c>
      <c r="C8663">
        <v>156</v>
      </c>
      <c r="D8663" t="s">
        <v>850</v>
      </c>
      <c r="E8663" t="s">
        <v>103</v>
      </c>
      <c r="F8663" t="s">
        <v>103</v>
      </c>
      <c r="G8663" t="s">
        <v>468</v>
      </c>
      <c r="H8663" t="s">
        <v>95</v>
      </c>
      <c r="I8663" t="s">
        <v>103</v>
      </c>
      <c r="J8663" t="s">
        <v>103</v>
      </c>
      <c r="K8663" t="s">
        <v>103</v>
      </c>
      <c r="L8663" t="s">
        <v>139</v>
      </c>
      <c r="M8663" t="s">
        <v>103</v>
      </c>
      <c r="N8663" t="s">
        <v>103</v>
      </c>
      <c r="O8663" t="s">
        <v>103</v>
      </c>
      <c r="P8663" t="s">
        <v>103</v>
      </c>
      <c r="Q8663" t="s">
        <v>103</v>
      </c>
      <c r="R8663" t="s">
        <v>103</v>
      </c>
      <c r="S8663" t="s">
        <v>103</v>
      </c>
      <c r="T8663" t="s">
        <v>103</v>
      </c>
      <c r="U8663" t="s">
        <v>103</v>
      </c>
      <c r="V8663" t="s">
        <v>93</v>
      </c>
      <c r="W8663" t="s">
        <v>103</v>
      </c>
    </row>
    <row r="8664" spans="1:23" x14ac:dyDescent="0.3">
      <c r="A8664" t="s">
        <v>25</v>
      </c>
      <c r="B8664" t="s">
        <v>292</v>
      </c>
      <c r="C8664">
        <v>254</v>
      </c>
      <c r="D8664" t="s">
        <v>279</v>
      </c>
      <c r="E8664" t="s">
        <v>103</v>
      </c>
      <c r="F8664" t="s">
        <v>103</v>
      </c>
      <c r="G8664" t="s">
        <v>97</v>
      </c>
      <c r="H8664" t="s">
        <v>468</v>
      </c>
      <c r="I8664" t="s">
        <v>120</v>
      </c>
      <c r="J8664" t="s">
        <v>103</v>
      </c>
      <c r="K8664" t="s">
        <v>116</v>
      </c>
      <c r="L8664" t="s">
        <v>120</v>
      </c>
      <c r="M8664" t="s">
        <v>103</v>
      </c>
      <c r="N8664" t="s">
        <v>341</v>
      </c>
      <c r="O8664" t="s">
        <v>103</v>
      </c>
      <c r="P8664" t="s">
        <v>103</v>
      </c>
      <c r="Q8664" t="s">
        <v>103</v>
      </c>
      <c r="R8664" t="s">
        <v>103</v>
      </c>
      <c r="S8664" t="s">
        <v>103</v>
      </c>
      <c r="T8664" t="s">
        <v>103</v>
      </c>
      <c r="U8664" t="s">
        <v>103</v>
      </c>
      <c r="V8664" t="s">
        <v>120</v>
      </c>
      <c r="W8664" t="s">
        <v>103</v>
      </c>
    </row>
    <row r="8665" spans="1:23" x14ac:dyDescent="0.3">
      <c r="A8665" t="s">
        <v>25</v>
      </c>
      <c r="B8665" t="s">
        <v>308</v>
      </c>
      <c r="C8665">
        <v>4</v>
      </c>
      <c r="D8665" t="s">
        <v>192</v>
      </c>
      <c r="E8665" t="s">
        <v>103</v>
      </c>
      <c r="F8665" t="s">
        <v>103</v>
      </c>
      <c r="G8665" t="s">
        <v>103</v>
      </c>
      <c r="H8665" t="s">
        <v>103</v>
      </c>
      <c r="I8665" t="s">
        <v>103</v>
      </c>
      <c r="J8665" t="s">
        <v>103</v>
      </c>
      <c r="K8665" t="s">
        <v>103</v>
      </c>
      <c r="L8665" t="s">
        <v>103</v>
      </c>
      <c r="M8665" t="s">
        <v>103</v>
      </c>
      <c r="N8665" t="s">
        <v>103</v>
      </c>
      <c r="O8665" t="s">
        <v>103</v>
      </c>
      <c r="P8665" t="s">
        <v>103</v>
      </c>
      <c r="Q8665" t="s">
        <v>103</v>
      </c>
      <c r="R8665" t="s">
        <v>103</v>
      </c>
      <c r="S8665" t="s">
        <v>103</v>
      </c>
      <c r="T8665" t="s">
        <v>103</v>
      </c>
      <c r="U8665" t="s">
        <v>103</v>
      </c>
      <c r="V8665" t="s">
        <v>103</v>
      </c>
      <c r="W8665" t="s">
        <v>103</v>
      </c>
    </row>
    <row r="8666" spans="1:23" x14ac:dyDescent="0.3">
      <c r="A8666" t="s">
        <v>26</v>
      </c>
      <c r="B8666" t="s">
        <v>291</v>
      </c>
      <c r="C8666">
        <v>122</v>
      </c>
      <c r="D8666" t="s">
        <v>605</v>
      </c>
      <c r="E8666" t="s">
        <v>103</v>
      </c>
      <c r="F8666" t="s">
        <v>103</v>
      </c>
      <c r="G8666" t="s">
        <v>194</v>
      </c>
      <c r="H8666" t="s">
        <v>103</v>
      </c>
      <c r="I8666" t="s">
        <v>103</v>
      </c>
      <c r="J8666" t="s">
        <v>103</v>
      </c>
      <c r="K8666" t="s">
        <v>103</v>
      </c>
      <c r="L8666" t="s">
        <v>103</v>
      </c>
      <c r="M8666" t="s">
        <v>103</v>
      </c>
      <c r="N8666" t="s">
        <v>103</v>
      </c>
      <c r="O8666" t="s">
        <v>103</v>
      </c>
      <c r="P8666" t="s">
        <v>103</v>
      </c>
      <c r="Q8666" t="s">
        <v>103</v>
      </c>
      <c r="R8666" t="s">
        <v>103</v>
      </c>
      <c r="S8666" t="s">
        <v>103</v>
      </c>
      <c r="T8666" t="s">
        <v>103</v>
      </c>
      <c r="U8666" t="s">
        <v>103</v>
      </c>
      <c r="V8666" t="s">
        <v>244</v>
      </c>
      <c r="W8666" t="s">
        <v>95</v>
      </c>
    </row>
    <row r="8667" spans="1:23" x14ac:dyDescent="0.3">
      <c r="A8667" t="s">
        <v>26</v>
      </c>
      <c r="B8667" t="s">
        <v>292</v>
      </c>
      <c r="C8667">
        <v>352</v>
      </c>
      <c r="D8667" t="s">
        <v>437</v>
      </c>
      <c r="E8667" t="s">
        <v>103</v>
      </c>
      <c r="F8667" t="s">
        <v>116</v>
      </c>
      <c r="G8667" t="s">
        <v>532</v>
      </c>
      <c r="H8667" t="s">
        <v>103</v>
      </c>
      <c r="I8667" t="s">
        <v>216</v>
      </c>
      <c r="J8667" t="s">
        <v>103</v>
      </c>
      <c r="K8667" t="s">
        <v>110</v>
      </c>
      <c r="L8667" t="s">
        <v>103</v>
      </c>
      <c r="M8667" t="s">
        <v>139</v>
      </c>
      <c r="N8667" t="s">
        <v>98</v>
      </c>
      <c r="O8667" t="s">
        <v>66</v>
      </c>
      <c r="P8667" t="s">
        <v>103</v>
      </c>
      <c r="Q8667" t="s">
        <v>282</v>
      </c>
      <c r="R8667" t="s">
        <v>468</v>
      </c>
      <c r="S8667" t="s">
        <v>103</v>
      </c>
      <c r="T8667" t="s">
        <v>103</v>
      </c>
      <c r="U8667" t="s">
        <v>116</v>
      </c>
      <c r="V8667" t="s">
        <v>171</v>
      </c>
      <c r="W8667" t="s">
        <v>103</v>
      </c>
    </row>
    <row r="8668" spans="1:23" x14ac:dyDescent="0.3">
      <c r="A8668" t="s">
        <v>26</v>
      </c>
      <c r="B8668" t="s">
        <v>308</v>
      </c>
      <c r="C8668">
        <v>3</v>
      </c>
      <c r="D8668" t="s">
        <v>192</v>
      </c>
      <c r="E8668" t="s">
        <v>103</v>
      </c>
      <c r="F8668" t="s">
        <v>103</v>
      </c>
      <c r="G8668" t="s">
        <v>103</v>
      </c>
      <c r="H8668" t="s">
        <v>103</v>
      </c>
      <c r="I8668" t="s">
        <v>103</v>
      </c>
      <c r="J8668" t="s">
        <v>103</v>
      </c>
      <c r="K8668" t="s">
        <v>103</v>
      </c>
      <c r="L8668" t="s">
        <v>103</v>
      </c>
      <c r="M8668" t="s">
        <v>103</v>
      </c>
      <c r="N8668" t="s">
        <v>103</v>
      </c>
      <c r="O8668" t="s">
        <v>103</v>
      </c>
      <c r="P8668" t="s">
        <v>103</v>
      </c>
      <c r="Q8668" t="s">
        <v>103</v>
      </c>
      <c r="R8668" t="s">
        <v>103</v>
      </c>
      <c r="S8668" t="s">
        <v>103</v>
      </c>
      <c r="T8668" t="s">
        <v>103</v>
      </c>
      <c r="U8668" t="s">
        <v>103</v>
      </c>
      <c r="V8668" t="s">
        <v>103</v>
      </c>
      <c r="W8668" t="s">
        <v>103</v>
      </c>
    </row>
    <row r="8669" spans="1:23" x14ac:dyDescent="0.3">
      <c r="A8669" t="s">
        <v>29</v>
      </c>
      <c r="B8669" t="s">
        <v>291</v>
      </c>
      <c r="C8669">
        <v>205</v>
      </c>
      <c r="D8669" t="s">
        <v>1135</v>
      </c>
      <c r="E8669" t="s">
        <v>103</v>
      </c>
      <c r="F8669" t="s">
        <v>103</v>
      </c>
      <c r="G8669" t="s">
        <v>95</v>
      </c>
      <c r="H8669" t="s">
        <v>91</v>
      </c>
      <c r="I8669" t="s">
        <v>103</v>
      </c>
      <c r="J8669" t="s">
        <v>239</v>
      </c>
      <c r="K8669" t="s">
        <v>103</v>
      </c>
      <c r="L8669" t="s">
        <v>122</v>
      </c>
      <c r="M8669" t="s">
        <v>103</v>
      </c>
      <c r="N8669" t="s">
        <v>239</v>
      </c>
      <c r="O8669" t="s">
        <v>103</v>
      </c>
      <c r="P8669" t="s">
        <v>345</v>
      </c>
      <c r="Q8669" t="s">
        <v>103</v>
      </c>
      <c r="R8669" t="s">
        <v>103</v>
      </c>
      <c r="S8669" t="s">
        <v>103</v>
      </c>
      <c r="T8669" t="s">
        <v>103</v>
      </c>
      <c r="U8669" t="s">
        <v>122</v>
      </c>
      <c r="V8669" t="s">
        <v>131</v>
      </c>
      <c r="W8669" t="s">
        <v>103</v>
      </c>
    </row>
    <row r="8670" spans="1:23" x14ac:dyDescent="0.3">
      <c r="A8670" t="s">
        <v>29</v>
      </c>
      <c r="B8670" t="s">
        <v>292</v>
      </c>
      <c r="C8670">
        <v>325</v>
      </c>
      <c r="D8670" t="s">
        <v>634</v>
      </c>
      <c r="E8670" t="s">
        <v>103</v>
      </c>
      <c r="F8670" t="s">
        <v>103</v>
      </c>
      <c r="G8670" t="s">
        <v>103</v>
      </c>
      <c r="H8670" t="s">
        <v>103</v>
      </c>
      <c r="I8670" t="s">
        <v>98</v>
      </c>
      <c r="J8670" t="s">
        <v>105</v>
      </c>
      <c r="K8670" t="s">
        <v>282</v>
      </c>
      <c r="L8670" t="s">
        <v>139</v>
      </c>
      <c r="M8670" t="s">
        <v>103</v>
      </c>
      <c r="N8670" t="s">
        <v>239</v>
      </c>
      <c r="O8670" t="s">
        <v>103</v>
      </c>
      <c r="P8670" t="s">
        <v>194</v>
      </c>
      <c r="Q8670" t="s">
        <v>103</v>
      </c>
      <c r="R8670" t="s">
        <v>103</v>
      </c>
      <c r="S8670" t="s">
        <v>103</v>
      </c>
      <c r="T8670" t="s">
        <v>103</v>
      </c>
      <c r="U8670" t="s">
        <v>103</v>
      </c>
      <c r="V8670" t="s">
        <v>475</v>
      </c>
      <c r="W8670" t="s">
        <v>103</v>
      </c>
    </row>
    <row r="8671" spans="1:23" x14ac:dyDescent="0.3">
      <c r="A8671" t="s">
        <v>28</v>
      </c>
      <c r="B8671" t="s">
        <v>291</v>
      </c>
      <c r="C8671">
        <v>114</v>
      </c>
      <c r="D8671" t="s">
        <v>886</v>
      </c>
      <c r="E8671" t="s">
        <v>98</v>
      </c>
      <c r="F8671" t="s">
        <v>103</v>
      </c>
      <c r="G8671" t="s">
        <v>32</v>
      </c>
      <c r="H8671" t="s">
        <v>97</v>
      </c>
      <c r="I8671" t="s">
        <v>103</v>
      </c>
      <c r="J8671" t="s">
        <v>103</v>
      </c>
      <c r="K8671" t="s">
        <v>97</v>
      </c>
      <c r="L8671" t="s">
        <v>97</v>
      </c>
      <c r="M8671" t="s">
        <v>103</v>
      </c>
      <c r="N8671" t="s">
        <v>103</v>
      </c>
      <c r="O8671" t="s">
        <v>103</v>
      </c>
      <c r="P8671" t="s">
        <v>103</v>
      </c>
      <c r="Q8671" t="s">
        <v>103</v>
      </c>
      <c r="R8671" t="s">
        <v>95</v>
      </c>
      <c r="S8671" t="s">
        <v>103</v>
      </c>
      <c r="T8671" t="s">
        <v>103</v>
      </c>
      <c r="U8671" t="s">
        <v>103</v>
      </c>
      <c r="V8671" t="s">
        <v>566</v>
      </c>
      <c r="W8671" t="s">
        <v>103</v>
      </c>
    </row>
    <row r="8672" spans="1:23" x14ac:dyDescent="0.3">
      <c r="A8672" t="s">
        <v>28</v>
      </c>
      <c r="B8672" t="s">
        <v>292</v>
      </c>
      <c r="C8672">
        <v>191</v>
      </c>
      <c r="D8672" t="s">
        <v>725</v>
      </c>
      <c r="E8672" t="s">
        <v>103</v>
      </c>
      <c r="F8672" t="s">
        <v>97</v>
      </c>
      <c r="G8672" t="s">
        <v>607</v>
      </c>
      <c r="H8672" t="s">
        <v>103</v>
      </c>
      <c r="I8672" t="s">
        <v>103</v>
      </c>
      <c r="J8672" t="s">
        <v>103</v>
      </c>
      <c r="K8672" t="s">
        <v>103</v>
      </c>
      <c r="L8672" t="s">
        <v>103</v>
      </c>
      <c r="M8672" t="s">
        <v>103</v>
      </c>
      <c r="N8672" t="s">
        <v>103</v>
      </c>
      <c r="O8672" t="s">
        <v>103</v>
      </c>
      <c r="P8672" t="s">
        <v>103</v>
      </c>
      <c r="Q8672" t="s">
        <v>103</v>
      </c>
      <c r="R8672" t="s">
        <v>103</v>
      </c>
      <c r="S8672" t="s">
        <v>103</v>
      </c>
      <c r="T8672" t="s">
        <v>103</v>
      </c>
      <c r="U8672" t="s">
        <v>103</v>
      </c>
      <c r="V8672" t="s">
        <v>90</v>
      </c>
      <c r="W8672" t="s">
        <v>103</v>
      </c>
    </row>
    <row r="8673" spans="1:23" x14ac:dyDescent="0.3">
      <c r="A8673" t="s">
        <v>28</v>
      </c>
      <c r="B8673" t="s">
        <v>308</v>
      </c>
      <c r="C8673">
        <v>12</v>
      </c>
      <c r="D8673" t="s">
        <v>192</v>
      </c>
      <c r="E8673" t="s">
        <v>103</v>
      </c>
      <c r="F8673" t="s">
        <v>103</v>
      </c>
      <c r="G8673" t="s">
        <v>103</v>
      </c>
      <c r="H8673" t="s">
        <v>103</v>
      </c>
      <c r="I8673" t="s">
        <v>103</v>
      </c>
      <c r="J8673" t="s">
        <v>103</v>
      </c>
      <c r="K8673" t="s">
        <v>103</v>
      </c>
      <c r="L8673" t="s">
        <v>103</v>
      </c>
      <c r="M8673" t="s">
        <v>103</v>
      </c>
      <c r="N8673" t="s">
        <v>103</v>
      </c>
      <c r="O8673" t="s">
        <v>103</v>
      </c>
      <c r="P8673" t="s">
        <v>103</v>
      </c>
      <c r="Q8673" t="s">
        <v>103</v>
      </c>
      <c r="R8673" t="s">
        <v>103</v>
      </c>
      <c r="S8673" t="s">
        <v>103</v>
      </c>
      <c r="T8673" t="s">
        <v>103</v>
      </c>
      <c r="U8673" t="s">
        <v>103</v>
      </c>
      <c r="V8673" t="s">
        <v>103</v>
      </c>
      <c r="W8673" t="s">
        <v>103</v>
      </c>
    </row>
    <row r="8674" spans="1:23" x14ac:dyDescent="0.3">
      <c r="A8674" t="s">
        <v>27</v>
      </c>
      <c r="B8674" t="s">
        <v>291</v>
      </c>
      <c r="C8674">
        <v>95</v>
      </c>
      <c r="D8674" t="s">
        <v>403</v>
      </c>
      <c r="E8674" t="s">
        <v>103</v>
      </c>
      <c r="F8674" t="s">
        <v>103</v>
      </c>
      <c r="G8674" t="s">
        <v>890</v>
      </c>
      <c r="H8674" t="s">
        <v>103</v>
      </c>
      <c r="I8674" t="s">
        <v>103</v>
      </c>
      <c r="J8674" t="s">
        <v>103</v>
      </c>
      <c r="K8674" t="s">
        <v>103</v>
      </c>
      <c r="L8674" t="s">
        <v>103</v>
      </c>
      <c r="M8674" t="s">
        <v>103</v>
      </c>
      <c r="N8674" t="s">
        <v>139</v>
      </c>
      <c r="O8674" t="s">
        <v>103</v>
      </c>
      <c r="P8674" t="s">
        <v>91</v>
      </c>
      <c r="Q8674" t="s">
        <v>103</v>
      </c>
      <c r="R8674" t="s">
        <v>103</v>
      </c>
      <c r="S8674" t="s">
        <v>103</v>
      </c>
      <c r="T8674" t="s">
        <v>103</v>
      </c>
      <c r="U8674" t="s">
        <v>468</v>
      </c>
      <c r="V8674" t="s">
        <v>727</v>
      </c>
      <c r="W8674" t="s">
        <v>103</v>
      </c>
    </row>
    <row r="8675" spans="1:23" x14ac:dyDescent="0.3">
      <c r="A8675" t="s">
        <v>27</v>
      </c>
      <c r="B8675" t="s">
        <v>292</v>
      </c>
      <c r="C8675">
        <v>198</v>
      </c>
      <c r="D8675" t="s">
        <v>905</v>
      </c>
      <c r="E8675" t="s">
        <v>103</v>
      </c>
      <c r="F8675" t="s">
        <v>103</v>
      </c>
      <c r="G8675" t="s">
        <v>829</v>
      </c>
      <c r="H8675" t="s">
        <v>103</v>
      </c>
      <c r="I8675" t="s">
        <v>103</v>
      </c>
      <c r="J8675" t="s">
        <v>103</v>
      </c>
      <c r="K8675" t="s">
        <v>103</v>
      </c>
      <c r="L8675" t="s">
        <v>341</v>
      </c>
      <c r="M8675" t="s">
        <v>103</v>
      </c>
      <c r="N8675" t="s">
        <v>97</v>
      </c>
      <c r="O8675" t="s">
        <v>103</v>
      </c>
      <c r="P8675" t="s">
        <v>103</v>
      </c>
      <c r="Q8675" t="s">
        <v>103</v>
      </c>
      <c r="R8675" t="s">
        <v>103</v>
      </c>
      <c r="S8675" t="s">
        <v>103</v>
      </c>
      <c r="T8675" t="s">
        <v>103</v>
      </c>
      <c r="U8675" t="s">
        <v>97</v>
      </c>
      <c r="V8675" t="s">
        <v>148</v>
      </c>
      <c r="W8675" t="s">
        <v>103</v>
      </c>
    </row>
    <row r="8676" spans="1:23" x14ac:dyDescent="0.3">
      <c r="A8676" t="s">
        <v>27</v>
      </c>
      <c r="B8676" t="s">
        <v>308</v>
      </c>
      <c r="C8676">
        <v>7</v>
      </c>
      <c r="D8676" t="s">
        <v>823</v>
      </c>
      <c r="E8676" t="s">
        <v>103</v>
      </c>
      <c r="F8676" t="s">
        <v>103</v>
      </c>
      <c r="G8676" t="s">
        <v>131</v>
      </c>
      <c r="H8676" t="s">
        <v>103</v>
      </c>
      <c r="I8676" t="s">
        <v>103</v>
      </c>
      <c r="J8676" t="s">
        <v>103</v>
      </c>
      <c r="K8676" t="s">
        <v>103</v>
      </c>
      <c r="L8676" t="s">
        <v>103</v>
      </c>
      <c r="M8676" t="s">
        <v>103</v>
      </c>
      <c r="N8676" t="s">
        <v>103</v>
      </c>
      <c r="O8676" t="s">
        <v>103</v>
      </c>
      <c r="P8676" t="s">
        <v>103</v>
      </c>
      <c r="Q8676" t="s">
        <v>103</v>
      </c>
      <c r="R8676" t="s">
        <v>103</v>
      </c>
      <c r="S8676" t="s">
        <v>103</v>
      </c>
      <c r="T8676" t="s">
        <v>103</v>
      </c>
      <c r="U8676" t="s">
        <v>103</v>
      </c>
      <c r="V8676" t="s">
        <v>469</v>
      </c>
      <c r="W8676" t="s">
        <v>103</v>
      </c>
    </row>
    <row r="8677" spans="1:23" x14ac:dyDescent="0.3">
      <c r="A8677" t="s">
        <v>41</v>
      </c>
      <c r="B8677" t="s">
        <v>291</v>
      </c>
      <c r="C8677">
        <v>692</v>
      </c>
      <c r="D8677" t="s">
        <v>774</v>
      </c>
      <c r="E8677" t="s">
        <v>103</v>
      </c>
      <c r="F8677" t="s">
        <v>103</v>
      </c>
      <c r="G8677" t="s">
        <v>239</v>
      </c>
      <c r="H8677" t="s">
        <v>66</v>
      </c>
      <c r="I8677" t="s">
        <v>103</v>
      </c>
      <c r="J8677" t="s">
        <v>139</v>
      </c>
      <c r="K8677" t="s">
        <v>103</v>
      </c>
      <c r="L8677" t="s">
        <v>122</v>
      </c>
      <c r="M8677" t="s">
        <v>103</v>
      </c>
      <c r="N8677" t="s">
        <v>139</v>
      </c>
      <c r="O8677" t="s">
        <v>103</v>
      </c>
      <c r="P8677" t="s">
        <v>120</v>
      </c>
      <c r="Q8677" t="s">
        <v>103</v>
      </c>
      <c r="R8677" t="s">
        <v>103</v>
      </c>
      <c r="S8677" t="s">
        <v>103</v>
      </c>
      <c r="T8677" t="s">
        <v>103</v>
      </c>
      <c r="U8677" t="s">
        <v>66</v>
      </c>
      <c r="V8677" t="s">
        <v>463</v>
      </c>
      <c r="W8677" t="s">
        <v>91</v>
      </c>
    </row>
    <row r="8678" spans="1:23" x14ac:dyDescent="0.3">
      <c r="A8678" t="s">
        <v>41</v>
      </c>
      <c r="B8678" t="s">
        <v>292</v>
      </c>
      <c r="C8678">
        <v>1320</v>
      </c>
      <c r="D8678" t="s">
        <v>143</v>
      </c>
      <c r="E8678" t="s">
        <v>103</v>
      </c>
      <c r="F8678" t="s">
        <v>91</v>
      </c>
      <c r="G8678" t="s">
        <v>257</v>
      </c>
      <c r="H8678" t="s">
        <v>66</v>
      </c>
      <c r="I8678" t="s">
        <v>282</v>
      </c>
      <c r="J8678" t="s">
        <v>139</v>
      </c>
      <c r="K8678" t="s">
        <v>98</v>
      </c>
      <c r="L8678" t="s">
        <v>120</v>
      </c>
      <c r="M8678" t="s">
        <v>66</v>
      </c>
      <c r="N8678" t="s">
        <v>194</v>
      </c>
      <c r="O8678" t="s">
        <v>91</v>
      </c>
      <c r="P8678" t="s">
        <v>120</v>
      </c>
      <c r="Q8678" t="s">
        <v>116</v>
      </c>
      <c r="R8678" t="s">
        <v>116</v>
      </c>
      <c r="S8678" t="s">
        <v>103</v>
      </c>
      <c r="T8678" t="s">
        <v>103</v>
      </c>
      <c r="U8678" t="s">
        <v>91</v>
      </c>
      <c r="V8678" t="s">
        <v>157</v>
      </c>
      <c r="W8678" t="s">
        <v>103</v>
      </c>
    </row>
    <row r="8679" spans="1:23" x14ac:dyDescent="0.3">
      <c r="A8679" t="s">
        <v>41</v>
      </c>
      <c r="B8679" t="s">
        <v>308</v>
      </c>
      <c r="C8679">
        <v>26</v>
      </c>
      <c r="D8679" t="s">
        <v>611</v>
      </c>
      <c r="E8679" t="s">
        <v>103</v>
      </c>
      <c r="F8679" t="s">
        <v>103</v>
      </c>
      <c r="G8679" t="s">
        <v>266</v>
      </c>
      <c r="H8679" t="s">
        <v>103</v>
      </c>
      <c r="I8679" t="s">
        <v>103</v>
      </c>
      <c r="J8679" t="s">
        <v>103</v>
      </c>
      <c r="K8679" t="s">
        <v>103</v>
      </c>
      <c r="L8679" t="s">
        <v>103</v>
      </c>
      <c r="M8679" t="s">
        <v>103</v>
      </c>
      <c r="N8679" t="s">
        <v>103</v>
      </c>
      <c r="O8679" t="s">
        <v>103</v>
      </c>
      <c r="P8679" t="s">
        <v>103</v>
      </c>
      <c r="Q8679" t="s">
        <v>103</v>
      </c>
      <c r="R8679" t="s">
        <v>103</v>
      </c>
      <c r="S8679" t="s">
        <v>103</v>
      </c>
      <c r="T8679" t="s">
        <v>103</v>
      </c>
      <c r="U8679" t="s">
        <v>103</v>
      </c>
      <c r="V8679" t="s">
        <v>195</v>
      </c>
      <c r="W8679" t="s">
        <v>103</v>
      </c>
    </row>
    <row r="8681" spans="1:23" x14ac:dyDescent="0.3">
      <c r="A8681" t="s">
        <v>2442</v>
      </c>
    </row>
    <row r="8682" spans="1:23" x14ac:dyDescent="0.3">
      <c r="A8682" t="s">
        <v>36</v>
      </c>
      <c r="B8682" t="s">
        <v>310</v>
      </c>
      <c r="C8682" t="s">
        <v>24</v>
      </c>
      <c r="D8682" t="s">
        <v>1195</v>
      </c>
      <c r="E8682" t="s">
        <v>2419</v>
      </c>
      <c r="F8682" t="s">
        <v>2420</v>
      </c>
      <c r="G8682" t="s">
        <v>2421</v>
      </c>
      <c r="H8682" t="s">
        <v>2439</v>
      </c>
      <c r="I8682" t="s">
        <v>2422</v>
      </c>
      <c r="J8682" t="s">
        <v>2440</v>
      </c>
      <c r="K8682" t="s">
        <v>2423</v>
      </c>
      <c r="L8682" t="s">
        <v>2424</v>
      </c>
      <c r="M8682" t="s">
        <v>2425</v>
      </c>
      <c r="N8682" t="s">
        <v>2426</v>
      </c>
      <c r="O8682" t="s">
        <v>2427</v>
      </c>
      <c r="P8682" t="s">
        <v>2428</v>
      </c>
      <c r="Q8682" t="s">
        <v>2429</v>
      </c>
      <c r="R8682" t="s">
        <v>2430</v>
      </c>
      <c r="S8682" t="s">
        <v>2431</v>
      </c>
      <c r="T8682" t="s">
        <v>2432</v>
      </c>
      <c r="U8682" t="s">
        <v>183</v>
      </c>
      <c r="V8682" t="s">
        <v>87</v>
      </c>
      <c r="W8682" t="s">
        <v>181</v>
      </c>
    </row>
    <row r="8683" spans="1:23" x14ac:dyDescent="0.3">
      <c r="A8683" t="s">
        <v>25</v>
      </c>
      <c r="B8683" t="s">
        <v>311</v>
      </c>
      <c r="C8683">
        <v>324</v>
      </c>
      <c r="D8683" t="s">
        <v>896</v>
      </c>
      <c r="E8683" t="s">
        <v>103</v>
      </c>
      <c r="F8683" t="s">
        <v>103</v>
      </c>
      <c r="G8683" t="s">
        <v>282</v>
      </c>
      <c r="H8683" t="s">
        <v>468</v>
      </c>
      <c r="I8683" t="s">
        <v>97</v>
      </c>
      <c r="J8683" t="s">
        <v>103</v>
      </c>
      <c r="K8683" t="s">
        <v>116</v>
      </c>
      <c r="L8683" t="s">
        <v>97</v>
      </c>
      <c r="M8683" t="s">
        <v>103</v>
      </c>
      <c r="N8683" t="s">
        <v>110</v>
      </c>
      <c r="O8683" t="s">
        <v>103</v>
      </c>
      <c r="P8683" t="s">
        <v>103</v>
      </c>
      <c r="Q8683" t="s">
        <v>103</v>
      </c>
      <c r="R8683" t="s">
        <v>103</v>
      </c>
      <c r="S8683" t="s">
        <v>103</v>
      </c>
      <c r="T8683" t="s">
        <v>103</v>
      </c>
      <c r="U8683" t="s">
        <v>103</v>
      </c>
      <c r="V8683" t="s">
        <v>468</v>
      </c>
      <c r="W8683" t="s">
        <v>103</v>
      </c>
    </row>
    <row r="8684" spans="1:23" x14ac:dyDescent="0.3">
      <c r="A8684" t="s">
        <v>25</v>
      </c>
      <c r="B8684" t="s">
        <v>312</v>
      </c>
      <c r="C8684">
        <v>80</v>
      </c>
      <c r="D8684" t="s">
        <v>69</v>
      </c>
      <c r="E8684" t="s">
        <v>103</v>
      </c>
      <c r="F8684" t="s">
        <v>103</v>
      </c>
      <c r="G8684" t="s">
        <v>103</v>
      </c>
      <c r="H8684" t="s">
        <v>103</v>
      </c>
      <c r="I8684" t="s">
        <v>103</v>
      </c>
      <c r="J8684" t="s">
        <v>103</v>
      </c>
      <c r="K8684" t="s">
        <v>103</v>
      </c>
      <c r="L8684" t="s">
        <v>245</v>
      </c>
      <c r="M8684" t="s">
        <v>103</v>
      </c>
      <c r="N8684" t="s">
        <v>103</v>
      </c>
      <c r="O8684" t="s">
        <v>103</v>
      </c>
      <c r="P8684" t="s">
        <v>103</v>
      </c>
      <c r="Q8684" t="s">
        <v>103</v>
      </c>
      <c r="R8684" t="s">
        <v>103</v>
      </c>
      <c r="S8684" t="s">
        <v>103</v>
      </c>
      <c r="T8684" t="s">
        <v>103</v>
      </c>
      <c r="U8684" t="s">
        <v>103</v>
      </c>
      <c r="V8684" t="s">
        <v>110</v>
      </c>
      <c r="W8684" t="s">
        <v>103</v>
      </c>
    </row>
    <row r="8685" spans="1:23" x14ac:dyDescent="0.3">
      <c r="A8685" t="s">
        <v>25</v>
      </c>
      <c r="B8685" t="s">
        <v>308</v>
      </c>
      <c r="C8685">
        <v>10</v>
      </c>
      <c r="D8685" t="s">
        <v>192</v>
      </c>
      <c r="E8685" t="s">
        <v>103</v>
      </c>
      <c r="F8685" t="s">
        <v>103</v>
      </c>
      <c r="G8685" t="s">
        <v>103</v>
      </c>
      <c r="H8685" t="s">
        <v>103</v>
      </c>
      <c r="I8685" t="s">
        <v>103</v>
      </c>
      <c r="J8685" t="s">
        <v>103</v>
      </c>
      <c r="K8685" t="s">
        <v>103</v>
      </c>
      <c r="L8685" t="s">
        <v>103</v>
      </c>
      <c r="M8685" t="s">
        <v>103</v>
      </c>
      <c r="N8685" t="s">
        <v>103</v>
      </c>
      <c r="O8685" t="s">
        <v>103</v>
      </c>
      <c r="P8685" t="s">
        <v>103</v>
      </c>
      <c r="Q8685" t="s">
        <v>103</v>
      </c>
      <c r="R8685" t="s">
        <v>103</v>
      </c>
      <c r="S8685" t="s">
        <v>103</v>
      </c>
      <c r="T8685" t="s">
        <v>103</v>
      </c>
      <c r="U8685" t="s">
        <v>103</v>
      </c>
      <c r="V8685" t="s">
        <v>103</v>
      </c>
      <c r="W8685" t="s">
        <v>103</v>
      </c>
    </row>
    <row r="8686" spans="1:23" x14ac:dyDescent="0.3">
      <c r="A8686" t="s">
        <v>26</v>
      </c>
      <c r="B8686" t="s">
        <v>311</v>
      </c>
      <c r="C8686">
        <v>343</v>
      </c>
      <c r="D8686" t="s">
        <v>592</v>
      </c>
      <c r="E8686" t="s">
        <v>103</v>
      </c>
      <c r="F8686" t="s">
        <v>103</v>
      </c>
      <c r="G8686" t="s">
        <v>186</v>
      </c>
      <c r="H8686" t="s">
        <v>103</v>
      </c>
      <c r="I8686" t="s">
        <v>194</v>
      </c>
      <c r="J8686" t="s">
        <v>103</v>
      </c>
      <c r="K8686" t="s">
        <v>468</v>
      </c>
      <c r="L8686" t="s">
        <v>103</v>
      </c>
      <c r="M8686" t="s">
        <v>97</v>
      </c>
      <c r="N8686" t="s">
        <v>120</v>
      </c>
      <c r="O8686" t="s">
        <v>103</v>
      </c>
      <c r="P8686" t="s">
        <v>103</v>
      </c>
      <c r="Q8686" t="s">
        <v>282</v>
      </c>
      <c r="R8686" t="s">
        <v>282</v>
      </c>
      <c r="S8686" t="s">
        <v>103</v>
      </c>
      <c r="T8686" t="s">
        <v>103</v>
      </c>
      <c r="U8686" t="s">
        <v>116</v>
      </c>
      <c r="V8686" t="s">
        <v>517</v>
      </c>
      <c r="W8686" t="s">
        <v>66</v>
      </c>
    </row>
    <row r="8687" spans="1:23" x14ac:dyDescent="0.3">
      <c r="A8687" t="s">
        <v>26</v>
      </c>
      <c r="B8687" t="s">
        <v>312</v>
      </c>
      <c r="C8687">
        <v>96</v>
      </c>
      <c r="D8687" t="s">
        <v>397</v>
      </c>
      <c r="E8687" t="s">
        <v>103</v>
      </c>
      <c r="F8687" t="s">
        <v>345</v>
      </c>
      <c r="G8687" t="s">
        <v>217</v>
      </c>
      <c r="H8687" t="s">
        <v>103</v>
      </c>
      <c r="I8687" t="s">
        <v>103</v>
      </c>
      <c r="J8687" t="s">
        <v>103</v>
      </c>
      <c r="K8687" t="s">
        <v>345</v>
      </c>
      <c r="L8687" t="s">
        <v>103</v>
      </c>
      <c r="M8687" t="s">
        <v>103</v>
      </c>
      <c r="N8687" t="s">
        <v>103</v>
      </c>
      <c r="O8687" t="s">
        <v>282</v>
      </c>
      <c r="P8687" t="s">
        <v>103</v>
      </c>
      <c r="Q8687" t="s">
        <v>103</v>
      </c>
      <c r="R8687" t="s">
        <v>98</v>
      </c>
      <c r="S8687" t="s">
        <v>103</v>
      </c>
      <c r="T8687" t="s">
        <v>103</v>
      </c>
      <c r="U8687" t="s">
        <v>103</v>
      </c>
      <c r="V8687" t="s">
        <v>727</v>
      </c>
      <c r="W8687" t="s">
        <v>103</v>
      </c>
    </row>
    <row r="8688" spans="1:23" x14ac:dyDescent="0.3">
      <c r="A8688" t="s">
        <v>26</v>
      </c>
      <c r="B8688" t="s">
        <v>308</v>
      </c>
      <c r="C8688">
        <v>38</v>
      </c>
      <c r="D8688" t="s">
        <v>1138</v>
      </c>
      <c r="E8688" t="s">
        <v>103</v>
      </c>
      <c r="F8688" t="s">
        <v>103</v>
      </c>
      <c r="G8688" t="s">
        <v>257</v>
      </c>
      <c r="H8688" t="s">
        <v>103</v>
      </c>
      <c r="I8688" t="s">
        <v>257</v>
      </c>
      <c r="J8688" t="s">
        <v>103</v>
      </c>
      <c r="K8688" t="s">
        <v>103</v>
      </c>
      <c r="L8688" t="s">
        <v>103</v>
      </c>
      <c r="M8688" t="s">
        <v>257</v>
      </c>
      <c r="N8688" t="s">
        <v>257</v>
      </c>
      <c r="O8688" t="s">
        <v>103</v>
      </c>
      <c r="P8688" t="s">
        <v>103</v>
      </c>
      <c r="Q8688" t="s">
        <v>103</v>
      </c>
      <c r="R8688" t="s">
        <v>103</v>
      </c>
      <c r="S8688" t="s">
        <v>103</v>
      </c>
      <c r="T8688" t="s">
        <v>103</v>
      </c>
      <c r="U8688" t="s">
        <v>103</v>
      </c>
      <c r="V8688" t="s">
        <v>687</v>
      </c>
      <c r="W8688" t="s">
        <v>103</v>
      </c>
    </row>
    <row r="8689" spans="1:23" x14ac:dyDescent="0.3">
      <c r="A8689" t="s">
        <v>29</v>
      </c>
      <c r="B8689" t="s">
        <v>311</v>
      </c>
      <c r="C8689">
        <v>414</v>
      </c>
      <c r="D8689" t="s">
        <v>55</v>
      </c>
      <c r="E8689" t="s">
        <v>103</v>
      </c>
      <c r="F8689" t="s">
        <v>103</v>
      </c>
      <c r="G8689" t="s">
        <v>116</v>
      </c>
      <c r="H8689" t="s">
        <v>103</v>
      </c>
      <c r="I8689" t="s">
        <v>97</v>
      </c>
      <c r="J8689" t="s">
        <v>216</v>
      </c>
      <c r="K8689" t="s">
        <v>66</v>
      </c>
      <c r="L8689" t="s">
        <v>66</v>
      </c>
      <c r="M8689" t="s">
        <v>103</v>
      </c>
      <c r="N8689" t="s">
        <v>468</v>
      </c>
      <c r="O8689" t="s">
        <v>103</v>
      </c>
      <c r="P8689" t="s">
        <v>194</v>
      </c>
      <c r="Q8689" t="s">
        <v>103</v>
      </c>
      <c r="R8689" t="s">
        <v>103</v>
      </c>
      <c r="S8689" t="s">
        <v>103</v>
      </c>
      <c r="T8689" t="s">
        <v>103</v>
      </c>
      <c r="U8689" t="s">
        <v>66</v>
      </c>
      <c r="V8689" t="s">
        <v>495</v>
      </c>
      <c r="W8689" t="s">
        <v>103</v>
      </c>
    </row>
    <row r="8690" spans="1:23" x14ac:dyDescent="0.3">
      <c r="A8690" t="s">
        <v>29</v>
      </c>
      <c r="B8690" t="s">
        <v>312</v>
      </c>
      <c r="C8690">
        <v>103</v>
      </c>
      <c r="D8690" t="s">
        <v>1001</v>
      </c>
      <c r="E8690" t="s">
        <v>103</v>
      </c>
      <c r="F8690" t="s">
        <v>103</v>
      </c>
      <c r="G8690" t="s">
        <v>103</v>
      </c>
      <c r="H8690" t="s">
        <v>66</v>
      </c>
      <c r="I8690" t="s">
        <v>345</v>
      </c>
      <c r="J8690" t="s">
        <v>345</v>
      </c>
      <c r="K8690" t="s">
        <v>345</v>
      </c>
      <c r="L8690" t="s">
        <v>217</v>
      </c>
      <c r="M8690" t="s">
        <v>103</v>
      </c>
      <c r="N8690" t="s">
        <v>245</v>
      </c>
      <c r="O8690" t="s">
        <v>103</v>
      </c>
      <c r="P8690" t="s">
        <v>282</v>
      </c>
      <c r="Q8690" t="s">
        <v>103</v>
      </c>
      <c r="R8690" t="s">
        <v>103</v>
      </c>
      <c r="S8690" t="s">
        <v>103</v>
      </c>
      <c r="T8690" t="s">
        <v>103</v>
      </c>
      <c r="U8690" t="s">
        <v>103</v>
      </c>
      <c r="V8690" t="s">
        <v>160</v>
      </c>
      <c r="W8690" t="s">
        <v>103</v>
      </c>
    </row>
    <row r="8691" spans="1:23" x14ac:dyDescent="0.3">
      <c r="A8691" t="s">
        <v>29</v>
      </c>
      <c r="B8691" t="s">
        <v>308</v>
      </c>
      <c r="C8691">
        <v>13</v>
      </c>
      <c r="D8691" t="s">
        <v>603</v>
      </c>
      <c r="E8691" t="s">
        <v>103</v>
      </c>
      <c r="F8691" t="s">
        <v>103</v>
      </c>
      <c r="G8691" t="s">
        <v>103</v>
      </c>
      <c r="H8691" t="s">
        <v>103</v>
      </c>
      <c r="I8691" t="s">
        <v>103</v>
      </c>
      <c r="J8691" t="s">
        <v>99</v>
      </c>
      <c r="K8691" t="s">
        <v>99</v>
      </c>
      <c r="L8691" t="s">
        <v>103</v>
      </c>
      <c r="M8691" t="s">
        <v>103</v>
      </c>
      <c r="N8691" t="s">
        <v>99</v>
      </c>
      <c r="O8691" t="s">
        <v>103</v>
      </c>
      <c r="P8691" t="s">
        <v>103</v>
      </c>
      <c r="Q8691" t="s">
        <v>103</v>
      </c>
      <c r="R8691" t="s">
        <v>103</v>
      </c>
      <c r="S8691" t="s">
        <v>103</v>
      </c>
      <c r="T8691" t="s">
        <v>103</v>
      </c>
      <c r="U8691" t="s">
        <v>103</v>
      </c>
      <c r="V8691" t="s">
        <v>517</v>
      </c>
      <c r="W8691" t="s">
        <v>103</v>
      </c>
    </row>
    <row r="8692" spans="1:23" x14ac:dyDescent="0.3">
      <c r="A8692" t="s">
        <v>28</v>
      </c>
      <c r="B8692" t="s">
        <v>311</v>
      </c>
      <c r="C8692">
        <v>223</v>
      </c>
      <c r="D8692" t="s">
        <v>276</v>
      </c>
      <c r="E8692" t="s">
        <v>103</v>
      </c>
      <c r="F8692" t="s">
        <v>103</v>
      </c>
      <c r="G8692" t="s">
        <v>214</v>
      </c>
      <c r="H8692" t="s">
        <v>116</v>
      </c>
      <c r="I8692" t="s">
        <v>103</v>
      </c>
      <c r="J8692" t="s">
        <v>103</v>
      </c>
      <c r="K8692" t="s">
        <v>116</v>
      </c>
      <c r="L8692" t="s">
        <v>116</v>
      </c>
      <c r="M8692" t="s">
        <v>103</v>
      </c>
      <c r="N8692" t="s">
        <v>103</v>
      </c>
      <c r="O8692" t="s">
        <v>103</v>
      </c>
      <c r="P8692" t="s">
        <v>103</v>
      </c>
      <c r="Q8692" t="s">
        <v>103</v>
      </c>
      <c r="R8692" t="s">
        <v>103</v>
      </c>
      <c r="S8692" t="s">
        <v>103</v>
      </c>
      <c r="T8692" t="s">
        <v>103</v>
      </c>
      <c r="U8692" t="s">
        <v>103</v>
      </c>
      <c r="V8692" t="s">
        <v>517</v>
      </c>
      <c r="W8692" t="s">
        <v>103</v>
      </c>
    </row>
    <row r="8693" spans="1:23" x14ac:dyDescent="0.3">
      <c r="A8693" t="s">
        <v>28</v>
      </c>
      <c r="B8693" t="s">
        <v>312</v>
      </c>
      <c r="C8693">
        <v>93</v>
      </c>
      <c r="D8693" t="s">
        <v>1381</v>
      </c>
      <c r="E8693" t="s">
        <v>194</v>
      </c>
      <c r="F8693" t="s">
        <v>345</v>
      </c>
      <c r="G8693" t="s">
        <v>254</v>
      </c>
      <c r="H8693" t="s">
        <v>103</v>
      </c>
      <c r="I8693" t="s">
        <v>103</v>
      </c>
      <c r="J8693" t="s">
        <v>103</v>
      </c>
      <c r="K8693" t="s">
        <v>103</v>
      </c>
      <c r="L8693" t="s">
        <v>103</v>
      </c>
      <c r="M8693" t="s">
        <v>103</v>
      </c>
      <c r="N8693" t="s">
        <v>103</v>
      </c>
      <c r="O8693" t="s">
        <v>103</v>
      </c>
      <c r="P8693" t="s">
        <v>103</v>
      </c>
      <c r="Q8693" t="s">
        <v>103</v>
      </c>
      <c r="R8693" t="s">
        <v>282</v>
      </c>
      <c r="S8693" t="s">
        <v>103</v>
      </c>
      <c r="T8693" t="s">
        <v>103</v>
      </c>
      <c r="U8693" t="s">
        <v>103</v>
      </c>
      <c r="V8693" t="s">
        <v>494</v>
      </c>
      <c r="W8693" t="s">
        <v>103</v>
      </c>
    </row>
    <row r="8694" spans="1:23" x14ac:dyDescent="0.3">
      <c r="A8694" t="s">
        <v>28</v>
      </c>
      <c r="B8694" t="s">
        <v>308</v>
      </c>
      <c r="C8694">
        <v>1</v>
      </c>
      <c r="D8694" t="s">
        <v>192</v>
      </c>
      <c r="E8694" t="s">
        <v>103</v>
      </c>
      <c r="F8694" t="s">
        <v>103</v>
      </c>
      <c r="G8694" t="s">
        <v>103</v>
      </c>
      <c r="H8694" t="s">
        <v>103</v>
      </c>
      <c r="I8694" t="s">
        <v>103</v>
      </c>
      <c r="J8694" t="s">
        <v>103</v>
      </c>
      <c r="K8694" t="s">
        <v>103</v>
      </c>
      <c r="L8694" t="s">
        <v>103</v>
      </c>
      <c r="M8694" t="s">
        <v>103</v>
      </c>
      <c r="N8694" t="s">
        <v>103</v>
      </c>
      <c r="O8694" t="s">
        <v>103</v>
      </c>
      <c r="P8694" t="s">
        <v>103</v>
      </c>
      <c r="Q8694" t="s">
        <v>103</v>
      </c>
      <c r="R8694" t="s">
        <v>103</v>
      </c>
      <c r="S8694" t="s">
        <v>103</v>
      </c>
      <c r="T8694" t="s">
        <v>103</v>
      </c>
      <c r="U8694" t="s">
        <v>103</v>
      </c>
      <c r="V8694" t="s">
        <v>103</v>
      </c>
      <c r="W8694" t="s">
        <v>103</v>
      </c>
    </row>
    <row r="8695" spans="1:23" x14ac:dyDescent="0.3">
      <c r="A8695" t="s">
        <v>27</v>
      </c>
      <c r="B8695" t="s">
        <v>311</v>
      </c>
      <c r="C8695">
        <v>237</v>
      </c>
      <c r="D8695" t="s">
        <v>1420</v>
      </c>
      <c r="E8695" t="s">
        <v>103</v>
      </c>
      <c r="F8695" t="s">
        <v>103</v>
      </c>
      <c r="G8695" t="s">
        <v>734</v>
      </c>
      <c r="H8695" t="s">
        <v>103</v>
      </c>
      <c r="I8695" t="s">
        <v>103</v>
      </c>
      <c r="J8695" t="s">
        <v>103</v>
      </c>
      <c r="K8695" t="s">
        <v>103</v>
      </c>
      <c r="L8695" t="s">
        <v>216</v>
      </c>
      <c r="M8695" t="s">
        <v>103</v>
      </c>
      <c r="N8695" t="s">
        <v>95</v>
      </c>
      <c r="O8695" t="s">
        <v>103</v>
      </c>
      <c r="P8695" t="s">
        <v>103</v>
      </c>
      <c r="Q8695" t="s">
        <v>103</v>
      </c>
      <c r="R8695" t="s">
        <v>103</v>
      </c>
      <c r="S8695" t="s">
        <v>103</v>
      </c>
      <c r="T8695" t="s">
        <v>103</v>
      </c>
      <c r="U8695" t="s">
        <v>139</v>
      </c>
      <c r="V8695" t="s">
        <v>750</v>
      </c>
      <c r="W8695" t="s">
        <v>103</v>
      </c>
    </row>
    <row r="8696" spans="1:23" x14ac:dyDescent="0.3">
      <c r="A8696" t="s">
        <v>27</v>
      </c>
      <c r="B8696" t="s">
        <v>312</v>
      </c>
      <c r="C8696">
        <v>60</v>
      </c>
      <c r="D8696" t="s">
        <v>1063</v>
      </c>
      <c r="E8696" t="s">
        <v>103</v>
      </c>
      <c r="F8696" t="s">
        <v>103</v>
      </c>
      <c r="G8696" t="s">
        <v>101</v>
      </c>
      <c r="H8696" t="s">
        <v>103</v>
      </c>
      <c r="I8696" t="s">
        <v>103</v>
      </c>
      <c r="J8696" t="s">
        <v>103</v>
      </c>
      <c r="K8696" t="s">
        <v>103</v>
      </c>
      <c r="L8696" t="s">
        <v>103</v>
      </c>
      <c r="M8696" t="s">
        <v>103</v>
      </c>
      <c r="N8696" t="s">
        <v>103</v>
      </c>
      <c r="O8696" t="s">
        <v>103</v>
      </c>
      <c r="P8696" t="s">
        <v>103</v>
      </c>
      <c r="Q8696" t="s">
        <v>103</v>
      </c>
      <c r="R8696" t="s">
        <v>103</v>
      </c>
      <c r="S8696" t="s">
        <v>103</v>
      </c>
      <c r="T8696" t="s">
        <v>103</v>
      </c>
      <c r="U8696" t="s">
        <v>103</v>
      </c>
      <c r="V8696" t="s">
        <v>486</v>
      </c>
      <c r="W8696" t="s">
        <v>103</v>
      </c>
    </row>
    <row r="8697" spans="1:23" x14ac:dyDescent="0.3">
      <c r="A8697" t="s">
        <v>27</v>
      </c>
      <c r="B8697" t="s">
        <v>308</v>
      </c>
      <c r="C8697">
        <v>3</v>
      </c>
      <c r="D8697" t="s">
        <v>192</v>
      </c>
      <c r="E8697" t="s">
        <v>103</v>
      </c>
      <c r="F8697" t="s">
        <v>103</v>
      </c>
      <c r="G8697" t="s">
        <v>103</v>
      </c>
      <c r="H8697" t="s">
        <v>103</v>
      </c>
      <c r="I8697" t="s">
        <v>103</v>
      </c>
      <c r="J8697" t="s">
        <v>103</v>
      </c>
      <c r="K8697" t="s">
        <v>103</v>
      </c>
      <c r="L8697" t="s">
        <v>103</v>
      </c>
      <c r="M8697" t="s">
        <v>103</v>
      </c>
      <c r="N8697" t="s">
        <v>103</v>
      </c>
      <c r="O8697" t="s">
        <v>103</v>
      </c>
      <c r="P8697" t="s">
        <v>103</v>
      </c>
      <c r="Q8697" t="s">
        <v>103</v>
      </c>
      <c r="R8697" t="s">
        <v>103</v>
      </c>
      <c r="S8697" t="s">
        <v>103</v>
      </c>
      <c r="T8697" t="s">
        <v>103</v>
      </c>
      <c r="U8697" t="s">
        <v>103</v>
      </c>
      <c r="V8697" t="s">
        <v>103</v>
      </c>
      <c r="W8697" t="s">
        <v>103</v>
      </c>
    </row>
    <row r="8698" spans="1:23" x14ac:dyDescent="0.3">
      <c r="A8698" t="s">
        <v>41</v>
      </c>
      <c r="B8698" t="s">
        <v>311</v>
      </c>
      <c r="C8698">
        <v>1541</v>
      </c>
      <c r="D8698" t="s">
        <v>775</v>
      </c>
      <c r="E8698" t="s">
        <v>103</v>
      </c>
      <c r="F8698" t="s">
        <v>103</v>
      </c>
      <c r="G8698" t="s">
        <v>128</v>
      </c>
      <c r="H8698" t="s">
        <v>116</v>
      </c>
      <c r="I8698" t="s">
        <v>120</v>
      </c>
      <c r="J8698" t="s">
        <v>95</v>
      </c>
      <c r="K8698" t="s">
        <v>122</v>
      </c>
      <c r="L8698" t="s">
        <v>116</v>
      </c>
      <c r="M8698" t="s">
        <v>91</v>
      </c>
      <c r="N8698" t="s">
        <v>282</v>
      </c>
      <c r="O8698" t="s">
        <v>103</v>
      </c>
      <c r="P8698" t="s">
        <v>120</v>
      </c>
      <c r="Q8698" t="s">
        <v>66</v>
      </c>
      <c r="R8698" t="s">
        <v>66</v>
      </c>
      <c r="S8698" t="s">
        <v>103</v>
      </c>
      <c r="T8698" t="s">
        <v>103</v>
      </c>
      <c r="U8698" t="s">
        <v>66</v>
      </c>
      <c r="V8698" t="s">
        <v>136</v>
      </c>
      <c r="W8698" t="s">
        <v>91</v>
      </c>
    </row>
    <row r="8699" spans="1:23" x14ac:dyDescent="0.3">
      <c r="A8699" t="s">
        <v>41</v>
      </c>
      <c r="B8699" t="s">
        <v>312</v>
      </c>
      <c r="C8699">
        <v>432</v>
      </c>
      <c r="D8699" t="s">
        <v>47</v>
      </c>
      <c r="E8699" t="s">
        <v>91</v>
      </c>
      <c r="F8699" t="s">
        <v>116</v>
      </c>
      <c r="G8699" t="s">
        <v>239</v>
      </c>
      <c r="H8699" t="s">
        <v>91</v>
      </c>
      <c r="I8699" t="s">
        <v>97</v>
      </c>
      <c r="J8699" t="s">
        <v>97</v>
      </c>
      <c r="K8699" t="s">
        <v>139</v>
      </c>
      <c r="L8699" t="s">
        <v>239</v>
      </c>
      <c r="M8699" t="s">
        <v>103</v>
      </c>
      <c r="N8699" t="s">
        <v>139</v>
      </c>
      <c r="O8699" t="s">
        <v>66</v>
      </c>
      <c r="P8699" t="s">
        <v>97</v>
      </c>
      <c r="Q8699" t="s">
        <v>103</v>
      </c>
      <c r="R8699" t="s">
        <v>116</v>
      </c>
      <c r="S8699" t="s">
        <v>103</v>
      </c>
      <c r="T8699" t="s">
        <v>103</v>
      </c>
      <c r="U8699" t="s">
        <v>103</v>
      </c>
      <c r="V8699" t="s">
        <v>809</v>
      </c>
      <c r="W8699" t="s">
        <v>103</v>
      </c>
    </row>
    <row r="8700" spans="1:23" x14ac:dyDescent="0.3">
      <c r="A8700" t="s">
        <v>41</v>
      </c>
      <c r="B8700" t="s">
        <v>308</v>
      </c>
      <c r="C8700">
        <v>65</v>
      </c>
      <c r="D8700" t="s">
        <v>1371</v>
      </c>
      <c r="E8700" t="s">
        <v>103</v>
      </c>
      <c r="F8700" t="s">
        <v>103</v>
      </c>
      <c r="G8700" t="s">
        <v>110</v>
      </c>
      <c r="H8700" t="s">
        <v>103</v>
      </c>
      <c r="I8700" t="s">
        <v>110</v>
      </c>
      <c r="J8700" t="s">
        <v>217</v>
      </c>
      <c r="K8700" t="s">
        <v>217</v>
      </c>
      <c r="L8700" t="s">
        <v>103</v>
      </c>
      <c r="M8700" t="s">
        <v>110</v>
      </c>
      <c r="N8700" t="s">
        <v>114</v>
      </c>
      <c r="O8700" t="s">
        <v>103</v>
      </c>
      <c r="P8700" t="s">
        <v>103</v>
      </c>
      <c r="Q8700" t="s">
        <v>103</v>
      </c>
      <c r="R8700" t="s">
        <v>103</v>
      </c>
      <c r="S8700" t="s">
        <v>103</v>
      </c>
      <c r="T8700" t="s">
        <v>103</v>
      </c>
      <c r="U8700" t="s">
        <v>103</v>
      </c>
      <c r="V8700" t="s">
        <v>244</v>
      </c>
      <c r="W8700" t="s">
        <v>103</v>
      </c>
    </row>
    <row r="8702" spans="1:23" x14ac:dyDescent="0.3">
      <c r="A8702" t="s">
        <v>2443</v>
      </c>
    </row>
    <row r="8703" spans="1:23" x14ac:dyDescent="0.3">
      <c r="A8703" t="s">
        <v>36</v>
      </c>
      <c r="B8703" t="s">
        <v>197</v>
      </c>
      <c r="C8703" t="s">
        <v>24</v>
      </c>
      <c r="D8703" t="s">
        <v>1195</v>
      </c>
      <c r="E8703" t="s">
        <v>2419</v>
      </c>
      <c r="F8703" t="s">
        <v>2420</v>
      </c>
      <c r="G8703" t="s">
        <v>2421</v>
      </c>
      <c r="H8703" t="s">
        <v>2439</v>
      </c>
      <c r="I8703" t="s">
        <v>2422</v>
      </c>
      <c r="J8703" t="s">
        <v>2440</v>
      </c>
      <c r="K8703" t="s">
        <v>2423</v>
      </c>
      <c r="L8703" t="s">
        <v>2424</v>
      </c>
      <c r="M8703" t="s">
        <v>2425</v>
      </c>
      <c r="N8703" t="s">
        <v>2426</v>
      </c>
      <c r="O8703" t="s">
        <v>2427</v>
      </c>
      <c r="P8703" t="s">
        <v>2428</v>
      </c>
      <c r="Q8703" t="s">
        <v>2429</v>
      </c>
      <c r="R8703" t="s">
        <v>2430</v>
      </c>
      <c r="S8703" t="s">
        <v>2431</v>
      </c>
      <c r="T8703" t="s">
        <v>2432</v>
      </c>
      <c r="U8703" t="s">
        <v>183</v>
      </c>
      <c r="V8703" t="s">
        <v>87</v>
      </c>
      <c r="W8703" t="s">
        <v>181</v>
      </c>
    </row>
    <row r="8704" spans="1:23" x14ac:dyDescent="0.3">
      <c r="A8704" t="s">
        <v>25</v>
      </c>
      <c r="B8704" t="s">
        <v>198</v>
      </c>
      <c r="C8704">
        <v>104</v>
      </c>
      <c r="D8704" t="s">
        <v>192</v>
      </c>
      <c r="E8704" t="s">
        <v>103</v>
      </c>
      <c r="F8704" t="s">
        <v>103</v>
      </c>
      <c r="G8704" t="s">
        <v>103</v>
      </c>
      <c r="H8704" t="s">
        <v>103</v>
      </c>
      <c r="I8704" t="s">
        <v>103</v>
      </c>
      <c r="J8704" t="s">
        <v>103</v>
      </c>
      <c r="K8704" t="s">
        <v>103</v>
      </c>
      <c r="L8704" t="s">
        <v>103</v>
      </c>
      <c r="M8704" t="s">
        <v>103</v>
      </c>
      <c r="N8704" t="s">
        <v>103</v>
      </c>
      <c r="O8704" t="s">
        <v>103</v>
      </c>
      <c r="P8704" t="s">
        <v>103</v>
      </c>
      <c r="Q8704" t="s">
        <v>103</v>
      </c>
      <c r="R8704" t="s">
        <v>103</v>
      </c>
      <c r="S8704" t="s">
        <v>103</v>
      </c>
      <c r="T8704" t="s">
        <v>103</v>
      </c>
      <c r="U8704" t="s">
        <v>103</v>
      </c>
      <c r="V8704" t="s">
        <v>103</v>
      </c>
      <c r="W8704" t="s">
        <v>103</v>
      </c>
    </row>
    <row r="8705" spans="1:23" x14ac:dyDescent="0.3">
      <c r="A8705" t="s">
        <v>25</v>
      </c>
      <c r="B8705" t="s">
        <v>199</v>
      </c>
      <c r="C8705">
        <v>310</v>
      </c>
      <c r="D8705" t="s">
        <v>862</v>
      </c>
      <c r="E8705" t="s">
        <v>103</v>
      </c>
      <c r="F8705" t="s">
        <v>103</v>
      </c>
      <c r="G8705" t="s">
        <v>282</v>
      </c>
      <c r="H8705" t="s">
        <v>468</v>
      </c>
      <c r="I8705" t="s">
        <v>97</v>
      </c>
      <c r="J8705" t="s">
        <v>103</v>
      </c>
      <c r="K8705" t="s">
        <v>116</v>
      </c>
      <c r="L8705" t="s">
        <v>98</v>
      </c>
      <c r="M8705" t="s">
        <v>103</v>
      </c>
      <c r="N8705" t="s">
        <v>110</v>
      </c>
      <c r="O8705" t="s">
        <v>103</v>
      </c>
      <c r="P8705" t="s">
        <v>103</v>
      </c>
      <c r="Q8705" t="s">
        <v>103</v>
      </c>
      <c r="R8705" t="s">
        <v>103</v>
      </c>
      <c r="S8705" t="s">
        <v>103</v>
      </c>
      <c r="T8705" t="s">
        <v>103</v>
      </c>
      <c r="U8705" t="s">
        <v>103</v>
      </c>
      <c r="V8705" t="s">
        <v>216</v>
      </c>
      <c r="W8705" t="s">
        <v>103</v>
      </c>
    </row>
    <row r="8706" spans="1:23" x14ac:dyDescent="0.3">
      <c r="A8706" t="s">
        <v>26</v>
      </c>
      <c r="B8706" t="s">
        <v>198</v>
      </c>
      <c r="C8706">
        <v>41</v>
      </c>
      <c r="D8706" t="s">
        <v>882</v>
      </c>
      <c r="E8706" t="s">
        <v>103</v>
      </c>
      <c r="F8706" t="s">
        <v>103</v>
      </c>
      <c r="G8706" t="s">
        <v>97</v>
      </c>
      <c r="H8706" t="s">
        <v>103</v>
      </c>
      <c r="I8706" t="s">
        <v>103</v>
      </c>
      <c r="J8706" t="s">
        <v>103</v>
      </c>
      <c r="K8706" t="s">
        <v>103</v>
      </c>
      <c r="L8706" t="s">
        <v>103</v>
      </c>
      <c r="M8706" t="s">
        <v>103</v>
      </c>
      <c r="N8706" t="s">
        <v>103</v>
      </c>
      <c r="O8706" t="s">
        <v>103</v>
      </c>
      <c r="P8706" t="s">
        <v>103</v>
      </c>
      <c r="Q8706" t="s">
        <v>103</v>
      </c>
      <c r="R8706" t="s">
        <v>103</v>
      </c>
      <c r="S8706" t="s">
        <v>103</v>
      </c>
      <c r="T8706" t="s">
        <v>103</v>
      </c>
      <c r="U8706" t="s">
        <v>103</v>
      </c>
      <c r="V8706" t="s">
        <v>251</v>
      </c>
      <c r="W8706" t="s">
        <v>103</v>
      </c>
    </row>
    <row r="8707" spans="1:23" x14ac:dyDescent="0.3">
      <c r="A8707" t="s">
        <v>26</v>
      </c>
      <c r="B8707" t="s">
        <v>199</v>
      </c>
      <c r="C8707">
        <v>436</v>
      </c>
      <c r="D8707" t="s">
        <v>603</v>
      </c>
      <c r="E8707" t="s">
        <v>103</v>
      </c>
      <c r="F8707" t="s">
        <v>66</v>
      </c>
      <c r="G8707" t="s">
        <v>188</v>
      </c>
      <c r="H8707" t="s">
        <v>103</v>
      </c>
      <c r="I8707" t="s">
        <v>194</v>
      </c>
      <c r="J8707" t="s">
        <v>103</v>
      </c>
      <c r="K8707" t="s">
        <v>345</v>
      </c>
      <c r="L8707" t="s">
        <v>103</v>
      </c>
      <c r="M8707" t="s">
        <v>120</v>
      </c>
      <c r="N8707" t="s">
        <v>95</v>
      </c>
      <c r="O8707" t="s">
        <v>66</v>
      </c>
      <c r="P8707" t="s">
        <v>103</v>
      </c>
      <c r="Q8707" t="s">
        <v>139</v>
      </c>
      <c r="R8707" t="s">
        <v>282</v>
      </c>
      <c r="S8707" t="s">
        <v>103</v>
      </c>
      <c r="T8707" t="s">
        <v>103</v>
      </c>
      <c r="U8707" t="s">
        <v>66</v>
      </c>
      <c r="V8707" t="s">
        <v>809</v>
      </c>
      <c r="W8707" t="s">
        <v>66</v>
      </c>
    </row>
    <row r="8708" spans="1:23" x14ac:dyDescent="0.3">
      <c r="A8708" t="s">
        <v>29</v>
      </c>
      <c r="B8708" t="s">
        <v>198</v>
      </c>
      <c r="C8708">
        <v>170</v>
      </c>
      <c r="D8708" t="s">
        <v>725</v>
      </c>
      <c r="E8708" t="s">
        <v>103</v>
      </c>
      <c r="F8708" t="s">
        <v>103</v>
      </c>
      <c r="G8708" t="s">
        <v>103</v>
      </c>
      <c r="H8708" t="s">
        <v>103</v>
      </c>
      <c r="I8708" t="s">
        <v>103</v>
      </c>
      <c r="J8708" t="s">
        <v>103</v>
      </c>
      <c r="K8708" t="s">
        <v>103</v>
      </c>
      <c r="L8708" t="s">
        <v>98</v>
      </c>
      <c r="M8708" t="s">
        <v>103</v>
      </c>
      <c r="N8708" t="s">
        <v>103</v>
      </c>
      <c r="O8708" t="s">
        <v>103</v>
      </c>
      <c r="P8708" t="s">
        <v>341</v>
      </c>
      <c r="Q8708" t="s">
        <v>103</v>
      </c>
      <c r="R8708" t="s">
        <v>103</v>
      </c>
      <c r="S8708" t="s">
        <v>103</v>
      </c>
      <c r="T8708" t="s">
        <v>103</v>
      </c>
      <c r="U8708" t="s">
        <v>103</v>
      </c>
      <c r="V8708" t="s">
        <v>148</v>
      </c>
      <c r="W8708" t="s">
        <v>103</v>
      </c>
    </row>
    <row r="8709" spans="1:23" x14ac:dyDescent="0.3">
      <c r="A8709" t="s">
        <v>29</v>
      </c>
      <c r="B8709" t="s">
        <v>199</v>
      </c>
      <c r="C8709">
        <v>360</v>
      </c>
      <c r="D8709" t="s">
        <v>884</v>
      </c>
      <c r="E8709" t="s">
        <v>103</v>
      </c>
      <c r="F8709" t="s">
        <v>103</v>
      </c>
      <c r="G8709" t="s">
        <v>122</v>
      </c>
      <c r="H8709" t="s">
        <v>91</v>
      </c>
      <c r="I8709" t="s">
        <v>139</v>
      </c>
      <c r="J8709" t="s">
        <v>118</v>
      </c>
      <c r="K8709" t="s">
        <v>98</v>
      </c>
      <c r="L8709" t="s">
        <v>97</v>
      </c>
      <c r="M8709" t="s">
        <v>103</v>
      </c>
      <c r="N8709" t="s">
        <v>93</v>
      </c>
      <c r="O8709" t="s">
        <v>103</v>
      </c>
      <c r="P8709" t="s">
        <v>98</v>
      </c>
      <c r="Q8709" t="s">
        <v>103</v>
      </c>
      <c r="R8709" t="s">
        <v>103</v>
      </c>
      <c r="S8709" t="s">
        <v>103</v>
      </c>
      <c r="T8709" t="s">
        <v>103</v>
      </c>
      <c r="U8709" t="s">
        <v>66</v>
      </c>
      <c r="V8709" t="s">
        <v>275</v>
      </c>
      <c r="W8709" t="s">
        <v>103</v>
      </c>
    </row>
    <row r="8710" spans="1:23" x14ac:dyDescent="0.3">
      <c r="A8710" t="s">
        <v>28</v>
      </c>
      <c r="B8710" t="s">
        <v>198</v>
      </c>
      <c r="C8710">
        <v>70</v>
      </c>
      <c r="D8710" t="s">
        <v>878</v>
      </c>
      <c r="E8710" t="s">
        <v>103</v>
      </c>
      <c r="F8710" t="s">
        <v>103</v>
      </c>
      <c r="G8710" t="s">
        <v>103</v>
      </c>
      <c r="H8710" t="s">
        <v>103</v>
      </c>
      <c r="I8710" t="s">
        <v>103</v>
      </c>
      <c r="J8710" t="s">
        <v>103</v>
      </c>
      <c r="K8710" t="s">
        <v>103</v>
      </c>
      <c r="L8710" t="s">
        <v>103</v>
      </c>
      <c r="M8710" t="s">
        <v>103</v>
      </c>
      <c r="N8710" t="s">
        <v>103</v>
      </c>
      <c r="O8710" t="s">
        <v>103</v>
      </c>
      <c r="P8710" t="s">
        <v>103</v>
      </c>
      <c r="Q8710" t="s">
        <v>103</v>
      </c>
      <c r="R8710" t="s">
        <v>103</v>
      </c>
      <c r="S8710" t="s">
        <v>103</v>
      </c>
      <c r="T8710" t="s">
        <v>103</v>
      </c>
      <c r="U8710" t="s">
        <v>103</v>
      </c>
      <c r="V8710" t="s">
        <v>680</v>
      </c>
      <c r="W8710" t="s">
        <v>103</v>
      </c>
    </row>
    <row r="8711" spans="1:23" x14ac:dyDescent="0.3">
      <c r="A8711" t="s">
        <v>28</v>
      </c>
      <c r="B8711" t="s">
        <v>199</v>
      </c>
      <c r="C8711">
        <v>247</v>
      </c>
      <c r="D8711" t="s">
        <v>711</v>
      </c>
      <c r="E8711" t="s">
        <v>97</v>
      </c>
      <c r="F8711" t="s">
        <v>122</v>
      </c>
      <c r="G8711" t="s">
        <v>575</v>
      </c>
      <c r="H8711" t="s">
        <v>66</v>
      </c>
      <c r="I8711" t="s">
        <v>103</v>
      </c>
      <c r="J8711" t="s">
        <v>103</v>
      </c>
      <c r="K8711" t="s">
        <v>66</v>
      </c>
      <c r="L8711" t="s">
        <v>66</v>
      </c>
      <c r="M8711" t="s">
        <v>103</v>
      </c>
      <c r="N8711" t="s">
        <v>103</v>
      </c>
      <c r="O8711" t="s">
        <v>103</v>
      </c>
      <c r="P8711" t="s">
        <v>103</v>
      </c>
      <c r="Q8711" t="s">
        <v>103</v>
      </c>
      <c r="R8711" t="s">
        <v>122</v>
      </c>
      <c r="S8711" t="s">
        <v>103</v>
      </c>
      <c r="T8711" t="s">
        <v>103</v>
      </c>
      <c r="U8711" t="s">
        <v>103</v>
      </c>
      <c r="V8711" t="s">
        <v>124</v>
      </c>
      <c r="W8711" t="s">
        <v>103</v>
      </c>
    </row>
    <row r="8712" spans="1:23" x14ac:dyDescent="0.3">
      <c r="A8712" t="s">
        <v>27</v>
      </c>
      <c r="B8712" t="s">
        <v>198</v>
      </c>
      <c r="C8712">
        <v>136</v>
      </c>
      <c r="D8712" t="s">
        <v>381</v>
      </c>
      <c r="E8712" t="s">
        <v>103</v>
      </c>
      <c r="F8712" t="s">
        <v>103</v>
      </c>
      <c r="G8712" t="s">
        <v>819</v>
      </c>
      <c r="H8712" t="s">
        <v>103</v>
      </c>
      <c r="I8712" t="s">
        <v>103</v>
      </c>
      <c r="J8712" t="s">
        <v>103</v>
      </c>
      <c r="K8712" t="s">
        <v>103</v>
      </c>
      <c r="L8712" t="s">
        <v>329</v>
      </c>
      <c r="M8712" t="s">
        <v>103</v>
      </c>
      <c r="N8712" t="s">
        <v>103</v>
      </c>
      <c r="O8712" t="s">
        <v>103</v>
      </c>
      <c r="P8712" t="s">
        <v>103</v>
      </c>
      <c r="Q8712" t="s">
        <v>103</v>
      </c>
      <c r="R8712" t="s">
        <v>103</v>
      </c>
      <c r="S8712" t="s">
        <v>103</v>
      </c>
      <c r="T8712" t="s">
        <v>103</v>
      </c>
      <c r="U8712" t="s">
        <v>103</v>
      </c>
      <c r="V8712" t="s">
        <v>488</v>
      </c>
      <c r="W8712" t="s">
        <v>103</v>
      </c>
    </row>
    <row r="8713" spans="1:23" x14ac:dyDescent="0.3">
      <c r="A8713" t="s">
        <v>27</v>
      </c>
      <c r="B8713" t="s">
        <v>199</v>
      </c>
      <c r="C8713">
        <v>164</v>
      </c>
      <c r="D8713" t="s">
        <v>703</v>
      </c>
      <c r="E8713" t="s">
        <v>103</v>
      </c>
      <c r="F8713" t="s">
        <v>103</v>
      </c>
      <c r="G8713" t="s">
        <v>743</v>
      </c>
      <c r="H8713" t="s">
        <v>103</v>
      </c>
      <c r="I8713" t="s">
        <v>103</v>
      </c>
      <c r="J8713" t="s">
        <v>103</v>
      </c>
      <c r="K8713" t="s">
        <v>103</v>
      </c>
      <c r="L8713" t="s">
        <v>95</v>
      </c>
      <c r="M8713" t="s">
        <v>103</v>
      </c>
      <c r="N8713" t="s">
        <v>345</v>
      </c>
      <c r="O8713" t="s">
        <v>103</v>
      </c>
      <c r="P8713" t="s">
        <v>103</v>
      </c>
      <c r="Q8713" t="s">
        <v>103</v>
      </c>
      <c r="R8713" t="s">
        <v>103</v>
      </c>
      <c r="S8713" t="s">
        <v>103</v>
      </c>
      <c r="T8713" t="s">
        <v>103</v>
      </c>
      <c r="U8713" t="s">
        <v>194</v>
      </c>
      <c r="V8713" t="s">
        <v>1319</v>
      </c>
      <c r="W8713" t="s">
        <v>103</v>
      </c>
    </row>
    <row r="8714" spans="1:23" x14ac:dyDescent="0.3">
      <c r="A8714" t="s">
        <v>41</v>
      </c>
      <c r="B8714" t="s">
        <v>198</v>
      </c>
      <c r="C8714">
        <v>521</v>
      </c>
      <c r="D8714" t="s">
        <v>984</v>
      </c>
      <c r="E8714" t="s">
        <v>103</v>
      </c>
      <c r="F8714" t="s">
        <v>103</v>
      </c>
      <c r="G8714" t="s">
        <v>105</v>
      </c>
      <c r="H8714" t="s">
        <v>103</v>
      </c>
      <c r="I8714" t="s">
        <v>103</v>
      </c>
      <c r="J8714" t="s">
        <v>103</v>
      </c>
      <c r="K8714" t="s">
        <v>103</v>
      </c>
      <c r="L8714" t="s">
        <v>139</v>
      </c>
      <c r="M8714" t="s">
        <v>103</v>
      </c>
      <c r="N8714" t="s">
        <v>103</v>
      </c>
      <c r="O8714" t="s">
        <v>103</v>
      </c>
      <c r="P8714" t="s">
        <v>345</v>
      </c>
      <c r="Q8714" t="s">
        <v>103</v>
      </c>
      <c r="R8714" t="s">
        <v>103</v>
      </c>
      <c r="S8714" t="s">
        <v>103</v>
      </c>
      <c r="T8714" t="s">
        <v>103</v>
      </c>
      <c r="U8714" t="s">
        <v>103</v>
      </c>
      <c r="V8714" t="s">
        <v>169</v>
      </c>
      <c r="W8714" t="s">
        <v>103</v>
      </c>
    </row>
    <row r="8715" spans="1:23" x14ac:dyDescent="0.3">
      <c r="A8715" t="s">
        <v>41</v>
      </c>
      <c r="B8715" t="s">
        <v>199</v>
      </c>
      <c r="C8715">
        <v>1517</v>
      </c>
      <c r="D8715" t="s">
        <v>1459</v>
      </c>
      <c r="E8715" t="s">
        <v>103</v>
      </c>
      <c r="F8715" t="s">
        <v>91</v>
      </c>
      <c r="G8715" t="s">
        <v>128</v>
      </c>
      <c r="H8715" t="s">
        <v>116</v>
      </c>
      <c r="I8715" t="s">
        <v>139</v>
      </c>
      <c r="J8715" t="s">
        <v>282</v>
      </c>
      <c r="K8715" t="s">
        <v>139</v>
      </c>
      <c r="L8715" t="s">
        <v>122</v>
      </c>
      <c r="M8715" t="s">
        <v>66</v>
      </c>
      <c r="N8715" t="s">
        <v>110</v>
      </c>
      <c r="O8715" t="s">
        <v>91</v>
      </c>
      <c r="P8715" t="s">
        <v>122</v>
      </c>
      <c r="Q8715" t="s">
        <v>66</v>
      </c>
      <c r="R8715" t="s">
        <v>116</v>
      </c>
      <c r="S8715" t="s">
        <v>103</v>
      </c>
      <c r="T8715" t="s">
        <v>103</v>
      </c>
      <c r="U8715" t="s">
        <v>66</v>
      </c>
      <c r="V8715" t="s">
        <v>481</v>
      </c>
      <c r="W8715" t="s">
        <v>91</v>
      </c>
    </row>
    <row r="8717" spans="1:23" x14ac:dyDescent="0.3">
      <c r="A8717" t="s">
        <v>2444</v>
      </c>
    </row>
    <row r="8718" spans="1:23" x14ac:dyDescent="0.3">
      <c r="A8718" t="s">
        <v>36</v>
      </c>
      <c r="B8718" t="s">
        <v>1647</v>
      </c>
      <c r="C8718" t="s">
        <v>24</v>
      </c>
      <c r="D8718" t="s">
        <v>1195</v>
      </c>
      <c r="E8718" t="s">
        <v>2419</v>
      </c>
      <c r="F8718" t="s">
        <v>2420</v>
      </c>
      <c r="G8718" t="s">
        <v>2421</v>
      </c>
      <c r="H8718" t="s">
        <v>2439</v>
      </c>
      <c r="I8718" t="s">
        <v>2422</v>
      </c>
      <c r="J8718" t="s">
        <v>2440</v>
      </c>
      <c r="K8718" t="s">
        <v>2423</v>
      </c>
      <c r="L8718" t="s">
        <v>2424</v>
      </c>
      <c r="M8718" t="s">
        <v>2425</v>
      </c>
      <c r="N8718" t="s">
        <v>2426</v>
      </c>
      <c r="O8718" t="s">
        <v>2427</v>
      </c>
      <c r="P8718" t="s">
        <v>2428</v>
      </c>
      <c r="Q8718" t="s">
        <v>2429</v>
      </c>
      <c r="R8718" t="s">
        <v>2430</v>
      </c>
      <c r="S8718" t="s">
        <v>2431</v>
      </c>
      <c r="T8718" t="s">
        <v>2432</v>
      </c>
      <c r="U8718" t="s">
        <v>183</v>
      </c>
      <c r="V8718" t="s">
        <v>87</v>
      </c>
      <c r="W8718" t="s">
        <v>181</v>
      </c>
    </row>
    <row r="8719" spans="1:23" x14ac:dyDescent="0.3">
      <c r="A8719" t="s">
        <v>25</v>
      </c>
      <c r="B8719" t="s">
        <v>1648</v>
      </c>
      <c r="C8719">
        <v>143</v>
      </c>
      <c r="D8719" t="s">
        <v>184</v>
      </c>
      <c r="E8719" t="s">
        <v>103</v>
      </c>
      <c r="F8719" t="s">
        <v>103</v>
      </c>
      <c r="G8719" t="s">
        <v>468</v>
      </c>
      <c r="H8719" t="s">
        <v>64</v>
      </c>
      <c r="I8719" t="s">
        <v>98</v>
      </c>
      <c r="J8719" t="s">
        <v>103</v>
      </c>
      <c r="K8719" t="s">
        <v>120</v>
      </c>
      <c r="L8719" t="s">
        <v>341</v>
      </c>
      <c r="M8719" t="s">
        <v>103</v>
      </c>
      <c r="N8719" t="s">
        <v>272</v>
      </c>
      <c r="O8719" t="s">
        <v>103</v>
      </c>
      <c r="P8719" t="s">
        <v>103</v>
      </c>
      <c r="Q8719" t="s">
        <v>103</v>
      </c>
      <c r="R8719" t="s">
        <v>103</v>
      </c>
      <c r="S8719" t="s">
        <v>103</v>
      </c>
      <c r="T8719" t="s">
        <v>103</v>
      </c>
      <c r="U8719" t="s">
        <v>103</v>
      </c>
      <c r="V8719" t="s">
        <v>103</v>
      </c>
      <c r="W8719" t="s">
        <v>103</v>
      </c>
    </row>
    <row r="8720" spans="1:23" x14ac:dyDescent="0.3">
      <c r="A8720" t="s">
        <v>25</v>
      </c>
      <c r="B8720" t="s">
        <v>1649</v>
      </c>
      <c r="C8720">
        <v>271</v>
      </c>
      <c r="D8720" t="s">
        <v>880</v>
      </c>
      <c r="E8720" t="s">
        <v>103</v>
      </c>
      <c r="F8720" t="s">
        <v>103</v>
      </c>
      <c r="G8720" t="s">
        <v>97</v>
      </c>
      <c r="H8720" t="s">
        <v>103</v>
      </c>
      <c r="I8720" t="s">
        <v>91</v>
      </c>
      <c r="J8720" t="s">
        <v>103</v>
      </c>
      <c r="K8720" t="s">
        <v>103</v>
      </c>
      <c r="L8720" t="s">
        <v>103</v>
      </c>
      <c r="M8720" t="s">
        <v>103</v>
      </c>
      <c r="N8720" t="s">
        <v>103</v>
      </c>
      <c r="O8720" t="s">
        <v>103</v>
      </c>
      <c r="P8720" t="s">
        <v>103</v>
      </c>
      <c r="Q8720" t="s">
        <v>103</v>
      </c>
      <c r="R8720" t="s">
        <v>103</v>
      </c>
      <c r="S8720" t="s">
        <v>103</v>
      </c>
      <c r="T8720" t="s">
        <v>103</v>
      </c>
      <c r="U8720" t="s">
        <v>103</v>
      </c>
      <c r="V8720" t="s">
        <v>341</v>
      </c>
      <c r="W8720" t="s">
        <v>103</v>
      </c>
    </row>
    <row r="8721" spans="1:23" x14ac:dyDescent="0.3">
      <c r="A8721" t="s">
        <v>26</v>
      </c>
      <c r="B8721" t="s">
        <v>1648</v>
      </c>
      <c r="C8721">
        <v>153</v>
      </c>
      <c r="D8721" t="s">
        <v>168</v>
      </c>
      <c r="E8721" t="s">
        <v>103</v>
      </c>
      <c r="F8721" t="s">
        <v>120</v>
      </c>
      <c r="G8721" t="s">
        <v>201</v>
      </c>
      <c r="H8721" t="s">
        <v>103</v>
      </c>
      <c r="I8721" t="s">
        <v>216</v>
      </c>
      <c r="J8721" t="s">
        <v>103</v>
      </c>
      <c r="K8721" t="s">
        <v>105</v>
      </c>
      <c r="L8721" t="s">
        <v>103</v>
      </c>
      <c r="M8721" t="s">
        <v>345</v>
      </c>
      <c r="N8721" t="s">
        <v>194</v>
      </c>
      <c r="O8721" t="s">
        <v>103</v>
      </c>
      <c r="P8721" t="s">
        <v>103</v>
      </c>
      <c r="Q8721" t="s">
        <v>216</v>
      </c>
      <c r="R8721" t="s">
        <v>329</v>
      </c>
      <c r="S8721" t="s">
        <v>103</v>
      </c>
      <c r="T8721" t="s">
        <v>103</v>
      </c>
      <c r="U8721" t="s">
        <v>120</v>
      </c>
      <c r="V8721" t="s">
        <v>208</v>
      </c>
      <c r="W8721" t="s">
        <v>97</v>
      </c>
    </row>
    <row r="8722" spans="1:23" x14ac:dyDescent="0.3">
      <c r="A8722" t="s">
        <v>26</v>
      </c>
      <c r="B8722" t="s">
        <v>1649</v>
      </c>
      <c r="C8722">
        <v>324</v>
      </c>
      <c r="D8722" t="s">
        <v>895</v>
      </c>
      <c r="E8722" t="s">
        <v>103</v>
      </c>
      <c r="F8722" t="s">
        <v>103</v>
      </c>
      <c r="G8722" t="s">
        <v>467</v>
      </c>
      <c r="H8722" t="s">
        <v>103</v>
      </c>
      <c r="I8722" t="s">
        <v>282</v>
      </c>
      <c r="J8722" t="s">
        <v>103</v>
      </c>
      <c r="K8722" t="s">
        <v>120</v>
      </c>
      <c r="L8722" t="s">
        <v>103</v>
      </c>
      <c r="M8722" t="s">
        <v>116</v>
      </c>
      <c r="N8722" t="s">
        <v>116</v>
      </c>
      <c r="O8722" t="s">
        <v>116</v>
      </c>
      <c r="P8722" t="s">
        <v>103</v>
      </c>
      <c r="Q8722" t="s">
        <v>116</v>
      </c>
      <c r="R8722" t="s">
        <v>116</v>
      </c>
      <c r="S8722" t="s">
        <v>103</v>
      </c>
      <c r="T8722" t="s">
        <v>103</v>
      </c>
      <c r="U8722" t="s">
        <v>103</v>
      </c>
      <c r="V8722" t="s">
        <v>56</v>
      </c>
      <c r="W8722" t="s">
        <v>103</v>
      </c>
    </row>
    <row r="8723" spans="1:23" x14ac:dyDescent="0.3">
      <c r="A8723" t="s">
        <v>29</v>
      </c>
      <c r="B8723" t="s">
        <v>1648</v>
      </c>
      <c r="C8723">
        <v>252</v>
      </c>
      <c r="D8723" t="s">
        <v>1056</v>
      </c>
      <c r="E8723" t="s">
        <v>103</v>
      </c>
      <c r="F8723" t="s">
        <v>103</v>
      </c>
      <c r="G8723" t="s">
        <v>103</v>
      </c>
      <c r="H8723" t="s">
        <v>103</v>
      </c>
      <c r="I8723" t="s">
        <v>139</v>
      </c>
      <c r="J8723" t="s">
        <v>341</v>
      </c>
      <c r="K8723" t="s">
        <v>122</v>
      </c>
      <c r="L8723" t="s">
        <v>120</v>
      </c>
      <c r="M8723" t="s">
        <v>103</v>
      </c>
      <c r="N8723" t="s">
        <v>216</v>
      </c>
      <c r="O8723" t="s">
        <v>103</v>
      </c>
      <c r="P8723" t="s">
        <v>257</v>
      </c>
      <c r="Q8723" t="s">
        <v>103</v>
      </c>
      <c r="R8723" t="s">
        <v>103</v>
      </c>
      <c r="S8723" t="s">
        <v>103</v>
      </c>
      <c r="T8723" t="s">
        <v>103</v>
      </c>
      <c r="U8723" t="s">
        <v>103</v>
      </c>
      <c r="V8723" t="s">
        <v>809</v>
      </c>
      <c r="W8723" t="s">
        <v>103</v>
      </c>
    </row>
    <row r="8724" spans="1:23" x14ac:dyDescent="0.3">
      <c r="A8724" t="s">
        <v>29</v>
      </c>
      <c r="B8724" t="s">
        <v>1649</v>
      </c>
      <c r="C8724">
        <v>278</v>
      </c>
      <c r="D8724" t="s">
        <v>1378</v>
      </c>
      <c r="E8724" t="s">
        <v>103</v>
      </c>
      <c r="F8724" t="s">
        <v>103</v>
      </c>
      <c r="G8724" t="s">
        <v>97</v>
      </c>
      <c r="H8724" t="s">
        <v>91</v>
      </c>
      <c r="I8724" t="s">
        <v>122</v>
      </c>
      <c r="J8724" t="s">
        <v>110</v>
      </c>
      <c r="K8724" t="s">
        <v>139</v>
      </c>
      <c r="L8724" t="s">
        <v>95</v>
      </c>
      <c r="M8724" t="s">
        <v>103</v>
      </c>
      <c r="N8724" t="s">
        <v>239</v>
      </c>
      <c r="O8724" t="s">
        <v>103</v>
      </c>
      <c r="P8724" t="s">
        <v>103</v>
      </c>
      <c r="Q8724" t="s">
        <v>103</v>
      </c>
      <c r="R8724" t="s">
        <v>103</v>
      </c>
      <c r="S8724" t="s">
        <v>103</v>
      </c>
      <c r="T8724" t="s">
        <v>103</v>
      </c>
      <c r="U8724" t="s">
        <v>116</v>
      </c>
      <c r="V8724" t="s">
        <v>515</v>
      </c>
      <c r="W8724" t="s">
        <v>103</v>
      </c>
    </row>
    <row r="8725" spans="1:23" x14ac:dyDescent="0.3">
      <c r="A8725" t="s">
        <v>28</v>
      </c>
      <c r="B8725" t="s">
        <v>1648</v>
      </c>
      <c r="C8725">
        <v>77</v>
      </c>
      <c r="D8725" t="s">
        <v>624</v>
      </c>
      <c r="E8725" t="s">
        <v>103</v>
      </c>
      <c r="F8725" t="s">
        <v>194</v>
      </c>
      <c r="G8725" t="s">
        <v>266</v>
      </c>
      <c r="H8725" t="s">
        <v>98</v>
      </c>
      <c r="I8725" t="s">
        <v>103</v>
      </c>
      <c r="J8725" t="s">
        <v>103</v>
      </c>
      <c r="K8725" t="s">
        <v>98</v>
      </c>
      <c r="L8725" t="s">
        <v>98</v>
      </c>
      <c r="M8725" t="s">
        <v>103</v>
      </c>
      <c r="N8725" t="s">
        <v>103</v>
      </c>
      <c r="O8725" t="s">
        <v>103</v>
      </c>
      <c r="P8725" t="s">
        <v>103</v>
      </c>
      <c r="Q8725" t="s">
        <v>103</v>
      </c>
      <c r="R8725" t="s">
        <v>103</v>
      </c>
      <c r="S8725" t="s">
        <v>103</v>
      </c>
      <c r="T8725" t="s">
        <v>103</v>
      </c>
      <c r="U8725" t="s">
        <v>103</v>
      </c>
      <c r="V8725" t="s">
        <v>217</v>
      </c>
      <c r="W8725" t="s">
        <v>103</v>
      </c>
    </row>
    <row r="8726" spans="1:23" x14ac:dyDescent="0.3">
      <c r="A8726" t="s">
        <v>28</v>
      </c>
      <c r="B8726" t="s">
        <v>1649</v>
      </c>
      <c r="C8726">
        <v>240</v>
      </c>
      <c r="D8726" t="s">
        <v>728</v>
      </c>
      <c r="E8726" t="s">
        <v>122</v>
      </c>
      <c r="F8726" t="s">
        <v>103</v>
      </c>
      <c r="G8726" t="s">
        <v>140</v>
      </c>
      <c r="H8726" t="s">
        <v>103</v>
      </c>
      <c r="I8726" t="s">
        <v>103</v>
      </c>
      <c r="J8726" t="s">
        <v>103</v>
      </c>
      <c r="K8726" t="s">
        <v>103</v>
      </c>
      <c r="L8726" t="s">
        <v>103</v>
      </c>
      <c r="M8726" t="s">
        <v>103</v>
      </c>
      <c r="N8726" t="s">
        <v>103</v>
      </c>
      <c r="O8726" t="s">
        <v>103</v>
      </c>
      <c r="P8726" t="s">
        <v>103</v>
      </c>
      <c r="Q8726" t="s">
        <v>103</v>
      </c>
      <c r="R8726" t="s">
        <v>116</v>
      </c>
      <c r="S8726" t="s">
        <v>103</v>
      </c>
      <c r="T8726" t="s">
        <v>103</v>
      </c>
      <c r="U8726" t="s">
        <v>103</v>
      </c>
      <c r="V8726" t="s">
        <v>918</v>
      </c>
      <c r="W8726" t="s">
        <v>103</v>
      </c>
    </row>
    <row r="8727" spans="1:23" x14ac:dyDescent="0.3">
      <c r="A8727" t="s">
        <v>27</v>
      </c>
      <c r="B8727" t="s">
        <v>1648</v>
      </c>
      <c r="C8727">
        <v>64</v>
      </c>
      <c r="D8727" t="s">
        <v>403</v>
      </c>
      <c r="E8727" t="s">
        <v>103</v>
      </c>
      <c r="F8727" t="s">
        <v>103</v>
      </c>
      <c r="G8727" t="s">
        <v>697</v>
      </c>
      <c r="H8727" t="s">
        <v>103</v>
      </c>
      <c r="I8727" t="s">
        <v>103</v>
      </c>
      <c r="J8727" t="s">
        <v>103</v>
      </c>
      <c r="K8727" t="s">
        <v>103</v>
      </c>
      <c r="L8727" t="s">
        <v>110</v>
      </c>
      <c r="M8727" t="s">
        <v>103</v>
      </c>
      <c r="N8727" t="s">
        <v>110</v>
      </c>
      <c r="O8727" t="s">
        <v>103</v>
      </c>
      <c r="P8727" t="s">
        <v>103</v>
      </c>
      <c r="Q8727" t="s">
        <v>103</v>
      </c>
      <c r="R8727" t="s">
        <v>103</v>
      </c>
      <c r="S8727" t="s">
        <v>103</v>
      </c>
      <c r="T8727" t="s">
        <v>103</v>
      </c>
      <c r="U8727" t="s">
        <v>239</v>
      </c>
      <c r="V8727" t="s">
        <v>629</v>
      </c>
      <c r="W8727" t="s">
        <v>103</v>
      </c>
    </row>
    <row r="8728" spans="1:23" x14ac:dyDescent="0.3">
      <c r="A8728" t="s">
        <v>27</v>
      </c>
      <c r="B8728" t="s">
        <v>1649</v>
      </c>
      <c r="C8728">
        <v>236</v>
      </c>
      <c r="D8728" t="s">
        <v>1037</v>
      </c>
      <c r="E8728" t="s">
        <v>103</v>
      </c>
      <c r="F8728" t="s">
        <v>103</v>
      </c>
      <c r="G8728" t="s">
        <v>115</v>
      </c>
      <c r="H8728" t="s">
        <v>103</v>
      </c>
      <c r="I8728" t="s">
        <v>103</v>
      </c>
      <c r="J8728" t="s">
        <v>103</v>
      </c>
      <c r="K8728" t="s">
        <v>103</v>
      </c>
      <c r="L8728" t="s">
        <v>194</v>
      </c>
      <c r="M8728" t="s">
        <v>103</v>
      </c>
      <c r="N8728" t="s">
        <v>116</v>
      </c>
      <c r="O8728" t="s">
        <v>103</v>
      </c>
      <c r="P8728" t="s">
        <v>103</v>
      </c>
      <c r="Q8728" t="s">
        <v>103</v>
      </c>
      <c r="R8728" t="s">
        <v>103</v>
      </c>
      <c r="S8728" t="s">
        <v>103</v>
      </c>
      <c r="T8728" t="s">
        <v>103</v>
      </c>
      <c r="U8728" t="s">
        <v>97</v>
      </c>
      <c r="V8728" t="s">
        <v>570</v>
      </c>
      <c r="W8728" t="s">
        <v>103</v>
      </c>
    </row>
    <row r="8729" spans="1:23" x14ac:dyDescent="0.3">
      <c r="A8729" t="s">
        <v>41</v>
      </c>
      <c r="B8729" t="s">
        <v>1648</v>
      </c>
      <c r="C8729">
        <v>689</v>
      </c>
      <c r="D8729" t="s">
        <v>735</v>
      </c>
      <c r="E8729" t="s">
        <v>103</v>
      </c>
      <c r="F8729" t="s">
        <v>66</v>
      </c>
      <c r="G8729" t="s">
        <v>105</v>
      </c>
      <c r="H8729" t="s">
        <v>97</v>
      </c>
      <c r="I8729" t="s">
        <v>98</v>
      </c>
      <c r="J8729" t="s">
        <v>345</v>
      </c>
      <c r="K8729" t="s">
        <v>95</v>
      </c>
      <c r="L8729" t="s">
        <v>95</v>
      </c>
      <c r="M8729" t="s">
        <v>66</v>
      </c>
      <c r="N8729" t="s">
        <v>245</v>
      </c>
      <c r="O8729" t="s">
        <v>103</v>
      </c>
      <c r="P8729" t="s">
        <v>110</v>
      </c>
      <c r="Q8729" t="s">
        <v>116</v>
      </c>
      <c r="R8729" t="s">
        <v>122</v>
      </c>
      <c r="S8729" t="s">
        <v>103</v>
      </c>
      <c r="T8729" t="s">
        <v>103</v>
      </c>
      <c r="U8729" t="s">
        <v>66</v>
      </c>
      <c r="V8729" t="s">
        <v>737</v>
      </c>
      <c r="W8729" t="s">
        <v>91</v>
      </c>
    </row>
    <row r="8730" spans="1:23" x14ac:dyDescent="0.3">
      <c r="A8730" t="s">
        <v>41</v>
      </c>
      <c r="B8730" t="s">
        <v>1649</v>
      </c>
      <c r="C8730">
        <v>1349</v>
      </c>
      <c r="D8730" t="s">
        <v>45</v>
      </c>
      <c r="E8730" t="s">
        <v>103</v>
      </c>
      <c r="F8730" t="s">
        <v>103</v>
      </c>
      <c r="G8730" t="s">
        <v>118</v>
      </c>
      <c r="H8730" t="s">
        <v>103</v>
      </c>
      <c r="I8730" t="s">
        <v>122</v>
      </c>
      <c r="J8730" t="s">
        <v>120</v>
      </c>
      <c r="K8730" t="s">
        <v>97</v>
      </c>
      <c r="L8730" t="s">
        <v>122</v>
      </c>
      <c r="M8730" t="s">
        <v>91</v>
      </c>
      <c r="N8730" t="s">
        <v>95</v>
      </c>
      <c r="O8730" t="s">
        <v>91</v>
      </c>
      <c r="P8730" t="s">
        <v>103</v>
      </c>
      <c r="Q8730" t="s">
        <v>91</v>
      </c>
      <c r="R8730" t="s">
        <v>91</v>
      </c>
      <c r="S8730" t="s">
        <v>103</v>
      </c>
      <c r="T8730" t="s">
        <v>103</v>
      </c>
      <c r="U8730" t="s">
        <v>91</v>
      </c>
      <c r="V8730" t="s">
        <v>809</v>
      </c>
      <c r="W8730" t="s">
        <v>103</v>
      </c>
    </row>
    <row r="8732" spans="1:23" x14ac:dyDescent="0.3">
      <c r="A8732" t="s">
        <v>2445</v>
      </c>
    </row>
    <row r="8733" spans="1:23" x14ac:dyDescent="0.3">
      <c r="A8733" t="s">
        <v>36</v>
      </c>
      <c r="B8733" t="s">
        <v>210</v>
      </c>
      <c r="C8733" t="s">
        <v>24</v>
      </c>
      <c r="D8733" t="s">
        <v>1195</v>
      </c>
      <c r="E8733" t="s">
        <v>2419</v>
      </c>
      <c r="F8733" t="s">
        <v>2420</v>
      </c>
      <c r="G8733" t="s">
        <v>2421</v>
      </c>
      <c r="H8733" t="s">
        <v>2439</v>
      </c>
      <c r="I8733" t="s">
        <v>2422</v>
      </c>
      <c r="J8733" t="s">
        <v>2440</v>
      </c>
      <c r="K8733" t="s">
        <v>2423</v>
      </c>
      <c r="L8733" t="s">
        <v>2424</v>
      </c>
      <c r="M8733" t="s">
        <v>2425</v>
      </c>
      <c r="N8733" t="s">
        <v>2426</v>
      </c>
      <c r="O8733" t="s">
        <v>2427</v>
      </c>
      <c r="P8733" t="s">
        <v>2428</v>
      </c>
      <c r="Q8733" t="s">
        <v>2429</v>
      </c>
      <c r="R8733" t="s">
        <v>2430</v>
      </c>
      <c r="S8733" t="s">
        <v>2431</v>
      </c>
      <c r="T8733" t="s">
        <v>2432</v>
      </c>
      <c r="U8733" t="s">
        <v>183</v>
      </c>
      <c r="V8733" t="s">
        <v>87</v>
      </c>
      <c r="W8733" t="s">
        <v>181</v>
      </c>
    </row>
    <row r="8734" spans="1:23" x14ac:dyDescent="0.3">
      <c r="A8734" t="s">
        <v>25</v>
      </c>
      <c r="B8734" t="s">
        <v>211</v>
      </c>
      <c r="C8734">
        <v>414</v>
      </c>
      <c r="D8734" t="s">
        <v>279</v>
      </c>
      <c r="E8734" t="s">
        <v>103</v>
      </c>
      <c r="F8734" t="s">
        <v>103</v>
      </c>
      <c r="G8734" t="s">
        <v>139</v>
      </c>
      <c r="H8734" t="s">
        <v>282</v>
      </c>
      <c r="I8734" t="s">
        <v>122</v>
      </c>
      <c r="J8734" t="s">
        <v>103</v>
      </c>
      <c r="K8734" t="s">
        <v>66</v>
      </c>
      <c r="L8734" t="s">
        <v>95</v>
      </c>
      <c r="M8734" t="s">
        <v>103</v>
      </c>
      <c r="N8734" t="s">
        <v>345</v>
      </c>
      <c r="O8734" t="s">
        <v>103</v>
      </c>
      <c r="P8734" t="s">
        <v>103</v>
      </c>
      <c r="Q8734" t="s">
        <v>103</v>
      </c>
      <c r="R8734" t="s">
        <v>103</v>
      </c>
      <c r="S8734" t="s">
        <v>103</v>
      </c>
      <c r="T8734" t="s">
        <v>103</v>
      </c>
      <c r="U8734" t="s">
        <v>103</v>
      </c>
      <c r="V8734" t="s">
        <v>468</v>
      </c>
      <c r="W8734" t="s">
        <v>103</v>
      </c>
    </row>
    <row r="8735" spans="1:23" x14ac:dyDescent="0.3">
      <c r="A8735" t="s">
        <v>26</v>
      </c>
      <c r="B8735" t="s">
        <v>211</v>
      </c>
      <c r="C8735">
        <v>223</v>
      </c>
      <c r="D8735" t="s">
        <v>1140</v>
      </c>
      <c r="E8735" t="s">
        <v>103</v>
      </c>
      <c r="F8735" t="s">
        <v>103</v>
      </c>
      <c r="G8735" t="s">
        <v>64</v>
      </c>
      <c r="H8735" t="s">
        <v>103</v>
      </c>
      <c r="I8735" t="s">
        <v>257</v>
      </c>
      <c r="J8735" t="s">
        <v>103</v>
      </c>
      <c r="K8735" t="s">
        <v>194</v>
      </c>
      <c r="L8735" t="s">
        <v>103</v>
      </c>
      <c r="M8735" t="s">
        <v>139</v>
      </c>
      <c r="N8735" t="s">
        <v>122</v>
      </c>
      <c r="O8735" t="s">
        <v>122</v>
      </c>
      <c r="P8735" t="s">
        <v>103</v>
      </c>
      <c r="Q8735" t="s">
        <v>239</v>
      </c>
      <c r="R8735" t="s">
        <v>239</v>
      </c>
      <c r="S8735" t="s">
        <v>103</v>
      </c>
      <c r="T8735" t="s">
        <v>103</v>
      </c>
      <c r="U8735" t="s">
        <v>103</v>
      </c>
      <c r="V8735" t="s">
        <v>680</v>
      </c>
      <c r="W8735" t="s">
        <v>103</v>
      </c>
    </row>
    <row r="8736" spans="1:23" x14ac:dyDescent="0.3">
      <c r="A8736" t="s">
        <v>26</v>
      </c>
      <c r="B8736" t="s">
        <v>212</v>
      </c>
      <c r="C8736">
        <v>254</v>
      </c>
      <c r="D8736" t="s">
        <v>1131</v>
      </c>
      <c r="E8736" t="s">
        <v>103</v>
      </c>
      <c r="F8736" t="s">
        <v>122</v>
      </c>
      <c r="G8736" t="s">
        <v>201</v>
      </c>
      <c r="H8736" t="s">
        <v>103</v>
      </c>
      <c r="I8736" t="s">
        <v>103</v>
      </c>
      <c r="J8736" t="s">
        <v>103</v>
      </c>
      <c r="K8736" t="s">
        <v>139</v>
      </c>
      <c r="L8736" t="s">
        <v>103</v>
      </c>
      <c r="M8736" t="s">
        <v>122</v>
      </c>
      <c r="N8736" t="s">
        <v>139</v>
      </c>
      <c r="O8736" t="s">
        <v>103</v>
      </c>
      <c r="P8736" t="s">
        <v>103</v>
      </c>
      <c r="Q8736" t="s">
        <v>103</v>
      </c>
      <c r="R8736" t="s">
        <v>116</v>
      </c>
      <c r="S8736" t="s">
        <v>103</v>
      </c>
      <c r="T8736" t="s">
        <v>103</v>
      </c>
      <c r="U8736" t="s">
        <v>122</v>
      </c>
      <c r="V8736" t="s">
        <v>242</v>
      </c>
      <c r="W8736" t="s">
        <v>116</v>
      </c>
    </row>
    <row r="8737" spans="1:23" x14ac:dyDescent="0.3">
      <c r="A8737" t="s">
        <v>29</v>
      </c>
      <c r="B8737" t="s">
        <v>211</v>
      </c>
      <c r="C8737">
        <v>530</v>
      </c>
      <c r="D8737" t="s">
        <v>806</v>
      </c>
      <c r="E8737" t="s">
        <v>103</v>
      </c>
      <c r="F8737" t="s">
        <v>103</v>
      </c>
      <c r="G8737" t="s">
        <v>116</v>
      </c>
      <c r="H8737" t="s">
        <v>103</v>
      </c>
      <c r="I8737" t="s">
        <v>120</v>
      </c>
      <c r="J8737" t="s">
        <v>245</v>
      </c>
      <c r="K8737" t="s">
        <v>120</v>
      </c>
      <c r="L8737" t="s">
        <v>120</v>
      </c>
      <c r="M8737" t="s">
        <v>103</v>
      </c>
      <c r="N8737" t="s">
        <v>239</v>
      </c>
      <c r="O8737" t="s">
        <v>103</v>
      </c>
      <c r="P8737" t="s">
        <v>468</v>
      </c>
      <c r="Q8737" t="s">
        <v>103</v>
      </c>
      <c r="R8737" t="s">
        <v>103</v>
      </c>
      <c r="S8737" t="s">
        <v>103</v>
      </c>
      <c r="T8737" t="s">
        <v>103</v>
      </c>
      <c r="U8737" t="s">
        <v>91</v>
      </c>
      <c r="V8737" t="s">
        <v>173</v>
      </c>
      <c r="W8737" t="s">
        <v>103</v>
      </c>
    </row>
    <row r="8738" spans="1:23" x14ac:dyDescent="0.3">
      <c r="A8738" t="s">
        <v>28</v>
      </c>
      <c r="B8738" t="s">
        <v>211</v>
      </c>
      <c r="C8738">
        <v>277</v>
      </c>
      <c r="D8738" t="s">
        <v>187</v>
      </c>
      <c r="E8738" t="s">
        <v>122</v>
      </c>
      <c r="F8738" t="s">
        <v>116</v>
      </c>
      <c r="G8738" t="s">
        <v>139</v>
      </c>
      <c r="H8738" t="s">
        <v>66</v>
      </c>
      <c r="I8738" t="s">
        <v>103</v>
      </c>
      <c r="J8738" t="s">
        <v>103</v>
      </c>
      <c r="K8738" t="s">
        <v>66</v>
      </c>
      <c r="L8738" t="s">
        <v>66</v>
      </c>
      <c r="M8738" t="s">
        <v>103</v>
      </c>
      <c r="N8738" t="s">
        <v>103</v>
      </c>
      <c r="O8738" t="s">
        <v>103</v>
      </c>
      <c r="P8738" t="s">
        <v>103</v>
      </c>
      <c r="Q8738" t="s">
        <v>103</v>
      </c>
      <c r="R8738" t="s">
        <v>103</v>
      </c>
      <c r="S8738" t="s">
        <v>103</v>
      </c>
      <c r="T8738" t="s">
        <v>103</v>
      </c>
      <c r="U8738" t="s">
        <v>103</v>
      </c>
      <c r="V8738" t="s">
        <v>136</v>
      </c>
      <c r="W8738" t="s">
        <v>103</v>
      </c>
    </row>
    <row r="8739" spans="1:23" x14ac:dyDescent="0.3">
      <c r="A8739" t="s">
        <v>28</v>
      </c>
      <c r="B8739" t="s">
        <v>212</v>
      </c>
      <c r="C8739">
        <v>40</v>
      </c>
      <c r="D8739" t="s">
        <v>399</v>
      </c>
      <c r="E8739" t="s">
        <v>103</v>
      </c>
      <c r="F8739" t="s">
        <v>103</v>
      </c>
      <c r="G8739" t="s">
        <v>1461</v>
      </c>
      <c r="H8739" t="s">
        <v>103</v>
      </c>
      <c r="I8739" t="s">
        <v>103</v>
      </c>
      <c r="J8739" t="s">
        <v>103</v>
      </c>
      <c r="K8739" t="s">
        <v>103</v>
      </c>
      <c r="L8739" t="s">
        <v>103</v>
      </c>
      <c r="M8739" t="s">
        <v>103</v>
      </c>
      <c r="N8739" t="s">
        <v>103</v>
      </c>
      <c r="O8739" t="s">
        <v>103</v>
      </c>
      <c r="P8739" t="s">
        <v>103</v>
      </c>
      <c r="Q8739" t="s">
        <v>103</v>
      </c>
      <c r="R8739" t="s">
        <v>217</v>
      </c>
      <c r="S8739" t="s">
        <v>103</v>
      </c>
      <c r="T8739" t="s">
        <v>103</v>
      </c>
      <c r="U8739" t="s">
        <v>103</v>
      </c>
      <c r="V8739" t="s">
        <v>217</v>
      </c>
      <c r="W8739" t="s">
        <v>103</v>
      </c>
    </row>
    <row r="8740" spans="1:23" x14ac:dyDescent="0.3">
      <c r="A8740" t="s">
        <v>27</v>
      </c>
      <c r="B8740" t="s">
        <v>211</v>
      </c>
      <c r="C8740">
        <v>270</v>
      </c>
      <c r="D8740" t="s">
        <v>857</v>
      </c>
      <c r="E8740" t="s">
        <v>103</v>
      </c>
      <c r="F8740" t="s">
        <v>103</v>
      </c>
      <c r="G8740" t="s">
        <v>160</v>
      </c>
      <c r="H8740" t="s">
        <v>103</v>
      </c>
      <c r="I8740" t="s">
        <v>103</v>
      </c>
      <c r="J8740" t="s">
        <v>103</v>
      </c>
      <c r="K8740" t="s">
        <v>103</v>
      </c>
      <c r="L8740" t="s">
        <v>110</v>
      </c>
      <c r="M8740" t="s">
        <v>103</v>
      </c>
      <c r="N8740" t="s">
        <v>120</v>
      </c>
      <c r="O8740" t="s">
        <v>103</v>
      </c>
      <c r="P8740" t="s">
        <v>103</v>
      </c>
      <c r="Q8740" t="s">
        <v>103</v>
      </c>
      <c r="R8740" t="s">
        <v>103</v>
      </c>
      <c r="S8740" t="s">
        <v>103</v>
      </c>
      <c r="T8740" t="s">
        <v>103</v>
      </c>
      <c r="U8740" t="s">
        <v>95</v>
      </c>
      <c r="V8740" t="s">
        <v>54</v>
      </c>
      <c r="W8740" t="s">
        <v>103</v>
      </c>
    </row>
    <row r="8741" spans="1:23" s="3" customFormat="1" x14ac:dyDescent="0.3">
      <c r="A8741" s="3" t="s">
        <v>27</v>
      </c>
      <c r="B8741" s="3" t="s">
        <v>212</v>
      </c>
      <c r="C8741" s="3">
        <v>30</v>
      </c>
      <c r="D8741" s="3" t="s">
        <v>624</v>
      </c>
      <c r="E8741" s="3" t="s">
        <v>103</v>
      </c>
      <c r="F8741" s="3" t="s">
        <v>103</v>
      </c>
      <c r="G8741" s="3" t="s">
        <v>103</v>
      </c>
      <c r="H8741" s="3" t="s">
        <v>103</v>
      </c>
      <c r="I8741" s="3" t="s">
        <v>103</v>
      </c>
      <c r="J8741" s="3" t="s">
        <v>103</v>
      </c>
      <c r="K8741" s="3" t="s">
        <v>103</v>
      </c>
      <c r="L8741" s="3" t="s">
        <v>103</v>
      </c>
      <c r="M8741" s="3" t="s">
        <v>103</v>
      </c>
      <c r="N8741" s="3" t="s">
        <v>103</v>
      </c>
      <c r="O8741" s="3" t="s">
        <v>103</v>
      </c>
      <c r="P8741" s="3" t="s">
        <v>103</v>
      </c>
      <c r="Q8741" s="3" t="s">
        <v>103</v>
      </c>
      <c r="R8741" s="3" t="s">
        <v>103</v>
      </c>
      <c r="S8741" s="3" t="s">
        <v>103</v>
      </c>
      <c r="T8741" s="3" t="s">
        <v>103</v>
      </c>
      <c r="U8741" s="3" t="s">
        <v>103</v>
      </c>
      <c r="V8741" s="3" t="s">
        <v>100</v>
      </c>
      <c r="W8741" s="3" t="s">
        <v>103</v>
      </c>
    </row>
    <row r="8742" spans="1:23" x14ac:dyDescent="0.3">
      <c r="A8742" t="s">
        <v>41</v>
      </c>
      <c r="B8742" t="s">
        <v>211</v>
      </c>
      <c r="C8742">
        <v>1714</v>
      </c>
      <c r="D8742" t="s">
        <v>720</v>
      </c>
      <c r="E8742" t="s">
        <v>103</v>
      </c>
      <c r="F8742" t="s">
        <v>103</v>
      </c>
      <c r="G8742" t="s">
        <v>239</v>
      </c>
      <c r="H8742" t="s">
        <v>116</v>
      </c>
      <c r="I8742" t="s">
        <v>95</v>
      </c>
      <c r="J8742" t="s">
        <v>98</v>
      </c>
      <c r="K8742" t="s">
        <v>120</v>
      </c>
      <c r="L8742" t="s">
        <v>120</v>
      </c>
      <c r="M8742" t="s">
        <v>91</v>
      </c>
      <c r="N8742" t="s">
        <v>468</v>
      </c>
      <c r="O8742" t="s">
        <v>103</v>
      </c>
      <c r="P8742" t="s">
        <v>120</v>
      </c>
      <c r="Q8742" t="s">
        <v>66</v>
      </c>
      <c r="R8742" t="s">
        <v>66</v>
      </c>
      <c r="S8742" t="s">
        <v>103</v>
      </c>
      <c r="T8742" t="s">
        <v>103</v>
      </c>
      <c r="U8742" t="s">
        <v>91</v>
      </c>
      <c r="V8742" t="s">
        <v>743</v>
      </c>
      <c r="W8742" t="s">
        <v>103</v>
      </c>
    </row>
    <row r="8743" spans="1:23" x14ac:dyDescent="0.3">
      <c r="A8743" t="s">
        <v>41</v>
      </c>
      <c r="B8743" t="s">
        <v>212</v>
      </c>
      <c r="C8743">
        <v>324</v>
      </c>
      <c r="D8743" t="s">
        <v>775</v>
      </c>
      <c r="E8743" t="s">
        <v>103</v>
      </c>
      <c r="F8743" t="s">
        <v>122</v>
      </c>
      <c r="G8743" t="s">
        <v>452</v>
      </c>
      <c r="H8743" t="s">
        <v>103</v>
      </c>
      <c r="I8743" t="s">
        <v>103</v>
      </c>
      <c r="J8743" t="s">
        <v>103</v>
      </c>
      <c r="K8743" t="s">
        <v>139</v>
      </c>
      <c r="L8743" t="s">
        <v>103</v>
      </c>
      <c r="M8743" t="s">
        <v>122</v>
      </c>
      <c r="N8743" t="s">
        <v>139</v>
      </c>
      <c r="O8743" t="s">
        <v>103</v>
      </c>
      <c r="P8743" t="s">
        <v>103</v>
      </c>
      <c r="Q8743" t="s">
        <v>103</v>
      </c>
      <c r="R8743" t="s">
        <v>122</v>
      </c>
      <c r="S8743" t="s">
        <v>103</v>
      </c>
      <c r="T8743" t="s">
        <v>103</v>
      </c>
      <c r="U8743" t="s">
        <v>122</v>
      </c>
      <c r="V8743" t="s">
        <v>126</v>
      </c>
      <c r="W8743" t="s">
        <v>116</v>
      </c>
    </row>
    <row r="8745" spans="1:23" x14ac:dyDescent="0.3">
      <c r="A8745" t="s">
        <v>2446</v>
      </c>
    </row>
    <row r="8746" spans="1:23" x14ac:dyDescent="0.3">
      <c r="A8746" t="s">
        <v>36</v>
      </c>
      <c r="B8746" t="s">
        <v>24</v>
      </c>
      <c r="C8746" t="s">
        <v>348</v>
      </c>
      <c r="D8746" t="s">
        <v>58</v>
      </c>
      <c r="E8746" t="s">
        <v>59</v>
      </c>
      <c r="F8746" t="s">
        <v>181</v>
      </c>
    </row>
    <row r="8747" spans="1:23" x14ac:dyDescent="0.3">
      <c r="A8747" t="s">
        <v>25</v>
      </c>
      <c r="B8747">
        <v>414</v>
      </c>
      <c r="C8747" t="s">
        <v>122</v>
      </c>
      <c r="D8747" t="s">
        <v>614</v>
      </c>
      <c r="E8747" t="s">
        <v>146</v>
      </c>
      <c r="F8747" t="s">
        <v>103</v>
      </c>
    </row>
    <row r="8748" spans="1:23" x14ac:dyDescent="0.3">
      <c r="A8748" t="s">
        <v>26</v>
      </c>
      <c r="B8748">
        <v>477</v>
      </c>
      <c r="C8748" t="s">
        <v>66</v>
      </c>
      <c r="D8748" t="s">
        <v>165</v>
      </c>
      <c r="E8748" t="s">
        <v>148</v>
      </c>
      <c r="F8748" t="s">
        <v>103</v>
      </c>
    </row>
    <row r="8749" spans="1:23" x14ac:dyDescent="0.3">
      <c r="A8749" t="s">
        <v>29</v>
      </c>
      <c r="B8749">
        <v>527</v>
      </c>
      <c r="C8749" t="s">
        <v>95</v>
      </c>
      <c r="D8749" t="s">
        <v>47</v>
      </c>
      <c r="E8749" t="s">
        <v>819</v>
      </c>
      <c r="F8749" t="s">
        <v>66</v>
      </c>
    </row>
    <row r="8750" spans="1:23" x14ac:dyDescent="0.3">
      <c r="A8750" t="s">
        <v>28</v>
      </c>
      <c r="B8750">
        <v>317</v>
      </c>
      <c r="C8750" t="s">
        <v>66</v>
      </c>
      <c r="D8750" t="s">
        <v>1438</v>
      </c>
      <c r="E8750" t="s">
        <v>920</v>
      </c>
      <c r="F8750" t="s">
        <v>122</v>
      </c>
    </row>
    <row r="8751" spans="1:23" x14ac:dyDescent="0.3">
      <c r="A8751" t="s">
        <v>27</v>
      </c>
      <c r="B8751">
        <v>299</v>
      </c>
      <c r="C8751" t="s">
        <v>662</v>
      </c>
      <c r="D8751" t="s">
        <v>1359</v>
      </c>
      <c r="E8751" t="s">
        <v>551</v>
      </c>
      <c r="F8751" t="s">
        <v>116</v>
      </c>
    </row>
    <row r="8752" spans="1:23" x14ac:dyDescent="0.3">
      <c r="A8752" t="s">
        <v>41</v>
      </c>
      <c r="B8752">
        <v>2034</v>
      </c>
      <c r="C8752" t="s">
        <v>95</v>
      </c>
      <c r="D8752" t="s">
        <v>711</v>
      </c>
      <c r="E8752" t="s">
        <v>160</v>
      </c>
      <c r="F8752" t="s">
        <v>91</v>
      </c>
    </row>
    <row r="8754" spans="1:7" x14ac:dyDescent="0.3">
      <c r="A8754" t="s">
        <v>2447</v>
      </c>
    </row>
    <row r="8755" spans="1:7" x14ac:dyDescent="0.3">
      <c r="A8755" t="s">
        <v>36</v>
      </c>
      <c r="B8755" t="s">
        <v>307</v>
      </c>
      <c r="C8755" t="s">
        <v>24</v>
      </c>
      <c r="D8755" t="s">
        <v>348</v>
      </c>
      <c r="E8755" t="s">
        <v>58</v>
      </c>
      <c r="F8755" t="s">
        <v>59</v>
      </c>
      <c r="G8755" t="s">
        <v>181</v>
      </c>
    </row>
    <row r="8756" spans="1:7" x14ac:dyDescent="0.3">
      <c r="A8756" t="s">
        <v>25</v>
      </c>
      <c r="B8756" t="s">
        <v>291</v>
      </c>
      <c r="C8756">
        <v>156</v>
      </c>
      <c r="D8756" t="s">
        <v>345</v>
      </c>
      <c r="E8756" t="s">
        <v>984</v>
      </c>
      <c r="F8756" t="s">
        <v>164</v>
      </c>
      <c r="G8756" t="s">
        <v>103</v>
      </c>
    </row>
    <row r="8757" spans="1:7" x14ac:dyDescent="0.3">
      <c r="A8757" t="s">
        <v>25</v>
      </c>
      <c r="B8757" t="s">
        <v>292</v>
      </c>
      <c r="C8757">
        <v>254</v>
      </c>
      <c r="D8757" t="s">
        <v>103</v>
      </c>
      <c r="E8757" t="s">
        <v>851</v>
      </c>
      <c r="F8757" t="s">
        <v>571</v>
      </c>
      <c r="G8757" t="s">
        <v>103</v>
      </c>
    </row>
    <row r="8758" spans="1:7" x14ac:dyDescent="0.3">
      <c r="A8758" t="s">
        <v>25</v>
      </c>
      <c r="B8758" t="s">
        <v>308</v>
      </c>
      <c r="C8758">
        <v>4</v>
      </c>
      <c r="D8758" t="s">
        <v>103</v>
      </c>
      <c r="E8758" t="s">
        <v>192</v>
      </c>
      <c r="F8758" t="s">
        <v>103</v>
      </c>
      <c r="G8758" t="s">
        <v>103</v>
      </c>
    </row>
    <row r="8759" spans="1:7" x14ac:dyDescent="0.3">
      <c r="A8759" t="s">
        <v>26</v>
      </c>
      <c r="B8759" t="s">
        <v>291</v>
      </c>
      <c r="C8759">
        <v>122</v>
      </c>
      <c r="D8759" t="s">
        <v>282</v>
      </c>
      <c r="E8759" t="s">
        <v>1359</v>
      </c>
      <c r="F8759" t="s">
        <v>654</v>
      </c>
      <c r="G8759" t="s">
        <v>103</v>
      </c>
    </row>
    <row r="8760" spans="1:7" x14ac:dyDescent="0.3">
      <c r="A8760" t="s">
        <v>26</v>
      </c>
      <c r="B8760" t="s">
        <v>292</v>
      </c>
      <c r="C8760">
        <v>352</v>
      </c>
      <c r="D8760" t="s">
        <v>103</v>
      </c>
      <c r="E8760" t="s">
        <v>193</v>
      </c>
      <c r="F8760" t="s">
        <v>135</v>
      </c>
      <c r="G8760" t="s">
        <v>103</v>
      </c>
    </row>
    <row r="8761" spans="1:7" x14ac:dyDescent="0.3">
      <c r="A8761" t="s">
        <v>26</v>
      </c>
      <c r="B8761" t="s">
        <v>308</v>
      </c>
      <c r="C8761">
        <v>3</v>
      </c>
      <c r="D8761" t="s">
        <v>103</v>
      </c>
      <c r="E8761" t="s">
        <v>192</v>
      </c>
      <c r="F8761" t="s">
        <v>103</v>
      </c>
      <c r="G8761" t="s">
        <v>103</v>
      </c>
    </row>
    <row r="8762" spans="1:7" x14ac:dyDescent="0.3">
      <c r="A8762" t="s">
        <v>29</v>
      </c>
      <c r="B8762" t="s">
        <v>291</v>
      </c>
      <c r="C8762">
        <v>204</v>
      </c>
      <c r="D8762" t="s">
        <v>103</v>
      </c>
      <c r="E8762" t="s">
        <v>720</v>
      </c>
      <c r="F8762" t="s">
        <v>734</v>
      </c>
      <c r="G8762" t="s">
        <v>122</v>
      </c>
    </row>
    <row r="8763" spans="1:7" x14ac:dyDescent="0.3">
      <c r="A8763" t="s">
        <v>29</v>
      </c>
      <c r="B8763" t="s">
        <v>292</v>
      </c>
      <c r="C8763">
        <v>323</v>
      </c>
      <c r="D8763" t="s">
        <v>345</v>
      </c>
      <c r="E8763" t="s">
        <v>992</v>
      </c>
      <c r="F8763" t="s">
        <v>132</v>
      </c>
      <c r="G8763" t="s">
        <v>103</v>
      </c>
    </row>
    <row r="8764" spans="1:7" x14ac:dyDescent="0.3">
      <c r="A8764" t="s">
        <v>28</v>
      </c>
      <c r="B8764" t="s">
        <v>291</v>
      </c>
      <c r="C8764">
        <v>114</v>
      </c>
      <c r="D8764" t="s">
        <v>103</v>
      </c>
      <c r="E8764" t="s">
        <v>703</v>
      </c>
      <c r="F8764" t="s">
        <v>645</v>
      </c>
      <c r="G8764" t="s">
        <v>103</v>
      </c>
    </row>
    <row r="8765" spans="1:7" x14ac:dyDescent="0.3">
      <c r="A8765" t="s">
        <v>28</v>
      </c>
      <c r="B8765" t="s">
        <v>292</v>
      </c>
      <c r="C8765">
        <v>191</v>
      </c>
      <c r="D8765" t="s">
        <v>122</v>
      </c>
      <c r="E8765" t="s">
        <v>1436</v>
      </c>
      <c r="F8765" t="s">
        <v>1082</v>
      </c>
      <c r="G8765" t="s">
        <v>120</v>
      </c>
    </row>
    <row r="8766" spans="1:7" x14ac:dyDescent="0.3">
      <c r="A8766" t="s">
        <v>28</v>
      </c>
      <c r="B8766" t="s">
        <v>308</v>
      </c>
      <c r="C8766">
        <v>12</v>
      </c>
      <c r="D8766" t="s">
        <v>103</v>
      </c>
      <c r="E8766" t="s">
        <v>1063</v>
      </c>
      <c r="F8766" t="s">
        <v>565</v>
      </c>
      <c r="G8766" t="s">
        <v>103</v>
      </c>
    </row>
    <row r="8767" spans="1:7" x14ac:dyDescent="0.3">
      <c r="A8767" t="s">
        <v>27</v>
      </c>
      <c r="B8767" t="s">
        <v>291</v>
      </c>
      <c r="C8767">
        <v>94</v>
      </c>
      <c r="D8767" t="s">
        <v>629</v>
      </c>
      <c r="E8767" t="s">
        <v>426</v>
      </c>
      <c r="F8767" t="s">
        <v>542</v>
      </c>
      <c r="G8767" t="s">
        <v>282</v>
      </c>
    </row>
    <row r="8768" spans="1:7" x14ac:dyDescent="0.3">
      <c r="A8768" t="s">
        <v>27</v>
      </c>
      <c r="B8768" t="s">
        <v>292</v>
      </c>
      <c r="C8768">
        <v>198</v>
      </c>
      <c r="D8768" t="s">
        <v>201</v>
      </c>
      <c r="E8768" t="s">
        <v>238</v>
      </c>
      <c r="F8768" t="s">
        <v>244</v>
      </c>
      <c r="G8768" t="s">
        <v>103</v>
      </c>
    </row>
    <row r="8769" spans="1:7" x14ac:dyDescent="0.3">
      <c r="A8769" t="s">
        <v>27</v>
      </c>
      <c r="B8769" t="s">
        <v>308</v>
      </c>
      <c r="C8769">
        <v>7</v>
      </c>
      <c r="D8769" t="s">
        <v>103</v>
      </c>
      <c r="E8769" t="s">
        <v>605</v>
      </c>
      <c r="F8769" t="s">
        <v>488</v>
      </c>
      <c r="G8769" t="s">
        <v>103</v>
      </c>
    </row>
    <row r="8770" spans="1:7" x14ac:dyDescent="0.3">
      <c r="A8770" t="s">
        <v>41</v>
      </c>
      <c r="B8770" t="s">
        <v>291</v>
      </c>
      <c r="C8770">
        <v>690</v>
      </c>
      <c r="D8770" t="s">
        <v>139</v>
      </c>
      <c r="E8770" t="s">
        <v>1456</v>
      </c>
      <c r="F8770" t="s">
        <v>142</v>
      </c>
      <c r="G8770" t="s">
        <v>116</v>
      </c>
    </row>
    <row r="8771" spans="1:7" x14ac:dyDescent="0.3">
      <c r="A8771" t="s">
        <v>41</v>
      </c>
      <c r="B8771" t="s">
        <v>292</v>
      </c>
      <c r="C8771">
        <v>1318</v>
      </c>
      <c r="D8771" t="s">
        <v>95</v>
      </c>
      <c r="E8771" t="s">
        <v>53</v>
      </c>
      <c r="F8771" t="s">
        <v>516</v>
      </c>
      <c r="G8771" t="s">
        <v>103</v>
      </c>
    </row>
    <row r="8772" spans="1:7" x14ac:dyDescent="0.3">
      <c r="A8772" t="s">
        <v>41</v>
      </c>
      <c r="B8772" t="s">
        <v>308</v>
      </c>
      <c r="C8772">
        <v>26</v>
      </c>
      <c r="D8772" t="s">
        <v>103</v>
      </c>
      <c r="E8772" t="s">
        <v>193</v>
      </c>
      <c r="F8772" t="s">
        <v>135</v>
      </c>
      <c r="G8772" t="s">
        <v>103</v>
      </c>
    </row>
    <row r="8774" spans="1:7" x14ac:dyDescent="0.3">
      <c r="A8774" t="s">
        <v>2448</v>
      </c>
    </row>
    <row r="8775" spans="1:7" x14ac:dyDescent="0.3">
      <c r="A8775" t="s">
        <v>36</v>
      </c>
      <c r="B8775" t="s">
        <v>310</v>
      </c>
      <c r="C8775" t="s">
        <v>24</v>
      </c>
      <c r="D8775" t="s">
        <v>348</v>
      </c>
      <c r="E8775" t="s">
        <v>58</v>
      </c>
      <c r="F8775" t="s">
        <v>59</v>
      </c>
      <c r="G8775" t="s">
        <v>181</v>
      </c>
    </row>
    <row r="8776" spans="1:7" x14ac:dyDescent="0.3">
      <c r="A8776" t="s">
        <v>25</v>
      </c>
      <c r="B8776" t="s">
        <v>311</v>
      </c>
      <c r="C8776">
        <v>324</v>
      </c>
      <c r="D8776" t="s">
        <v>97</v>
      </c>
      <c r="E8776" t="s">
        <v>241</v>
      </c>
      <c r="F8776" t="s">
        <v>123</v>
      </c>
      <c r="G8776" t="s">
        <v>103</v>
      </c>
    </row>
    <row r="8777" spans="1:7" x14ac:dyDescent="0.3">
      <c r="A8777" t="s">
        <v>25</v>
      </c>
      <c r="B8777" t="s">
        <v>312</v>
      </c>
      <c r="C8777">
        <v>80</v>
      </c>
      <c r="D8777" t="s">
        <v>103</v>
      </c>
      <c r="E8777" t="s">
        <v>207</v>
      </c>
      <c r="F8777" t="s">
        <v>124</v>
      </c>
      <c r="G8777" t="s">
        <v>103</v>
      </c>
    </row>
    <row r="8778" spans="1:7" x14ac:dyDescent="0.3">
      <c r="A8778" t="s">
        <v>25</v>
      </c>
      <c r="B8778" t="s">
        <v>308</v>
      </c>
      <c r="C8778">
        <v>10</v>
      </c>
      <c r="D8778" t="s">
        <v>103</v>
      </c>
      <c r="E8778" t="s">
        <v>283</v>
      </c>
      <c r="F8778" t="s">
        <v>108</v>
      </c>
      <c r="G8778" t="s">
        <v>103</v>
      </c>
    </row>
    <row r="8779" spans="1:7" x14ac:dyDescent="0.3">
      <c r="A8779" t="s">
        <v>26</v>
      </c>
      <c r="B8779" t="s">
        <v>311</v>
      </c>
      <c r="C8779">
        <v>343</v>
      </c>
      <c r="D8779" t="s">
        <v>116</v>
      </c>
      <c r="E8779" t="s">
        <v>994</v>
      </c>
      <c r="F8779" t="s">
        <v>175</v>
      </c>
      <c r="G8779" t="s">
        <v>103</v>
      </c>
    </row>
    <row r="8780" spans="1:7" x14ac:dyDescent="0.3">
      <c r="A8780" t="s">
        <v>26</v>
      </c>
      <c r="B8780" t="s">
        <v>312</v>
      </c>
      <c r="C8780">
        <v>96</v>
      </c>
      <c r="D8780" t="s">
        <v>103</v>
      </c>
      <c r="E8780" t="s">
        <v>766</v>
      </c>
      <c r="F8780" t="s">
        <v>516</v>
      </c>
      <c r="G8780" t="s">
        <v>103</v>
      </c>
    </row>
    <row r="8781" spans="1:7" x14ac:dyDescent="0.3">
      <c r="A8781" t="s">
        <v>26</v>
      </c>
      <c r="B8781" t="s">
        <v>308</v>
      </c>
      <c r="C8781">
        <v>38</v>
      </c>
      <c r="D8781" t="s">
        <v>103</v>
      </c>
      <c r="E8781" t="s">
        <v>862</v>
      </c>
      <c r="F8781" t="s">
        <v>531</v>
      </c>
      <c r="G8781" t="s">
        <v>103</v>
      </c>
    </row>
    <row r="8782" spans="1:7" x14ac:dyDescent="0.3">
      <c r="A8782" t="s">
        <v>29</v>
      </c>
      <c r="B8782" t="s">
        <v>311</v>
      </c>
      <c r="C8782">
        <v>411</v>
      </c>
      <c r="D8782" t="s">
        <v>98</v>
      </c>
      <c r="E8782" t="s">
        <v>720</v>
      </c>
      <c r="F8782" t="s">
        <v>687</v>
      </c>
      <c r="G8782" t="s">
        <v>66</v>
      </c>
    </row>
    <row r="8783" spans="1:7" x14ac:dyDescent="0.3">
      <c r="A8783" t="s">
        <v>29</v>
      </c>
      <c r="B8783" t="s">
        <v>312</v>
      </c>
      <c r="C8783">
        <v>103</v>
      </c>
      <c r="D8783" t="s">
        <v>103</v>
      </c>
      <c r="E8783" t="s">
        <v>252</v>
      </c>
      <c r="F8783" t="s">
        <v>671</v>
      </c>
      <c r="G8783" t="s">
        <v>91</v>
      </c>
    </row>
    <row r="8784" spans="1:7" x14ac:dyDescent="0.3">
      <c r="A8784" t="s">
        <v>29</v>
      </c>
      <c r="B8784" t="s">
        <v>308</v>
      </c>
      <c r="C8784">
        <v>13</v>
      </c>
      <c r="D8784" t="s">
        <v>103</v>
      </c>
      <c r="E8784" t="s">
        <v>1438</v>
      </c>
      <c r="F8784" t="s">
        <v>534</v>
      </c>
      <c r="G8784" t="s">
        <v>103</v>
      </c>
    </row>
    <row r="8785" spans="1:7" x14ac:dyDescent="0.3">
      <c r="A8785" t="s">
        <v>28</v>
      </c>
      <c r="B8785" t="s">
        <v>311</v>
      </c>
      <c r="C8785">
        <v>223</v>
      </c>
      <c r="D8785" t="s">
        <v>103</v>
      </c>
      <c r="E8785" t="s">
        <v>703</v>
      </c>
      <c r="F8785" t="s">
        <v>1093</v>
      </c>
      <c r="G8785" t="s">
        <v>97</v>
      </c>
    </row>
    <row r="8786" spans="1:7" x14ac:dyDescent="0.3">
      <c r="A8786" t="s">
        <v>28</v>
      </c>
      <c r="B8786" t="s">
        <v>312</v>
      </c>
      <c r="C8786">
        <v>93</v>
      </c>
      <c r="D8786" t="s">
        <v>98</v>
      </c>
      <c r="E8786" t="s">
        <v>1441</v>
      </c>
      <c r="F8786" t="s">
        <v>820</v>
      </c>
      <c r="G8786" t="s">
        <v>103</v>
      </c>
    </row>
    <row r="8787" spans="1:7" x14ac:dyDescent="0.3">
      <c r="A8787" t="s">
        <v>28</v>
      </c>
      <c r="B8787" t="s">
        <v>308</v>
      </c>
      <c r="C8787">
        <v>1</v>
      </c>
      <c r="D8787" t="s">
        <v>103</v>
      </c>
      <c r="E8787" t="s">
        <v>192</v>
      </c>
      <c r="F8787" t="s">
        <v>103</v>
      </c>
      <c r="G8787" t="s">
        <v>103</v>
      </c>
    </row>
    <row r="8788" spans="1:7" x14ac:dyDescent="0.3">
      <c r="A8788" t="s">
        <v>27</v>
      </c>
      <c r="B8788" t="s">
        <v>311</v>
      </c>
      <c r="C8788">
        <v>236</v>
      </c>
      <c r="D8788" t="s">
        <v>281</v>
      </c>
      <c r="E8788" t="s">
        <v>1368</v>
      </c>
      <c r="F8788" t="s">
        <v>486</v>
      </c>
      <c r="G8788" t="s">
        <v>116</v>
      </c>
    </row>
    <row r="8789" spans="1:7" x14ac:dyDescent="0.3">
      <c r="A8789" t="s">
        <v>27</v>
      </c>
      <c r="B8789" t="s">
        <v>312</v>
      </c>
      <c r="C8789">
        <v>60</v>
      </c>
      <c r="D8789" t="s">
        <v>126</v>
      </c>
      <c r="E8789" t="s">
        <v>878</v>
      </c>
      <c r="F8789" t="s">
        <v>169</v>
      </c>
      <c r="G8789" t="s">
        <v>103</v>
      </c>
    </row>
    <row r="8790" spans="1:7" x14ac:dyDescent="0.3">
      <c r="A8790" t="s">
        <v>27</v>
      </c>
      <c r="B8790" t="s">
        <v>308</v>
      </c>
      <c r="C8790">
        <v>3</v>
      </c>
      <c r="D8790" t="s">
        <v>103</v>
      </c>
      <c r="E8790" t="s">
        <v>943</v>
      </c>
      <c r="F8790" t="s">
        <v>527</v>
      </c>
      <c r="G8790" t="s">
        <v>103</v>
      </c>
    </row>
    <row r="8791" spans="1:7" x14ac:dyDescent="0.3">
      <c r="A8791" t="s">
        <v>41</v>
      </c>
      <c r="B8791" t="s">
        <v>311</v>
      </c>
      <c r="C8791">
        <v>1537</v>
      </c>
      <c r="D8791" t="s">
        <v>98</v>
      </c>
      <c r="E8791" t="s">
        <v>276</v>
      </c>
      <c r="F8791" t="s">
        <v>475</v>
      </c>
      <c r="G8791" t="s">
        <v>91</v>
      </c>
    </row>
    <row r="8792" spans="1:7" x14ac:dyDescent="0.3">
      <c r="A8792" t="s">
        <v>41</v>
      </c>
      <c r="B8792" t="s">
        <v>312</v>
      </c>
      <c r="C8792">
        <v>432</v>
      </c>
      <c r="D8792" t="s">
        <v>122</v>
      </c>
      <c r="E8792" t="s">
        <v>47</v>
      </c>
      <c r="F8792" t="s">
        <v>486</v>
      </c>
      <c r="G8792" t="s">
        <v>91</v>
      </c>
    </row>
    <row r="8793" spans="1:7" x14ac:dyDescent="0.3">
      <c r="A8793" t="s">
        <v>41</v>
      </c>
      <c r="B8793" t="s">
        <v>308</v>
      </c>
      <c r="C8793">
        <v>65</v>
      </c>
      <c r="D8793" t="s">
        <v>103</v>
      </c>
      <c r="E8793" t="s">
        <v>149</v>
      </c>
      <c r="F8793" t="s">
        <v>148</v>
      </c>
      <c r="G8793" t="s">
        <v>103</v>
      </c>
    </row>
    <row r="8795" spans="1:7" x14ac:dyDescent="0.3">
      <c r="A8795" t="s">
        <v>2449</v>
      </c>
    </row>
    <row r="8796" spans="1:7" x14ac:dyDescent="0.3">
      <c r="A8796" t="s">
        <v>36</v>
      </c>
      <c r="B8796" t="s">
        <v>210</v>
      </c>
      <c r="C8796" t="s">
        <v>24</v>
      </c>
      <c r="D8796" t="s">
        <v>348</v>
      </c>
      <c r="E8796" t="s">
        <v>58</v>
      </c>
      <c r="F8796" t="s">
        <v>59</v>
      </c>
      <c r="G8796" t="s">
        <v>181</v>
      </c>
    </row>
    <row r="8797" spans="1:7" x14ac:dyDescent="0.3">
      <c r="A8797" t="s">
        <v>25</v>
      </c>
      <c r="B8797" t="s">
        <v>211</v>
      </c>
      <c r="C8797">
        <v>414</v>
      </c>
      <c r="D8797" t="s">
        <v>122</v>
      </c>
      <c r="E8797" t="s">
        <v>614</v>
      </c>
      <c r="F8797" t="s">
        <v>146</v>
      </c>
      <c r="G8797" t="s">
        <v>103</v>
      </c>
    </row>
    <row r="8798" spans="1:7" x14ac:dyDescent="0.3">
      <c r="A8798" t="s">
        <v>26</v>
      </c>
      <c r="B8798" t="s">
        <v>211</v>
      </c>
      <c r="C8798">
        <v>223</v>
      </c>
      <c r="D8798" t="s">
        <v>103</v>
      </c>
      <c r="E8798" t="s">
        <v>859</v>
      </c>
      <c r="F8798" t="s">
        <v>112</v>
      </c>
      <c r="G8798" t="s">
        <v>103</v>
      </c>
    </row>
    <row r="8799" spans="1:7" x14ac:dyDescent="0.3">
      <c r="A8799" t="s">
        <v>26</v>
      </c>
      <c r="B8799" t="s">
        <v>212</v>
      </c>
      <c r="C8799">
        <v>254</v>
      </c>
      <c r="D8799" t="s">
        <v>97</v>
      </c>
      <c r="E8799" t="s">
        <v>634</v>
      </c>
      <c r="F8799" t="s">
        <v>155</v>
      </c>
      <c r="G8799" t="s">
        <v>103</v>
      </c>
    </row>
    <row r="8800" spans="1:7" x14ac:dyDescent="0.3">
      <c r="A8800" t="s">
        <v>29</v>
      </c>
      <c r="B8800" t="s">
        <v>211</v>
      </c>
      <c r="C8800">
        <v>527</v>
      </c>
      <c r="D8800" t="s">
        <v>95</v>
      </c>
      <c r="E8800" t="s">
        <v>47</v>
      </c>
      <c r="F8800" t="s">
        <v>819</v>
      </c>
      <c r="G8800" t="s">
        <v>66</v>
      </c>
    </row>
    <row r="8801" spans="1:7" x14ac:dyDescent="0.3">
      <c r="A8801" t="s">
        <v>28</v>
      </c>
      <c r="B8801" t="s">
        <v>211</v>
      </c>
      <c r="C8801">
        <v>277</v>
      </c>
      <c r="D8801" t="s">
        <v>116</v>
      </c>
      <c r="E8801" t="s">
        <v>1441</v>
      </c>
      <c r="F8801" t="s">
        <v>746</v>
      </c>
      <c r="G8801" t="s">
        <v>103</v>
      </c>
    </row>
    <row r="8802" spans="1:7" x14ac:dyDescent="0.3">
      <c r="A8802" t="s">
        <v>28</v>
      </c>
      <c r="B8802" t="s">
        <v>212</v>
      </c>
      <c r="C8802">
        <v>40</v>
      </c>
      <c r="D8802" t="s">
        <v>103</v>
      </c>
      <c r="E8802" t="s">
        <v>361</v>
      </c>
      <c r="F8802" t="s">
        <v>410</v>
      </c>
      <c r="G8802" t="s">
        <v>438</v>
      </c>
    </row>
    <row r="8803" spans="1:7" x14ac:dyDescent="0.3">
      <c r="A8803" t="s">
        <v>27</v>
      </c>
      <c r="B8803" t="s">
        <v>211</v>
      </c>
      <c r="C8803">
        <v>269</v>
      </c>
      <c r="D8803" t="s">
        <v>206</v>
      </c>
      <c r="E8803" t="s">
        <v>1368</v>
      </c>
      <c r="F8803" t="s">
        <v>228</v>
      </c>
      <c r="G8803" t="s">
        <v>116</v>
      </c>
    </row>
    <row r="8804" spans="1:7" s="3" customFormat="1" x14ac:dyDescent="0.3">
      <c r="A8804" s="3" t="s">
        <v>27</v>
      </c>
      <c r="B8804" s="3" t="s">
        <v>212</v>
      </c>
      <c r="C8804" s="3">
        <v>30</v>
      </c>
      <c r="D8804" s="3" t="s">
        <v>103</v>
      </c>
      <c r="E8804" s="3" t="s">
        <v>889</v>
      </c>
      <c r="F8804" s="3" t="s">
        <v>890</v>
      </c>
      <c r="G8804" s="3" t="s">
        <v>103</v>
      </c>
    </row>
    <row r="8805" spans="1:7" x14ac:dyDescent="0.3">
      <c r="A8805" t="s">
        <v>41</v>
      </c>
      <c r="B8805" t="s">
        <v>211</v>
      </c>
      <c r="C8805">
        <v>1710</v>
      </c>
      <c r="D8805" t="s">
        <v>139</v>
      </c>
      <c r="E8805" t="s">
        <v>1308</v>
      </c>
      <c r="F8805" t="s">
        <v>519</v>
      </c>
      <c r="G8805" t="s">
        <v>91</v>
      </c>
    </row>
    <row r="8806" spans="1:7" x14ac:dyDescent="0.3">
      <c r="A8806" t="s">
        <v>41</v>
      </c>
      <c r="B8806" t="s">
        <v>212</v>
      </c>
      <c r="C8806">
        <v>324</v>
      </c>
      <c r="D8806" t="s">
        <v>122</v>
      </c>
      <c r="E8806" t="s">
        <v>1361</v>
      </c>
      <c r="F8806" t="s">
        <v>506</v>
      </c>
      <c r="G8806" t="s">
        <v>91</v>
      </c>
    </row>
    <row r="8808" spans="1:7" x14ac:dyDescent="0.3">
      <c r="A8808" t="s">
        <v>2450</v>
      </c>
    </row>
    <row r="8809" spans="1:7" x14ac:dyDescent="0.3">
      <c r="A8809" t="s">
        <v>36</v>
      </c>
      <c r="B8809" t="s">
        <v>197</v>
      </c>
      <c r="C8809" t="s">
        <v>24</v>
      </c>
      <c r="D8809" t="s">
        <v>58</v>
      </c>
      <c r="E8809" t="s">
        <v>59</v>
      </c>
      <c r="F8809" t="s">
        <v>348</v>
      </c>
      <c r="G8809" t="s">
        <v>181</v>
      </c>
    </row>
    <row r="8810" spans="1:7" x14ac:dyDescent="0.3">
      <c r="A8810" t="s">
        <v>25</v>
      </c>
      <c r="B8810" t="s">
        <v>198</v>
      </c>
      <c r="C8810">
        <v>104</v>
      </c>
      <c r="D8810" t="s">
        <v>783</v>
      </c>
      <c r="E8810" t="s">
        <v>481</v>
      </c>
      <c r="F8810" t="s">
        <v>103</v>
      </c>
      <c r="G8810" t="s">
        <v>103</v>
      </c>
    </row>
    <row r="8811" spans="1:7" x14ac:dyDescent="0.3">
      <c r="A8811" t="s">
        <v>25</v>
      </c>
      <c r="B8811" t="s">
        <v>199</v>
      </c>
      <c r="C8811">
        <v>310</v>
      </c>
      <c r="D8811" t="s">
        <v>63</v>
      </c>
      <c r="E8811" t="s">
        <v>649</v>
      </c>
      <c r="F8811" t="s">
        <v>97</v>
      </c>
      <c r="G8811" t="s">
        <v>103</v>
      </c>
    </row>
    <row r="8812" spans="1:7" x14ac:dyDescent="0.3">
      <c r="A8812" t="s">
        <v>26</v>
      </c>
      <c r="B8812" t="s">
        <v>198</v>
      </c>
      <c r="C8812">
        <v>41</v>
      </c>
      <c r="D8812" t="s">
        <v>159</v>
      </c>
      <c r="E8812" t="s">
        <v>117</v>
      </c>
      <c r="F8812" t="s">
        <v>103</v>
      </c>
      <c r="G8812" t="s">
        <v>103</v>
      </c>
    </row>
    <row r="8813" spans="1:7" x14ac:dyDescent="0.3">
      <c r="A8813" t="s">
        <v>26</v>
      </c>
      <c r="B8813" t="s">
        <v>199</v>
      </c>
      <c r="C8813">
        <v>436</v>
      </c>
      <c r="D8813" t="s">
        <v>176</v>
      </c>
      <c r="E8813" t="s">
        <v>813</v>
      </c>
      <c r="F8813" t="s">
        <v>116</v>
      </c>
      <c r="G8813" t="s">
        <v>103</v>
      </c>
    </row>
    <row r="8814" spans="1:7" x14ac:dyDescent="0.3">
      <c r="A8814" t="s">
        <v>29</v>
      </c>
      <c r="B8814" t="s">
        <v>198</v>
      </c>
      <c r="C8814">
        <v>170</v>
      </c>
      <c r="D8814" t="s">
        <v>725</v>
      </c>
      <c r="E8814" t="s">
        <v>469</v>
      </c>
      <c r="F8814" t="s">
        <v>103</v>
      </c>
      <c r="G8814" t="s">
        <v>103</v>
      </c>
    </row>
    <row r="8815" spans="1:7" x14ac:dyDescent="0.3">
      <c r="A8815" t="s">
        <v>29</v>
      </c>
      <c r="B8815" t="s">
        <v>199</v>
      </c>
      <c r="C8815">
        <v>357</v>
      </c>
      <c r="D8815" t="s">
        <v>757</v>
      </c>
      <c r="E8815" t="s">
        <v>471</v>
      </c>
      <c r="F8815" t="s">
        <v>282</v>
      </c>
      <c r="G8815" t="s">
        <v>116</v>
      </c>
    </row>
    <row r="8816" spans="1:7" x14ac:dyDescent="0.3">
      <c r="A8816" t="s">
        <v>28</v>
      </c>
      <c r="B8816" t="s">
        <v>198</v>
      </c>
      <c r="C8816">
        <v>70</v>
      </c>
      <c r="D8816" t="s">
        <v>187</v>
      </c>
      <c r="E8816" t="s">
        <v>130</v>
      </c>
      <c r="F8816" t="s">
        <v>103</v>
      </c>
      <c r="G8816" t="s">
        <v>103</v>
      </c>
    </row>
    <row r="8817" spans="1:13" x14ac:dyDescent="0.3">
      <c r="A8817" t="s">
        <v>28</v>
      </c>
      <c r="B8817" t="s">
        <v>199</v>
      </c>
      <c r="C8817">
        <v>247</v>
      </c>
      <c r="D8817" t="s">
        <v>439</v>
      </c>
      <c r="E8817" t="s">
        <v>529</v>
      </c>
      <c r="F8817" t="s">
        <v>116</v>
      </c>
      <c r="G8817" t="s">
        <v>97</v>
      </c>
    </row>
    <row r="8818" spans="1:13" x14ac:dyDescent="0.3">
      <c r="A8818" t="s">
        <v>27</v>
      </c>
      <c r="B8818" t="s">
        <v>198</v>
      </c>
      <c r="C8818">
        <v>135</v>
      </c>
      <c r="D8818" t="s">
        <v>1040</v>
      </c>
      <c r="E8818" t="s">
        <v>106</v>
      </c>
      <c r="F8818" t="s">
        <v>232</v>
      </c>
      <c r="G8818" t="s">
        <v>120</v>
      </c>
    </row>
    <row r="8819" spans="1:13" x14ac:dyDescent="0.3">
      <c r="A8819" t="s">
        <v>27</v>
      </c>
      <c r="B8819" t="s">
        <v>199</v>
      </c>
      <c r="C8819">
        <v>164</v>
      </c>
      <c r="D8819" t="s">
        <v>1393</v>
      </c>
      <c r="E8819" t="s">
        <v>471</v>
      </c>
      <c r="F8819" t="s">
        <v>133</v>
      </c>
      <c r="G8819" t="s">
        <v>103</v>
      </c>
    </row>
    <row r="8820" spans="1:13" x14ac:dyDescent="0.3">
      <c r="A8820" t="s">
        <v>41</v>
      </c>
      <c r="B8820" t="s">
        <v>198</v>
      </c>
      <c r="C8820">
        <v>520</v>
      </c>
      <c r="D8820" t="s">
        <v>902</v>
      </c>
      <c r="E8820" t="s">
        <v>524</v>
      </c>
      <c r="F8820" t="s">
        <v>120</v>
      </c>
      <c r="G8820" t="s">
        <v>91</v>
      </c>
    </row>
    <row r="8821" spans="1:13" x14ac:dyDescent="0.3">
      <c r="A8821" t="s">
        <v>41</v>
      </c>
      <c r="B8821" t="s">
        <v>199</v>
      </c>
      <c r="C8821">
        <v>1514</v>
      </c>
      <c r="D8821" t="s">
        <v>202</v>
      </c>
      <c r="E8821" t="s">
        <v>687</v>
      </c>
      <c r="F8821" t="s">
        <v>139</v>
      </c>
      <c r="G8821" t="s">
        <v>91</v>
      </c>
    </row>
    <row r="8823" spans="1:13" x14ac:dyDescent="0.3">
      <c r="A8823" t="s">
        <v>2451</v>
      </c>
    </row>
    <row r="8824" spans="1:13" x14ac:dyDescent="0.3">
      <c r="A8824" t="s">
        <v>36</v>
      </c>
      <c r="B8824" t="s">
        <v>24</v>
      </c>
      <c r="C8824" t="s">
        <v>2452</v>
      </c>
      <c r="D8824" t="s">
        <v>2453</v>
      </c>
      <c r="E8824" t="s">
        <v>2454</v>
      </c>
      <c r="F8824" t="s">
        <v>2455</v>
      </c>
      <c r="G8824" t="s">
        <v>2456</v>
      </c>
      <c r="H8824" t="s">
        <v>2457</v>
      </c>
      <c r="I8824" t="s">
        <v>2458</v>
      </c>
      <c r="J8824" t="s">
        <v>2459</v>
      </c>
      <c r="K8824" t="s">
        <v>2460</v>
      </c>
      <c r="L8824" t="s">
        <v>2461</v>
      </c>
      <c r="M8824" t="s">
        <v>1566</v>
      </c>
    </row>
    <row r="8825" spans="1:13" x14ac:dyDescent="0.3">
      <c r="A8825" t="s">
        <v>25</v>
      </c>
      <c r="B8825">
        <v>413</v>
      </c>
      <c r="C8825" t="s">
        <v>1348</v>
      </c>
      <c r="D8825" t="s">
        <v>122</v>
      </c>
      <c r="E8825" t="s">
        <v>110</v>
      </c>
      <c r="F8825" t="s">
        <v>98</v>
      </c>
      <c r="G8825" t="s">
        <v>266</v>
      </c>
      <c r="H8825" t="s">
        <v>809</v>
      </c>
      <c r="I8825" t="s">
        <v>208</v>
      </c>
      <c r="J8825" t="s">
        <v>107</v>
      </c>
      <c r="K8825" t="s">
        <v>139</v>
      </c>
      <c r="L8825" t="s">
        <v>282</v>
      </c>
      <c r="M8825" t="s">
        <v>103</v>
      </c>
    </row>
    <row r="8826" spans="1:13" x14ac:dyDescent="0.3">
      <c r="A8826" t="s">
        <v>26</v>
      </c>
      <c r="B8826">
        <v>475</v>
      </c>
      <c r="C8826" t="s">
        <v>755</v>
      </c>
      <c r="D8826" t="s">
        <v>66</v>
      </c>
      <c r="E8826" t="s">
        <v>266</v>
      </c>
      <c r="F8826" t="s">
        <v>93</v>
      </c>
      <c r="G8826" t="s">
        <v>32</v>
      </c>
      <c r="H8826" t="s">
        <v>575</v>
      </c>
      <c r="I8826" t="s">
        <v>438</v>
      </c>
      <c r="J8826" t="s">
        <v>452</v>
      </c>
      <c r="K8826" t="s">
        <v>122</v>
      </c>
      <c r="L8826" t="s">
        <v>468</v>
      </c>
      <c r="M8826" t="s">
        <v>116</v>
      </c>
    </row>
    <row r="8827" spans="1:13" x14ac:dyDescent="0.3">
      <c r="A8827" t="s">
        <v>29</v>
      </c>
      <c r="B8827">
        <v>525</v>
      </c>
      <c r="C8827" t="s">
        <v>1137</v>
      </c>
      <c r="D8827" t="s">
        <v>194</v>
      </c>
      <c r="E8827" t="s">
        <v>64</v>
      </c>
      <c r="F8827" t="s">
        <v>110</v>
      </c>
      <c r="G8827" t="s">
        <v>195</v>
      </c>
      <c r="H8827" t="s">
        <v>269</v>
      </c>
      <c r="I8827" t="s">
        <v>217</v>
      </c>
      <c r="J8827" t="s">
        <v>111</v>
      </c>
      <c r="K8827" t="s">
        <v>97</v>
      </c>
      <c r="L8827" t="s">
        <v>120</v>
      </c>
      <c r="M8827" t="s">
        <v>97</v>
      </c>
    </row>
    <row r="8828" spans="1:13" x14ac:dyDescent="0.3">
      <c r="A8828" t="s">
        <v>28</v>
      </c>
      <c r="B8828">
        <v>315</v>
      </c>
      <c r="C8828" t="s">
        <v>790</v>
      </c>
      <c r="D8828" t="s">
        <v>103</v>
      </c>
      <c r="E8828" t="s">
        <v>112</v>
      </c>
      <c r="F8828" t="s">
        <v>95</v>
      </c>
      <c r="G8828" t="s">
        <v>188</v>
      </c>
      <c r="H8828" t="s">
        <v>117</v>
      </c>
      <c r="I8828" t="s">
        <v>110</v>
      </c>
      <c r="J8828" t="s">
        <v>175</v>
      </c>
      <c r="K8828" t="s">
        <v>186</v>
      </c>
      <c r="L8828" t="s">
        <v>110</v>
      </c>
      <c r="M8828" t="s">
        <v>103</v>
      </c>
    </row>
    <row r="8829" spans="1:13" x14ac:dyDescent="0.3">
      <c r="A8829" t="s">
        <v>27</v>
      </c>
      <c r="B8829">
        <v>300</v>
      </c>
      <c r="C8829" t="s">
        <v>835</v>
      </c>
      <c r="D8829" t="s">
        <v>438</v>
      </c>
      <c r="E8829" t="s">
        <v>467</v>
      </c>
      <c r="F8829" t="s">
        <v>118</v>
      </c>
      <c r="G8829" t="s">
        <v>169</v>
      </c>
      <c r="H8829" t="s">
        <v>525</v>
      </c>
      <c r="I8829" t="s">
        <v>128</v>
      </c>
      <c r="J8829" t="s">
        <v>133</v>
      </c>
      <c r="K8829" t="s">
        <v>116</v>
      </c>
      <c r="L8829" t="s">
        <v>257</v>
      </c>
      <c r="M8829" t="s">
        <v>103</v>
      </c>
    </row>
    <row r="8830" spans="1:13" x14ac:dyDescent="0.3">
      <c r="A8830" t="s">
        <v>41</v>
      </c>
      <c r="B8830">
        <v>2028</v>
      </c>
      <c r="C8830" t="s">
        <v>1377</v>
      </c>
      <c r="D8830" t="s">
        <v>98</v>
      </c>
      <c r="E8830" t="s">
        <v>266</v>
      </c>
      <c r="F8830" t="s">
        <v>239</v>
      </c>
      <c r="G8830" t="s">
        <v>188</v>
      </c>
      <c r="H8830" t="s">
        <v>517</v>
      </c>
      <c r="I8830" t="s">
        <v>217</v>
      </c>
      <c r="J8830" t="s">
        <v>224</v>
      </c>
      <c r="K8830" t="s">
        <v>95</v>
      </c>
      <c r="L8830" t="s">
        <v>282</v>
      </c>
      <c r="M8830" t="s">
        <v>116</v>
      </c>
    </row>
    <row r="8832" spans="1:13" x14ac:dyDescent="0.3">
      <c r="A8832" t="s">
        <v>2462</v>
      </c>
    </row>
    <row r="8833" spans="1:14" x14ac:dyDescent="0.3">
      <c r="A8833" t="s">
        <v>36</v>
      </c>
      <c r="B8833" t="s">
        <v>307</v>
      </c>
      <c r="C8833" t="s">
        <v>24</v>
      </c>
      <c r="D8833" t="s">
        <v>2452</v>
      </c>
      <c r="E8833" t="s">
        <v>2453</v>
      </c>
      <c r="F8833" t="s">
        <v>2454</v>
      </c>
      <c r="G8833" t="s">
        <v>2455</v>
      </c>
      <c r="H8833" t="s">
        <v>2456</v>
      </c>
      <c r="I8833" t="s">
        <v>2457</v>
      </c>
      <c r="J8833" t="s">
        <v>2458</v>
      </c>
      <c r="K8833" t="s">
        <v>2459</v>
      </c>
      <c r="L8833" t="s">
        <v>2460</v>
      </c>
      <c r="M8833" t="s">
        <v>2461</v>
      </c>
      <c r="N8833" t="s">
        <v>1566</v>
      </c>
    </row>
    <row r="8834" spans="1:14" x14ac:dyDescent="0.3">
      <c r="A8834" t="s">
        <v>25</v>
      </c>
      <c r="B8834" t="s">
        <v>291</v>
      </c>
      <c r="C8834">
        <v>156</v>
      </c>
      <c r="D8834" t="s">
        <v>811</v>
      </c>
      <c r="E8834" t="s">
        <v>103</v>
      </c>
      <c r="F8834" t="s">
        <v>128</v>
      </c>
      <c r="G8834" t="s">
        <v>93</v>
      </c>
      <c r="H8834" t="s">
        <v>188</v>
      </c>
      <c r="I8834" t="s">
        <v>518</v>
      </c>
      <c r="J8834" t="s">
        <v>216</v>
      </c>
      <c r="K8834" t="s">
        <v>594</v>
      </c>
      <c r="L8834" t="s">
        <v>95</v>
      </c>
      <c r="M8834" t="s">
        <v>103</v>
      </c>
      <c r="N8834" t="s">
        <v>103</v>
      </c>
    </row>
    <row r="8835" spans="1:14" x14ac:dyDescent="0.3">
      <c r="A8835" t="s">
        <v>25</v>
      </c>
      <c r="B8835" t="s">
        <v>292</v>
      </c>
      <c r="C8835">
        <v>253</v>
      </c>
      <c r="D8835" t="s">
        <v>757</v>
      </c>
      <c r="E8835" t="s">
        <v>120</v>
      </c>
      <c r="F8835" t="s">
        <v>98</v>
      </c>
      <c r="G8835" t="s">
        <v>103</v>
      </c>
      <c r="H8835" t="s">
        <v>208</v>
      </c>
      <c r="I8835" t="s">
        <v>115</v>
      </c>
      <c r="J8835" t="s">
        <v>128</v>
      </c>
      <c r="K8835" t="s">
        <v>195</v>
      </c>
      <c r="L8835" t="s">
        <v>98</v>
      </c>
      <c r="M8835" t="s">
        <v>216</v>
      </c>
      <c r="N8835" t="s">
        <v>103</v>
      </c>
    </row>
    <row r="8836" spans="1:14" x14ac:dyDescent="0.3">
      <c r="A8836" t="s">
        <v>25</v>
      </c>
      <c r="B8836" t="s">
        <v>308</v>
      </c>
      <c r="C8836">
        <v>4</v>
      </c>
      <c r="D8836" t="s">
        <v>240</v>
      </c>
      <c r="E8836" t="s">
        <v>103</v>
      </c>
      <c r="F8836" t="s">
        <v>103</v>
      </c>
      <c r="G8836" t="s">
        <v>693</v>
      </c>
      <c r="H8836" t="s">
        <v>103</v>
      </c>
      <c r="I8836" t="s">
        <v>103</v>
      </c>
      <c r="J8836" t="s">
        <v>103</v>
      </c>
      <c r="K8836" t="s">
        <v>103</v>
      </c>
      <c r="L8836" t="s">
        <v>103</v>
      </c>
      <c r="M8836" t="s">
        <v>103</v>
      </c>
      <c r="N8836" t="s">
        <v>103</v>
      </c>
    </row>
    <row r="8837" spans="1:14" x14ac:dyDescent="0.3">
      <c r="A8837" t="s">
        <v>26</v>
      </c>
      <c r="B8837" t="s">
        <v>291</v>
      </c>
      <c r="C8837">
        <v>120</v>
      </c>
      <c r="D8837" t="s">
        <v>730</v>
      </c>
      <c r="E8837" t="s">
        <v>139</v>
      </c>
      <c r="F8837" t="s">
        <v>532</v>
      </c>
      <c r="G8837" t="s">
        <v>95</v>
      </c>
      <c r="H8837" t="s">
        <v>136</v>
      </c>
      <c r="I8837" t="s">
        <v>150</v>
      </c>
      <c r="J8837" t="s">
        <v>112</v>
      </c>
      <c r="K8837" t="s">
        <v>517</v>
      </c>
      <c r="L8837" t="s">
        <v>216</v>
      </c>
      <c r="M8837" t="s">
        <v>341</v>
      </c>
      <c r="N8837" t="s">
        <v>103</v>
      </c>
    </row>
    <row r="8838" spans="1:14" x14ac:dyDescent="0.3">
      <c r="A8838" t="s">
        <v>26</v>
      </c>
      <c r="B8838" t="s">
        <v>292</v>
      </c>
      <c r="C8838">
        <v>352</v>
      </c>
      <c r="D8838" t="s">
        <v>806</v>
      </c>
      <c r="E8838" t="s">
        <v>103</v>
      </c>
      <c r="F8838" t="s">
        <v>329</v>
      </c>
      <c r="G8838" t="s">
        <v>266</v>
      </c>
      <c r="H8838" t="s">
        <v>266</v>
      </c>
      <c r="I8838" t="s">
        <v>206</v>
      </c>
      <c r="J8838" t="s">
        <v>266</v>
      </c>
      <c r="K8838" t="s">
        <v>201</v>
      </c>
      <c r="L8838" t="s">
        <v>103</v>
      </c>
      <c r="M8838" t="s">
        <v>282</v>
      </c>
      <c r="N8838" t="s">
        <v>122</v>
      </c>
    </row>
    <row r="8839" spans="1:14" x14ac:dyDescent="0.3">
      <c r="A8839" t="s">
        <v>26</v>
      </c>
      <c r="B8839" t="s">
        <v>308</v>
      </c>
      <c r="C8839">
        <v>3</v>
      </c>
      <c r="D8839" t="s">
        <v>192</v>
      </c>
      <c r="E8839" t="s">
        <v>103</v>
      </c>
      <c r="F8839" t="s">
        <v>103</v>
      </c>
      <c r="G8839" t="s">
        <v>103</v>
      </c>
      <c r="H8839" t="s">
        <v>103</v>
      </c>
      <c r="I8839" t="s">
        <v>103</v>
      </c>
      <c r="J8839" t="s">
        <v>103</v>
      </c>
      <c r="K8839" t="s">
        <v>103</v>
      </c>
      <c r="L8839" t="s">
        <v>103</v>
      </c>
      <c r="M8839" t="s">
        <v>103</v>
      </c>
      <c r="N8839" t="s">
        <v>103</v>
      </c>
    </row>
    <row r="8840" spans="1:14" x14ac:dyDescent="0.3">
      <c r="A8840" t="s">
        <v>29</v>
      </c>
      <c r="B8840" t="s">
        <v>291</v>
      </c>
      <c r="C8840">
        <v>202</v>
      </c>
      <c r="D8840" t="s">
        <v>1037</v>
      </c>
      <c r="E8840" t="s">
        <v>98</v>
      </c>
      <c r="F8840" t="s">
        <v>122</v>
      </c>
      <c r="G8840" t="s">
        <v>110</v>
      </c>
      <c r="H8840" t="s">
        <v>272</v>
      </c>
      <c r="I8840" t="s">
        <v>629</v>
      </c>
      <c r="J8840" t="s">
        <v>113</v>
      </c>
      <c r="K8840" t="s">
        <v>275</v>
      </c>
      <c r="L8840" t="s">
        <v>345</v>
      </c>
      <c r="M8840" t="s">
        <v>282</v>
      </c>
      <c r="N8840" t="s">
        <v>103</v>
      </c>
    </row>
    <row r="8841" spans="1:14" x14ac:dyDescent="0.3">
      <c r="A8841" t="s">
        <v>29</v>
      </c>
      <c r="B8841" t="s">
        <v>292</v>
      </c>
      <c r="C8841">
        <v>323</v>
      </c>
      <c r="D8841" t="s">
        <v>1400</v>
      </c>
      <c r="E8841" t="s">
        <v>216</v>
      </c>
      <c r="F8841" t="s">
        <v>113</v>
      </c>
      <c r="G8841" t="s">
        <v>110</v>
      </c>
      <c r="H8841" t="s">
        <v>270</v>
      </c>
      <c r="I8841" t="s">
        <v>463</v>
      </c>
      <c r="J8841" t="s">
        <v>216</v>
      </c>
      <c r="K8841" t="s">
        <v>601</v>
      </c>
      <c r="L8841" t="s">
        <v>91</v>
      </c>
      <c r="M8841" t="s">
        <v>116</v>
      </c>
      <c r="N8841" t="s">
        <v>139</v>
      </c>
    </row>
    <row r="8842" spans="1:14" x14ac:dyDescent="0.3">
      <c r="A8842" t="s">
        <v>28</v>
      </c>
      <c r="B8842" t="s">
        <v>291</v>
      </c>
      <c r="C8842">
        <v>113</v>
      </c>
      <c r="D8842" t="s">
        <v>258</v>
      </c>
      <c r="E8842" t="s">
        <v>103</v>
      </c>
      <c r="F8842" t="s">
        <v>186</v>
      </c>
      <c r="G8842" t="s">
        <v>98</v>
      </c>
      <c r="H8842" t="s">
        <v>100</v>
      </c>
      <c r="I8842" t="s">
        <v>273</v>
      </c>
      <c r="J8842" t="s">
        <v>122</v>
      </c>
      <c r="K8842" t="s">
        <v>164</v>
      </c>
      <c r="L8842" t="s">
        <v>649</v>
      </c>
      <c r="M8842" t="s">
        <v>93</v>
      </c>
      <c r="N8842" t="s">
        <v>103</v>
      </c>
    </row>
    <row r="8843" spans="1:14" x14ac:dyDescent="0.3">
      <c r="A8843" t="s">
        <v>28</v>
      </c>
      <c r="B8843" t="s">
        <v>292</v>
      </c>
      <c r="C8843">
        <v>190</v>
      </c>
      <c r="D8843" t="s">
        <v>1281</v>
      </c>
      <c r="E8843" t="s">
        <v>103</v>
      </c>
      <c r="F8843" t="s">
        <v>251</v>
      </c>
      <c r="G8843" t="s">
        <v>95</v>
      </c>
      <c r="H8843" t="s">
        <v>245</v>
      </c>
      <c r="I8843" t="s">
        <v>575</v>
      </c>
      <c r="J8843" t="s">
        <v>105</v>
      </c>
      <c r="K8843" t="s">
        <v>148</v>
      </c>
      <c r="L8843" t="s">
        <v>120</v>
      </c>
      <c r="M8843" t="s">
        <v>98</v>
      </c>
      <c r="N8843" t="s">
        <v>103</v>
      </c>
    </row>
    <row r="8844" spans="1:14" x14ac:dyDescent="0.3">
      <c r="A8844" t="s">
        <v>28</v>
      </c>
      <c r="B8844" t="s">
        <v>308</v>
      </c>
      <c r="C8844">
        <v>12</v>
      </c>
      <c r="D8844" t="s">
        <v>1462</v>
      </c>
      <c r="E8844" t="s">
        <v>103</v>
      </c>
      <c r="F8844" t="s">
        <v>112</v>
      </c>
      <c r="G8844" t="s">
        <v>103</v>
      </c>
      <c r="H8844" t="s">
        <v>103</v>
      </c>
      <c r="I8844" t="s">
        <v>459</v>
      </c>
      <c r="J8844" t="s">
        <v>112</v>
      </c>
      <c r="K8844" t="s">
        <v>1023</v>
      </c>
      <c r="L8844" t="s">
        <v>103</v>
      </c>
      <c r="M8844" t="s">
        <v>103</v>
      </c>
      <c r="N8844" t="s">
        <v>103</v>
      </c>
    </row>
    <row r="8845" spans="1:14" x14ac:dyDescent="0.3">
      <c r="A8845" t="s">
        <v>27</v>
      </c>
      <c r="B8845" t="s">
        <v>291</v>
      </c>
      <c r="C8845">
        <v>95</v>
      </c>
      <c r="D8845" t="s">
        <v>982</v>
      </c>
      <c r="E8845" t="s">
        <v>558</v>
      </c>
      <c r="F8845" t="s">
        <v>206</v>
      </c>
      <c r="G8845" t="s">
        <v>208</v>
      </c>
      <c r="H8845" t="s">
        <v>169</v>
      </c>
      <c r="I8845" t="s">
        <v>682</v>
      </c>
      <c r="J8845" t="s">
        <v>251</v>
      </c>
      <c r="K8845" t="s">
        <v>201</v>
      </c>
      <c r="L8845" t="s">
        <v>103</v>
      </c>
      <c r="M8845" t="s">
        <v>110</v>
      </c>
      <c r="N8845" t="s">
        <v>103</v>
      </c>
    </row>
    <row r="8846" spans="1:14" x14ac:dyDescent="0.3">
      <c r="A8846" t="s">
        <v>27</v>
      </c>
      <c r="B8846" t="s">
        <v>292</v>
      </c>
      <c r="C8846">
        <v>198</v>
      </c>
      <c r="D8846" t="s">
        <v>1058</v>
      </c>
      <c r="E8846" t="s">
        <v>217</v>
      </c>
      <c r="F8846" t="s">
        <v>105</v>
      </c>
      <c r="G8846" t="s">
        <v>217</v>
      </c>
      <c r="H8846" t="s">
        <v>269</v>
      </c>
      <c r="I8846" t="s">
        <v>398</v>
      </c>
      <c r="J8846" t="s">
        <v>120</v>
      </c>
      <c r="K8846" t="s">
        <v>531</v>
      </c>
      <c r="L8846" t="s">
        <v>122</v>
      </c>
      <c r="M8846" t="s">
        <v>195</v>
      </c>
      <c r="N8846" t="s">
        <v>103</v>
      </c>
    </row>
    <row r="8847" spans="1:14" x14ac:dyDescent="0.3">
      <c r="A8847" t="s">
        <v>27</v>
      </c>
      <c r="B8847" t="s">
        <v>308</v>
      </c>
      <c r="C8847">
        <v>7</v>
      </c>
      <c r="D8847" t="s">
        <v>787</v>
      </c>
      <c r="E8847" t="s">
        <v>103</v>
      </c>
      <c r="F8847" t="s">
        <v>173</v>
      </c>
      <c r="G8847" t="s">
        <v>103</v>
      </c>
      <c r="H8847" t="s">
        <v>54</v>
      </c>
      <c r="I8847" t="s">
        <v>788</v>
      </c>
      <c r="J8847" t="s">
        <v>103</v>
      </c>
      <c r="K8847" t="s">
        <v>103</v>
      </c>
      <c r="L8847" t="s">
        <v>103</v>
      </c>
      <c r="M8847" t="s">
        <v>103</v>
      </c>
      <c r="N8847" t="s">
        <v>103</v>
      </c>
    </row>
    <row r="8848" spans="1:14" x14ac:dyDescent="0.3">
      <c r="A8848" t="s">
        <v>41</v>
      </c>
      <c r="B8848" t="s">
        <v>291</v>
      </c>
      <c r="C8848">
        <v>686</v>
      </c>
      <c r="D8848" t="s">
        <v>1369</v>
      </c>
      <c r="E8848" t="s">
        <v>139</v>
      </c>
      <c r="F8848" t="s">
        <v>341</v>
      </c>
      <c r="G8848" t="s">
        <v>110</v>
      </c>
      <c r="H8848" t="s">
        <v>281</v>
      </c>
      <c r="I8848" t="s">
        <v>244</v>
      </c>
      <c r="J8848" t="s">
        <v>188</v>
      </c>
      <c r="K8848" t="s">
        <v>918</v>
      </c>
      <c r="L8848" t="s">
        <v>239</v>
      </c>
      <c r="M8848" t="s">
        <v>282</v>
      </c>
      <c r="N8848" t="s">
        <v>103</v>
      </c>
    </row>
    <row r="8849" spans="1:14" x14ac:dyDescent="0.3">
      <c r="A8849" t="s">
        <v>41</v>
      </c>
      <c r="B8849" t="s">
        <v>292</v>
      </c>
      <c r="C8849">
        <v>1316</v>
      </c>
      <c r="D8849" t="s">
        <v>1012</v>
      </c>
      <c r="E8849" t="s">
        <v>98</v>
      </c>
      <c r="F8849" t="s">
        <v>195</v>
      </c>
      <c r="G8849" t="s">
        <v>239</v>
      </c>
      <c r="H8849" t="s">
        <v>195</v>
      </c>
      <c r="I8849" t="s">
        <v>169</v>
      </c>
      <c r="J8849" t="s">
        <v>208</v>
      </c>
      <c r="K8849" t="s">
        <v>140</v>
      </c>
      <c r="L8849" t="s">
        <v>116</v>
      </c>
      <c r="M8849" t="s">
        <v>98</v>
      </c>
      <c r="N8849" t="s">
        <v>97</v>
      </c>
    </row>
    <row r="8850" spans="1:14" x14ac:dyDescent="0.3">
      <c r="A8850" t="s">
        <v>41</v>
      </c>
      <c r="B8850" t="s">
        <v>308</v>
      </c>
      <c r="C8850">
        <v>26</v>
      </c>
      <c r="D8850" t="s">
        <v>1320</v>
      </c>
      <c r="E8850" t="s">
        <v>103</v>
      </c>
      <c r="F8850" t="s">
        <v>113</v>
      </c>
      <c r="G8850" t="s">
        <v>217</v>
      </c>
      <c r="H8850" t="s">
        <v>270</v>
      </c>
      <c r="I8850" t="s">
        <v>224</v>
      </c>
      <c r="J8850" t="s">
        <v>216</v>
      </c>
      <c r="K8850" t="s">
        <v>140</v>
      </c>
      <c r="L8850" t="s">
        <v>103</v>
      </c>
      <c r="M8850" t="s">
        <v>103</v>
      </c>
      <c r="N8850" t="s">
        <v>103</v>
      </c>
    </row>
    <row r="8852" spans="1:14" x14ac:dyDescent="0.3">
      <c r="A8852" t="s">
        <v>2463</v>
      </c>
    </row>
    <row r="8853" spans="1:14" x14ac:dyDescent="0.3">
      <c r="A8853" t="s">
        <v>36</v>
      </c>
      <c r="B8853" t="s">
        <v>310</v>
      </c>
      <c r="C8853" t="s">
        <v>24</v>
      </c>
      <c r="D8853" t="s">
        <v>2452</v>
      </c>
      <c r="E8853" t="s">
        <v>2453</v>
      </c>
      <c r="F8853" t="s">
        <v>2454</v>
      </c>
      <c r="G8853" t="s">
        <v>2455</v>
      </c>
      <c r="H8853" t="s">
        <v>2456</v>
      </c>
      <c r="I8853" t="s">
        <v>2457</v>
      </c>
      <c r="J8853" t="s">
        <v>2458</v>
      </c>
      <c r="K8853" t="s">
        <v>2459</v>
      </c>
      <c r="L8853" t="s">
        <v>2460</v>
      </c>
      <c r="M8853" t="s">
        <v>2461</v>
      </c>
      <c r="N8853" t="s">
        <v>1566</v>
      </c>
    </row>
    <row r="8854" spans="1:14" x14ac:dyDescent="0.3">
      <c r="A8854" t="s">
        <v>25</v>
      </c>
      <c r="B8854" t="s">
        <v>311</v>
      </c>
      <c r="C8854">
        <v>323</v>
      </c>
      <c r="D8854" t="s">
        <v>1348</v>
      </c>
      <c r="E8854" t="s">
        <v>97</v>
      </c>
      <c r="F8854" t="s">
        <v>95</v>
      </c>
      <c r="G8854" t="s">
        <v>345</v>
      </c>
      <c r="H8854" t="s">
        <v>266</v>
      </c>
      <c r="I8854" t="s">
        <v>152</v>
      </c>
      <c r="J8854" t="s">
        <v>329</v>
      </c>
      <c r="K8854" t="s">
        <v>615</v>
      </c>
      <c r="L8854" t="s">
        <v>97</v>
      </c>
      <c r="M8854" t="s">
        <v>468</v>
      </c>
      <c r="N8854" t="s">
        <v>103</v>
      </c>
    </row>
    <row r="8855" spans="1:14" x14ac:dyDescent="0.3">
      <c r="A8855" t="s">
        <v>25</v>
      </c>
      <c r="B8855" t="s">
        <v>312</v>
      </c>
      <c r="C8855">
        <v>80</v>
      </c>
      <c r="D8855" t="s">
        <v>753</v>
      </c>
      <c r="E8855" t="s">
        <v>103</v>
      </c>
      <c r="F8855" t="s">
        <v>272</v>
      </c>
      <c r="G8855" t="s">
        <v>66</v>
      </c>
      <c r="H8855" t="s">
        <v>282</v>
      </c>
      <c r="I8855" t="s">
        <v>829</v>
      </c>
      <c r="J8855" t="s">
        <v>105</v>
      </c>
      <c r="K8855" t="s">
        <v>467</v>
      </c>
      <c r="L8855" t="s">
        <v>103</v>
      </c>
      <c r="M8855" t="s">
        <v>103</v>
      </c>
      <c r="N8855" t="s">
        <v>103</v>
      </c>
    </row>
    <row r="8856" spans="1:14" x14ac:dyDescent="0.3">
      <c r="A8856" t="s">
        <v>25</v>
      </c>
      <c r="B8856" t="s">
        <v>308</v>
      </c>
      <c r="C8856">
        <v>10</v>
      </c>
      <c r="D8856" t="s">
        <v>831</v>
      </c>
      <c r="E8856" t="s">
        <v>103</v>
      </c>
      <c r="F8856" t="s">
        <v>517</v>
      </c>
      <c r="G8856" t="s">
        <v>103</v>
      </c>
      <c r="H8856" t="s">
        <v>517</v>
      </c>
      <c r="I8856" t="s">
        <v>471</v>
      </c>
      <c r="J8856" t="s">
        <v>103</v>
      </c>
      <c r="K8856" t="s">
        <v>103</v>
      </c>
      <c r="L8856" t="s">
        <v>152</v>
      </c>
      <c r="M8856" t="s">
        <v>103</v>
      </c>
      <c r="N8856" t="s">
        <v>103</v>
      </c>
    </row>
    <row r="8857" spans="1:14" x14ac:dyDescent="0.3">
      <c r="A8857" t="s">
        <v>26</v>
      </c>
      <c r="B8857" t="s">
        <v>311</v>
      </c>
      <c r="C8857">
        <v>341</v>
      </c>
      <c r="D8857" t="s">
        <v>1348</v>
      </c>
      <c r="E8857" t="s">
        <v>116</v>
      </c>
      <c r="F8857" t="s">
        <v>118</v>
      </c>
      <c r="G8857" t="s">
        <v>239</v>
      </c>
      <c r="H8857" t="s">
        <v>281</v>
      </c>
      <c r="I8857" t="s">
        <v>127</v>
      </c>
      <c r="J8857" t="s">
        <v>217</v>
      </c>
      <c r="K8857" t="s">
        <v>232</v>
      </c>
      <c r="L8857" t="s">
        <v>97</v>
      </c>
      <c r="M8857" t="s">
        <v>120</v>
      </c>
      <c r="N8857" t="s">
        <v>122</v>
      </c>
    </row>
    <row r="8858" spans="1:14" x14ac:dyDescent="0.3">
      <c r="A8858" t="s">
        <v>26</v>
      </c>
      <c r="B8858" t="s">
        <v>312</v>
      </c>
      <c r="C8858">
        <v>96</v>
      </c>
      <c r="D8858" t="s">
        <v>2108</v>
      </c>
      <c r="E8858" t="s">
        <v>103</v>
      </c>
      <c r="F8858" t="s">
        <v>186</v>
      </c>
      <c r="G8858" t="s">
        <v>214</v>
      </c>
      <c r="H8858" t="s">
        <v>245</v>
      </c>
      <c r="I8858" t="s">
        <v>511</v>
      </c>
      <c r="J8858" t="s">
        <v>284</v>
      </c>
      <c r="K8858" t="s">
        <v>100</v>
      </c>
      <c r="L8858" t="s">
        <v>103</v>
      </c>
      <c r="M8858" t="s">
        <v>195</v>
      </c>
      <c r="N8858" t="s">
        <v>103</v>
      </c>
    </row>
    <row r="8859" spans="1:14" x14ac:dyDescent="0.3">
      <c r="A8859" t="s">
        <v>26</v>
      </c>
      <c r="B8859" t="s">
        <v>308</v>
      </c>
      <c r="C8859">
        <v>38</v>
      </c>
      <c r="D8859" t="s">
        <v>811</v>
      </c>
      <c r="E8859" t="s">
        <v>103</v>
      </c>
      <c r="F8859" t="s">
        <v>257</v>
      </c>
      <c r="G8859" t="s">
        <v>217</v>
      </c>
      <c r="H8859" t="s">
        <v>127</v>
      </c>
      <c r="I8859" t="s">
        <v>890</v>
      </c>
      <c r="J8859" t="s">
        <v>140</v>
      </c>
      <c r="K8859" t="s">
        <v>33</v>
      </c>
      <c r="L8859" t="s">
        <v>103</v>
      </c>
      <c r="M8859" t="s">
        <v>257</v>
      </c>
      <c r="N8859" t="s">
        <v>103</v>
      </c>
    </row>
    <row r="8860" spans="1:14" x14ac:dyDescent="0.3">
      <c r="A8860" t="s">
        <v>29</v>
      </c>
      <c r="B8860" t="s">
        <v>311</v>
      </c>
      <c r="C8860">
        <v>411</v>
      </c>
      <c r="D8860" t="s">
        <v>821</v>
      </c>
      <c r="E8860" t="s">
        <v>468</v>
      </c>
      <c r="F8860" t="s">
        <v>266</v>
      </c>
      <c r="G8860" t="s">
        <v>105</v>
      </c>
      <c r="H8860" t="s">
        <v>438</v>
      </c>
      <c r="I8860" t="s">
        <v>137</v>
      </c>
      <c r="J8860" t="s">
        <v>217</v>
      </c>
      <c r="K8860" t="s">
        <v>104</v>
      </c>
      <c r="L8860" t="s">
        <v>120</v>
      </c>
      <c r="M8860" t="s">
        <v>139</v>
      </c>
      <c r="N8860" t="s">
        <v>120</v>
      </c>
    </row>
    <row r="8861" spans="1:14" x14ac:dyDescent="0.3">
      <c r="A8861" t="s">
        <v>29</v>
      </c>
      <c r="B8861" t="s">
        <v>312</v>
      </c>
      <c r="C8861">
        <v>101</v>
      </c>
      <c r="D8861" t="s">
        <v>403</v>
      </c>
      <c r="E8861" t="s">
        <v>329</v>
      </c>
      <c r="F8861" t="s">
        <v>118</v>
      </c>
      <c r="G8861" t="s">
        <v>103</v>
      </c>
      <c r="H8861" t="s">
        <v>245</v>
      </c>
      <c r="I8861" t="s">
        <v>514</v>
      </c>
      <c r="J8861" t="s">
        <v>195</v>
      </c>
      <c r="K8861" t="s">
        <v>269</v>
      </c>
      <c r="L8861" t="s">
        <v>103</v>
      </c>
      <c r="M8861" t="s">
        <v>103</v>
      </c>
      <c r="N8861" t="s">
        <v>103</v>
      </c>
    </row>
    <row r="8862" spans="1:14" x14ac:dyDescent="0.3">
      <c r="A8862" t="s">
        <v>29</v>
      </c>
      <c r="B8862" t="s">
        <v>308</v>
      </c>
      <c r="C8862">
        <v>13</v>
      </c>
      <c r="D8862" t="s">
        <v>1438</v>
      </c>
      <c r="E8862" t="s">
        <v>103</v>
      </c>
      <c r="F8862" t="s">
        <v>99</v>
      </c>
      <c r="G8862" t="s">
        <v>103</v>
      </c>
      <c r="H8862" t="s">
        <v>103</v>
      </c>
      <c r="I8862" t="s">
        <v>103</v>
      </c>
      <c r="J8862" t="s">
        <v>103</v>
      </c>
      <c r="K8862" t="s">
        <v>534</v>
      </c>
      <c r="L8862" t="s">
        <v>103</v>
      </c>
      <c r="M8862" t="s">
        <v>103</v>
      </c>
      <c r="N8862" t="s">
        <v>103</v>
      </c>
    </row>
    <row r="8863" spans="1:14" x14ac:dyDescent="0.3">
      <c r="A8863" t="s">
        <v>28</v>
      </c>
      <c r="B8863" t="s">
        <v>311</v>
      </c>
      <c r="C8863">
        <v>222</v>
      </c>
      <c r="D8863" t="s">
        <v>979</v>
      </c>
      <c r="E8863" t="s">
        <v>103</v>
      </c>
      <c r="F8863" t="s">
        <v>558</v>
      </c>
      <c r="G8863" t="s">
        <v>282</v>
      </c>
      <c r="H8863" t="s">
        <v>493</v>
      </c>
      <c r="I8863" t="s">
        <v>164</v>
      </c>
      <c r="J8863" t="s">
        <v>110</v>
      </c>
      <c r="K8863" t="s">
        <v>150</v>
      </c>
      <c r="L8863" t="s">
        <v>467</v>
      </c>
      <c r="M8863" t="s">
        <v>110</v>
      </c>
      <c r="N8863" t="s">
        <v>103</v>
      </c>
    </row>
    <row r="8864" spans="1:14" x14ac:dyDescent="0.3">
      <c r="A8864" t="s">
        <v>28</v>
      </c>
      <c r="B8864" t="s">
        <v>312</v>
      </c>
      <c r="C8864">
        <v>92</v>
      </c>
      <c r="D8864" t="s">
        <v>2109</v>
      </c>
      <c r="E8864" t="s">
        <v>103</v>
      </c>
      <c r="F8864" t="s">
        <v>278</v>
      </c>
      <c r="G8864" t="s">
        <v>103</v>
      </c>
      <c r="H8864" t="s">
        <v>201</v>
      </c>
      <c r="I8864" t="s">
        <v>107</v>
      </c>
      <c r="J8864" t="s">
        <v>239</v>
      </c>
      <c r="K8864" t="s">
        <v>271</v>
      </c>
      <c r="L8864" t="s">
        <v>594</v>
      </c>
      <c r="M8864" t="s">
        <v>194</v>
      </c>
      <c r="N8864" t="s">
        <v>103</v>
      </c>
    </row>
    <row r="8865" spans="1:14" x14ac:dyDescent="0.3">
      <c r="A8865" t="s">
        <v>28</v>
      </c>
      <c r="B8865" t="s">
        <v>308</v>
      </c>
      <c r="C8865">
        <v>1</v>
      </c>
      <c r="D8865" t="s">
        <v>103</v>
      </c>
      <c r="E8865" t="s">
        <v>103</v>
      </c>
      <c r="F8865" t="s">
        <v>103</v>
      </c>
      <c r="G8865" t="s">
        <v>103</v>
      </c>
      <c r="H8865" t="s">
        <v>103</v>
      </c>
      <c r="I8865" t="s">
        <v>103</v>
      </c>
      <c r="J8865" t="s">
        <v>103</v>
      </c>
      <c r="K8865" t="s">
        <v>192</v>
      </c>
      <c r="L8865" t="s">
        <v>103</v>
      </c>
      <c r="M8865" t="s">
        <v>103</v>
      </c>
      <c r="N8865" t="s">
        <v>103</v>
      </c>
    </row>
    <row r="8866" spans="1:14" x14ac:dyDescent="0.3">
      <c r="A8866" t="s">
        <v>27</v>
      </c>
      <c r="B8866" t="s">
        <v>311</v>
      </c>
      <c r="C8866">
        <v>237</v>
      </c>
      <c r="D8866" t="s">
        <v>419</v>
      </c>
      <c r="E8866" t="s">
        <v>186</v>
      </c>
      <c r="F8866" t="s">
        <v>467</v>
      </c>
      <c r="G8866" t="s">
        <v>110</v>
      </c>
      <c r="H8866" t="s">
        <v>269</v>
      </c>
      <c r="I8866" t="s">
        <v>525</v>
      </c>
      <c r="J8866" t="s">
        <v>341</v>
      </c>
      <c r="K8866" t="s">
        <v>140</v>
      </c>
      <c r="L8866" t="s">
        <v>122</v>
      </c>
      <c r="M8866" t="s">
        <v>257</v>
      </c>
      <c r="N8866" t="s">
        <v>103</v>
      </c>
    </row>
    <row r="8867" spans="1:14" x14ac:dyDescent="0.3">
      <c r="A8867" t="s">
        <v>27</v>
      </c>
      <c r="B8867" t="s">
        <v>312</v>
      </c>
      <c r="C8867">
        <v>60</v>
      </c>
      <c r="D8867" t="s">
        <v>1170</v>
      </c>
      <c r="E8867" t="s">
        <v>103</v>
      </c>
      <c r="F8867" t="s">
        <v>467</v>
      </c>
      <c r="G8867" t="s">
        <v>60</v>
      </c>
      <c r="H8867" t="s">
        <v>544</v>
      </c>
      <c r="I8867" t="s">
        <v>505</v>
      </c>
      <c r="J8867" t="s">
        <v>107</v>
      </c>
      <c r="K8867" t="s">
        <v>103</v>
      </c>
      <c r="L8867" t="s">
        <v>103</v>
      </c>
      <c r="M8867" t="s">
        <v>128</v>
      </c>
      <c r="N8867" t="s">
        <v>103</v>
      </c>
    </row>
    <row r="8868" spans="1:14" x14ac:dyDescent="0.3">
      <c r="A8868" t="s">
        <v>27</v>
      </c>
      <c r="B8868" t="s">
        <v>308</v>
      </c>
      <c r="C8868">
        <v>3</v>
      </c>
      <c r="D8868" t="s">
        <v>192</v>
      </c>
      <c r="E8868" t="s">
        <v>103</v>
      </c>
      <c r="F8868" t="s">
        <v>103</v>
      </c>
      <c r="G8868" t="s">
        <v>103</v>
      </c>
      <c r="H8868" t="s">
        <v>103</v>
      </c>
      <c r="I8868" t="s">
        <v>103</v>
      </c>
      <c r="J8868" t="s">
        <v>103</v>
      </c>
      <c r="K8868" t="s">
        <v>103</v>
      </c>
      <c r="L8868" t="s">
        <v>103</v>
      </c>
      <c r="M8868" t="s">
        <v>103</v>
      </c>
      <c r="N8868" t="s">
        <v>103</v>
      </c>
    </row>
    <row r="8869" spans="1:14" x14ac:dyDescent="0.3">
      <c r="A8869" t="s">
        <v>41</v>
      </c>
      <c r="B8869" t="s">
        <v>311</v>
      </c>
      <c r="C8869">
        <v>1534</v>
      </c>
      <c r="D8869" t="s">
        <v>1178</v>
      </c>
      <c r="E8869" t="s">
        <v>98</v>
      </c>
      <c r="F8869" t="s">
        <v>118</v>
      </c>
      <c r="G8869" t="s">
        <v>239</v>
      </c>
      <c r="H8869" t="s">
        <v>186</v>
      </c>
      <c r="I8869" t="s">
        <v>62</v>
      </c>
      <c r="J8869" t="s">
        <v>118</v>
      </c>
      <c r="K8869" t="s">
        <v>224</v>
      </c>
      <c r="L8869" t="s">
        <v>95</v>
      </c>
      <c r="M8869" t="s">
        <v>98</v>
      </c>
      <c r="N8869" t="s">
        <v>122</v>
      </c>
    </row>
    <row r="8870" spans="1:14" x14ac:dyDescent="0.3">
      <c r="A8870" t="s">
        <v>41</v>
      </c>
      <c r="B8870" t="s">
        <v>312</v>
      </c>
      <c r="C8870">
        <v>429</v>
      </c>
      <c r="D8870" t="s">
        <v>1244</v>
      </c>
      <c r="E8870" t="s">
        <v>282</v>
      </c>
      <c r="F8870" t="s">
        <v>272</v>
      </c>
      <c r="G8870" t="s">
        <v>239</v>
      </c>
      <c r="H8870" t="s">
        <v>93</v>
      </c>
      <c r="I8870" t="s">
        <v>495</v>
      </c>
      <c r="J8870" t="s">
        <v>272</v>
      </c>
      <c r="K8870" t="s">
        <v>205</v>
      </c>
      <c r="L8870" t="s">
        <v>122</v>
      </c>
      <c r="M8870" t="s">
        <v>98</v>
      </c>
      <c r="N8870" t="s">
        <v>103</v>
      </c>
    </row>
    <row r="8871" spans="1:14" x14ac:dyDescent="0.3">
      <c r="A8871" t="s">
        <v>41</v>
      </c>
      <c r="B8871" t="s">
        <v>308</v>
      </c>
      <c r="C8871">
        <v>65</v>
      </c>
      <c r="D8871" t="s">
        <v>1373</v>
      </c>
      <c r="E8871" t="s">
        <v>103</v>
      </c>
      <c r="F8871" t="s">
        <v>558</v>
      </c>
      <c r="G8871" t="s">
        <v>110</v>
      </c>
      <c r="H8871" t="s">
        <v>452</v>
      </c>
      <c r="I8871" t="s">
        <v>601</v>
      </c>
      <c r="J8871" t="s">
        <v>493</v>
      </c>
      <c r="K8871" t="s">
        <v>123</v>
      </c>
      <c r="L8871" t="s">
        <v>208</v>
      </c>
      <c r="M8871" t="s">
        <v>110</v>
      </c>
      <c r="N8871" t="s">
        <v>103</v>
      </c>
    </row>
    <row r="8873" spans="1:14" x14ac:dyDescent="0.3">
      <c r="A8873" t="s">
        <v>2464</v>
      </c>
    </row>
    <row r="8874" spans="1:14" x14ac:dyDescent="0.3">
      <c r="A8874" t="s">
        <v>36</v>
      </c>
      <c r="B8874" t="s">
        <v>197</v>
      </c>
      <c r="C8874" t="s">
        <v>24</v>
      </c>
      <c r="D8874" t="s">
        <v>2452</v>
      </c>
      <c r="E8874" t="s">
        <v>2453</v>
      </c>
      <c r="F8874" t="s">
        <v>2454</v>
      </c>
      <c r="G8874" t="s">
        <v>2455</v>
      </c>
      <c r="H8874" t="s">
        <v>2456</v>
      </c>
      <c r="I8874" t="s">
        <v>2457</v>
      </c>
      <c r="J8874" t="s">
        <v>2458</v>
      </c>
      <c r="K8874" t="s">
        <v>2459</v>
      </c>
      <c r="L8874" t="s">
        <v>2460</v>
      </c>
      <c r="M8874" t="s">
        <v>2461</v>
      </c>
      <c r="N8874" t="s">
        <v>1566</v>
      </c>
    </row>
    <row r="8875" spans="1:14" x14ac:dyDescent="0.3">
      <c r="A8875" t="s">
        <v>25</v>
      </c>
      <c r="B8875" t="s">
        <v>198</v>
      </c>
      <c r="C8875">
        <v>103</v>
      </c>
      <c r="D8875" t="s">
        <v>741</v>
      </c>
      <c r="E8875" t="s">
        <v>341</v>
      </c>
      <c r="F8875" t="s">
        <v>270</v>
      </c>
      <c r="G8875" t="s">
        <v>122</v>
      </c>
      <c r="H8875" t="s">
        <v>70</v>
      </c>
      <c r="I8875" t="s">
        <v>469</v>
      </c>
      <c r="J8875" t="s">
        <v>110</v>
      </c>
      <c r="K8875" t="s">
        <v>128</v>
      </c>
      <c r="L8875" t="s">
        <v>103</v>
      </c>
      <c r="M8875" t="s">
        <v>341</v>
      </c>
      <c r="N8875" t="s">
        <v>103</v>
      </c>
    </row>
    <row r="8876" spans="1:14" x14ac:dyDescent="0.3">
      <c r="A8876" t="s">
        <v>25</v>
      </c>
      <c r="B8876" t="s">
        <v>199</v>
      </c>
      <c r="C8876">
        <v>310</v>
      </c>
      <c r="D8876" t="s">
        <v>1305</v>
      </c>
      <c r="E8876" t="s">
        <v>103</v>
      </c>
      <c r="F8876" t="s">
        <v>345</v>
      </c>
      <c r="G8876" t="s">
        <v>345</v>
      </c>
      <c r="H8876" t="s">
        <v>208</v>
      </c>
      <c r="I8876" t="s">
        <v>813</v>
      </c>
      <c r="J8876" t="s">
        <v>93</v>
      </c>
      <c r="K8876" t="s">
        <v>214</v>
      </c>
      <c r="L8876" t="s">
        <v>282</v>
      </c>
      <c r="M8876" t="s">
        <v>95</v>
      </c>
      <c r="N8876" t="s">
        <v>103</v>
      </c>
    </row>
    <row r="8877" spans="1:14" x14ac:dyDescent="0.3">
      <c r="A8877" t="s">
        <v>26</v>
      </c>
      <c r="B8877" t="s">
        <v>198</v>
      </c>
      <c r="C8877">
        <v>41</v>
      </c>
      <c r="D8877" t="s">
        <v>1423</v>
      </c>
      <c r="E8877" t="s">
        <v>188</v>
      </c>
      <c r="F8877" t="s">
        <v>95</v>
      </c>
      <c r="G8877" t="s">
        <v>103</v>
      </c>
      <c r="H8877" t="s">
        <v>278</v>
      </c>
      <c r="I8877" t="s">
        <v>693</v>
      </c>
      <c r="J8877" t="s">
        <v>467</v>
      </c>
      <c r="K8877" t="s">
        <v>186</v>
      </c>
      <c r="L8877" t="s">
        <v>103</v>
      </c>
      <c r="M8877" t="s">
        <v>103</v>
      </c>
      <c r="N8877" t="s">
        <v>103</v>
      </c>
    </row>
    <row r="8878" spans="1:14" x14ac:dyDescent="0.3">
      <c r="A8878" t="s">
        <v>26</v>
      </c>
      <c r="B8878" t="s">
        <v>199</v>
      </c>
      <c r="C8878">
        <v>434</v>
      </c>
      <c r="D8878" t="s">
        <v>1169</v>
      </c>
      <c r="E8878" t="s">
        <v>103</v>
      </c>
      <c r="F8878" t="s">
        <v>64</v>
      </c>
      <c r="G8878" t="s">
        <v>128</v>
      </c>
      <c r="H8878" t="s">
        <v>32</v>
      </c>
      <c r="I8878" t="s">
        <v>127</v>
      </c>
      <c r="J8878" t="s">
        <v>438</v>
      </c>
      <c r="K8878" t="s">
        <v>531</v>
      </c>
      <c r="L8878" t="s">
        <v>122</v>
      </c>
      <c r="M8878" t="s">
        <v>194</v>
      </c>
      <c r="N8878" t="s">
        <v>116</v>
      </c>
    </row>
    <row r="8879" spans="1:14" x14ac:dyDescent="0.3">
      <c r="A8879" t="s">
        <v>29</v>
      </c>
      <c r="B8879" t="s">
        <v>198</v>
      </c>
      <c r="C8879">
        <v>170</v>
      </c>
      <c r="D8879" t="s">
        <v>1142</v>
      </c>
      <c r="E8879" t="s">
        <v>341</v>
      </c>
      <c r="F8879" t="s">
        <v>257</v>
      </c>
      <c r="G8879" t="s">
        <v>468</v>
      </c>
      <c r="H8879" t="s">
        <v>272</v>
      </c>
      <c r="I8879" t="s">
        <v>136</v>
      </c>
      <c r="J8879" t="s">
        <v>467</v>
      </c>
      <c r="K8879" t="s">
        <v>169</v>
      </c>
      <c r="L8879" t="s">
        <v>103</v>
      </c>
      <c r="M8879" t="s">
        <v>120</v>
      </c>
      <c r="N8879" t="s">
        <v>103</v>
      </c>
    </row>
    <row r="8880" spans="1:14" x14ac:dyDescent="0.3">
      <c r="A8880" t="s">
        <v>29</v>
      </c>
      <c r="B8880" t="s">
        <v>199</v>
      </c>
      <c r="C8880">
        <v>355</v>
      </c>
      <c r="D8880" t="s">
        <v>302</v>
      </c>
      <c r="E8880" t="s">
        <v>282</v>
      </c>
      <c r="F8880" t="s">
        <v>270</v>
      </c>
      <c r="G8880" t="s">
        <v>239</v>
      </c>
      <c r="H8880" t="s">
        <v>195</v>
      </c>
      <c r="I8880" t="s">
        <v>543</v>
      </c>
      <c r="J8880" t="s">
        <v>128</v>
      </c>
      <c r="K8880" t="s">
        <v>244</v>
      </c>
      <c r="L8880" t="s">
        <v>95</v>
      </c>
      <c r="M8880" t="s">
        <v>120</v>
      </c>
      <c r="N8880" t="s">
        <v>95</v>
      </c>
    </row>
    <row r="8881" spans="1:14" x14ac:dyDescent="0.3">
      <c r="A8881" t="s">
        <v>28</v>
      </c>
      <c r="B8881" t="s">
        <v>198</v>
      </c>
      <c r="C8881">
        <v>70</v>
      </c>
      <c r="D8881" t="s">
        <v>808</v>
      </c>
      <c r="E8881" t="s">
        <v>103</v>
      </c>
      <c r="F8881" t="s">
        <v>615</v>
      </c>
      <c r="G8881" t="s">
        <v>103</v>
      </c>
      <c r="H8881" t="s">
        <v>113</v>
      </c>
      <c r="I8881" t="s">
        <v>524</v>
      </c>
      <c r="J8881" t="s">
        <v>341</v>
      </c>
      <c r="K8881" t="s">
        <v>460</v>
      </c>
      <c r="L8881" t="s">
        <v>128</v>
      </c>
      <c r="M8881" t="s">
        <v>103</v>
      </c>
      <c r="N8881" t="s">
        <v>103</v>
      </c>
    </row>
    <row r="8882" spans="1:14" x14ac:dyDescent="0.3">
      <c r="A8882" t="s">
        <v>28</v>
      </c>
      <c r="B8882" t="s">
        <v>199</v>
      </c>
      <c r="C8882">
        <v>245</v>
      </c>
      <c r="D8882" t="s">
        <v>1047</v>
      </c>
      <c r="E8882" t="s">
        <v>103</v>
      </c>
      <c r="F8882" t="s">
        <v>232</v>
      </c>
      <c r="G8882" t="s">
        <v>282</v>
      </c>
      <c r="H8882" t="s">
        <v>493</v>
      </c>
      <c r="I8882" t="s">
        <v>693</v>
      </c>
      <c r="J8882" t="s">
        <v>194</v>
      </c>
      <c r="K8882" t="s">
        <v>106</v>
      </c>
      <c r="L8882" t="s">
        <v>615</v>
      </c>
      <c r="M8882" t="s">
        <v>105</v>
      </c>
      <c r="N8882" t="s">
        <v>103</v>
      </c>
    </row>
    <row r="8883" spans="1:14" x14ac:dyDescent="0.3">
      <c r="A8883" t="s">
        <v>27</v>
      </c>
      <c r="B8883" t="s">
        <v>198</v>
      </c>
      <c r="C8883">
        <v>136</v>
      </c>
      <c r="D8883" t="s">
        <v>1252</v>
      </c>
      <c r="E8883" t="s">
        <v>102</v>
      </c>
      <c r="F8883" t="s">
        <v>188</v>
      </c>
      <c r="G8883" t="s">
        <v>216</v>
      </c>
      <c r="H8883" t="s">
        <v>123</v>
      </c>
      <c r="I8883" t="s">
        <v>539</v>
      </c>
      <c r="J8883" t="s">
        <v>120</v>
      </c>
      <c r="K8883" t="s">
        <v>591</v>
      </c>
      <c r="L8883" t="s">
        <v>103</v>
      </c>
      <c r="M8883" t="s">
        <v>68</v>
      </c>
      <c r="N8883" t="s">
        <v>103</v>
      </c>
    </row>
    <row r="8884" spans="1:14" x14ac:dyDescent="0.3">
      <c r="A8884" t="s">
        <v>27</v>
      </c>
      <c r="B8884" t="s">
        <v>199</v>
      </c>
      <c r="C8884">
        <v>164</v>
      </c>
      <c r="D8884" t="s">
        <v>2106</v>
      </c>
      <c r="E8884" t="s">
        <v>467</v>
      </c>
      <c r="F8884" t="s">
        <v>266</v>
      </c>
      <c r="G8884" t="s">
        <v>68</v>
      </c>
      <c r="H8884" t="s">
        <v>269</v>
      </c>
      <c r="I8884" t="s">
        <v>695</v>
      </c>
      <c r="J8884" t="s">
        <v>188</v>
      </c>
      <c r="K8884" t="s">
        <v>607</v>
      </c>
      <c r="L8884" t="s">
        <v>120</v>
      </c>
      <c r="M8884" t="s">
        <v>105</v>
      </c>
      <c r="N8884" t="s">
        <v>103</v>
      </c>
    </row>
    <row r="8885" spans="1:14" x14ac:dyDescent="0.3">
      <c r="A8885" t="s">
        <v>41</v>
      </c>
      <c r="B8885" t="s">
        <v>198</v>
      </c>
      <c r="C8885">
        <v>520</v>
      </c>
      <c r="D8885" t="s">
        <v>1137</v>
      </c>
      <c r="E8885" t="s">
        <v>329</v>
      </c>
      <c r="F8885" t="s">
        <v>266</v>
      </c>
      <c r="G8885" t="s">
        <v>98</v>
      </c>
      <c r="H8885" t="s">
        <v>532</v>
      </c>
      <c r="I8885" t="s">
        <v>175</v>
      </c>
      <c r="J8885" t="s">
        <v>217</v>
      </c>
      <c r="K8885" t="s">
        <v>242</v>
      </c>
      <c r="L8885" t="s">
        <v>91</v>
      </c>
      <c r="M8885" t="s">
        <v>282</v>
      </c>
      <c r="N8885" t="s">
        <v>103</v>
      </c>
    </row>
    <row r="8886" spans="1:14" x14ac:dyDescent="0.3">
      <c r="A8886" t="s">
        <v>41</v>
      </c>
      <c r="B8886" t="s">
        <v>199</v>
      </c>
      <c r="C8886">
        <v>1508</v>
      </c>
      <c r="D8886" t="s">
        <v>1259</v>
      </c>
      <c r="E8886" t="s">
        <v>97</v>
      </c>
      <c r="F8886" t="s">
        <v>217</v>
      </c>
      <c r="G8886" t="s">
        <v>245</v>
      </c>
      <c r="H8886" t="s">
        <v>125</v>
      </c>
      <c r="I8886" t="s">
        <v>543</v>
      </c>
      <c r="J8886" t="s">
        <v>217</v>
      </c>
      <c r="K8886" t="s">
        <v>262</v>
      </c>
      <c r="L8886" t="s">
        <v>98</v>
      </c>
      <c r="M8886" t="s">
        <v>98</v>
      </c>
      <c r="N8886" t="s">
        <v>122</v>
      </c>
    </row>
    <row r="8888" spans="1:14" x14ac:dyDescent="0.3">
      <c r="A8888" t="s">
        <v>2465</v>
      </c>
    </row>
    <row r="8889" spans="1:14" x14ac:dyDescent="0.3">
      <c r="A8889" t="s">
        <v>36</v>
      </c>
      <c r="B8889" t="s">
        <v>210</v>
      </c>
      <c r="C8889" t="s">
        <v>24</v>
      </c>
      <c r="D8889" t="s">
        <v>2452</v>
      </c>
      <c r="E8889" t="s">
        <v>2453</v>
      </c>
      <c r="F8889" t="s">
        <v>2454</v>
      </c>
      <c r="G8889" t="s">
        <v>2455</v>
      </c>
      <c r="H8889" t="s">
        <v>2456</v>
      </c>
      <c r="I8889" t="s">
        <v>2457</v>
      </c>
      <c r="J8889" t="s">
        <v>2458</v>
      </c>
      <c r="K8889" t="s">
        <v>2459</v>
      </c>
      <c r="L8889" t="s">
        <v>2460</v>
      </c>
      <c r="M8889" t="s">
        <v>2461</v>
      </c>
      <c r="N8889" t="s">
        <v>1566</v>
      </c>
    </row>
    <row r="8890" spans="1:14" x14ac:dyDescent="0.3">
      <c r="A8890" t="s">
        <v>25</v>
      </c>
      <c r="B8890" t="s">
        <v>211</v>
      </c>
      <c r="C8890">
        <v>413</v>
      </c>
      <c r="D8890" t="s">
        <v>1348</v>
      </c>
      <c r="E8890" t="s">
        <v>122</v>
      </c>
      <c r="F8890" t="s">
        <v>110</v>
      </c>
      <c r="G8890" t="s">
        <v>98</v>
      </c>
      <c r="H8890" t="s">
        <v>266</v>
      </c>
      <c r="I8890" t="s">
        <v>809</v>
      </c>
      <c r="J8890" t="s">
        <v>208</v>
      </c>
      <c r="K8890" t="s">
        <v>107</v>
      </c>
      <c r="L8890" t="s">
        <v>139</v>
      </c>
      <c r="M8890" t="s">
        <v>282</v>
      </c>
      <c r="N8890" t="s">
        <v>103</v>
      </c>
    </row>
    <row r="8891" spans="1:14" x14ac:dyDescent="0.3">
      <c r="A8891" t="s">
        <v>26</v>
      </c>
      <c r="B8891" t="s">
        <v>211</v>
      </c>
      <c r="C8891">
        <v>222</v>
      </c>
      <c r="D8891" t="s">
        <v>806</v>
      </c>
      <c r="E8891" t="s">
        <v>122</v>
      </c>
      <c r="F8891" t="s">
        <v>282</v>
      </c>
      <c r="G8891" t="s">
        <v>194</v>
      </c>
      <c r="H8891" t="s">
        <v>33</v>
      </c>
      <c r="I8891" t="s">
        <v>90</v>
      </c>
      <c r="J8891" t="s">
        <v>93</v>
      </c>
      <c r="K8891" t="s">
        <v>532</v>
      </c>
      <c r="L8891" t="s">
        <v>103</v>
      </c>
      <c r="M8891" t="s">
        <v>216</v>
      </c>
      <c r="N8891" t="s">
        <v>103</v>
      </c>
    </row>
    <row r="8892" spans="1:14" x14ac:dyDescent="0.3">
      <c r="A8892" t="s">
        <v>26</v>
      </c>
      <c r="B8892" t="s">
        <v>212</v>
      </c>
      <c r="C8892">
        <v>253</v>
      </c>
      <c r="D8892" t="s">
        <v>1035</v>
      </c>
      <c r="E8892" t="s">
        <v>103</v>
      </c>
      <c r="F8892" t="s">
        <v>113</v>
      </c>
      <c r="G8892" t="s">
        <v>195</v>
      </c>
      <c r="H8892" t="s">
        <v>615</v>
      </c>
      <c r="I8892" t="s">
        <v>460</v>
      </c>
      <c r="J8892" t="s">
        <v>532</v>
      </c>
      <c r="K8892" t="s">
        <v>494</v>
      </c>
      <c r="L8892" t="s">
        <v>139</v>
      </c>
      <c r="M8892" t="s">
        <v>98</v>
      </c>
      <c r="N8892" t="s">
        <v>97</v>
      </c>
    </row>
    <row r="8893" spans="1:14" x14ac:dyDescent="0.3">
      <c r="A8893" t="s">
        <v>29</v>
      </c>
      <c r="B8893" t="s">
        <v>211</v>
      </c>
      <c r="C8893">
        <v>525</v>
      </c>
      <c r="D8893" t="s">
        <v>1137</v>
      </c>
      <c r="E8893" t="s">
        <v>194</v>
      </c>
      <c r="F8893" t="s">
        <v>64</v>
      </c>
      <c r="G8893" t="s">
        <v>110</v>
      </c>
      <c r="H8893" t="s">
        <v>195</v>
      </c>
      <c r="I8893" t="s">
        <v>269</v>
      </c>
      <c r="J8893" t="s">
        <v>217</v>
      </c>
      <c r="K8893" t="s">
        <v>111</v>
      </c>
      <c r="L8893" t="s">
        <v>97</v>
      </c>
      <c r="M8893" t="s">
        <v>120</v>
      </c>
      <c r="N8893" t="s">
        <v>97</v>
      </c>
    </row>
    <row r="8894" spans="1:14" x14ac:dyDescent="0.3">
      <c r="A8894" t="s">
        <v>28</v>
      </c>
      <c r="B8894" t="s">
        <v>211</v>
      </c>
      <c r="C8894">
        <v>275</v>
      </c>
      <c r="D8894" t="s">
        <v>1420</v>
      </c>
      <c r="E8894" t="s">
        <v>103</v>
      </c>
      <c r="F8894" t="s">
        <v>70</v>
      </c>
      <c r="G8894" t="s">
        <v>139</v>
      </c>
      <c r="H8894" t="s">
        <v>113</v>
      </c>
      <c r="I8894" t="s">
        <v>104</v>
      </c>
      <c r="J8894" t="s">
        <v>216</v>
      </c>
      <c r="K8894" t="s">
        <v>566</v>
      </c>
      <c r="L8894" t="s">
        <v>532</v>
      </c>
      <c r="M8894" t="s">
        <v>216</v>
      </c>
      <c r="N8894" t="s">
        <v>103</v>
      </c>
    </row>
    <row r="8895" spans="1:14" x14ac:dyDescent="0.3">
      <c r="A8895" t="s">
        <v>28</v>
      </c>
      <c r="B8895" t="s">
        <v>212</v>
      </c>
      <c r="C8895">
        <v>40</v>
      </c>
      <c r="D8895" t="s">
        <v>1324</v>
      </c>
      <c r="E8895" t="s">
        <v>103</v>
      </c>
      <c r="F8895" t="s">
        <v>126</v>
      </c>
      <c r="G8895" t="s">
        <v>103</v>
      </c>
      <c r="H8895" t="s">
        <v>103</v>
      </c>
      <c r="I8895" t="s">
        <v>531</v>
      </c>
      <c r="J8895" t="s">
        <v>103</v>
      </c>
      <c r="K8895" t="s">
        <v>549</v>
      </c>
      <c r="L8895" t="s">
        <v>103</v>
      </c>
      <c r="M8895" t="s">
        <v>103</v>
      </c>
      <c r="N8895" t="s">
        <v>103</v>
      </c>
    </row>
    <row r="8896" spans="1:14" x14ac:dyDescent="0.3">
      <c r="A8896" t="s">
        <v>27</v>
      </c>
      <c r="B8896" t="s">
        <v>211</v>
      </c>
      <c r="C8896">
        <v>270</v>
      </c>
      <c r="D8896" t="s">
        <v>1221</v>
      </c>
      <c r="E8896" t="s">
        <v>125</v>
      </c>
      <c r="F8896" t="s">
        <v>438</v>
      </c>
      <c r="G8896" t="s">
        <v>257</v>
      </c>
      <c r="H8896" t="s">
        <v>104</v>
      </c>
      <c r="I8896" t="s">
        <v>1023</v>
      </c>
      <c r="J8896" t="s">
        <v>118</v>
      </c>
      <c r="K8896" t="s">
        <v>558</v>
      </c>
      <c r="L8896" t="s">
        <v>116</v>
      </c>
      <c r="M8896" t="s">
        <v>217</v>
      </c>
      <c r="N8896" t="s">
        <v>103</v>
      </c>
    </row>
    <row r="8897" spans="1:14" s="3" customFormat="1" x14ac:dyDescent="0.3">
      <c r="A8897" s="3" t="s">
        <v>27</v>
      </c>
      <c r="B8897" s="3" t="s">
        <v>212</v>
      </c>
      <c r="C8897" s="3">
        <v>30</v>
      </c>
      <c r="D8897" s="3" t="s">
        <v>606</v>
      </c>
      <c r="E8897" s="3" t="s">
        <v>103</v>
      </c>
      <c r="F8897" s="3" t="s">
        <v>103</v>
      </c>
      <c r="G8897" s="3" t="s">
        <v>103</v>
      </c>
      <c r="H8897" s="3" t="s">
        <v>103</v>
      </c>
      <c r="I8897" s="3" t="s">
        <v>652</v>
      </c>
      <c r="J8897" s="3" t="s">
        <v>103</v>
      </c>
      <c r="K8897" s="3" t="s">
        <v>103</v>
      </c>
      <c r="L8897" s="3" t="s">
        <v>103</v>
      </c>
      <c r="M8897" s="3" t="s">
        <v>103</v>
      </c>
      <c r="N8897" s="3" t="s">
        <v>103</v>
      </c>
    </row>
    <row r="8898" spans="1:14" x14ac:dyDescent="0.3">
      <c r="A8898" t="s">
        <v>41</v>
      </c>
      <c r="B8898" t="s">
        <v>211</v>
      </c>
      <c r="C8898">
        <v>1705</v>
      </c>
      <c r="D8898" t="s">
        <v>1377</v>
      </c>
      <c r="E8898" t="s">
        <v>282</v>
      </c>
      <c r="F8898" t="s">
        <v>118</v>
      </c>
      <c r="G8898" t="s">
        <v>194</v>
      </c>
      <c r="H8898" t="s">
        <v>493</v>
      </c>
      <c r="I8898" t="s">
        <v>481</v>
      </c>
      <c r="J8898" t="s">
        <v>118</v>
      </c>
      <c r="K8898" t="s">
        <v>262</v>
      </c>
      <c r="L8898" t="s">
        <v>95</v>
      </c>
      <c r="M8898" t="s">
        <v>282</v>
      </c>
      <c r="N8898" t="s">
        <v>116</v>
      </c>
    </row>
    <row r="8899" spans="1:14" x14ac:dyDescent="0.3">
      <c r="A8899" t="s">
        <v>41</v>
      </c>
      <c r="B8899" t="s">
        <v>212</v>
      </c>
      <c r="C8899">
        <v>323</v>
      </c>
      <c r="D8899" t="s">
        <v>1400</v>
      </c>
      <c r="E8899" t="s">
        <v>103</v>
      </c>
      <c r="F8899" t="s">
        <v>113</v>
      </c>
      <c r="G8899" t="s">
        <v>270</v>
      </c>
      <c r="H8899" t="s">
        <v>201</v>
      </c>
      <c r="I8899" t="s">
        <v>124</v>
      </c>
      <c r="J8899" t="s">
        <v>107</v>
      </c>
      <c r="K8899" t="s">
        <v>124</v>
      </c>
      <c r="L8899" t="s">
        <v>95</v>
      </c>
      <c r="M8899" t="s">
        <v>139</v>
      </c>
      <c r="N8899" t="s">
        <v>97</v>
      </c>
    </row>
    <row r="8901" spans="1:14" x14ac:dyDescent="0.3">
      <c r="A8901" t="s">
        <v>2466</v>
      </c>
    </row>
    <row r="8902" spans="1:14" x14ac:dyDescent="0.3">
      <c r="A8902" t="s">
        <v>36</v>
      </c>
      <c r="B8902" t="s">
        <v>1552</v>
      </c>
      <c r="C8902" t="s">
        <v>24</v>
      </c>
      <c r="D8902" t="s">
        <v>2452</v>
      </c>
      <c r="E8902" t="s">
        <v>2453</v>
      </c>
      <c r="F8902" t="s">
        <v>2454</v>
      </c>
      <c r="G8902" t="s">
        <v>2455</v>
      </c>
      <c r="H8902" t="s">
        <v>2456</v>
      </c>
      <c r="I8902" t="s">
        <v>2457</v>
      </c>
      <c r="J8902" t="s">
        <v>2458</v>
      </c>
      <c r="K8902" t="s">
        <v>2459</v>
      </c>
      <c r="L8902" t="s">
        <v>2460</v>
      </c>
      <c r="M8902" t="s">
        <v>2461</v>
      </c>
      <c r="N8902" t="s">
        <v>1566</v>
      </c>
    </row>
    <row r="8903" spans="1:14" x14ac:dyDescent="0.3">
      <c r="A8903" t="s">
        <v>25</v>
      </c>
      <c r="B8903" t="s">
        <v>1553</v>
      </c>
      <c r="C8903">
        <v>280</v>
      </c>
      <c r="D8903" t="s">
        <v>1171</v>
      </c>
      <c r="E8903" t="s">
        <v>120</v>
      </c>
      <c r="F8903" t="s">
        <v>245</v>
      </c>
      <c r="G8903" t="s">
        <v>110</v>
      </c>
      <c r="H8903" t="s">
        <v>68</v>
      </c>
      <c r="I8903" t="s">
        <v>119</v>
      </c>
      <c r="J8903" t="s">
        <v>345</v>
      </c>
      <c r="K8903" t="s">
        <v>112</v>
      </c>
      <c r="L8903" t="s">
        <v>468</v>
      </c>
      <c r="M8903" t="s">
        <v>110</v>
      </c>
      <c r="N8903" t="s">
        <v>103</v>
      </c>
    </row>
    <row r="8904" spans="1:14" x14ac:dyDescent="0.3">
      <c r="A8904" t="s">
        <v>25</v>
      </c>
      <c r="B8904" t="s">
        <v>1554</v>
      </c>
      <c r="C8904">
        <v>133</v>
      </c>
      <c r="D8904" t="s">
        <v>724</v>
      </c>
      <c r="E8904" t="s">
        <v>103</v>
      </c>
      <c r="F8904" t="s">
        <v>282</v>
      </c>
      <c r="G8904" t="s">
        <v>103</v>
      </c>
      <c r="H8904" t="s">
        <v>105</v>
      </c>
      <c r="I8904" t="s">
        <v>579</v>
      </c>
      <c r="J8904" t="s">
        <v>114</v>
      </c>
      <c r="K8904" t="s">
        <v>239</v>
      </c>
      <c r="L8904" t="s">
        <v>103</v>
      </c>
      <c r="M8904" t="s">
        <v>103</v>
      </c>
      <c r="N8904" t="s">
        <v>103</v>
      </c>
    </row>
    <row r="8905" spans="1:14" x14ac:dyDescent="0.3">
      <c r="A8905" t="s">
        <v>26</v>
      </c>
      <c r="B8905" t="s">
        <v>1553</v>
      </c>
      <c r="C8905">
        <v>336</v>
      </c>
      <c r="D8905" t="s">
        <v>1368</v>
      </c>
      <c r="E8905" t="s">
        <v>103</v>
      </c>
      <c r="F8905" t="s">
        <v>493</v>
      </c>
      <c r="G8905" t="s">
        <v>195</v>
      </c>
      <c r="H8905" t="s">
        <v>278</v>
      </c>
      <c r="I8905" t="s">
        <v>531</v>
      </c>
      <c r="J8905" t="s">
        <v>272</v>
      </c>
      <c r="K8905" t="s">
        <v>101</v>
      </c>
      <c r="L8905" t="s">
        <v>97</v>
      </c>
      <c r="M8905" t="s">
        <v>345</v>
      </c>
      <c r="N8905" t="s">
        <v>122</v>
      </c>
    </row>
    <row r="8906" spans="1:14" x14ac:dyDescent="0.3">
      <c r="A8906" t="s">
        <v>26</v>
      </c>
      <c r="B8906" t="s">
        <v>1554</v>
      </c>
      <c r="C8906">
        <v>139</v>
      </c>
      <c r="D8906" t="s">
        <v>1316</v>
      </c>
      <c r="E8906" t="s">
        <v>139</v>
      </c>
      <c r="F8906" t="s">
        <v>103</v>
      </c>
      <c r="G8906" t="s">
        <v>103</v>
      </c>
      <c r="H8906" t="s">
        <v>591</v>
      </c>
      <c r="I8906" t="s">
        <v>918</v>
      </c>
      <c r="J8906" t="s">
        <v>591</v>
      </c>
      <c r="K8906" t="s">
        <v>102</v>
      </c>
      <c r="L8906" t="s">
        <v>103</v>
      </c>
      <c r="M8906" t="s">
        <v>216</v>
      </c>
      <c r="N8906" t="s">
        <v>103</v>
      </c>
    </row>
    <row r="8907" spans="1:14" x14ac:dyDescent="0.3">
      <c r="A8907" t="s">
        <v>29</v>
      </c>
      <c r="B8907" t="s">
        <v>1553</v>
      </c>
      <c r="C8907">
        <v>390</v>
      </c>
      <c r="D8907" t="s">
        <v>823</v>
      </c>
      <c r="E8907" t="s">
        <v>345</v>
      </c>
      <c r="F8907" t="s">
        <v>102</v>
      </c>
      <c r="G8907" t="s">
        <v>105</v>
      </c>
      <c r="H8907" t="s">
        <v>68</v>
      </c>
      <c r="I8907" t="s">
        <v>136</v>
      </c>
      <c r="J8907" t="s">
        <v>195</v>
      </c>
      <c r="K8907" t="s">
        <v>700</v>
      </c>
      <c r="L8907" t="s">
        <v>122</v>
      </c>
      <c r="M8907" t="s">
        <v>97</v>
      </c>
      <c r="N8907" t="s">
        <v>120</v>
      </c>
    </row>
    <row r="8908" spans="1:14" x14ac:dyDescent="0.3">
      <c r="A8908" t="s">
        <v>29</v>
      </c>
      <c r="B8908" t="s">
        <v>1554</v>
      </c>
      <c r="C8908">
        <v>135</v>
      </c>
      <c r="D8908" t="s">
        <v>408</v>
      </c>
      <c r="E8908" t="s">
        <v>341</v>
      </c>
      <c r="F8908" t="s">
        <v>97</v>
      </c>
      <c r="G8908" t="s">
        <v>103</v>
      </c>
      <c r="H8908" t="s">
        <v>217</v>
      </c>
      <c r="I8908" t="s">
        <v>247</v>
      </c>
      <c r="J8908" t="s">
        <v>216</v>
      </c>
      <c r="K8908" t="s">
        <v>549</v>
      </c>
      <c r="L8908" t="s">
        <v>95</v>
      </c>
      <c r="M8908" t="s">
        <v>139</v>
      </c>
      <c r="N8908" t="s">
        <v>103</v>
      </c>
    </row>
    <row r="8909" spans="1:14" x14ac:dyDescent="0.3">
      <c r="A8909" t="s">
        <v>28</v>
      </c>
      <c r="B8909" t="s">
        <v>1553</v>
      </c>
      <c r="C8909">
        <v>223</v>
      </c>
      <c r="D8909" t="s">
        <v>1047</v>
      </c>
      <c r="E8909" t="s">
        <v>103</v>
      </c>
      <c r="F8909" t="s">
        <v>124</v>
      </c>
      <c r="G8909" t="s">
        <v>345</v>
      </c>
      <c r="H8909" t="s">
        <v>532</v>
      </c>
      <c r="I8909" t="s">
        <v>571</v>
      </c>
      <c r="J8909" t="s">
        <v>105</v>
      </c>
      <c r="K8909" t="s">
        <v>171</v>
      </c>
      <c r="L8909" t="s">
        <v>272</v>
      </c>
      <c r="M8909" t="s">
        <v>329</v>
      </c>
      <c r="N8909" t="s">
        <v>103</v>
      </c>
    </row>
    <row r="8910" spans="1:14" x14ac:dyDescent="0.3">
      <c r="A8910" t="s">
        <v>28</v>
      </c>
      <c r="B8910" t="s">
        <v>1554</v>
      </c>
      <c r="C8910">
        <v>92</v>
      </c>
      <c r="D8910" t="s">
        <v>1438</v>
      </c>
      <c r="E8910" t="s">
        <v>103</v>
      </c>
      <c r="F8910" t="s">
        <v>208</v>
      </c>
      <c r="G8910" t="s">
        <v>103</v>
      </c>
      <c r="H8910" t="s">
        <v>257</v>
      </c>
      <c r="I8910" t="s">
        <v>275</v>
      </c>
      <c r="J8910" t="s">
        <v>95</v>
      </c>
      <c r="K8910" t="s">
        <v>130</v>
      </c>
      <c r="L8910" t="s">
        <v>206</v>
      </c>
      <c r="M8910" t="s">
        <v>103</v>
      </c>
      <c r="N8910" t="s">
        <v>103</v>
      </c>
    </row>
    <row r="8911" spans="1:14" x14ac:dyDescent="0.3">
      <c r="A8911" t="s">
        <v>27</v>
      </c>
      <c r="B8911" t="s">
        <v>1553</v>
      </c>
      <c r="C8911">
        <v>162</v>
      </c>
      <c r="D8911" t="s">
        <v>1064</v>
      </c>
      <c r="E8911" t="s">
        <v>270</v>
      </c>
      <c r="F8911" t="s">
        <v>615</v>
      </c>
      <c r="G8911" t="s">
        <v>68</v>
      </c>
      <c r="H8911" t="s">
        <v>481</v>
      </c>
      <c r="I8911" t="s">
        <v>646</v>
      </c>
      <c r="J8911" t="s">
        <v>118</v>
      </c>
      <c r="K8911" t="s">
        <v>549</v>
      </c>
      <c r="L8911" t="s">
        <v>97</v>
      </c>
      <c r="M8911" t="s">
        <v>208</v>
      </c>
      <c r="N8911" t="s">
        <v>103</v>
      </c>
    </row>
    <row r="8912" spans="1:14" x14ac:dyDescent="0.3">
      <c r="A8912" t="s">
        <v>27</v>
      </c>
      <c r="B8912" t="s">
        <v>1554</v>
      </c>
      <c r="C8912">
        <v>138</v>
      </c>
      <c r="D8912" t="s">
        <v>1170</v>
      </c>
      <c r="E8912" t="s">
        <v>186</v>
      </c>
      <c r="F8912" t="s">
        <v>110</v>
      </c>
      <c r="G8912" t="s">
        <v>110</v>
      </c>
      <c r="H8912" t="s">
        <v>629</v>
      </c>
      <c r="I8912" t="s">
        <v>900</v>
      </c>
      <c r="J8912" t="s">
        <v>329</v>
      </c>
      <c r="K8912" t="s">
        <v>282</v>
      </c>
      <c r="L8912" t="s">
        <v>103</v>
      </c>
      <c r="M8912" t="s">
        <v>272</v>
      </c>
      <c r="N8912" t="s">
        <v>103</v>
      </c>
    </row>
    <row r="8913" spans="1:14" x14ac:dyDescent="0.3">
      <c r="A8913" t="s">
        <v>41</v>
      </c>
      <c r="B8913" t="s">
        <v>1553</v>
      </c>
      <c r="C8913">
        <v>1391</v>
      </c>
      <c r="D8913" t="s">
        <v>1142</v>
      </c>
      <c r="E8913" t="s">
        <v>139</v>
      </c>
      <c r="F8913" t="s">
        <v>438</v>
      </c>
      <c r="G8913" t="s">
        <v>329</v>
      </c>
      <c r="H8913" t="s">
        <v>591</v>
      </c>
      <c r="I8913" t="s">
        <v>146</v>
      </c>
      <c r="J8913" t="s">
        <v>217</v>
      </c>
      <c r="K8913" t="s">
        <v>649</v>
      </c>
      <c r="L8913" t="s">
        <v>95</v>
      </c>
      <c r="M8913" t="s">
        <v>282</v>
      </c>
      <c r="N8913" t="s">
        <v>122</v>
      </c>
    </row>
    <row r="8914" spans="1:14" x14ac:dyDescent="0.3">
      <c r="A8914" t="s">
        <v>41</v>
      </c>
      <c r="B8914" t="s">
        <v>1554</v>
      </c>
      <c r="C8914">
        <v>637</v>
      </c>
      <c r="D8914" t="s">
        <v>747</v>
      </c>
      <c r="E8914" t="s">
        <v>468</v>
      </c>
      <c r="F8914" t="s">
        <v>95</v>
      </c>
      <c r="G8914" t="s">
        <v>91</v>
      </c>
      <c r="H8914" t="s">
        <v>272</v>
      </c>
      <c r="I8914" t="s">
        <v>150</v>
      </c>
      <c r="J8914" t="s">
        <v>266</v>
      </c>
      <c r="K8914" t="s">
        <v>133</v>
      </c>
      <c r="L8914" t="s">
        <v>120</v>
      </c>
      <c r="M8914" t="s">
        <v>98</v>
      </c>
      <c r="N8914" t="s">
        <v>103</v>
      </c>
    </row>
    <row r="8916" spans="1:14" x14ac:dyDescent="0.3">
      <c r="A8916" t="s">
        <v>2467</v>
      </c>
    </row>
    <row r="8917" spans="1:14" x14ac:dyDescent="0.3">
      <c r="A8917" t="s">
        <v>36</v>
      </c>
      <c r="B8917" t="s">
        <v>24</v>
      </c>
      <c r="C8917" t="s">
        <v>2468</v>
      </c>
      <c r="D8917" t="s">
        <v>2469</v>
      </c>
      <c r="E8917" t="s">
        <v>2470</v>
      </c>
      <c r="F8917" t="s">
        <v>2471</v>
      </c>
      <c r="G8917" t="s">
        <v>2472</v>
      </c>
      <c r="H8917" t="s">
        <v>2473</v>
      </c>
      <c r="I8917" t="s">
        <v>2474</v>
      </c>
      <c r="J8917" t="s">
        <v>2475</v>
      </c>
      <c r="K8917" t="s">
        <v>2476</v>
      </c>
      <c r="L8917" t="s">
        <v>87</v>
      </c>
    </row>
    <row r="8918" spans="1:14" x14ac:dyDescent="0.3">
      <c r="A8918" t="s">
        <v>25</v>
      </c>
      <c r="B8918">
        <v>414</v>
      </c>
      <c r="C8918" t="s">
        <v>1081</v>
      </c>
      <c r="D8918" t="s">
        <v>1097</v>
      </c>
      <c r="E8918" t="s">
        <v>34</v>
      </c>
      <c r="F8918" t="s">
        <v>1218</v>
      </c>
      <c r="G8918" t="s">
        <v>582</v>
      </c>
      <c r="H8918" t="s">
        <v>1093</v>
      </c>
      <c r="I8918" t="s">
        <v>261</v>
      </c>
      <c r="J8918" t="s">
        <v>418</v>
      </c>
      <c r="K8918" t="s">
        <v>148</v>
      </c>
      <c r="L8918" t="s">
        <v>456</v>
      </c>
    </row>
    <row r="8919" spans="1:14" x14ac:dyDescent="0.3">
      <c r="A8919" t="s">
        <v>26</v>
      </c>
      <c r="B8919">
        <v>477</v>
      </c>
      <c r="C8919" t="s">
        <v>230</v>
      </c>
      <c r="D8919" t="s">
        <v>691</v>
      </c>
      <c r="E8919" t="s">
        <v>375</v>
      </c>
      <c r="F8919" t="s">
        <v>1211</v>
      </c>
      <c r="G8919" t="s">
        <v>687</v>
      </c>
      <c r="H8919" t="s">
        <v>488</v>
      </c>
      <c r="I8919" t="s">
        <v>56</v>
      </c>
      <c r="J8919" t="s">
        <v>421</v>
      </c>
      <c r="K8919" t="s">
        <v>460</v>
      </c>
      <c r="L8919" t="s">
        <v>1218</v>
      </c>
    </row>
    <row r="8920" spans="1:14" x14ac:dyDescent="0.3">
      <c r="A8920" t="s">
        <v>29</v>
      </c>
      <c r="B8920">
        <v>530</v>
      </c>
      <c r="C8920" t="s">
        <v>820</v>
      </c>
      <c r="D8920" t="s">
        <v>578</v>
      </c>
      <c r="E8920" t="s">
        <v>648</v>
      </c>
      <c r="F8920" t="s">
        <v>155</v>
      </c>
      <c r="G8920" t="s">
        <v>157</v>
      </c>
      <c r="H8920" t="s">
        <v>700</v>
      </c>
      <c r="I8920" t="s">
        <v>254</v>
      </c>
      <c r="J8920" t="s">
        <v>515</v>
      </c>
      <c r="K8920" t="s">
        <v>494</v>
      </c>
      <c r="L8920" t="s">
        <v>929</v>
      </c>
    </row>
    <row r="8921" spans="1:14" x14ac:dyDescent="0.3">
      <c r="A8921" t="s">
        <v>28</v>
      </c>
      <c r="B8921">
        <v>317</v>
      </c>
      <c r="C8921" t="s">
        <v>1205</v>
      </c>
      <c r="D8921" t="s">
        <v>729</v>
      </c>
      <c r="E8921" t="s">
        <v>665</v>
      </c>
      <c r="F8921" t="s">
        <v>384</v>
      </c>
      <c r="G8921" t="s">
        <v>666</v>
      </c>
      <c r="H8921" t="s">
        <v>499</v>
      </c>
      <c r="I8921" t="s">
        <v>1014</v>
      </c>
      <c r="J8921" t="s">
        <v>387</v>
      </c>
      <c r="K8921" t="s">
        <v>466</v>
      </c>
      <c r="L8921" t="s">
        <v>559</v>
      </c>
    </row>
    <row r="8922" spans="1:14" x14ac:dyDescent="0.3">
      <c r="A8922" t="s">
        <v>27</v>
      </c>
      <c r="B8922">
        <v>300</v>
      </c>
      <c r="C8922" t="s">
        <v>644</v>
      </c>
      <c r="D8922" t="s">
        <v>186</v>
      </c>
      <c r="E8922" t="s">
        <v>142</v>
      </c>
      <c r="F8922" t="s">
        <v>112</v>
      </c>
      <c r="G8922" t="s">
        <v>208</v>
      </c>
      <c r="H8922" t="s">
        <v>266</v>
      </c>
      <c r="I8922" t="s">
        <v>110</v>
      </c>
      <c r="J8922" t="s">
        <v>536</v>
      </c>
      <c r="K8922" t="s">
        <v>532</v>
      </c>
      <c r="L8922" t="s">
        <v>229</v>
      </c>
    </row>
    <row r="8923" spans="1:14" x14ac:dyDescent="0.3">
      <c r="A8923" t="s">
        <v>41</v>
      </c>
      <c r="B8923">
        <v>2038</v>
      </c>
      <c r="C8923" t="s">
        <v>935</v>
      </c>
      <c r="D8923" t="s">
        <v>900</v>
      </c>
      <c r="E8923" t="s">
        <v>530</v>
      </c>
      <c r="F8923" t="s">
        <v>250</v>
      </c>
      <c r="G8923" t="s">
        <v>570</v>
      </c>
      <c r="H8923" t="s">
        <v>578</v>
      </c>
      <c r="I8923" t="s">
        <v>1319</v>
      </c>
      <c r="J8923" t="s">
        <v>250</v>
      </c>
      <c r="K8923" t="s">
        <v>90</v>
      </c>
      <c r="L8923" t="s">
        <v>562</v>
      </c>
    </row>
    <row r="8925" spans="1:14" x14ac:dyDescent="0.3">
      <c r="A8925" t="s">
        <v>2477</v>
      </c>
    </row>
    <row r="8926" spans="1:14" x14ac:dyDescent="0.3">
      <c r="A8926" t="s">
        <v>36</v>
      </c>
      <c r="B8926" t="s">
        <v>307</v>
      </c>
      <c r="C8926" t="s">
        <v>24</v>
      </c>
      <c r="D8926" t="s">
        <v>2468</v>
      </c>
      <c r="E8926" t="s">
        <v>2469</v>
      </c>
      <c r="F8926" t="s">
        <v>2470</v>
      </c>
      <c r="G8926" t="s">
        <v>2471</v>
      </c>
      <c r="H8926" t="s">
        <v>2472</v>
      </c>
      <c r="I8926" t="s">
        <v>2473</v>
      </c>
      <c r="J8926" t="s">
        <v>2474</v>
      </c>
      <c r="K8926" t="s">
        <v>2475</v>
      </c>
      <c r="L8926" t="s">
        <v>2476</v>
      </c>
      <c r="M8926" t="s">
        <v>87</v>
      </c>
    </row>
    <row r="8927" spans="1:14" x14ac:dyDescent="0.3">
      <c r="A8927" t="s">
        <v>25</v>
      </c>
      <c r="B8927" t="s">
        <v>291</v>
      </c>
      <c r="C8927">
        <v>156</v>
      </c>
      <c r="D8927" t="s">
        <v>661</v>
      </c>
      <c r="E8927" t="s">
        <v>393</v>
      </c>
      <c r="F8927" t="s">
        <v>369</v>
      </c>
      <c r="G8927" t="s">
        <v>560</v>
      </c>
      <c r="H8927" t="s">
        <v>1213</v>
      </c>
      <c r="I8927" t="s">
        <v>376</v>
      </c>
      <c r="J8927" t="s">
        <v>645</v>
      </c>
      <c r="K8927" t="s">
        <v>510</v>
      </c>
      <c r="L8927" t="s">
        <v>130</v>
      </c>
      <c r="M8927" t="s">
        <v>583</v>
      </c>
    </row>
    <row r="8928" spans="1:14" x14ac:dyDescent="0.3">
      <c r="A8928" t="s">
        <v>25</v>
      </c>
      <c r="B8928" t="s">
        <v>292</v>
      </c>
      <c r="C8928">
        <v>254</v>
      </c>
      <c r="D8928" t="s">
        <v>797</v>
      </c>
      <c r="E8928" t="s">
        <v>1206</v>
      </c>
      <c r="F8928" t="s">
        <v>1425</v>
      </c>
      <c r="G8928" t="s">
        <v>365</v>
      </c>
      <c r="H8928" t="s">
        <v>650</v>
      </c>
      <c r="I8928" t="s">
        <v>556</v>
      </c>
      <c r="J8928" t="s">
        <v>650</v>
      </c>
      <c r="K8928" t="s">
        <v>1229</v>
      </c>
      <c r="L8928" t="s">
        <v>164</v>
      </c>
      <c r="M8928" t="s">
        <v>457</v>
      </c>
    </row>
    <row r="8929" spans="1:13" x14ac:dyDescent="0.3">
      <c r="A8929" t="s">
        <v>25</v>
      </c>
      <c r="B8929" t="s">
        <v>308</v>
      </c>
      <c r="C8929">
        <v>4</v>
      </c>
      <c r="D8929" t="s">
        <v>298</v>
      </c>
      <c r="E8929" t="s">
        <v>298</v>
      </c>
      <c r="F8929" t="s">
        <v>298</v>
      </c>
      <c r="G8929" t="s">
        <v>298</v>
      </c>
      <c r="H8929" t="s">
        <v>298</v>
      </c>
      <c r="I8929" t="s">
        <v>455</v>
      </c>
      <c r="J8929" t="s">
        <v>455</v>
      </c>
      <c r="K8929" t="s">
        <v>455</v>
      </c>
      <c r="L8929" t="s">
        <v>693</v>
      </c>
      <c r="M8929" t="s">
        <v>456</v>
      </c>
    </row>
    <row r="8930" spans="1:13" x14ac:dyDescent="0.3">
      <c r="A8930" t="s">
        <v>26</v>
      </c>
      <c r="B8930" t="s">
        <v>291</v>
      </c>
      <c r="C8930">
        <v>122</v>
      </c>
      <c r="D8930" t="s">
        <v>52</v>
      </c>
      <c r="E8930" t="s">
        <v>732</v>
      </c>
      <c r="F8930" t="s">
        <v>1242</v>
      </c>
      <c r="G8930" t="s">
        <v>1637</v>
      </c>
      <c r="H8930" t="s">
        <v>268</v>
      </c>
      <c r="I8930" t="s">
        <v>173</v>
      </c>
      <c r="J8930" t="s">
        <v>473</v>
      </c>
      <c r="K8930" t="s">
        <v>420</v>
      </c>
      <c r="L8930" t="s">
        <v>32</v>
      </c>
      <c r="M8930" t="s">
        <v>303</v>
      </c>
    </row>
    <row r="8931" spans="1:13" x14ac:dyDescent="0.3">
      <c r="A8931" t="s">
        <v>26</v>
      </c>
      <c r="B8931" t="s">
        <v>292</v>
      </c>
      <c r="C8931">
        <v>352</v>
      </c>
      <c r="D8931" t="s">
        <v>685</v>
      </c>
      <c r="E8931" t="s">
        <v>398</v>
      </c>
      <c r="F8931" t="s">
        <v>661</v>
      </c>
      <c r="G8931" t="s">
        <v>1088</v>
      </c>
      <c r="H8931" t="s">
        <v>475</v>
      </c>
      <c r="I8931" t="s">
        <v>813</v>
      </c>
      <c r="J8931" t="s">
        <v>56</v>
      </c>
      <c r="K8931" t="s">
        <v>420</v>
      </c>
      <c r="L8931" t="s">
        <v>242</v>
      </c>
      <c r="M8931" t="s">
        <v>1014</v>
      </c>
    </row>
    <row r="8932" spans="1:13" x14ac:dyDescent="0.3">
      <c r="A8932" t="s">
        <v>26</v>
      </c>
      <c r="B8932" t="s">
        <v>308</v>
      </c>
      <c r="C8932">
        <v>3</v>
      </c>
      <c r="D8932" t="s">
        <v>784</v>
      </c>
      <c r="E8932" t="s">
        <v>784</v>
      </c>
      <c r="F8932" t="s">
        <v>784</v>
      </c>
      <c r="G8932" t="s">
        <v>784</v>
      </c>
      <c r="H8932" t="s">
        <v>784</v>
      </c>
      <c r="I8932" t="s">
        <v>784</v>
      </c>
      <c r="J8932" t="s">
        <v>784</v>
      </c>
      <c r="K8932" t="s">
        <v>784</v>
      </c>
      <c r="L8932" t="s">
        <v>103</v>
      </c>
      <c r="M8932" t="s">
        <v>699</v>
      </c>
    </row>
    <row r="8933" spans="1:13" x14ac:dyDescent="0.3">
      <c r="A8933" t="s">
        <v>29</v>
      </c>
      <c r="B8933" t="s">
        <v>291</v>
      </c>
      <c r="C8933">
        <v>205</v>
      </c>
      <c r="D8933" t="s">
        <v>521</v>
      </c>
      <c r="E8933" t="s">
        <v>925</v>
      </c>
      <c r="F8933" t="s">
        <v>805</v>
      </c>
      <c r="G8933" t="s">
        <v>579</v>
      </c>
      <c r="H8933" t="s">
        <v>99</v>
      </c>
      <c r="I8933" t="s">
        <v>90</v>
      </c>
      <c r="J8933" t="s">
        <v>205</v>
      </c>
      <c r="K8933" t="s">
        <v>601</v>
      </c>
      <c r="L8933" t="s">
        <v>737</v>
      </c>
      <c r="M8933" t="s">
        <v>1404</v>
      </c>
    </row>
    <row r="8934" spans="1:13" x14ac:dyDescent="0.3">
      <c r="A8934" t="s">
        <v>29</v>
      </c>
      <c r="B8934" t="s">
        <v>292</v>
      </c>
      <c r="C8934">
        <v>325</v>
      </c>
      <c r="D8934" t="s">
        <v>507</v>
      </c>
      <c r="E8934" t="s">
        <v>471</v>
      </c>
      <c r="F8934" t="s">
        <v>935</v>
      </c>
      <c r="G8934" t="s">
        <v>672</v>
      </c>
      <c r="H8934" t="s">
        <v>115</v>
      </c>
      <c r="I8934" t="s">
        <v>528</v>
      </c>
      <c r="J8934" t="s">
        <v>629</v>
      </c>
      <c r="K8934" t="s">
        <v>756</v>
      </c>
      <c r="L8934" t="s">
        <v>607</v>
      </c>
      <c r="M8934" t="s">
        <v>1028</v>
      </c>
    </row>
    <row r="8935" spans="1:13" x14ac:dyDescent="0.3">
      <c r="A8935" t="s">
        <v>28</v>
      </c>
      <c r="B8935" t="s">
        <v>291</v>
      </c>
      <c r="C8935">
        <v>114</v>
      </c>
      <c r="D8935" t="s">
        <v>499</v>
      </c>
      <c r="E8935" t="s">
        <v>582</v>
      </c>
      <c r="F8935" t="s">
        <v>559</v>
      </c>
      <c r="G8935" t="s">
        <v>402</v>
      </c>
      <c r="H8935" t="s">
        <v>295</v>
      </c>
      <c r="I8935" t="s">
        <v>52</v>
      </c>
      <c r="J8935" t="s">
        <v>295</v>
      </c>
      <c r="K8935" t="s">
        <v>365</v>
      </c>
      <c r="L8935" t="s">
        <v>133</v>
      </c>
      <c r="M8935" t="s">
        <v>1356</v>
      </c>
    </row>
    <row r="8936" spans="1:13" x14ac:dyDescent="0.3">
      <c r="A8936" t="s">
        <v>28</v>
      </c>
      <c r="B8936" t="s">
        <v>292</v>
      </c>
      <c r="C8936">
        <v>191</v>
      </c>
      <c r="D8936" t="s">
        <v>500</v>
      </c>
      <c r="E8936" t="s">
        <v>496</v>
      </c>
      <c r="F8936" t="s">
        <v>1175</v>
      </c>
      <c r="G8936" t="s">
        <v>406</v>
      </c>
      <c r="H8936" t="s">
        <v>436</v>
      </c>
      <c r="I8936" t="s">
        <v>1559</v>
      </c>
      <c r="J8936" t="s">
        <v>792</v>
      </c>
      <c r="K8936" t="s">
        <v>419</v>
      </c>
      <c r="L8936" t="s">
        <v>214</v>
      </c>
      <c r="M8936" t="s">
        <v>805</v>
      </c>
    </row>
    <row r="8937" spans="1:13" x14ac:dyDescent="0.3">
      <c r="A8937" t="s">
        <v>28</v>
      </c>
      <c r="B8937" t="s">
        <v>308</v>
      </c>
      <c r="C8937">
        <v>12</v>
      </c>
      <c r="D8937" t="s">
        <v>499</v>
      </c>
      <c r="E8937" t="s">
        <v>1090</v>
      </c>
      <c r="F8937" t="s">
        <v>499</v>
      </c>
      <c r="G8937" t="s">
        <v>1090</v>
      </c>
      <c r="H8937" t="s">
        <v>1090</v>
      </c>
      <c r="I8937" t="s">
        <v>1090</v>
      </c>
      <c r="J8937" t="s">
        <v>1090</v>
      </c>
      <c r="K8937" t="s">
        <v>564</v>
      </c>
      <c r="L8937" t="s">
        <v>297</v>
      </c>
      <c r="M8937" t="s">
        <v>807</v>
      </c>
    </row>
    <row r="8938" spans="1:13" x14ac:dyDescent="0.3">
      <c r="A8938" t="s">
        <v>27</v>
      </c>
      <c r="B8938" t="s">
        <v>291</v>
      </c>
      <c r="C8938">
        <v>95</v>
      </c>
      <c r="D8938" t="s">
        <v>46</v>
      </c>
      <c r="E8938" t="s">
        <v>103</v>
      </c>
      <c r="F8938" t="s">
        <v>629</v>
      </c>
      <c r="G8938" t="s">
        <v>195</v>
      </c>
      <c r="H8938" t="s">
        <v>103</v>
      </c>
      <c r="I8938" t="s">
        <v>468</v>
      </c>
      <c r="J8938" t="s">
        <v>103</v>
      </c>
      <c r="K8938" t="s">
        <v>188</v>
      </c>
      <c r="L8938" t="s">
        <v>102</v>
      </c>
      <c r="M8938" t="s">
        <v>1680</v>
      </c>
    </row>
    <row r="8939" spans="1:13" x14ac:dyDescent="0.3">
      <c r="A8939" t="s">
        <v>27</v>
      </c>
      <c r="B8939" t="s">
        <v>292</v>
      </c>
      <c r="C8939">
        <v>198</v>
      </c>
      <c r="D8939" t="s">
        <v>688</v>
      </c>
      <c r="E8939" t="s">
        <v>206</v>
      </c>
      <c r="F8939" t="s">
        <v>706</v>
      </c>
      <c r="G8939" t="s">
        <v>190</v>
      </c>
      <c r="H8939" t="s">
        <v>270</v>
      </c>
      <c r="I8939" t="s">
        <v>467</v>
      </c>
      <c r="J8939" t="s">
        <v>208</v>
      </c>
      <c r="K8939" t="s">
        <v>106</v>
      </c>
      <c r="L8939" t="s">
        <v>284</v>
      </c>
      <c r="M8939" t="s">
        <v>1068</v>
      </c>
    </row>
    <row r="8940" spans="1:13" x14ac:dyDescent="0.3">
      <c r="A8940" t="s">
        <v>27</v>
      </c>
      <c r="B8940" t="s">
        <v>308</v>
      </c>
      <c r="C8940">
        <v>7</v>
      </c>
      <c r="D8940" t="s">
        <v>103</v>
      </c>
      <c r="E8940" t="s">
        <v>103</v>
      </c>
      <c r="F8940" t="s">
        <v>103</v>
      </c>
      <c r="G8940" t="s">
        <v>103</v>
      </c>
      <c r="H8940" t="s">
        <v>103</v>
      </c>
      <c r="I8940" t="s">
        <v>103</v>
      </c>
      <c r="J8940" t="s">
        <v>103</v>
      </c>
      <c r="K8940" t="s">
        <v>103</v>
      </c>
      <c r="L8940" t="s">
        <v>103</v>
      </c>
      <c r="M8940" t="s">
        <v>192</v>
      </c>
    </row>
    <row r="8941" spans="1:13" x14ac:dyDescent="0.3">
      <c r="A8941" t="s">
        <v>41</v>
      </c>
      <c r="B8941" t="s">
        <v>291</v>
      </c>
      <c r="C8941">
        <v>692</v>
      </c>
      <c r="D8941" t="s">
        <v>565</v>
      </c>
      <c r="E8941" t="s">
        <v>756</v>
      </c>
      <c r="F8941" t="s">
        <v>858</v>
      </c>
      <c r="G8941" t="s">
        <v>295</v>
      </c>
      <c r="H8941" t="s">
        <v>469</v>
      </c>
      <c r="I8941" t="s">
        <v>160</v>
      </c>
      <c r="J8941" t="s">
        <v>475</v>
      </c>
      <c r="K8941" t="s">
        <v>264</v>
      </c>
      <c r="L8941" t="s">
        <v>737</v>
      </c>
      <c r="M8941" t="s">
        <v>1024</v>
      </c>
    </row>
    <row r="8942" spans="1:13" x14ac:dyDescent="0.3">
      <c r="A8942" t="s">
        <v>41</v>
      </c>
      <c r="B8942" t="s">
        <v>292</v>
      </c>
      <c r="C8942">
        <v>1320</v>
      </c>
      <c r="D8942" t="s">
        <v>559</v>
      </c>
      <c r="E8942" t="s">
        <v>1023</v>
      </c>
      <c r="F8942" t="s">
        <v>1229</v>
      </c>
      <c r="G8942" t="s">
        <v>503</v>
      </c>
      <c r="H8942" t="s">
        <v>829</v>
      </c>
      <c r="I8942" t="s">
        <v>46</v>
      </c>
      <c r="J8942" t="s">
        <v>687</v>
      </c>
      <c r="K8942" t="s">
        <v>683</v>
      </c>
      <c r="L8942" t="s">
        <v>205</v>
      </c>
      <c r="M8942" t="s">
        <v>1057</v>
      </c>
    </row>
    <row r="8943" spans="1:13" x14ac:dyDescent="0.3">
      <c r="A8943" t="s">
        <v>41</v>
      </c>
      <c r="B8943" t="s">
        <v>308</v>
      </c>
      <c r="C8943">
        <v>26</v>
      </c>
      <c r="D8943" t="s">
        <v>443</v>
      </c>
      <c r="E8943" t="s">
        <v>226</v>
      </c>
      <c r="F8943" t="s">
        <v>443</v>
      </c>
      <c r="G8943" t="s">
        <v>226</v>
      </c>
      <c r="H8943" t="s">
        <v>226</v>
      </c>
      <c r="I8943" t="s">
        <v>376</v>
      </c>
      <c r="J8943" t="s">
        <v>376</v>
      </c>
      <c r="K8943" t="s">
        <v>1057</v>
      </c>
      <c r="L8943" t="s">
        <v>925</v>
      </c>
      <c r="M8943" t="s">
        <v>562</v>
      </c>
    </row>
    <row r="8945" spans="1:13" x14ac:dyDescent="0.3">
      <c r="A8945" t="s">
        <v>2478</v>
      </c>
    </row>
    <row r="8946" spans="1:13" x14ac:dyDescent="0.3">
      <c r="A8946" t="s">
        <v>36</v>
      </c>
      <c r="B8946" t="s">
        <v>310</v>
      </c>
      <c r="C8946" t="s">
        <v>24</v>
      </c>
      <c r="D8946" t="s">
        <v>2468</v>
      </c>
      <c r="E8946" t="s">
        <v>2469</v>
      </c>
      <c r="F8946" t="s">
        <v>2470</v>
      </c>
      <c r="G8946" t="s">
        <v>2471</v>
      </c>
      <c r="H8946" t="s">
        <v>2472</v>
      </c>
      <c r="I8946" t="s">
        <v>2473</v>
      </c>
      <c r="J8946" t="s">
        <v>2474</v>
      </c>
      <c r="K8946" t="s">
        <v>2475</v>
      </c>
      <c r="L8946" t="s">
        <v>2476</v>
      </c>
      <c r="M8946" t="s">
        <v>87</v>
      </c>
    </row>
    <row r="8947" spans="1:13" x14ac:dyDescent="0.3">
      <c r="A8947" t="s">
        <v>25</v>
      </c>
      <c r="B8947" t="s">
        <v>311</v>
      </c>
      <c r="C8947">
        <v>324</v>
      </c>
      <c r="D8947" t="s">
        <v>1216</v>
      </c>
      <c r="E8947" t="s">
        <v>376</v>
      </c>
      <c r="F8947" t="s">
        <v>422</v>
      </c>
      <c r="G8947" t="s">
        <v>537</v>
      </c>
      <c r="H8947" t="s">
        <v>250</v>
      </c>
      <c r="I8947" t="s">
        <v>429</v>
      </c>
      <c r="J8947" t="s">
        <v>261</v>
      </c>
      <c r="K8947" t="s">
        <v>464</v>
      </c>
      <c r="L8947" t="s">
        <v>544</v>
      </c>
      <c r="M8947" t="s">
        <v>477</v>
      </c>
    </row>
    <row r="8948" spans="1:13" x14ac:dyDescent="0.3">
      <c r="A8948" t="s">
        <v>25</v>
      </c>
      <c r="B8948" t="s">
        <v>312</v>
      </c>
      <c r="C8948">
        <v>80</v>
      </c>
      <c r="D8948" t="s">
        <v>663</v>
      </c>
      <c r="E8948" t="s">
        <v>560</v>
      </c>
      <c r="F8948" t="s">
        <v>893</v>
      </c>
      <c r="G8948" t="s">
        <v>1206</v>
      </c>
      <c r="H8948" t="s">
        <v>507</v>
      </c>
      <c r="I8948" t="s">
        <v>1090</v>
      </c>
      <c r="J8948" t="s">
        <v>1090</v>
      </c>
      <c r="K8948" t="s">
        <v>564</v>
      </c>
      <c r="L8948" t="s">
        <v>152</v>
      </c>
      <c r="M8948" t="s">
        <v>1007</v>
      </c>
    </row>
    <row r="8949" spans="1:13" x14ac:dyDescent="0.3">
      <c r="A8949" t="s">
        <v>25</v>
      </c>
      <c r="B8949" t="s">
        <v>308</v>
      </c>
      <c r="C8949">
        <v>10</v>
      </c>
      <c r="D8949" t="s">
        <v>1028</v>
      </c>
      <c r="E8949" t="s">
        <v>664</v>
      </c>
      <c r="F8949" t="s">
        <v>297</v>
      </c>
      <c r="G8949" t="s">
        <v>734</v>
      </c>
      <c r="H8949" t="s">
        <v>674</v>
      </c>
      <c r="I8949" t="s">
        <v>664</v>
      </c>
      <c r="J8949" t="s">
        <v>734</v>
      </c>
      <c r="K8949" t="s">
        <v>943</v>
      </c>
      <c r="L8949" t="s">
        <v>458</v>
      </c>
      <c r="M8949" t="s">
        <v>101</v>
      </c>
    </row>
    <row r="8950" spans="1:13" x14ac:dyDescent="0.3">
      <c r="A8950" t="s">
        <v>26</v>
      </c>
      <c r="B8950" t="s">
        <v>311</v>
      </c>
      <c r="C8950">
        <v>343</v>
      </c>
      <c r="D8950" t="s">
        <v>250</v>
      </c>
      <c r="E8950" t="s">
        <v>505</v>
      </c>
      <c r="F8950" t="s">
        <v>930</v>
      </c>
      <c r="G8950" t="s">
        <v>352</v>
      </c>
      <c r="H8950" t="s">
        <v>515</v>
      </c>
      <c r="I8950" t="s">
        <v>481</v>
      </c>
      <c r="J8950" t="s">
        <v>551</v>
      </c>
      <c r="K8950" t="s">
        <v>729</v>
      </c>
      <c r="L8950" t="s">
        <v>126</v>
      </c>
      <c r="M8950" t="s">
        <v>583</v>
      </c>
    </row>
    <row r="8951" spans="1:13" x14ac:dyDescent="0.3">
      <c r="A8951" t="s">
        <v>26</v>
      </c>
      <c r="B8951" t="s">
        <v>312</v>
      </c>
      <c r="C8951">
        <v>96</v>
      </c>
      <c r="D8951" t="s">
        <v>574</v>
      </c>
      <c r="E8951" t="s">
        <v>820</v>
      </c>
      <c r="F8951" t="s">
        <v>545</v>
      </c>
      <c r="G8951" t="s">
        <v>1227</v>
      </c>
      <c r="H8951" t="s">
        <v>485</v>
      </c>
      <c r="I8951" t="s">
        <v>695</v>
      </c>
      <c r="J8951" t="s">
        <v>1226</v>
      </c>
      <c r="K8951" t="s">
        <v>1070</v>
      </c>
      <c r="L8951" t="s">
        <v>662</v>
      </c>
      <c r="M8951" t="s">
        <v>930</v>
      </c>
    </row>
    <row r="8952" spans="1:13" x14ac:dyDescent="0.3">
      <c r="A8952" t="s">
        <v>26</v>
      </c>
      <c r="B8952" t="s">
        <v>308</v>
      </c>
      <c r="C8952">
        <v>38</v>
      </c>
      <c r="D8952" t="s">
        <v>509</v>
      </c>
      <c r="E8952" t="s">
        <v>234</v>
      </c>
      <c r="F8952" t="s">
        <v>393</v>
      </c>
      <c r="G8952" t="s">
        <v>819</v>
      </c>
      <c r="H8952" t="s">
        <v>164</v>
      </c>
      <c r="I8952" t="s">
        <v>268</v>
      </c>
      <c r="J8952" t="s">
        <v>829</v>
      </c>
      <c r="K8952" t="s">
        <v>1426</v>
      </c>
      <c r="L8952" t="s">
        <v>33</v>
      </c>
      <c r="M8952" t="s">
        <v>132</v>
      </c>
    </row>
    <row r="8953" spans="1:13" x14ac:dyDescent="0.3">
      <c r="A8953" t="s">
        <v>29</v>
      </c>
      <c r="B8953" t="s">
        <v>311</v>
      </c>
      <c r="C8953">
        <v>414</v>
      </c>
      <c r="D8953" t="s">
        <v>577</v>
      </c>
      <c r="E8953" t="s">
        <v>142</v>
      </c>
      <c r="F8953" t="s">
        <v>456</v>
      </c>
      <c r="G8953" t="s">
        <v>256</v>
      </c>
      <c r="H8953" t="s">
        <v>157</v>
      </c>
      <c r="I8953" t="s">
        <v>743</v>
      </c>
      <c r="J8953" t="s">
        <v>254</v>
      </c>
      <c r="K8953" t="s">
        <v>515</v>
      </c>
      <c r="L8953" t="s">
        <v>575</v>
      </c>
      <c r="M8953" t="s">
        <v>540</v>
      </c>
    </row>
    <row r="8954" spans="1:13" x14ac:dyDescent="0.3">
      <c r="A8954" t="s">
        <v>29</v>
      </c>
      <c r="B8954" t="s">
        <v>312</v>
      </c>
      <c r="C8954">
        <v>103</v>
      </c>
      <c r="D8954" t="s">
        <v>578</v>
      </c>
      <c r="E8954" t="s">
        <v>130</v>
      </c>
      <c r="F8954" t="s">
        <v>106</v>
      </c>
      <c r="G8954" t="s">
        <v>472</v>
      </c>
      <c r="H8954" t="s">
        <v>111</v>
      </c>
      <c r="I8954" t="s">
        <v>495</v>
      </c>
      <c r="J8954" t="s">
        <v>135</v>
      </c>
      <c r="K8954" t="s">
        <v>54</v>
      </c>
      <c r="L8954" t="s">
        <v>607</v>
      </c>
      <c r="M8954" t="s">
        <v>371</v>
      </c>
    </row>
    <row r="8955" spans="1:13" x14ac:dyDescent="0.3">
      <c r="A8955" t="s">
        <v>29</v>
      </c>
      <c r="B8955" t="s">
        <v>308</v>
      </c>
      <c r="C8955">
        <v>13</v>
      </c>
      <c r="D8955" t="s">
        <v>99</v>
      </c>
      <c r="E8955" t="s">
        <v>254</v>
      </c>
      <c r="F8955" t="s">
        <v>402</v>
      </c>
      <c r="G8955" t="s">
        <v>132</v>
      </c>
      <c r="H8955" t="s">
        <v>482</v>
      </c>
      <c r="I8955" t="s">
        <v>99</v>
      </c>
      <c r="J8955" t="s">
        <v>103</v>
      </c>
      <c r="K8955" t="s">
        <v>900</v>
      </c>
      <c r="L8955" t="s">
        <v>103</v>
      </c>
      <c r="M8955" t="s">
        <v>678</v>
      </c>
    </row>
    <row r="8956" spans="1:13" x14ac:dyDescent="0.3">
      <c r="A8956" t="s">
        <v>28</v>
      </c>
      <c r="B8956" t="s">
        <v>311</v>
      </c>
      <c r="C8956">
        <v>223</v>
      </c>
      <c r="D8956" t="s">
        <v>1060</v>
      </c>
      <c r="E8956" t="s">
        <v>501</v>
      </c>
      <c r="F8956" t="s">
        <v>422</v>
      </c>
      <c r="G8956" t="s">
        <v>934</v>
      </c>
      <c r="H8956" t="s">
        <v>655</v>
      </c>
      <c r="I8956" t="s">
        <v>1229</v>
      </c>
      <c r="J8956" t="s">
        <v>376</v>
      </c>
      <c r="K8956" t="s">
        <v>350</v>
      </c>
      <c r="L8956" t="s">
        <v>124</v>
      </c>
      <c r="M8956" t="s">
        <v>138</v>
      </c>
    </row>
    <row r="8957" spans="1:13" x14ac:dyDescent="0.3">
      <c r="A8957" t="s">
        <v>28</v>
      </c>
      <c r="B8957" t="s">
        <v>312</v>
      </c>
      <c r="C8957">
        <v>93</v>
      </c>
      <c r="D8957" t="s">
        <v>421</v>
      </c>
      <c r="E8957" t="s">
        <v>376</v>
      </c>
      <c r="F8957" t="s">
        <v>1251</v>
      </c>
      <c r="G8957" t="s">
        <v>1401</v>
      </c>
      <c r="H8957" t="s">
        <v>619</v>
      </c>
      <c r="I8957" t="s">
        <v>729</v>
      </c>
      <c r="J8957" t="s">
        <v>1050</v>
      </c>
      <c r="K8957" t="s">
        <v>1064</v>
      </c>
      <c r="L8957" t="s">
        <v>272</v>
      </c>
      <c r="M8957" t="s">
        <v>504</v>
      </c>
    </row>
    <row r="8958" spans="1:13" x14ac:dyDescent="0.3">
      <c r="A8958" t="s">
        <v>28</v>
      </c>
      <c r="B8958" t="s">
        <v>308</v>
      </c>
      <c r="C8958">
        <v>1</v>
      </c>
      <c r="D8958" t="s">
        <v>192</v>
      </c>
      <c r="E8958" t="s">
        <v>192</v>
      </c>
      <c r="F8958" t="s">
        <v>192</v>
      </c>
      <c r="G8958" t="s">
        <v>192</v>
      </c>
      <c r="H8958" t="s">
        <v>192</v>
      </c>
      <c r="I8958" t="s">
        <v>192</v>
      </c>
      <c r="J8958" t="s">
        <v>192</v>
      </c>
      <c r="K8958" t="s">
        <v>192</v>
      </c>
      <c r="L8958" t="s">
        <v>103</v>
      </c>
      <c r="M8958" t="s">
        <v>103</v>
      </c>
    </row>
    <row r="8959" spans="1:13" x14ac:dyDescent="0.3">
      <c r="A8959" t="s">
        <v>27</v>
      </c>
      <c r="B8959" t="s">
        <v>311</v>
      </c>
      <c r="C8959">
        <v>237</v>
      </c>
      <c r="D8959" t="s">
        <v>644</v>
      </c>
      <c r="E8959" t="s">
        <v>493</v>
      </c>
      <c r="F8959" t="s">
        <v>829</v>
      </c>
      <c r="G8959" t="s">
        <v>278</v>
      </c>
      <c r="H8959" t="s">
        <v>345</v>
      </c>
      <c r="I8959" t="s">
        <v>208</v>
      </c>
      <c r="J8959" t="s">
        <v>122</v>
      </c>
      <c r="K8959" t="s">
        <v>104</v>
      </c>
      <c r="L8959" t="s">
        <v>615</v>
      </c>
      <c r="M8959" t="s">
        <v>1245</v>
      </c>
    </row>
    <row r="8960" spans="1:13" x14ac:dyDescent="0.3">
      <c r="A8960" t="s">
        <v>27</v>
      </c>
      <c r="B8960" t="s">
        <v>312</v>
      </c>
      <c r="C8960">
        <v>60</v>
      </c>
      <c r="D8960" t="s">
        <v>805</v>
      </c>
      <c r="E8960" t="s">
        <v>466</v>
      </c>
      <c r="F8960" t="s">
        <v>505</v>
      </c>
      <c r="G8960" t="s">
        <v>460</v>
      </c>
      <c r="H8960" t="s">
        <v>466</v>
      </c>
      <c r="I8960" t="s">
        <v>466</v>
      </c>
      <c r="J8960" t="s">
        <v>466</v>
      </c>
      <c r="K8960" t="s">
        <v>152</v>
      </c>
      <c r="L8960" t="s">
        <v>114</v>
      </c>
      <c r="M8960" t="s">
        <v>1439</v>
      </c>
    </row>
    <row r="8961" spans="1:13" x14ac:dyDescent="0.3">
      <c r="A8961" t="s">
        <v>27</v>
      </c>
      <c r="B8961" t="s">
        <v>308</v>
      </c>
      <c r="C8961">
        <v>3</v>
      </c>
      <c r="D8961" t="s">
        <v>943</v>
      </c>
      <c r="E8961" t="s">
        <v>103</v>
      </c>
      <c r="F8961" t="s">
        <v>943</v>
      </c>
      <c r="G8961" t="s">
        <v>119</v>
      </c>
      <c r="H8961" t="s">
        <v>103</v>
      </c>
      <c r="I8961" t="s">
        <v>103</v>
      </c>
      <c r="J8961" t="s">
        <v>103</v>
      </c>
      <c r="K8961" t="s">
        <v>943</v>
      </c>
      <c r="L8961" t="s">
        <v>103</v>
      </c>
      <c r="M8961" t="s">
        <v>527</v>
      </c>
    </row>
    <row r="8962" spans="1:13" x14ac:dyDescent="0.3">
      <c r="A8962" t="s">
        <v>41</v>
      </c>
      <c r="B8962" t="s">
        <v>311</v>
      </c>
      <c r="C8962">
        <v>1541</v>
      </c>
      <c r="D8962" t="s">
        <v>1204</v>
      </c>
      <c r="E8962" t="s">
        <v>646</v>
      </c>
      <c r="F8962" t="s">
        <v>352</v>
      </c>
      <c r="G8962" t="s">
        <v>477</v>
      </c>
      <c r="H8962" t="s">
        <v>550</v>
      </c>
      <c r="I8962" t="s">
        <v>687</v>
      </c>
      <c r="J8962" t="s">
        <v>106</v>
      </c>
      <c r="K8962" t="s">
        <v>461</v>
      </c>
      <c r="L8962" t="s">
        <v>571</v>
      </c>
      <c r="M8962" t="s">
        <v>420</v>
      </c>
    </row>
    <row r="8963" spans="1:13" x14ac:dyDescent="0.3">
      <c r="A8963" t="s">
        <v>41</v>
      </c>
      <c r="B8963" t="s">
        <v>312</v>
      </c>
      <c r="C8963">
        <v>432</v>
      </c>
      <c r="D8963" t="s">
        <v>295</v>
      </c>
      <c r="E8963" t="s">
        <v>756</v>
      </c>
      <c r="F8963" t="s">
        <v>503</v>
      </c>
      <c r="G8963" t="s">
        <v>1143</v>
      </c>
      <c r="H8963" t="s">
        <v>228</v>
      </c>
      <c r="I8963" t="s">
        <v>479</v>
      </c>
      <c r="J8963" t="s">
        <v>56</v>
      </c>
      <c r="K8963" t="s">
        <v>457</v>
      </c>
      <c r="L8963" t="s">
        <v>460</v>
      </c>
      <c r="M8963" t="s">
        <v>1555</v>
      </c>
    </row>
    <row r="8964" spans="1:13" x14ac:dyDescent="0.3">
      <c r="A8964" t="s">
        <v>41</v>
      </c>
      <c r="B8964" t="s">
        <v>308</v>
      </c>
      <c r="C8964">
        <v>65</v>
      </c>
      <c r="D8964" t="s">
        <v>455</v>
      </c>
      <c r="E8964" t="s">
        <v>577</v>
      </c>
      <c r="F8964" t="s">
        <v>545</v>
      </c>
      <c r="G8964" t="s">
        <v>142</v>
      </c>
      <c r="H8964" t="s">
        <v>528</v>
      </c>
      <c r="I8964" t="s">
        <v>526</v>
      </c>
      <c r="J8964" t="s">
        <v>700</v>
      </c>
      <c r="K8964" t="s">
        <v>353</v>
      </c>
      <c r="L8964" t="s">
        <v>737</v>
      </c>
      <c r="M8964" t="s">
        <v>553</v>
      </c>
    </row>
    <row r="8966" spans="1:13" x14ac:dyDescent="0.3">
      <c r="A8966" t="s">
        <v>2479</v>
      </c>
    </row>
    <row r="8967" spans="1:13" x14ac:dyDescent="0.3">
      <c r="A8967" t="s">
        <v>36</v>
      </c>
      <c r="B8967" t="s">
        <v>197</v>
      </c>
      <c r="C8967" t="s">
        <v>24</v>
      </c>
      <c r="D8967" t="s">
        <v>2468</v>
      </c>
      <c r="E8967" t="s">
        <v>2469</v>
      </c>
      <c r="F8967" t="s">
        <v>2470</v>
      </c>
      <c r="G8967" t="s">
        <v>2471</v>
      </c>
      <c r="H8967" t="s">
        <v>2472</v>
      </c>
      <c r="I8967" t="s">
        <v>2473</v>
      </c>
      <c r="J8967" t="s">
        <v>2474</v>
      </c>
      <c r="K8967" t="s">
        <v>2475</v>
      </c>
      <c r="L8967" t="s">
        <v>2476</v>
      </c>
      <c r="M8967" t="s">
        <v>87</v>
      </c>
    </row>
    <row r="8968" spans="1:13" x14ac:dyDescent="0.3">
      <c r="A8968" t="s">
        <v>25</v>
      </c>
      <c r="B8968" t="s">
        <v>198</v>
      </c>
      <c r="C8968">
        <v>104</v>
      </c>
      <c r="D8968" t="s">
        <v>52</v>
      </c>
      <c r="E8968" t="s">
        <v>809</v>
      </c>
      <c r="F8968" t="s">
        <v>456</v>
      </c>
      <c r="G8968" t="s">
        <v>1083</v>
      </c>
      <c r="H8968" t="s">
        <v>734</v>
      </c>
      <c r="I8968" t="s">
        <v>695</v>
      </c>
      <c r="J8968" t="s">
        <v>578</v>
      </c>
      <c r="K8968" t="s">
        <v>906</v>
      </c>
      <c r="L8968" t="s">
        <v>393</v>
      </c>
      <c r="M8968" t="s">
        <v>550</v>
      </c>
    </row>
    <row r="8969" spans="1:13" x14ac:dyDescent="0.3">
      <c r="A8969" t="s">
        <v>25</v>
      </c>
      <c r="B8969" t="s">
        <v>199</v>
      </c>
      <c r="C8969">
        <v>310</v>
      </c>
      <c r="D8969" t="s">
        <v>34</v>
      </c>
      <c r="E8969" t="s">
        <v>299</v>
      </c>
      <c r="F8969" t="s">
        <v>1295</v>
      </c>
      <c r="G8969" t="s">
        <v>393</v>
      </c>
      <c r="H8969" t="s">
        <v>1204</v>
      </c>
      <c r="I8969" t="s">
        <v>402</v>
      </c>
      <c r="J8969" t="s">
        <v>1204</v>
      </c>
      <c r="K8969" t="s">
        <v>1197</v>
      </c>
      <c r="L8969" t="s">
        <v>531</v>
      </c>
      <c r="M8969" t="s">
        <v>455</v>
      </c>
    </row>
    <row r="8970" spans="1:13" x14ac:dyDescent="0.3">
      <c r="A8970" t="s">
        <v>26</v>
      </c>
      <c r="B8970" t="s">
        <v>198</v>
      </c>
      <c r="C8970">
        <v>41</v>
      </c>
      <c r="D8970" t="s">
        <v>547</v>
      </c>
      <c r="E8970" t="s">
        <v>579</v>
      </c>
      <c r="F8970" t="s">
        <v>1545</v>
      </c>
      <c r="G8970" t="s">
        <v>1081</v>
      </c>
      <c r="H8970" t="s">
        <v>469</v>
      </c>
      <c r="I8970" t="s">
        <v>157</v>
      </c>
      <c r="J8970" t="s">
        <v>743</v>
      </c>
      <c r="K8970" t="s">
        <v>236</v>
      </c>
      <c r="L8970" t="s">
        <v>272</v>
      </c>
      <c r="M8970" t="s">
        <v>1229</v>
      </c>
    </row>
    <row r="8971" spans="1:13" x14ac:dyDescent="0.3">
      <c r="A8971" t="s">
        <v>26</v>
      </c>
      <c r="B8971" t="s">
        <v>199</v>
      </c>
      <c r="C8971">
        <v>436</v>
      </c>
      <c r="D8971" t="s">
        <v>685</v>
      </c>
      <c r="E8971" t="s">
        <v>671</v>
      </c>
      <c r="F8971" t="s">
        <v>375</v>
      </c>
      <c r="G8971" t="s">
        <v>1014</v>
      </c>
      <c r="H8971" t="s">
        <v>687</v>
      </c>
      <c r="I8971" t="s">
        <v>566</v>
      </c>
      <c r="J8971" t="s">
        <v>681</v>
      </c>
      <c r="K8971" t="s">
        <v>373</v>
      </c>
      <c r="L8971" t="s">
        <v>494</v>
      </c>
      <c r="M8971" t="s">
        <v>1014</v>
      </c>
    </row>
    <row r="8972" spans="1:13" x14ac:dyDescent="0.3">
      <c r="A8972" t="s">
        <v>29</v>
      </c>
      <c r="B8972" t="s">
        <v>198</v>
      </c>
      <c r="C8972">
        <v>170</v>
      </c>
      <c r="D8972" t="s">
        <v>552</v>
      </c>
      <c r="E8972" t="s">
        <v>470</v>
      </c>
      <c r="F8972" t="s">
        <v>686</v>
      </c>
      <c r="G8972" t="s">
        <v>514</v>
      </c>
      <c r="H8972" t="s">
        <v>269</v>
      </c>
      <c r="I8972" t="s">
        <v>131</v>
      </c>
      <c r="J8972" t="s">
        <v>601</v>
      </c>
      <c r="K8972" t="s">
        <v>485</v>
      </c>
      <c r="L8972" t="s">
        <v>463</v>
      </c>
      <c r="M8972" t="s">
        <v>1007</v>
      </c>
    </row>
    <row r="8973" spans="1:13" x14ac:dyDescent="0.3">
      <c r="A8973" t="s">
        <v>29</v>
      </c>
      <c r="B8973" t="s">
        <v>199</v>
      </c>
      <c r="C8973">
        <v>360</v>
      </c>
      <c r="D8973" t="s">
        <v>650</v>
      </c>
      <c r="E8973" t="s">
        <v>551</v>
      </c>
      <c r="F8973" t="s">
        <v>648</v>
      </c>
      <c r="G8973" t="s">
        <v>580</v>
      </c>
      <c r="H8973" t="s">
        <v>743</v>
      </c>
      <c r="I8973" t="s">
        <v>157</v>
      </c>
      <c r="J8973" t="s">
        <v>254</v>
      </c>
      <c r="K8973" t="s">
        <v>528</v>
      </c>
      <c r="L8973" t="s">
        <v>662</v>
      </c>
      <c r="M8973" t="s">
        <v>1250</v>
      </c>
    </row>
    <row r="8974" spans="1:13" x14ac:dyDescent="0.3">
      <c r="A8974" t="s">
        <v>28</v>
      </c>
      <c r="B8974" t="s">
        <v>198</v>
      </c>
      <c r="C8974">
        <v>70</v>
      </c>
      <c r="D8974" t="s">
        <v>816</v>
      </c>
      <c r="E8974" t="s">
        <v>674</v>
      </c>
      <c r="F8974" t="s">
        <v>498</v>
      </c>
      <c r="G8974" t="s">
        <v>109</v>
      </c>
      <c r="H8974" t="s">
        <v>935</v>
      </c>
      <c r="I8974" t="s">
        <v>935</v>
      </c>
      <c r="J8974" t="s">
        <v>457</v>
      </c>
      <c r="K8974" t="s">
        <v>561</v>
      </c>
      <c r="L8974" t="s">
        <v>99</v>
      </c>
      <c r="M8974" t="s">
        <v>425</v>
      </c>
    </row>
    <row r="8975" spans="1:13" x14ac:dyDescent="0.3">
      <c r="A8975" t="s">
        <v>28</v>
      </c>
      <c r="B8975" t="s">
        <v>199</v>
      </c>
      <c r="C8975">
        <v>247</v>
      </c>
      <c r="D8975" t="s">
        <v>413</v>
      </c>
      <c r="E8975" t="s">
        <v>293</v>
      </c>
      <c r="F8975" t="s">
        <v>1549</v>
      </c>
      <c r="G8975" t="s">
        <v>415</v>
      </c>
      <c r="H8975" t="s">
        <v>498</v>
      </c>
      <c r="I8975" t="s">
        <v>562</v>
      </c>
      <c r="J8975" t="s">
        <v>1057</v>
      </c>
      <c r="K8975" t="s">
        <v>1577</v>
      </c>
      <c r="L8975" t="s">
        <v>278</v>
      </c>
      <c r="M8975" t="s">
        <v>650</v>
      </c>
    </row>
    <row r="8976" spans="1:13" x14ac:dyDescent="0.3">
      <c r="A8976" t="s">
        <v>27</v>
      </c>
      <c r="B8976" t="s">
        <v>198</v>
      </c>
      <c r="C8976">
        <v>136</v>
      </c>
      <c r="D8976" t="s">
        <v>506</v>
      </c>
      <c r="E8976" t="s">
        <v>103</v>
      </c>
      <c r="F8976" t="s">
        <v>819</v>
      </c>
      <c r="G8976" t="s">
        <v>64</v>
      </c>
      <c r="H8976" t="s">
        <v>103</v>
      </c>
      <c r="I8976" t="s">
        <v>103</v>
      </c>
      <c r="J8976" t="s">
        <v>103</v>
      </c>
      <c r="K8976" t="s">
        <v>649</v>
      </c>
      <c r="L8976" t="s">
        <v>511</v>
      </c>
      <c r="M8976" t="s">
        <v>1170</v>
      </c>
    </row>
    <row r="8977" spans="1:13" x14ac:dyDescent="0.3">
      <c r="A8977" t="s">
        <v>27</v>
      </c>
      <c r="B8977" t="s">
        <v>199</v>
      </c>
      <c r="C8977">
        <v>164</v>
      </c>
      <c r="D8977" t="s">
        <v>651</v>
      </c>
      <c r="E8977" t="s">
        <v>242</v>
      </c>
      <c r="F8977" t="s">
        <v>486</v>
      </c>
      <c r="G8977" t="s">
        <v>242</v>
      </c>
      <c r="H8977" t="s">
        <v>188</v>
      </c>
      <c r="I8977" t="s">
        <v>281</v>
      </c>
      <c r="J8977" t="s">
        <v>266</v>
      </c>
      <c r="K8977" t="s">
        <v>171</v>
      </c>
      <c r="L8977" t="s">
        <v>93</v>
      </c>
      <c r="M8977" t="s">
        <v>406</v>
      </c>
    </row>
    <row r="8978" spans="1:13" x14ac:dyDescent="0.3">
      <c r="A8978" t="s">
        <v>41</v>
      </c>
      <c r="B8978" t="s">
        <v>198</v>
      </c>
      <c r="C8978">
        <v>521</v>
      </c>
      <c r="D8978" t="s">
        <v>667</v>
      </c>
      <c r="E8978" t="s">
        <v>528</v>
      </c>
      <c r="F8978" t="s">
        <v>234</v>
      </c>
      <c r="G8978" t="s">
        <v>155</v>
      </c>
      <c r="H8978" t="s">
        <v>244</v>
      </c>
      <c r="I8978" t="s">
        <v>495</v>
      </c>
      <c r="J8978" t="s">
        <v>269</v>
      </c>
      <c r="K8978" t="s">
        <v>695</v>
      </c>
      <c r="L8978" t="s">
        <v>475</v>
      </c>
      <c r="M8978" t="s">
        <v>659</v>
      </c>
    </row>
    <row r="8979" spans="1:13" x14ac:dyDescent="0.3">
      <c r="A8979" t="s">
        <v>41</v>
      </c>
      <c r="B8979" t="s">
        <v>199</v>
      </c>
      <c r="C8979">
        <v>1517</v>
      </c>
      <c r="D8979" t="s">
        <v>559</v>
      </c>
      <c r="E8979" t="s">
        <v>875</v>
      </c>
      <c r="F8979" t="s">
        <v>367</v>
      </c>
      <c r="G8979" t="s">
        <v>1227</v>
      </c>
      <c r="H8979" t="s">
        <v>819</v>
      </c>
      <c r="I8979" t="s">
        <v>228</v>
      </c>
      <c r="J8979" t="s">
        <v>46</v>
      </c>
      <c r="K8979" t="s">
        <v>534</v>
      </c>
      <c r="L8979" t="s">
        <v>531</v>
      </c>
      <c r="M8979" t="s">
        <v>396</v>
      </c>
    </row>
    <row r="8981" spans="1:13" x14ac:dyDescent="0.3">
      <c r="A8981" t="s">
        <v>2480</v>
      </c>
    </row>
    <row r="8982" spans="1:13" x14ac:dyDescent="0.3">
      <c r="A8982" t="s">
        <v>36</v>
      </c>
      <c r="B8982" t="s">
        <v>1647</v>
      </c>
      <c r="C8982" t="s">
        <v>24</v>
      </c>
      <c r="D8982" t="s">
        <v>2468</v>
      </c>
      <c r="E8982" t="s">
        <v>2469</v>
      </c>
      <c r="F8982" t="s">
        <v>2470</v>
      </c>
      <c r="G8982" t="s">
        <v>2471</v>
      </c>
      <c r="H8982" t="s">
        <v>2472</v>
      </c>
      <c r="I8982" t="s">
        <v>2473</v>
      </c>
      <c r="J8982" t="s">
        <v>2474</v>
      </c>
      <c r="K8982" t="s">
        <v>2475</v>
      </c>
      <c r="L8982" t="s">
        <v>2476</v>
      </c>
      <c r="M8982" t="s">
        <v>87</v>
      </c>
    </row>
    <row r="8983" spans="1:13" x14ac:dyDescent="0.3">
      <c r="A8983" t="s">
        <v>25</v>
      </c>
      <c r="B8983" t="s">
        <v>1648</v>
      </c>
      <c r="C8983">
        <v>143</v>
      </c>
      <c r="D8983" t="s">
        <v>663</v>
      </c>
      <c r="E8983" t="s">
        <v>626</v>
      </c>
      <c r="F8983" t="s">
        <v>369</v>
      </c>
      <c r="G8983" t="s">
        <v>499</v>
      </c>
      <c r="H8983" t="s">
        <v>875</v>
      </c>
      <c r="I8983" t="s">
        <v>746</v>
      </c>
      <c r="J8983" t="s">
        <v>409</v>
      </c>
      <c r="K8983" t="s">
        <v>109</v>
      </c>
      <c r="L8983" t="s">
        <v>925</v>
      </c>
      <c r="M8983" t="s">
        <v>484</v>
      </c>
    </row>
    <row r="8984" spans="1:13" x14ac:dyDescent="0.3">
      <c r="A8984" t="s">
        <v>25</v>
      </c>
      <c r="B8984" t="s">
        <v>1649</v>
      </c>
      <c r="C8984">
        <v>271</v>
      </c>
      <c r="D8984" t="s">
        <v>1210</v>
      </c>
      <c r="E8984" t="s">
        <v>510</v>
      </c>
      <c r="F8984" t="s">
        <v>1579</v>
      </c>
      <c r="G8984" t="s">
        <v>560</v>
      </c>
      <c r="H8984" t="s">
        <v>534</v>
      </c>
      <c r="I8984" t="s">
        <v>382</v>
      </c>
      <c r="J8984" t="s">
        <v>1090</v>
      </c>
      <c r="K8984" t="s">
        <v>627</v>
      </c>
      <c r="L8984" t="s">
        <v>271</v>
      </c>
      <c r="M8984" t="s">
        <v>542</v>
      </c>
    </row>
    <row r="8985" spans="1:13" x14ac:dyDescent="0.3">
      <c r="A8985" t="s">
        <v>26</v>
      </c>
      <c r="B8985" t="s">
        <v>1648</v>
      </c>
      <c r="C8985">
        <v>153</v>
      </c>
      <c r="D8985" t="s">
        <v>530</v>
      </c>
      <c r="E8985" t="s">
        <v>788</v>
      </c>
      <c r="F8985" t="s">
        <v>1257</v>
      </c>
      <c r="G8985" t="s">
        <v>299</v>
      </c>
      <c r="H8985" t="s">
        <v>555</v>
      </c>
      <c r="I8985" t="s">
        <v>92</v>
      </c>
      <c r="J8985" t="s">
        <v>554</v>
      </c>
      <c r="K8985" t="s">
        <v>1028</v>
      </c>
      <c r="L8985" t="s">
        <v>594</v>
      </c>
      <c r="M8985" t="s">
        <v>574</v>
      </c>
    </row>
    <row r="8986" spans="1:13" x14ac:dyDescent="0.3">
      <c r="A8986" t="s">
        <v>26</v>
      </c>
      <c r="B8986" t="s">
        <v>1649</v>
      </c>
      <c r="C8986">
        <v>324</v>
      </c>
      <c r="D8986" t="s">
        <v>520</v>
      </c>
      <c r="E8986" t="s">
        <v>697</v>
      </c>
      <c r="F8986" t="s">
        <v>1637</v>
      </c>
      <c r="G8986" t="s">
        <v>559</v>
      </c>
      <c r="H8986" t="s">
        <v>750</v>
      </c>
      <c r="I8986" t="s">
        <v>925</v>
      </c>
      <c r="J8986" t="s">
        <v>551</v>
      </c>
      <c r="K8986" t="s">
        <v>666</v>
      </c>
      <c r="L8986" t="s">
        <v>575</v>
      </c>
      <c r="M8986" t="s">
        <v>499</v>
      </c>
    </row>
    <row r="8987" spans="1:13" x14ac:dyDescent="0.3">
      <c r="A8987" t="s">
        <v>29</v>
      </c>
      <c r="B8987" t="s">
        <v>1648</v>
      </c>
      <c r="C8987">
        <v>252</v>
      </c>
      <c r="D8987" t="s">
        <v>261</v>
      </c>
      <c r="E8987" t="s">
        <v>1083</v>
      </c>
      <c r="F8987" t="s">
        <v>429</v>
      </c>
      <c r="G8987" t="s">
        <v>483</v>
      </c>
      <c r="H8987" t="s">
        <v>152</v>
      </c>
      <c r="I8987" t="s">
        <v>566</v>
      </c>
      <c r="J8987" t="s">
        <v>247</v>
      </c>
      <c r="K8987" t="s">
        <v>756</v>
      </c>
      <c r="L8987" t="s">
        <v>108</v>
      </c>
      <c r="M8987" t="s">
        <v>404</v>
      </c>
    </row>
    <row r="8988" spans="1:13" x14ac:dyDescent="0.3">
      <c r="A8988" t="s">
        <v>29</v>
      </c>
      <c r="B8988" t="s">
        <v>1649</v>
      </c>
      <c r="C8988">
        <v>278</v>
      </c>
      <c r="D8988" t="s">
        <v>506</v>
      </c>
      <c r="E8988" t="s">
        <v>115</v>
      </c>
      <c r="F8988" t="s">
        <v>520</v>
      </c>
      <c r="G8988" t="s">
        <v>506</v>
      </c>
      <c r="H8988" t="s">
        <v>269</v>
      </c>
      <c r="I8988" t="s">
        <v>136</v>
      </c>
      <c r="J8988" t="s">
        <v>224</v>
      </c>
      <c r="K8988" t="s">
        <v>536</v>
      </c>
      <c r="L8988" t="s">
        <v>511</v>
      </c>
      <c r="M8988" t="s">
        <v>993</v>
      </c>
    </row>
    <row r="8989" spans="1:13" x14ac:dyDescent="0.3">
      <c r="A8989" t="s">
        <v>28</v>
      </c>
      <c r="B8989" t="s">
        <v>1648</v>
      </c>
      <c r="C8989">
        <v>77</v>
      </c>
      <c r="D8989" t="s">
        <v>1418</v>
      </c>
      <c r="E8989" t="s">
        <v>422</v>
      </c>
      <c r="F8989" t="s">
        <v>722</v>
      </c>
      <c r="G8989" t="s">
        <v>1577</v>
      </c>
      <c r="H8989" t="s">
        <v>527</v>
      </c>
      <c r="I8989" t="s">
        <v>423</v>
      </c>
      <c r="J8989" t="s">
        <v>1579</v>
      </c>
      <c r="K8989" t="s">
        <v>372</v>
      </c>
      <c r="L8989" t="s">
        <v>232</v>
      </c>
      <c r="M8989" t="s">
        <v>1084</v>
      </c>
    </row>
    <row r="8990" spans="1:13" x14ac:dyDescent="0.3">
      <c r="A8990" t="s">
        <v>28</v>
      </c>
      <c r="B8990" t="s">
        <v>1649</v>
      </c>
      <c r="C8990">
        <v>240</v>
      </c>
      <c r="D8990" t="s">
        <v>492</v>
      </c>
      <c r="E8990" t="s">
        <v>1196</v>
      </c>
      <c r="F8990" t="s">
        <v>838</v>
      </c>
      <c r="G8990" t="s">
        <v>442</v>
      </c>
      <c r="H8990" t="s">
        <v>561</v>
      </c>
      <c r="I8990" t="s">
        <v>440</v>
      </c>
      <c r="J8990" t="s">
        <v>129</v>
      </c>
      <c r="K8990" t="s">
        <v>442</v>
      </c>
      <c r="L8990" t="s">
        <v>594</v>
      </c>
      <c r="M8990" t="s">
        <v>938</v>
      </c>
    </row>
    <row r="8991" spans="1:13" x14ac:dyDescent="0.3">
      <c r="A8991" t="s">
        <v>27</v>
      </c>
      <c r="B8991" t="s">
        <v>1648</v>
      </c>
      <c r="C8991">
        <v>64</v>
      </c>
      <c r="D8991" t="s">
        <v>685</v>
      </c>
      <c r="E8991" t="s">
        <v>99</v>
      </c>
      <c r="F8991" t="s">
        <v>975</v>
      </c>
      <c r="G8991" t="s">
        <v>515</v>
      </c>
      <c r="H8991" t="s">
        <v>93</v>
      </c>
      <c r="I8991" t="s">
        <v>125</v>
      </c>
      <c r="J8991" t="s">
        <v>93</v>
      </c>
      <c r="K8991" t="s">
        <v>495</v>
      </c>
      <c r="L8991" t="s">
        <v>601</v>
      </c>
      <c r="M8991" t="s">
        <v>432</v>
      </c>
    </row>
    <row r="8992" spans="1:13" x14ac:dyDescent="0.3">
      <c r="A8992" t="s">
        <v>27</v>
      </c>
      <c r="B8992" t="s">
        <v>1649</v>
      </c>
      <c r="C8992">
        <v>236</v>
      </c>
      <c r="D8992" t="s">
        <v>697</v>
      </c>
      <c r="E8992" t="s">
        <v>118</v>
      </c>
      <c r="F8992" t="s">
        <v>550</v>
      </c>
      <c r="G8992" t="s">
        <v>128</v>
      </c>
      <c r="H8992" t="s">
        <v>341</v>
      </c>
      <c r="I8992" t="s">
        <v>128</v>
      </c>
      <c r="J8992" t="s">
        <v>345</v>
      </c>
      <c r="K8992" t="s">
        <v>123</v>
      </c>
      <c r="L8992" t="s">
        <v>195</v>
      </c>
      <c r="M8992" t="s">
        <v>434</v>
      </c>
    </row>
    <row r="8993" spans="1:14" x14ac:dyDescent="0.3">
      <c r="A8993" t="s">
        <v>41</v>
      </c>
      <c r="B8993" t="s">
        <v>1648</v>
      </c>
      <c r="C8993">
        <v>689</v>
      </c>
      <c r="D8993" t="s">
        <v>402</v>
      </c>
      <c r="E8993" t="s">
        <v>484</v>
      </c>
      <c r="F8993" t="s">
        <v>393</v>
      </c>
      <c r="G8993" t="s">
        <v>250</v>
      </c>
      <c r="H8993" t="s">
        <v>521</v>
      </c>
      <c r="I8993" t="s">
        <v>570</v>
      </c>
      <c r="J8993" t="s">
        <v>54</v>
      </c>
      <c r="K8993" t="s">
        <v>503</v>
      </c>
      <c r="L8993" t="s">
        <v>224</v>
      </c>
      <c r="M8993" t="s">
        <v>893</v>
      </c>
    </row>
    <row r="8994" spans="1:14" x14ac:dyDescent="0.3">
      <c r="A8994" t="s">
        <v>41</v>
      </c>
      <c r="B8994" t="s">
        <v>1649</v>
      </c>
      <c r="C8994">
        <v>1349</v>
      </c>
      <c r="D8994" t="s">
        <v>1203</v>
      </c>
      <c r="E8994" t="s">
        <v>732</v>
      </c>
      <c r="F8994" t="s">
        <v>1211</v>
      </c>
      <c r="G8994" t="s">
        <v>556</v>
      </c>
      <c r="H8994" t="s">
        <v>550</v>
      </c>
      <c r="I8994" t="s">
        <v>551</v>
      </c>
      <c r="J8994" t="s">
        <v>470</v>
      </c>
      <c r="K8994" t="s">
        <v>52</v>
      </c>
      <c r="L8994" t="s">
        <v>242</v>
      </c>
      <c r="M8994" t="s">
        <v>535</v>
      </c>
    </row>
    <row r="8996" spans="1:14" x14ac:dyDescent="0.3">
      <c r="A8996" t="s">
        <v>2481</v>
      </c>
    </row>
    <row r="8997" spans="1:14" x14ac:dyDescent="0.3">
      <c r="A8997" t="s">
        <v>36</v>
      </c>
      <c r="B8997" t="s">
        <v>24</v>
      </c>
      <c r="C8997" t="s">
        <v>2482</v>
      </c>
      <c r="D8997" t="s">
        <v>2483</v>
      </c>
      <c r="E8997" t="s">
        <v>2484</v>
      </c>
      <c r="F8997" t="s">
        <v>2485</v>
      </c>
      <c r="G8997" t="s">
        <v>2486</v>
      </c>
      <c r="H8997" t="s">
        <v>2487</v>
      </c>
      <c r="I8997" t="s">
        <v>2488</v>
      </c>
      <c r="J8997" t="s">
        <v>2489</v>
      </c>
      <c r="K8997" t="s">
        <v>2490</v>
      </c>
      <c r="L8997" t="s">
        <v>2491</v>
      </c>
      <c r="M8997" t="s">
        <v>2492</v>
      </c>
    </row>
    <row r="8998" spans="1:14" x14ac:dyDescent="0.3">
      <c r="A8998" t="s">
        <v>25</v>
      </c>
      <c r="B8998">
        <v>227</v>
      </c>
      <c r="C8998" t="s">
        <v>342</v>
      </c>
      <c r="D8998" t="s">
        <v>110</v>
      </c>
      <c r="E8998" t="s">
        <v>103</v>
      </c>
      <c r="F8998" t="s">
        <v>103</v>
      </c>
      <c r="G8998" t="s">
        <v>103</v>
      </c>
      <c r="H8998" t="s">
        <v>103</v>
      </c>
      <c r="I8998" t="s">
        <v>103</v>
      </c>
      <c r="J8998" t="s">
        <v>103</v>
      </c>
      <c r="K8998" t="s">
        <v>97</v>
      </c>
      <c r="L8998" t="s">
        <v>103</v>
      </c>
      <c r="M8998" t="s">
        <v>103</v>
      </c>
    </row>
    <row r="8999" spans="1:14" x14ac:dyDescent="0.3">
      <c r="A8999" t="s">
        <v>26</v>
      </c>
      <c r="B8999">
        <v>288</v>
      </c>
      <c r="C8999" t="s">
        <v>185</v>
      </c>
      <c r="D8999" t="s">
        <v>110</v>
      </c>
      <c r="E8999" t="s">
        <v>216</v>
      </c>
      <c r="F8999" t="s">
        <v>122</v>
      </c>
      <c r="G8999" t="s">
        <v>103</v>
      </c>
      <c r="H8999" t="s">
        <v>116</v>
      </c>
      <c r="I8999" t="s">
        <v>122</v>
      </c>
      <c r="J8999" t="s">
        <v>103</v>
      </c>
      <c r="K8999" t="s">
        <v>139</v>
      </c>
      <c r="L8999" t="s">
        <v>139</v>
      </c>
      <c r="M8999" t="s">
        <v>122</v>
      </c>
    </row>
    <row r="9000" spans="1:14" x14ac:dyDescent="0.3">
      <c r="A9000" t="s">
        <v>29</v>
      </c>
      <c r="B9000">
        <v>239</v>
      </c>
      <c r="C9000" t="s">
        <v>170</v>
      </c>
      <c r="D9000" t="s">
        <v>205</v>
      </c>
      <c r="E9000" t="s">
        <v>103</v>
      </c>
      <c r="F9000" t="s">
        <v>103</v>
      </c>
      <c r="G9000" t="s">
        <v>103</v>
      </c>
      <c r="H9000" t="s">
        <v>120</v>
      </c>
      <c r="I9000" t="s">
        <v>282</v>
      </c>
      <c r="J9000" t="s">
        <v>103</v>
      </c>
      <c r="K9000" t="s">
        <v>239</v>
      </c>
      <c r="L9000" t="s">
        <v>98</v>
      </c>
      <c r="M9000" t="s">
        <v>122</v>
      </c>
    </row>
    <row r="9001" spans="1:14" x14ac:dyDescent="0.3">
      <c r="A9001" t="s">
        <v>28</v>
      </c>
      <c r="B9001">
        <v>200</v>
      </c>
      <c r="C9001" t="s">
        <v>323</v>
      </c>
      <c r="D9001" t="s">
        <v>103</v>
      </c>
      <c r="E9001" t="s">
        <v>103</v>
      </c>
      <c r="F9001" t="s">
        <v>103</v>
      </c>
      <c r="G9001" t="s">
        <v>103</v>
      </c>
      <c r="H9001" t="s">
        <v>103</v>
      </c>
      <c r="I9001" t="s">
        <v>103</v>
      </c>
      <c r="J9001" t="s">
        <v>103</v>
      </c>
      <c r="K9001" t="s">
        <v>116</v>
      </c>
      <c r="L9001" t="s">
        <v>103</v>
      </c>
      <c r="M9001" t="s">
        <v>103</v>
      </c>
    </row>
    <row r="9002" spans="1:14" x14ac:dyDescent="0.3">
      <c r="A9002" t="s">
        <v>27</v>
      </c>
      <c r="B9002">
        <v>101</v>
      </c>
      <c r="C9002" t="s">
        <v>340</v>
      </c>
      <c r="D9002" t="s">
        <v>216</v>
      </c>
      <c r="E9002" t="s">
        <v>103</v>
      </c>
      <c r="F9002" t="s">
        <v>103</v>
      </c>
      <c r="G9002" t="s">
        <v>103</v>
      </c>
      <c r="H9002" t="s">
        <v>103</v>
      </c>
      <c r="I9002" t="s">
        <v>103</v>
      </c>
      <c r="J9002" t="s">
        <v>103</v>
      </c>
      <c r="K9002" t="s">
        <v>103</v>
      </c>
      <c r="L9002" t="s">
        <v>103</v>
      </c>
      <c r="M9002" t="s">
        <v>103</v>
      </c>
    </row>
    <row r="9003" spans="1:14" x14ac:dyDescent="0.3">
      <c r="A9003" t="s">
        <v>41</v>
      </c>
      <c r="B9003">
        <v>1055</v>
      </c>
      <c r="C9003" t="s">
        <v>288</v>
      </c>
      <c r="D9003" t="s">
        <v>186</v>
      </c>
      <c r="E9003" t="s">
        <v>122</v>
      </c>
      <c r="F9003" t="s">
        <v>91</v>
      </c>
      <c r="G9003" t="s">
        <v>103</v>
      </c>
      <c r="H9003" t="s">
        <v>116</v>
      </c>
      <c r="I9003" t="s">
        <v>97</v>
      </c>
      <c r="J9003" t="s">
        <v>103</v>
      </c>
      <c r="K9003" t="s">
        <v>282</v>
      </c>
      <c r="L9003" t="s">
        <v>120</v>
      </c>
      <c r="M9003" t="s">
        <v>116</v>
      </c>
    </row>
    <row r="9005" spans="1:14" x14ac:dyDescent="0.3">
      <c r="A9005" t="s">
        <v>2493</v>
      </c>
    </row>
    <row r="9006" spans="1:14" x14ac:dyDescent="0.3">
      <c r="A9006" t="s">
        <v>36</v>
      </c>
      <c r="B9006" t="s">
        <v>307</v>
      </c>
      <c r="C9006" t="s">
        <v>24</v>
      </c>
      <c r="D9006" t="s">
        <v>2482</v>
      </c>
      <c r="E9006" t="s">
        <v>2483</v>
      </c>
      <c r="F9006" t="s">
        <v>2484</v>
      </c>
      <c r="G9006" t="s">
        <v>2485</v>
      </c>
      <c r="H9006" t="s">
        <v>2486</v>
      </c>
      <c r="I9006" t="s">
        <v>2487</v>
      </c>
      <c r="J9006" t="s">
        <v>2488</v>
      </c>
      <c r="K9006" t="s">
        <v>2489</v>
      </c>
      <c r="L9006" t="s">
        <v>2490</v>
      </c>
      <c r="M9006" t="s">
        <v>2491</v>
      </c>
      <c r="N9006" t="s">
        <v>2492</v>
      </c>
    </row>
    <row r="9007" spans="1:14" x14ac:dyDescent="0.3">
      <c r="A9007" t="s">
        <v>25</v>
      </c>
      <c r="B9007" t="s">
        <v>291</v>
      </c>
      <c r="C9007">
        <v>82</v>
      </c>
      <c r="D9007" t="s">
        <v>192</v>
      </c>
      <c r="E9007" t="s">
        <v>103</v>
      </c>
      <c r="F9007" t="s">
        <v>103</v>
      </c>
      <c r="G9007" t="s">
        <v>103</v>
      </c>
      <c r="H9007" t="s">
        <v>103</v>
      </c>
      <c r="I9007" t="s">
        <v>103</v>
      </c>
      <c r="J9007" t="s">
        <v>103</v>
      </c>
      <c r="K9007" t="s">
        <v>103</v>
      </c>
      <c r="L9007" t="s">
        <v>103</v>
      </c>
      <c r="M9007" t="s">
        <v>103</v>
      </c>
      <c r="N9007" t="s">
        <v>103</v>
      </c>
    </row>
    <row r="9008" spans="1:14" x14ac:dyDescent="0.3">
      <c r="A9008" t="s">
        <v>25</v>
      </c>
      <c r="B9008" t="s">
        <v>292</v>
      </c>
      <c r="C9008">
        <v>143</v>
      </c>
      <c r="D9008" t="s">
        <v>837</v>
      </c>
      <c r="E9008" t="s">
        <v>93</v>
      </c>
      <c r="F9008" t="s">
        <v>103</v>
      </c>
      <c r="G9008" t="s">
        <v>103</v>
      </c>
      <c r="H9008" t="s">
        <v>103</v>
      </c>
      <c r="I9008" t="s">
        <v>103</v>
      </c>
      <c r="J9008" t="s">
        <v>103</v>
      </c>
      <c r="K9008" t="s">
        <v>103</v>
      </c>
      <c r="L9008" t="s">
        <v>139</v>
      </c>
      <c r="M9008" t="s">
        <v>103</v>
      </c>
      <c r="N9008" t="s">
        <v>103</v>
      </c>
    </row>
    <row r="9009" spans="1:14" x14ac:dyDescent="0.3">
      <c r="A9009" t="s">
        <v>25</v>
      </c>
      <c r="B9009" t="s">
        <v>308</v>
      </c>
      <c r="C9009">
        <v>2</v>
      </c>
      <c r="D9009" t="s">
        <v>192</v>
      </c>
      <c r="E9009" t="s">
        <v>103</v>
      </c>
      <c r="F9009" t="s">
        <v>103</v>
      </c>
      <c r="G9009" t="s">
        <v>103</v>
      </c>
      <c r="H9009" t="s">
        <v>103</v>
      </c>
      <c r="I9009" t="s">
        <v>103</v>
      </c>
      <c r="J9009" t="s">
        <v>103</v>
      </c>
      <c r="K9009" t="s">
        <v>103</v>
      </c>
      <c r="L9009" t="s">
        <v>103</v>
      </c>
      <c r="M9009" t="s">
        <v>103</v>
      </c>
      <c r="N9009" t="s">
        <v>103</v>
      </c>
    </row>
    <row r="9010" spans="1:14" x14ac:dyDescent="0.3">
      <c r="A9010" t="s">
        <v>26</v>
      </c>
      <c r="B9010" t="s">
        <v>291</v>
      </c>
      <c r="C9010">
        <v>72</v>
      </c>
      <c r="D9010" t="s">
        <v>192</v>
      </c>
      <c r="E9010" t="s">
        <v>103</v>
      </c>
      <c r="F9010" t="s">
        <v>103</v>
      </c>
      <c r="G9010" t="s">
        <v>103</v>
      </c>
      <c r="H9010" t="s">
        <v>103</v>
      </c>
      <c r="I9010" t="s">
        <v>103</v>
      </c>
      <c r="J9010" t="s">
        <v>103</v>
      </c>
      <c r="K9010" t="s">
        <v>103</v>
      </c>
      <c r="L9010" t="s">
        <v>103</v>
      </c>
      <c r="M9010" t="s">
        <v>103</v>
      </c>
      <c r="N9010" t="s">
        <v>103</v>
      </c>
    </row>
    <row r="9011" spans="1:14" x14ac:dyDescent="0.3">
      <c r="A9011" t="s">
        <v>26</v>
      </c>
      <c r="B9011" t="s">
        <v>292</v>
      </c>
      <c r="C9011">
        <v>214</v>
      </c>
      <c r="D9011" t="s">
        <v>611</v>
      </c>
      <c r="E9011" t="s">
        <v>208</v>
      </c>
      <c r="F9011" t="s">
        <v>93</v>
      </c>
      <c r="G9011" t="s">
        <v>97</v>
      </c>
      <c r="H9011" t="s">
        <v>103</v>
      </c>
      <c r="I9011" t="s">
        <v>122</v>
      </c>
      <c r="J9011" t="s">
        <v>97</v>
      </c>
      <c r="K9011" t="s">
        <v>103</v>
      </c>
      <c r="L9011" t="s">
        <v>282</v>
      </c>
      <c r="M9011" t="s">
        <v>345</v>
      </c>
      <c r="N9011" t="s">
        <v>97</v>
      </c>
    </row>
    <row r="9012" spans="1:14" x14ac:dyDescent="0.3">
      <c r="A9012" t="s">
        <v>26</v>
      </c>
      <c r="B9012" t="s">
        <v>308</v>
      </c>
      <c r="C9012">
        <v>2</v>
      </c>
      <c r="D9012" t="s">
        <v>192</v>
      </c>
      <c r="E9012" t="s">
        <v>103</v>
      </c>
      <c r="F9012" t="s">
        <v>103</v>
      </c>
      <c r="G9012" t="s">
        <v>103</v>
      </c>
      <c r="H9012" t="s">
        <v>103</v>
      </c>
      <c r="I9012" t="s">
        <v>103</v>
      </c>
      <c r="J9012" t="s">
        <v>103</v>
      </c>
      <c r="K9012" t="s">
        <v>103</v>
      </c>
      <c r="L9012" t="s">
        <v>103</v>
      </c>
      <c r="M9012" t="s">
        <v>103</v>
      </c>
      <c r="N9012" t="s">
        <v>103</v>
      </c>
    </row>
    <row r="9013" spans="1:14" x14ac:dyDescent="0.3">
      <c r="A9013" t="s">
        <v>29</v>
      </c>
      <c r="B9013" t="s">
        <v>291</v>
      </c>
      <c r="C9013">
        <v>76</v>
      </c>
      <c r="D9013" t="s">
        <v>880</v>
      </c>
      <c r="E9013" t="s">
        <v>257</v>
      </c>
      <c r="F9013" t="s">
        <v>103</v>
      </c>
      <c r="G9013" t="s">
        <v>103</v>
      </c>
      <c r="H9013" t="s">
        <v>103</v>
      </c>
      <c r="I9013" t="s">
        <v>103</v>
      </c>
      <c r="J9013" t="s">
        <v>103</v>
      </c>
      <c r="K9013" t="s">
        <v>103</v>
      </c>
      <c r="L9013" t="s">
        <v>103</v>
      </c>
      <c r="M9013" t="s">
        <v>103</v>
      </c>
      <c r="N9013" t="s">
        <v>103</v>
      </c>
    </row>
    <row r="9014" spans="1:14" x14ac:dyDescent="0.3">
      <c r="A9014" t="s">
        <v>29</v>
      </c>
      <c r="B9014" t="s">
        <v>292</v>
      </c>
      <c r="C9014">
        <v>163</v>
      </c>
      <c r="D9014" t="s">
        <v>984</v>
      </c>
      <c r="E9014" t="s">
        <v>169</v>
      </c>
      <c r="F9014" t="s">
        <v>103</v>
      </c>
      <c r="G9014" t="s">
        <v>103</v>
      </c>
      <c r="H9014" t="s">
        <v>103</v>
      </c>
      <c r="I9014" t="s">
        <v>139</v>
      </c>
      <c r="J9014" t="s">
        <v>110</v>
      </c>
      <c r="K9014" t="s">
        <v>103</v>
      </c>
      <c r="L9014" t="s">
        <v>93</v>
      </c>
      <c r="M9014" t="s">
        <v>194</v>
      </c>
      <c r="N9014" t="s">
        <v>120</v>
      </c>
    </row>
    <row r="9015" spans="1:14" x14ac:dyDescent="0.3">
      <c r="A9015" t="s">
        <v>28</v>
      </c>
      <c r="B9015" t="s">
        <v>291</v>
      </c>
      <c r="C9015">
        <v>58</v>
      </c>
      <c r="D9015" t="s">
        <v>954</v>
      </c>
      <c r="E9015" t="s">
        <v>103</v>
      </c>
      <c r="F9015" t="s">
        <v>103</v>
      </c>
      <c r="G9015" t="s">
        <v>103</v>
      </c>
      <c r="H9015" t="s">
        <v>103</v>
      </c>
      <c r="I9015" t="s">
        <v>103</v>
      </c>
      <c r="J9015" t="s">
        <v>103</v>
      </c>
      <c r="K9015" t="s">
        <v>103</v>
      </c>
      <c r="L9015" t="s">
        <v>468</v>
      </c>
      <c r="M9015" t="s">
        <v>103</v>
      </c>
      <c r="N9015" t="s">
        <v>103</v>
      </c>
    </row>
    <row r="9016" spans="1:14" x14ac:dyDescent="0.3">
      <c r="A9016" t="s">
        <v>28</v>
      </c>
      <c r="B9016" t="s">
        <v>292</v>
      </c>
      <c r="C9016">
        <v>136</v>
      </c>
      <c r="D9016" t="s">
        <v>192</v>
      </c>
      <c r="E9016" t="s">
        <v>103</v>
      </c>
      <c r="F9016" t="s">
        <v>103</v>
      </c>
      <c r="G9016" t="s">
        <v>103</v>
      </c>
      <c r="H9016" t="s">
        <v>103</v>
      </c>
      <c r="I9016" t="s">
        <v>103</v>
      </c>
      <c r="J9016" t="s">
        <v>103</v>
      </c>
      <c r="K9016" t="s">
        <v>103</v>
      </c>
      <c r="L9016" t="s">
        <v>103</v>
      </c>
      <c r="M9016" t="s">
        <v>103</v>
      </c>
      <c r="N9016" t="s">
        <v>103</v>
      </c>
    </row>
    <row r="9017" spans="1:14" x14ac:dyDescent="0.3">
      <c r="A9017" t="s">
        <v>28</v>
      </c>
      <c r="B9017" t="s">
        <v>308</v>
      </c>
      <c r="C9017">
        <v>6</v>
      </c>
      <c r="D9017" t="s">
        <v>192</v>
      </c>
      <c r="E9017" t="s">
        <v>103</v>
      </c>
      <c r="F9017" t="s">
        <v>103</v>
      </c>
      <c r="G9017" t="s">
        <v>103</v>
      </c>
      <c r="H9017" t="s">
        <v>103</v>
      </c>
      <c r="I9017" t="s">
        <v>103</v>
      </c>
      <c r="J9017" t="s">
        <v>103</v>
      </c>
      <c r="K9017" t="s">
        <v>103</v>
      </c>
      <c r="L9017" t="s">
        <v>103</v>
      </c>
      <c r="M9017" t="s">
        <v>103</v>
      </c>
      <c r="N9017" t="s">
        <v>103</v>
      </c>
    </row>
    <row r="9018" spans="1:14" s="3" customFormat="1" x14ac:dyDescent="0.3">
      <c r="A9018" s="3" t="s">
        <v>27</v>
      </c>
      <c r="B9018" s="3" t="s">
        <v>291</v>
      </c>
      <c r="C9018" s="3">
        <v>24</v>
      </c>
      <c r="D9018" s="3" t="s">
        <v>855</v>
      </c>
      <c r="E9018" s="3" t="s">
        <v>94</v>
      </c>
      <c r="F9018" s="3" t="s">
        <v>103</v>
      </c>
      <c r="G9018" s="3" t="s">
        <v>103</v>
      </c>
      <c r="H9018" s="3" t="s">
        <v>103</v>
      </c>
      <c r="I9018" s="3" t="s">
        <v>103</v>
      </c>
      <c r="J9018" s="3" t="s">
        <v>103</v>
      </c>
      <c r="K9018" s="3" t="s">
        <v>103</v>
      </c>
      <c r="L9018" s="3" t="s">
        <v>103</v>
      </c>
      <c r="M9018" s="3" t="s">
        <v>103</v>
      </c>
      <c r="N9018" s="3" t="s">
        <v>103</v>
      </c>
    </row>
    <row r="9019" spans="1:14" x14ac:dyDescent="0.3">
      <c r="A9019" t="s">
        <v>27</v>
      </c>
      <c r="B9019" t="s">
        <v>292</v>
      </c>
      <c r="C9019">
        <v>77</v>
      </c>
      <c r="D9019" t="s">
        <v>343</v>
      </c>
      <c r="E9019" t="s">
        <v>120</v>
      </c>
      <c r="F9019" t="s">
        <v>103</v>
      </c>
      <c r="G9019" t="s">
        <v>103</v>
      </c>
      <c r="H9019" t="s">
        <v>103</v>
      </c>
      <c r="I9019" t="s">
        <v>103</v>
      </c>
      <c r="J9019" t="s">
        <v>103</v>
      </c>
      <c r="K9019" t="s">
        <v>103</v>
      </c>
      <c r="L9019" t="s">
        <v>103</v>
      </c>
      <c r="M9019" t="s">
        <v>103</v>
      </c>
      <c r="N9019" t="s">
        <v>103</v>
      </c>
    </row>
    <row r="9020" spans="1:14" x14ac:dyDescent="0.3">
      <c r="A9020" t="s">
        <v>41</v>
      </c>
      <c r="B9020" t="s">
        <v>291</v>
      </c>
      <c r="C9020">
        <v>312</v>
      </c>
      <c r="D9020" t="s">
        <v>954</v>
      </c>
      <c r="E9020" t="s">
        <v>468</v>
      </c>
      <c r="F9020" t="s">
        <v>103</v>
      </c>
      <c r="G9020" t="s">
        <v>103</v>
      </c>
      <c r="H9020" t="s">
        <v>103</v>
      </c>
      <c r="I9020" t="s">
        <v>103</v>
      </c>
      <c r="J9020" t="s">
        <v>103</v>
      </c>
      <c r="K9020" t="s">
        <v>103</v>
      </c>
      <c r="L9020" t="s">
        <v>91</v>
      </c>
      <c r="M9020" t="s">
        <v>103</v>
      </c>
      <c r="N9020" t="s">
        <v>103</v>
      </c>
    </row>
    <row r="9021" spans="1:14" x14ac:dyDescent="0.3">
      <c r="A9021" t="s">
        <v>41</v>
      </c>
      <c r="B9021" t="s">
        <v>292</v>
      </c>
      <c r="C9021">
        <v>733</v>
      </c>
      <c r="D9021" t="s">
        <v>1177</v>
      </c>
      <c r="E9021" t="s">
        <v>133</v>
      </c>
      <c r="F9021" t="s">
        <v>120</v>
      </c>
      <c r="G9021" t="s">
        <v>66</v>
      </c>
      <c r="H9021" t="s">
        <v>103</v>
      </c>
      <c r="I9021" t="s">
        <v>122</v>
      </c>
      <c r="J9021" t="s">
        <v>95</v>
      </c>
      <c r="K9021" t="s">
        <v>103</v>
      </c>
      <c r="L9021" t="s">
        <v>110</v>
      </c>
      <c r="M9021" t="s">
        <v>98</v>
      </c>
      <c r="N9021" t="s">
        <v>122</v>
      </c>
    </row>
    <row r="9022" spans="1:14" x14ac:dyDescent="0.3">
      <c r="A9022" t="s">
        <v>41</v>
      </c>
      <c r="B9022" t="s">
        <v>308</v>
      </c>
      <c r="C9022">
        <v>10</v>
      </c>
      <c r="D9022" t="s">
        <v>192</v>
      </c>
      <c r="E9022" t="s">
        <v>103</v>
      </c>
      <c r="F9022" t="s">
        <v>103</v>
      </c>
      <c r="G9022" t="s">
        <v>103</v>
      </c>
      <c r="H9022" t="s">
        <v>103</v>
      </c>
      <c r="I9022" t="s">
        <v>103</v>
      </c>
      <c r="J9022" t="s">
        <v>103</v>
      </c>
      <c r="K9022" t="s">
        <v>103</v>
      </c>
      <c r="L9022" t="s">
        <v>103</v>
      </c>
      <c r="M9022" t="s">
        <v>103</v>
      </c>
      <c r="N9022" t="s">
        <v>103</v>
      </c>
    </row>
    <row r="9024" spans="1:14" x14ac:dyDescent="0.3">
      <c r="A9024" t="s">
        <v>2494</v>
      </c>
    </row>
    <row r="9025" spans="1:14" x14ac:dyDescent="0.3">
      <c r="A9025" t="s">
        <v>36</v>
      </c>
      <c r="B9025" t="s">
        <v>310</v>
      </c>
      <c r="C9025" t="s">
        <v>24</v>
      </c>
      <c r="D9025" t="s">
        <v>2482</v>
      </c>
      <c r="E9025" t="s">
        <v>2483</v>
      </c>
      <c r="F9025" t="s">
        <v>2484</v>
      </c>
      <c r="G9025" t="s">
        <v>2485</v>
      </c>
      <c r="H9025" t="s">
        <v>2486</v>
      </c>
      <c r="I9025" t="s">
        <v>2487</v>
      </c>
      <c r="J9025" t="s">
        <v>2488</v>
      </c>
      <c r="K9025" t="s">
        <v>2489</v>
      </c>
      <c r="L9025" t="s">
        <v>2490</v>
      </c>
      <c r="M9025" t="s">
        <v>2491</v>
      </c>
      <c r="N9025" t="s">
        <v>2492</v>
      </c>
    </row>
    <row r="9026" spans="1:14" x14ac:dyDescent="0.3">
      <c r="A9026" t="s">
        <v>25</v>
      </c>
      <c r="B9026" t="s">
        <v>311</v>
      </c>
      <c r="C9026">
        <v>185</v>
      </c>
      <c r="D9026" t="s">
        <v>852</v>
      </c>
      <c r="E9026" t="s">
        <v>245</v>
      </c>
      <c r="F9026" t="s">
        <v>103</v>
      </c>
      <c r="G9026" t="s">
        <v>103</v>
      </c>
      <c r="H9026" t="s">
        <v>103</v>
      </c>
      <c r="I9026" t="s">
        <v>103</v>
      </c>
      <c r="J9026" t="s">
        <v>103</v>
      </c>
      <c r="K9026" t="s">
        <v>103</v>
      </c>
      <c r="L9026" t="s">
        <v>120</v>
      </c>
      <c r="M9026" t="s">
        <v>103</v>
      </c>
      <c r="N9026" t="s">
        <v>103</v>
      </c>
    </row>
    <row r="9027" spans="1:14" x14ac:dyDescent="0.3">
      <c r="A9027" t="s">
        <v>25</v>
      </c>
      <c r="B9027" t="s">
        <v>312</v>
      </c>
      <c r="C9027">
        <v>35</v>
      </c>
      <c r="D9027" t="s">
        <v>192</v>
      </c>
      <c r="E9027" t="s">
        <v>103</v>
      </c>
      <c r="F9027" t="s">
        <v>103</v>
      </c>
      <c r="G9027" t="s">
        <v>103</v>
      </c>
      <c r="H9027" t="s">
        <v>103</v>
      </c>
      <c r="I9027" t="s">
        <v>103</v>
      </c>
      <c r="J9027" t="s">
        <v>103</v>
      </c>
      <c r="K9027" t="s">
        <v>103</v>
      </c>
      <c r="L9027" t="s">
        <v>103</v>
      </c>
      <c r="M9027" t="s">
        <v>103</v>
      </c>
      <c r="N9027" t="s">
        <v>103</v>
      </c>
    </row>
    <row r="9028" spans="1:14" x14ac:dyDescent="0.3">
      <c r="A9028" t="s">
        <v>25</v>
      </c>
      <c r="B9028" t="s">
        <v>308</v>
      </c>
      <c r="C9028">
        <v>7</v>
      </c>
      <c r="D9028" t="s">
        <v>192</v>
      </c>
      <c r="E9028" t="s">
        <v>103</v>
      </c>
      <c r="F9028" t="s">
        <v>103</v>
      </c>
      <c r="G9028" t="s">
        <v>103</v>
      </c>
      <c r="H9028" t="s">
        <v>103</v>
      </c>
      <c r="I9028" t="s">
        <v>103</v>
      </c>
      <c r="J9028" t="s">
        <v>103</v>
      </c>
      <c r="K9028" t="s">
        <v>103</v>
      </c>
      <c r="L9028" t="s">
        <v>103</v>
      </c>
      <c r="M9028" t="s">
        <v>103</v>
      </c>
      <c r="N9028" t="s">
        <v>103</v>
      </c>
    </row>
    <row r="9029" spans="1:14" x14ac:dyDescent="0.3">
      <c r="A9029" t="s">
        <v>26</v>
      </c>
      <c r="B9029" t="s">
        <v>311</v>
      </c>
      <c r="C9029">
        <v>209</v>
      </c>
      <c r="D9029" t="s">
        <v>981</v>
      </c>
      <c r="E9029" t="s">
        <v>341</v>
      </c>
      <c r="F9029" t="s">
        <v>93</v>
      </c>
      <c r="G9029" t="s">
        <v>97</v>
      </c>
      <c r="H9029" t="s">
        <v>103</v>
      </c>
      <c r="I9029" t="s">
        <v>122</v>
      </c>
      <c r="J9029" t="s">
        <v>97</v>
      </c>
      <c r="K9029" t="s">
        <v>103</v>
      </c>
      <c r="L9029" t="s">
        <v>97</v>
      </c>
      <c r="M9029" t="s">
        <v>97</v>
      </c>
      <c r="N9029" t="s">
        <v>97</v>
      </c>
    </row>
    <row r="9030" spans="1:14" x14ac:dyDescent="0.3">
      <c r="A9030" t="s">
        <v>26</v>
      </c>
      <c r="B9030" t="s">
        <v>312</v>
      </c>
      <c r="C9030">
        <v>50</v>
      </c>
      <c r="D9030" t="s">
        <v>768</v>
      </c>
      <c r="E9030" t="s">
        <v>103</v>
      </c>
      <c r="F9030" t="s">
        <v>103</v>
      </c>
      <c r="G9030" t="s">
        <v>103</v>
      </c>
      <c r="H9030" t="s">
        <v>103</v>
      </c>
      <c r="I9030" t="s">
        <v>103</v>
      </c>
      <c r="J9030" t="s">
        <v>103</v>
      </c>
      <c r="K9030" t="s">
        <v>103</v>
      </c>
      <c r="L9030" t="s">
        <v>217</v>
      </c>
      <c r="M9030" t="s">
        <v>103</v>
      </c>
      <c r="N9030" t="s">
        <v>103</v>
      </c>
    </row>
    <row r="9031" spans="1:14" x14ac:dyDescent="0.3">
      <c r="A9031" t="s">
        <v>26</v>
      </c>
      <c r="B9031" t="s">
        <v>308</v>
      </c>
      <c r="C9031">
        <v>29</v>
      </c>
      <c r="D9031" t="s">
        <v>286</v>
      </c>
      <c r="E9031" t="s">
        <v>103</v>
      </c>
      <c r="F9031" t="s">
        <v>103</v>
      </c>
      <c r="G9031" t="s">
        <v>103</v>
      </c>
      <c r="H9031" t="s">
        <v>103</v>
      </c>
      <c r="I9031" t="s">
        <v>103</v>
      </c>
      <c r="J9031" t="s">
        <v>103</v>
      </c>
      <c r="K9031" t="s">
        <v>103</v>
      </c>
      <c r="L9031" t="s">
        <v>103</v>
      </c>
      <c r="M9031" t="s">
        <v>493</v>
      </c>
      <c r="N9031" t="s">
        <v>103</v>
      </c>
    </row>
    <row r="9032" spans="1:14" x14ac:dyDescent="0.3">
      <c r="A9032" t="s">
        <v>29</v>
      </c>
      <c r="B9032" t="s">
        <v>311</v>
      </c>
      <c r="C9032">
        <v>203</v>
      </c>
      <c r="D9032" t="s">
        <v>759</v>
      </c>
      <c r="E9032" t="s">
        <v>482</v>
      </c>
      <c r="F9032" t="s">
        <v>103</v>
      </c>
      <c r="G9032" t="s">
        <v>103</v>
      </c>
      <c r="H9032" t="s">
        <v>103</v>
      </c>
      <c r="I9032" t="s">
        <v>95</v>
      </c>
      <c r="J9032" t="s">
        <v>345</v>
      </c>
      <c r="K9032" t="s">
        <v>103</v>
      </c>
      <c r="L9032" t="s">
        <v>282</v>
      </c>
      <c r="M9032" t="s">
        <v>91</v>
      </c>
      <c r="N9032" t="s">
        <v>103</v>
      </c>
    </row>
    <row r="9033" spans="1:14" x14ac:dyDescent="0.3">
      <c r="A9033" t="s">
        <v>29</v>
      </c>
      <c r="B9033" t="s">
        <v>312</v>
      </c>
      <c r="C9033">
        <v>32</v>
      </c>
      <c r="D9033" t="s">
        <v>605</v>
      </c>
      <c r="E9033" t="s">
        <v>195</v>
      </c>
      <c r="F9033" t="s">
        <v>103</v>
      </c>
      <c r="G9033" t="s">
        <v>103</v>
      </c>
      <c r="H9033" t="s">
        <v>103</v>
      </c>
      <c r="I9033" t="s">
        <v>103</v>
      </c>
      <c r="J9033" t="s">
        <v>103</v>
      </c>
      <c r="K9033" t="s">
        <v>103</v>
      </c>
      <c r="L9033" t="s">
        <v>615</v>
      </c>
      <c r="M9033" t="s">
        <v>531</v>
      </c>
      <c r="N9033" t="s">
        <v>68</v>
      </c>
    </row>
    <row r="9034" spans="1:14" x14ac:dyDescent="0.3">
      <c r="A9034" t="s">
        <v>29</v>
      </c>
      <c r="B9034" t="s">
        <v>308</v>
      </c>
      <c r="C9034">
        <v>4</v>
      </c>
      <c r="D9034" t="s">
        <v>192</v>
      </c>
      <c r="E9034" t="s">
        <v>103</v>
      </c>
      <c r="F9034" t="s">
        <v>103</v>
      </c>
      <c r="G9034" t="s">
        <v>103</v>
      </c>
      <c r="H9034" t="s">
        <v>103</v>
      </c>
      <c r="I9034" t="s">
        <v>103</v>
      </c>
      <c r="J9034" t="s">
        <v>103</v>
      </c>
      <c r="K9034" t="s">
        <v>103</v>
      </c>
      <c r="L9034" t="s">
        <v>103</v>
      </c>
      <c r="M9034" t="s">
        <v>103</v>
      </c>
      <c r="N9034" t="s">
        <v>103</v>
      </c>
    </row>
    <row r="9035" spans="1:14" x14ac:dyDescent="0.3">
      <c r="A9035" t="s">
        <v>28</v>
      </c>
      <c r="B9035" t="s">
        <v>311</v>
      </c>
      <c r="C9035">
        <v>135</v>
      </c>
      <c r="D9035" t="s">
        <v>321</v>
      </c>
      <c r="E9035" t="s">
        <v>103</v>
      </c>
      <c r="F9035" t="s">
        <v>103</v>
      </c>
      <c r="G9035" t="s">
        <v>103</v>
      </c>
      <c r="H9035" t="s">
        <v>103</v>
      </c>
      <c r="I9035" t="s">
        <v>103</v>
      </c>
      <c r="J9035" t="s">
        <v>103</v>
      </c>
      <c r="K9035" t="s">
        <v>103</v>
      </c>
      <c r="L9035" t="s">
        <v>97</v>
      </c>
      <c r="M9035" t="s">
        <v>103</v>
      </c>
      <c r="N9035" t="s">
        <v>103</v>
      </c>
    </row>
    <row r="9036" spans="1:14" x14ac:dyDescent="0.3">
      <c r="A9036" t="s">
        <v>28</v>
      </c>
      <c r="B9036" t="s">
        <v>312</v>
      </c>
      <c r="C9036">
        <v>64</v>
      </c>
      <c r="D9036" t="s">
        <v>192</v>
      </c>
      <c r="E9036" t="s">
        <v>103</v>
      </c>
      <c r="F9036" t="s">
        <v>103</v>
      </c>
      <c r="G9036" t="s">
        <v>103</v>
      </c>
      <c r="H9036" t="s">
        <v>103</v>
      </c>
      <c r="I9036" t="s">
        <v>103</v>
      </c>
      <c r="J9036" t="s">
        <v>103</v>
      </c>
      <c r="K9036" t="s">
        <v>103</v>
      </c>
      <c r="L9036" t="s">
        <v>103</v>
      </c>
      <c r="M9036" t="s">
        <v>103</v>
      </c>
      <c r="N9036" t="s">
        <v>103</v>
      </c>
    </row>
    <row r="9037" spans="1:14" x14ac:dyDescent="0.3">
      <c r="A9037" t="s">
        <v>28</v>
      </c>
      <c r="B9037" t="s">
        <v>308</v>
      </c>
      <c r="C9037">
        <v>1</v>
      </c>
      <c r="D9037" t="s">
        <v>192</v>
      </c>
      <c r="E9037" t="s">
        <v>103</v>
      </c>
      <c r="F9037" t="s">
        <v>103</v>
      </c>
      <c r="G9037" t="s">
        <v>103</v>
      </c>
      <c r="H9037" t="s">
        <v>103</v>
      </c>
      <c r="I9037" t="s">
        <v>103</v>
      </c>
      <c r="J9037" t="s">
        <v>103</v>
      </c>
      <c r="K9037" t="s">
        <v>103</v>
      </c>
      <c r="L9037" t="s">
        <v>103</v>
      </c>
      <c r="M9037" t="s">
        <v>103</v>
      </c>
      <c r="N9037" t="s">
        <v>103</v>
      </c>
    </row>
    <row r="9038" spans="1:14" x14ac:dyDescent="0.3">
      <c r="A9038" t="s">
        <v>27</v>
      </c>
      <c r="B9038" t="s">
        <v>311</v>
      </c>
      <c r="C9038">
        <v>82</v>
      </c>
      <c r="D9038" t="s">
        <v>342</v>
      </c>
      <c r="E9038" t="s">
        <v>341</v>
      </c>
      <c r="F9038" t="s">
        <v>103</v>
      </c>
      <c r="G9038" t="s">
        <v>103</v>
      </c>
      <c r="H9038" t="s">
        <v>103</v>
      </c>
      <c r="I9038" t="s">
        <v>103</v>
      </c>
      <c r="J9038" t="s">
        <v>103</v>
      </c>
      <c r="K9038" t="s">
        <v>103</v>
      </c>
      <c r="L9038" t="s">
        <v>103</v>
      </c>
      <c r="M9038" t="s">
        <v>103</v>
      </c>
      <c r="N9038" t="s">
        <v>103</v>
      </c>
    </row>
    <row r="9039" spans="1:14" s="3" customFormat="1" x14ac:dyDescent="0.3">
      <c r="A9039" s="3" t="s">
        <v>27</v>
      </c>
      <c r="B9039" s="3" t="s">
        <v>312</v>
      </c>
      <c r="C9039" s="3">
        <v>17</v>
      </c>
      <c r="D9039" s="3" t="s">
        <v>192</v>
      </c>
      <c r="E9039" s="3" t="s">
        <v>103</v>
      </c>
      <c r="F9039" s="3" t="s">
        <v>103</v>
      </c>
      <c r="G9039" s="3" t="s">
        <v>103</v>
      </c>
      <c r="H9039" s="3" t="s">
        <v>103</v>
      </c>
      <c r="I9039" s="3" t="s">
        <v>103</v>
      </c>
      <c r="J9039" s="3" t="s">
        <v>103</v>
      </c>
      <c r="K9039" s="3" t="s">
        <v>103</v>
      </c>
      <c r="L9039" s="3" t="s">
        <v>103</v>
      </c>
      <c r="M9039" s="3" t="s">
        <v>103</v>
      </c>
      <c r="N9039" s="3" t="s">
        <v>103</v>
      </c>
    </row>
    <row r="9040" spans="1:14" x14ac:dyDescent="0.3">
      <c r="A9040" t="s">
        <v>27</v>
      </c>
      <c r="B9040" t="s">
        <v>308</v>
      </c>
      <c r="C9040">
        <v>2</v>
      </c>
      <c r="D9040" t="s">
        <v>192</v>
      </c>
      <c r="E9040" t="s">
        <v>103</v>
      </c>
      <c r="F9040" t="s">
        <v>103</v>
      </c>
      <c r="G9040" t="s">
        <v>103</v>
      </c>
      <c r="H9040" t="s">
        <v>103</v>
      </c>
      <c r="I9040" t="s">
        <v>103</v>
      </c>
      <c r="J9040" t="s">
        <v>103</v>
      </c>
      <c r="K9040" t="s">
        <v>103</v>
      </c>
      <c r="L9040" t="s">
        <v>103</v>
      </c>
      <c r="M9040" t="s">
        <v>103</v>
      </c>
      <c r="N9040" t="s">
        <v>103</v>
      </c>
    </row>
    <row r="9041" spans="1:14" x14ac:dyDescent="0.3">
      <c r="A9041" t="s">
        <v>41</v>
      </c>
      <c r="B9041" t="s">
        <v>311</v>
      </c>
      <c r="C9041">
        <v>814</v>
      </c>
      <c r="D9041" t="s">
        <v>633</v>
      </c>
      <c r="E9041" t="s">
        <v>33</v>
      </c>
      <c r="F9041" t="s">
        <v>97</v>
      </c>
      <c r="G9041" t="s">
        <v>91</v>
      </c>
      <c r="H9041" t="s">
        <v>103</v>
      </c>
      <c r="I9041" t="s">
        <v>122</v>
      </c>
      <c r="J9041" t="s">
        <v>120</v>
      </c>
      <c r="K9041" t="s">
        <v>103</v>
      </c>
      <c r="L9041" t="s">
        <v>139</v>
      </c>
      <c r="M9041" t="s">
        <v>66</v>
      </c>
      <c r="N9041" t="s">
        <v>91</v>
      </c>
    </row>
    <row r="9042" spans="1:14" x14ac:dyDescent="0.3">
      <c r="A9042" t="s">
        <v>41</v>
      </c>
      <c r="B9042" t="s">
        <v>312</v>
      </c>
      <c r="C9042">
        <v>198</v>
      </c>
      <c r="D9042" t="s">
        <v>288</v>
      </c>
      <c r="E9042" t="s">
        <v>468</v>
      </c>
      <c r="F9042" t="s">
        <v>103</v>
      </c>
      <c r="G9042" t="s">
        <v>103</v>
      </c>
      <c r="H9042" t="s">
        <v>103</v>
      </c>
      <c r="I9042" t="s">
        <v>103</v>
      </c>
      <c r="J9042" t="s">
        <v>103</v>
      </c>
      <c r="K9042" t="s">
        <v>103</v>
      </c>
      <c r="L9042" t="s">
        <v>118</v>
      </c>
      <c r="M9042" t="s">
        <v>128</v>
      </c>
      <c r="N9042" t="s">
        <v>468</v>
      </c>
    </row>
    <row r="9043" spans="1:14" x14ac:dyDescent="0.3">
      <c r="A9043" t="s">
        <v>41</v>
      </c>
      <c r="B9043" t="s">
        <v>308</v>
      </c>
      <c r="C9043">
        <v>43</v>
      </c>
      <c r="D9043" t="s">
        <v>880</v>
      </c>
      <c r="E9043" t="s">
        <v>103</v>
      </c>
      <c r="F9043" t="s">
        <v>103</v>
      </c>
      <c r="G9043" t="s">
        <v>103</v>
      </c>
      <c r="H9043" t="s">
        <v>103</v>
      </c>
      <c r="I9043" t="s">
        <v>103</v>
      </c>
      <c r="J9043" t="s">
        <v>103</v>
      </c>
      <c r="K9043" t="s">
        <v>103</v>
      </c>
      <c r="L9043" t="s">
        <v>103</v>
      </c>
      <c r="M9043" t="s">
        <v>257</v>
      </c>
      <c r="N9043" t="s">
        <v>103</v>
      </c>
    </row>
    <row r="9045" spans="1:14" x14ac:dyDescent="0.3">
      <c r="A9045" t="s">
        <v>2495</v>
      </c>
    </row>
    <row r="9046" spans="1:14" x14ac:dyDescent="0.3">
      <c r="A9046" t="s">
        <v>36</v>
      </c>
      <c r="B9046" t="s">
        <v>197</v>
      </c>
      <c r="C9046" t="s">
        <v>24</v>
      </c>
      <c r="D9046" t="s">
        <v>2482</v>
      </c>
      <c r="E9046" t="s">
        <v>2483</v>
      </c>
      <c r="F9046" t="s">
        <v>2484</v>
      </c>
      <c r="G9046" t="s">
        <v>2485</v>
      </c>
      <c r="H9046" t="s">
        <v>2486</v>
      </c>
      <c r="I9046" t="s">
        <v>2487</v>
      </c>
      <c r="J9046" t="s">
        <v>2488</v>
      </c>
      <c r="K9046" t="s">
        <v>2489</v>
      </c>
      <c r="L9046" t="s">
        <v>2490</v>
      </c>
      <c r="M9046" t="s">
        <v>2491</v>
      </c>
      <c r="N9046" t="s">
        <v>2492</v>
      </c>
    </row>
    <row r="9047" spans="1:14" x14ac:dyDescent="0.3">
      <c r="A9047" t="s">
        <v>25</v>
      </c>
      <c r="B9047" t="s">
        <v>198</v>
      </c>
      <c r="C9047">
        <v>46</v>
      </c>
      <c r="D9047" t="s">
        <v>837</v>
      </c>
      <c r="E9047" t="s">
        <v>195</v>
      </c>
      <c r="F9047" t="s">
        <v>103</v>
      </c>
      <c r="G9047" t="s">
        <v>103</v>
      </c>
      <c r="H9047" t="s">
        <v>103</v>
      </c>
      <c r="I9047" t="s">
        <v>103</v>
      </c>
      <c r="J9047" t="s">
        <v>103</v>
      </c>
      <c r="K9047" t="s">
        <v>103</v>
      </c>
      <c r="L9047" t="s">
        <v>103</v>
      </c>
      <c r="M9047" t="s">
        <v>103</v>
      </c>
      <c r="N9047" t="s">
        <v>103</v>
      </c>
    </row>
    <row r="9048" spans="1:14" x14ac:dyDescent="0.3">
      <c r="A9048" t="s">
        <v>25</v>
      </c>
      <c r="B9048" t="s">
        <v>199</v>
      </c>
      <c r="C9048">
        <v>181</v>
      </c>
      <c r="D9048" t="s">
        <v>1471</v>
      </c>
      <c r="E9048" t="s">
        <v>282</v>
      </c>
      <c r="F9048" t="s">
        <v>103</v>
      </c>
      <c r="G9048" t="s">
        <v>103</v>
      </c>
      <c r="H9048" t="s">
        <v>103</v>
      </c>
      <c r="I9048" t="s">
        <v>103</v>
      </c>
      <c r="J9048" t="s">
        <v>103</v>
      </c>
      <c r="K9048" t="s">
        <v>103</v>
      </c>
      <c r="L9048" t="s">
        <v>120</v>
      </c>
      <c r="M9048" t="s">
        <v>103</v>
      </c>
      <c r="N9048" t="s">
        <v>103</v>
      </c>
    </row>
    <row r="9049" spans="1:14" s="3" customFormat="1" x14ac:dyDescent="0.3">
      <c r="A9049" s="3" t="s">
        <v>26</v>
      </c>
      <c r="B9049" s="3" t="s">
        <v>198</v>
      </c>
      <c r="C9049" s="3">
        <v>22</v>
      </c>
      <c r="D9049" s="3" t="s">
        <v>192</v>
      </c>
      <c r="E9049" s="3" t="s">
        <v>103</v>
      </c>
      <c r="F9049" s="3" t="s">
        <v>103</v>
      </c>
      <c r="G9049" s="3" t="s">
        <v>103</v>
      </c>
      <c r="H9049" s="3" t="s">
        <v>103</v>
      </c>
      <c r="I9049" s="3" t="s">
        <v>103</v>
      </c>
      <c r="J9049" s="3" t="s">
        <v>103</v>
      </c>
      <c r="K9049" s="3" t="s">
        <v>103</v>
      </c>
      <c r="L9049" s="3" t="s">
        <v>103</v>
      </c>
      <c r="M9049" s="3" t="s">
        <v>103</v>
      </c>
      <c r="N9049" s="3" t="s">
        <v>103</v>
      </c>
    </row>
    <row r="9050" spans="1:14" x14ac:dyDescent="0.3">
      <c r="A9050" t="s">
        <v>26</v>
      </c>
      <c r="B9050" t="s">
        <v>199</v>
      </c>
      <c r="C9050">
        <v>266</v>
      </c>
      <c r="D9050" t="s">
        <v>200</v>
      </c>
      <c r="E9050" t="s">
        <v>239</v>
      </c>
      <c r="F9050" t="s">
        <v>245</v>
      </c>
      <c r="G9050" t="s">
        <v>122</v>
      </c>
      <c r="H9050" t="s">
        <v>103</v>
      </c>
      <c r="I9050" t="s">
        <v>116</v>
      </c>
      <c r="J9050" t="s">
        <v>122</v>
      </c>
      <c r="K9050" t="s">
        <v>103</v>
      </c>
      <c r="L9050" t="s">
        <v>139</v>
      </c>
      <c r="M9050" t="s">
        <v>139</v>
      </c>
      <c r="N9050" t="s">
        <v>122</v>
      </c>
    </row>
    <row r="9051" spans="1:14" x14ac:dyDescent="0.3">
      <c r="A9051" t="s">
        <v>29</v>
      </c>
      <c r="B9051" t="s">
        <v>198</v>
      </c>
      <c r="C9051">
        <v>74</v>
      </c>
      <c r="D9051" t="s">
        <v>869</v>
      </c>
      <c r="E9051" t="s">
        <v>615</v>
      </c>
      <c r="F9051" t="s">
        <v>103</v>
      </c>
      <c r="G9051" t="s">
        <v>103</v>
      </c>
      <c r="H9051" t="s">
        <v>103</v>
      </c>
      <c r="I9051" t="s">
        <v>103</v>
      </c>
      <c r="J9051" t="s">
        <v>103</v>
      </c>
      <c r="K9051" t="s">
        <v>103</v>
      </c>
      <c r="L9051" t="s">
        <v>68</v>
      </c>
      <c r="M9051" t="s">
        <v>103</v>
      </c>
      <c r="N9051" t="s">
        <v>103</v>
      </c>
    </row>
    <row r="9052" spans="1:14" x14ac:dyDescent="0.3">
      <c r="A9052" t="s">
        <v>29</v>
      </c>
      <c r="B9052" t="s">
        <v>199</v>
      </c>
      <c r="C9052">
        <v>165</v>
      </c>
      <c r="D9052" t="s">
        <v>613</v>
      </c>
      <c r="E9052" t="s">
        <v>649</v>
      </c>
      <c r="F9052" t="s">
        <v>103</v>
      </c>
      <c r="G9052" t="s">
        <v>103</v>
      </c>
      <c r="H9052" t="s">
        <v>103</v>
      </c>
      <c r="I9052" t="s">
        <v>139</v>
      </c>
      <c r="J9052" t="s">
        <v>110</v>
      </c>
      <c r="K9052" t="s">
        <v>103</v>
      </c>
      <c r="L9052" t="s">
        <v>95</v>
      </c>
      <c r="M9052" t="s">
        <v>194</v>
      </c>
      <c r="N9052" t="s">
        <v>120</v>
      </c>
    </row>
    <row r="9053" spans="1:14" s="3" customFormat="1" x14ac:dyDescent="0.3">
      <c r="A9053" s="3" t="s">
        <v>28</v>
      </c>
      <c r="B9053" s="3" t="s">
        <v>198</v>
      </c>
      <c r="C9053" s="3">
        <v>27</v>
      </c>
      <c r="D9053" s="3" t="s">
        <v>192</v>
      </c>
      <c r="E9053" s="3" t="s">
        <v>103</v>
      </c>
      <c r="F9053" s="3" t="s">
        <v>103</v>
      </c>
      <c r="G9053" s="3" t="s">
        <v>103</v>
      </c>
      <c r="H9053" s="3" t="s">
        <v>103</v>
      </c>
      <c r="I9053" s="3" t="s">
        <v>103</v>
      </c>
      <c r="J9053" s="3" t="s">
        <v>103</v>
      </c>
      <c r="K9053" s="3" t="s">
        <v>103</v>
      </c>
      <c r="L9053" s="3" t="s">
        <v>103</v>
      </c>
      <c r="M9053" s="3" t="s">
        <v>103</v>
      </c>
      <c r="N9053" s="3" t="s">
        <v>103</v>
      </c>
    </row>
    <row r="9054" spans="1:14" x14ac:dyDescent="0.3">
      <c r="A9054" t="s">
        <v>28</v>
      </c>
      <c r="B9054" t="s">
        <v>199</v>
      </c>
      <c r="C9054">
        <v>173</v>
      </c>
      <c r="D9054" t="s">
        <v>327</v>
      </c>
      <c r="E9054" t="s">
        <v>103</v>
      </c>
      <c r="F9054" t="s">
        <v>103</v>
      </c>
      <c r="G9054" t="s">
        <v>103</v>
      </c>
      <c r="H9054" t="s">
        <v>103</v>
      </c>
      <c r="I9054" t="s">
        <v>103</v>
      </c>
      <c r="J9054" t="s">
        <v>103</v>
      </c>
      <c r="K9054" t="s">
        <v>103</v>
      </c>
      <c r="L9054" t="s">
        <v>122</v>
      </c>
      <c r="M9054" t="s">
        <v>103</v>
      </c>
      <c r="N9054" t="s">
        <v>103</v>
      </c>
    </row>
    <row r="9055" spans="1:14" x14ac:dyDescent="0.3">
      <c r="A9055" t="s">
        <v>27</v>
      </c>
      <c r="B9055" t="s">
        <v>198</v>
      </c>
      <c r="C9055">
        <v>40</v>
      </c>
      <c r="D9055" t="s">
        <v>192</v>
      </c>
      <c r="E9055" t="s">
        <v>103</v>
      </c>
      <c r="F9055" t="s">
        <v>103</v>
      </c>
      <c r="G9055" t="s">
        <v>103</v>
      </c>
      <c r="H9055" t="s">
        <v>103</v>
      </c>
      <c r="I9055" t="s">
        <v>103</v>
      </c>
      <c r="J9055" t="s">
        <v>103</v>
      </c>
      <c r="K9055" t="s">
        <v>103</v>
      </c>
      <c r="L9055" t="s">
        <v>103</v>
      </c>
      <c r="M9055" t="s">
        <v>103</v>
      </c>
      <c r="N9055" t="s">
        <v>103</v>
      </c>
    </row>
    <row r="9056" spans="1:14" x14ac:dyDescent="0.3">
      <c r="A9056" t="s">
        <v>27</v>
      </c>
      <c r="B9056" t="s">
        <v>199</v>
      </c>
      <c r="C9056">
        <v>61</v>
      </c>
      <c r="D9056" t="s">
        <v>332</v>
      </c>
      <c r="E9056" t="s">
        <v>270</v>
      </c>
      <c r="F9056" t="s">
        <v>103</v>
      </c>
      <c r="G9056" t="s">
        <v>103</v>
      </c>
      <c r="H9056" t="s">
        <v>103</v>
      </c>
      <c r="I9056" t="s">
        <v>103</v>
      </c>
      <c r="J9056" t="s">
        <v>103</v>
      </c>
      <c r="K9056" t="s">
        <v>103</v>
      </c>
      <c r="L9056" t="s">
        <v>103</v>
      </c>
      <c r="M9056" t="s">
        <v>103</v>
      </c>
      <c r="N9056" t="s">
        <v>103</v>
      </c>
    </row>
    <row r="9057" spans="1:14" x14ac:dyDescent="0.3">
      <c r="A9057" t="s">
        <v>41</v>
      </c>
      <c r="B9057" t="s">
        <v>198</v>
      </c>
      <c r="C9057">
        <v>209</v>
      </c>
      <c r="D9057" t="s">
        <v>71</v>
      </c>
      <c r="E9057" t="s">
        <v>102</v>
      </c>
      <c r="F9057" t="s">
        <v>103</v>
      </c>
      <c r="G9057" t="s">
        <v>103</v>
      </c>
      <c r="H9057" t="s">
        <v>103</v>
      </c>
      <c r="I9057" t="s">
        <v>103</v>
      </c>
      <c r="J9057" t="s">
        <v>103</v>
      </c>
      <c r="K9057" t="s">
        <v>103</v>
      </c>
      <c r="L9057" t="s">
        <v>208</v>
      </c>
      <c r="M9057" t="s">
        <v>103</v>
      </c>
      <c r="N9057" t="s">
        <v>103</v>
      </c>
    </row>
    <row r="9058" spans="1:14" x14ac:dyDescent="0.3">
      <c r="A9058" t="s">
        <v>41</v>
      </c>
      <c r="B9058" t="s">
        <v>199</v>
      </c>
      <c r="C9058">
        <v>846</v>
      </c>
      <c r="D9058" t="s">
        <v>636</v>
      </c>
      <c r="E9058" t="s">
        <v>113</v>
      </c>
      <c r="F9058" t="s">
        <v>120</v>
      </c>
      <c r="G9058" t="s">
        <v>91</v>
      </c>
      <c r="H9058" t="s">
        <v>103</v>
      </c>
      <c r="I9058" t="s">
        <v>122</v>
      </c>
      <c r="J9058" t="s">
        <v>120</v>
      </c>
      <c r="K9058" t="s">
        <v>103</v>
      </c>
      <c r="L9058" t="s">
        <v>95</v>
      </c>
      <c r="M9058" t="s">
        <v>139</v>
      </c>
      <c r="N9058" t="s">
        <v>122</v>
      </c>
    </row>
    <row r="9060" spans="1:14" x14ac:dyDescent="0.3">
      <c r="A9060" t="s">
        <v>2496</v>
      </c>
    </row>
    <row r="9061" spans="1:14" x14ac:dyDescent="0.3">
      <c r="A9061" t="s">
        <v>36</v>
      </c>
      <c r="B9061" t="s">
        <v>2497</v>
      </c>
      <c r="C9061" t="s">
        <v>24</v>
      </c>
      <c r="D9061" t="s">
        <v>2482</v>
      </c>
      <c r="E9061" t="s">
        <v>2483</v>
      </c>
      <c r="F9061" t="s">
        <v>2484</v>
      </c>
      <c r="G9061" t="s">
        <v>2485</v>
      </c>
      <c r="H9061" t="s">
        <v>2486</v>
      </c>
      <c r="I9061" t="s">
        <v>2487</v>
      </c>
      <c r="J9061" t="s">
        <v>2488</v>
      </c>
      <c r="K9061" t="s">
        <v>2489</v>
      </c>
      <c r="L9061" t="s">
        <v>2490</v>
      </c>
      <c r="M9061" t="s">
        <v>2491</v>
      </c>
      <c r="N9061" t="s">
        <v>2492</v>
      </c>
    </row>
    <row r="9062" spans="1:14" x14ac:dyDescent="0.3">
      <c r="A9062" t="s">
        <v>25</v>
      </c>
      <c r="B9062" t="s">
        <v>2498</v>
      </c>
      <c r="C9062">
        <v>81</v>
      </c>
      <c r="D9062" t="s">
        <v>950</v>
      </c>
      <c r="E9062" t="s">
        <v>98</v>
      </c>
      <c r="F9062" t="s">
        <v>103</v>
      </c>
      <c r="G9062" t="s">
        <v>103</v>
      </c>
      <c r="H9062" t="s">
        <v>103</v>
      </c>
      <c r="I9062" t="s">
        <v>103</v>
      </c>
      <c r="J9062" t="s">
        <v>103</v>
      </c>
      <c r="K9062" t="s">
        <v>103</v>
      </c>
      <c r="L9062" t="s">
        <v>103</v>
      </c>
      <c r="M9062" t="s">
        <v>103</v>
      </c>
      <c r="N9062" t="s">
        <v>103</v>
      </c>
    </row>
    <row r="9063" spans="1:14" x14ac:dyDescent="0.3">
      <c r="A9063" t="s">
        <v>25</v>
      </c>
      <c r="B9063" t="s">
        <v>2499</v>
      </c>
      <c r="C9063">
        <v>136</v>
      </c>
      <c r="D9063" t="s">
        <v>768</v>
      </c>
      <c r="E9063" t="s">
        <v>245</v>
      </c>
      <c r="F9063" t="s">
        <v>103</v>
      </c>
      <c r="G9063" t="s">
        <v>103</v>
      </c>
      <c r="H9063" t="s">
        <v>103</v>
      </c>
      <c r="I9063" t="s">
        <v>103</v>
      </c>
      <c r="J9063" t="s">
        <v>103</v>
      </c>
      <c r="K9063" t="s">
        <v>103</v>
      </c>
      <c r="L9063" t="s">
        <v>98</v>
      </c>
      <c r="M9063" t="s">
        <v>103</v>
      </c>
      <c r="N9063" t="s">
        <v>103</v>
      </c>
    </row>
    <row r="9064" spans="1:14" s="3" customFormat="1" x14ac:dyDescent="0.3">
      <c r="A9064" s="3" t="s">
        <v>25</v>
      </c>
      <c r="B9064" s="3" t="s">
        <v>2500</v>
      </c>
      <c r="C9064" s="3">
        <v>10</v>
      </c>
      <c r="D9064" s="3" t="s">
        <v>192</v>
      </c>
      <c r="E9064" s="3" t="s">
        <v>103</v>
      </c>
      <c r="F9064" s="3" t="s">
        <v>103</v>
      </c>
      <c r="G9064" s="3" t="s">
        <v>103</v>
      </c>
      <c r="H9064" s="3" t="s">
        <v>103</v>
      </c>
      <c r="I9064" s="3" t="s">
        <v>103</v>
      </c>
      <c r="J9064" s="3" t="s">
        <v>103</v>
      </c>
      <c r="K9064" s="3" t="s">
        <v>103</v>
      </c>
      <c r="L9064" s="3" t="s">
        <v>103</v>
      </c>
      <c r="M9064" s="3" t="s">
        <v>103</v>
      </c>
      <c r="N9064" s="3" t="s">
        <v>103</v>
      </c>
    </row>
    <row r="9065" spans="1:14" x14ac:dyDescent="0.3">
      <c r="A9065" t="s">
        <v>26</v>
      </c>
      <c r="B9065" t="s">
        <v>2498</v>
      </c>
      <c r="C9065">
        <v>79</v>
      </c>
      <c r="D9065" t="s">
        <v>624</v>
      </c>
      <c r="E9065" t="s">
        <v>107</v>
      </c>
      <c r="F9065" t="s">
        <v>467</v>
      </c>
      <c r="G9065" t="s">
        <v>110</v>
      </c>
      <c r="H9065" t="s">
        <v>103</v>
      </c>
      <c r="I9065" t="s">
        <v>103</v>
      </c>
      <c r="J9065" t="s">
        <v>110</v>
      </c>
      <c r="K9065" t="s">
        <v>103</v>
      </c>
      <c r="L9065" t="s">
        <v>110</v>
      </c>
      <c r="M9065" t="s">
        <v>110</v>
      </c>
      <c r="N9065" t="s">
        <v>110</v>
      </c>
    </row>
    <row r="9066" spans="1:14" x14ac:dyDescent="0.3">
      <c r="A9066" t="s">
        <v>26</v>
      </c>
      <c r="B9066" t="s">
        <v>2499</v>
      </c>
      <c r="C9066">
        <v>192</v>
      </c>
      <c r="D9066" t="s">
        <v>69</v>
      </c>
      <c r="E9066" t="s">
        <v>97</v>
      </c>
      <c r="F9066" t="s">
        <v>282</v>
      </c>
      <c r="G9066" t="s">
        <v>103</v>
      </c>
      <c r="H9066" t="s">
        <v>103</v>
      </c>
      <c r="I9066" t="s">
        <v>122</v>
      </c>
      <c r="J9066" t="s">
        <v>103</v>
      </c>
      <c r="K9066" t="s">
        <v>103</v>
      </c>
      <c r="L9066" t="s">
        <v>120</v>
      </c>
      <c r="M9066" t="s">
        <v>120</v>
      </c>
      <c r="N9066" t="s">
        <v>103</v>
      </c>
    </row>
    <row r="9067" spans="1:14" s="3" customFormat="1" x14ac:dyDescent="0.3">
      <c r="A9067" s="3" t="s">
        <v>26</v>
      </c>
      <c r="B9067" s="3" t="s">
        <v>2500</v>
      </c>
      <c r="C9067" s="3">
        <v>17</v>
      </c>
      <c r="D9067" s="3" t="s">
        <v>192</v>
      </c>
      <c r="E9067" s="3" t="s">
        <v>103</v>
      </c>
      <c r="F9067" s="3" t="s">
        <v>103</v>
      </c>
      <c r="G9067" s="3" t="s">
        <v>103</v>
      </c>
      <c r="H9067" s="3" t="s">
        <v>103</v>
      </c>
      <c r="I9067" s="3" t="s">
        <v>103</v>
      </c>
      <c r="J9067" s="3" t="s">
        <v>103</v>
      </c>
      <c r="K9067" s="3" t="s">
        <v>103</v>
      </c>
      <c r="L9067" s="3" t="s">
        <v>103</v>
      </c>
      <c r="M9067" s="3" t="s">
        <v>103</v>
      </c>
      <c r="N9067" s="3" t="s">
        <v>103</v>
      </c>
    </row>
    <row r="9068" spans="1:14" x14ac:dyDescent="0.3">
      <c r="A9068" t="s">
        <v>29</v>
      </c>
      <c r="B9068" t="s">
        <v>2498</v>
      </c>
      <c r="C9068">
        <v>91</v>
      </c>
      <c r="D9068" t="s">
        <v>159</v>
      </c>
      <c r="E9068" t="s">
        <v>242</v>
      </c>
      <c r="F9068" t="s">
        <v>103</v>
      </c>
      <c r="G9068" t="s">
        <v>103</v>
      </c>
      <c r="H9068" t="s">
        <v>103</v>
      </c>
      <c r="I9068" t="s">
        <v>216</v>
      </c>
      <c r="J9068" t="s">
        <v>239</v>
      </c>
      <c r="K9068" t="s">
        <v>103</v>
      </c>
      <c r="L9068" t="s">
        <v>329</v>
      </c>
      <c r="M9068" t="s">
        <v>103</v>
      </c>
      <c r="N9068" t="s">
        <v>103</v>
      </c>
    </row>
    <row r="9069" spans="1:14" x14ac:dyDescent="0.3">
      <c r="A9069" t="s">
        <v>29</v>
      </c>
      <c r="B9069" t="s">
        <v>2499</v>
      </c>
      <c r="C9069">
        <v>139</v>
      </c>
      <c r="D9069" t="s">
        <v>614</v>
      </c>
      <c r="E9069" t="s">
        <v>549</v>
      </c>
      <c r="F9069" t="s">
        <v>103</v>
      </c>
      <c r="G9069" t="s">
        <v>103</v>
      </c>
      <c r="H9069" t="s">
        <v>103</v>
      </c>
      <c r="I9069" t="s">
        <v>103</v>
      </c>
      <c r="J9069" t="s">
        <v>95</v>
      </c>
      <c r="K9069" t="s">
        <v>103</v>
      </c>
      <c r="L9069" t="s">
        <v>468</v>
      </c>
      <c r="M9069" t="s">
        <v>139</v>
      </c>
      <c r="N9069" t="s">
        <v>103</v>
      </c>
    </row>
    <row r="9070" spans="1:14" s="3" customFormat="1" x14ac:dyDescent="0.3">
      <c r="A9070" s="3" t="s">
        <v>29</v>
      </c>
      <c r="B9070" s="3" t="s">
        <v>2500</v>
      </c>
      <c r="C9070" s="3">
        <v>9</v>
      </c>
      <c r="D9070" s="3" t="s">
        <v>776</v>
      </c>
      <c r="E9070" s="3" t="s">
        <v>103</v>
      </c>
      <c r="F9070" s="3" t="s">
        <v>103</v>
      </c>
      <c r="G9070" s="3" t="s">
        <v>103</v>
      </c>
      <c r="H9070" s="3" t="s">
        <v>103</v>
      </c>
      <c r="I9070" s="3" t="s">
        <v>103</v>
      </c>
      <c r="J9070" s="3" t="s">
        <v>103</v>
      </c>
      <c r="K9070" s="3" t="s">
        <v>103</v>
      </c>
      <c r="L9070" s="3" t="s">
        <v>103</v>
      </c>
      <c r="M9070" s="3" t="s">
        <v>517</v>
      </c>
      <c r="N9070" s="3" t="s">
        <v>517</v>
      </c>
    </row>
    <row r="9071" spans="1:14" x14ac:dyDescent="0.3">
      <c r="A9071" t="s">
        <v>28</v>
      </c>
      <c r="B9071" t="s">
        <v>2498</v>
      </c>
      <c r="C9071">
        <v>80</v>
      </c>
      <c r="D9071" t="s">
        <v>325</v>
      </c>
      <c r="E9071" t="s">
        <v>103</v>
      </c>
      <c r="F9071" t="s">
        <v>103</v>
      </c>
      <c r="G9071" t="s">
        <v>103</v>
      </c>
      <c r="H9071" t="s">
        <v>103</v>
      </c>
      <c r="I9071" t="s">
        <v>103</v>
      </c>
      <c r="J9071" t="s">
        <v>103</v>
      </c>
      <c r="K9071" t="s">
        <v>103</v>
      </c>
      <c r="L9071" t="s">
        <v>139</v>
      </c>
      <c r="M9071" t="s">
        <v>103</v>
      </c>
      <c r="N9071" t="s">
        <v>103</v>
      </c>
    </row>
    <row r="9072" spans="1:14" x14ac:dyDescent="0.3">
      <c r="A9072" t="s">
        <v>28</v>
      </c>
      <c r="B9072" t="s">
        <v>2499</v>
      </c>
      <c r="C9072">
        <v>71</v>
      </c>
      <c r="D9072" t="s">
        <v>192</v>
      </c>
      <c r="E9072" t="s">
        <v>103</v>
      </c>
      <c r="F9072" t="s">
        <v>103</v>
      </c>
      <c r="G9072" t="s">
        <v>103</v>
      </c>
      <c r="H9072" t="s">
        <v>103</v>
      </c>
      <c r="I9072" t="s">
        <v>103</v>
      </c>
      <c r="J9072" t="s">
        <v>103</v>
      </c>
      <c r="K9072" t="s">
        <v>103</v>
      </c>
      <c r="L9072" t="s">
        <v>103</v>
      </c>
      <c r="M9072" t="s">
        <v>103</v>
      </c>
      <c r="N9072" t="s">
        <v>103</v>
      </c>
    </row>
    <row r="9073" spans="1:14" x14ac:dyDescent="0.3">
      <c r="A9073" t="s">
        <v>28</v>
      </c>
      <c r="B9073" t="s">
        <v>2500</v>
      </c>
      <c r="C9073">
        <v>49</v>
      </c>
      <c r="D9073" t="s">
        <v>192</v>
      </c>
      <c r="E9073" t="s">
        <v>103</v>
      </c>
      <c r="F9073" t="s">
        <v>103</v>
      </c>
      <c r="G9073" t="s">
        <v>103</v>
      </c>
      <c r="H9073" t="s">
        <v>103</v>
      </c>
      <c r="I9073" t="s">
        <v>103</v>
      </c>
      <c r="J9073" t="s">
        <v>103</v>
      </c>
      <c r="K9073" t="s">
        <v>103</v>
      </c>
      <c r="L9073" t="s">
        <v>103</v>
      </c>
      <c r="M9073" t="s">
        <v>103</v>
      </c>
      <c r="N9073" t="s">
        <v>103</v>
      </c>
    </row>
    <row r="9074" spans="1:14" x14ac:dyDescent="0.3">
      <c r="A9074" t="s">
        <v>27</v>
      </c>
      <c r="B9074" t="s">
        <v>2498</v>
      </c>
      <c r="C9074">
        <v>43</v>
      </c>
      <c r="D9074" t="s">
        <v>67</v>
      </c>
      <c r="E9074" t="s">
        <v>66</v>
      </c>
      <c r="F9074" t="s">
        <v>103</v>
      </c>
      <c r="G9074" t="s">
        <v>103</v>
      </c>
      <c r="H9074" t="s">
        <v>103</v>
      </c>
      <c r="I9074" t="s">
        <v>103</v>
      </c>
      <c r="J9074" t="s">
        <v>103</v>
      </c>
      <c r="K9074" t="s">
        <v>103</v>
      </c>
      <c r="L9074" t="s">
        <v>103</v>
      </c>
      <c r="M9074" t="s">
        <v>103</v>
      </c>
      <c r="N9074" t="s">
        <v>103</v>
      </c>
    </row>
    <row r="9075" spans="1:14" x14ac:dyDescent="0.3">
      <c r="A9075" t="s">
        <v>27</v>
      </c>
      <c r="B9075" t="s">
        <v>2499</v>
      </c>
      <c r="C9075">
        <v>50</v>
      </c>
      <c r="D9075" t="s">
        <v>65</v>
      </c>
      <c r="E9075" t="s">
        <v>64</v>
      </c>
      <c r="F9075" t="s">
        <v>103</v>
      </c>
      <c r="G9075" t="s">
        <v>103</v>
      </c>
      <c r="H9075" t="s">
        <v>103</v>
      </c>
      <c r="I9075" t="s">
        <v>103</v>
      </c>
      <c r="J9075" t="s">
        <v>103</v>
      </c>
      <c r="K9075" t="s">
        <v>103</v>
      </c>
      <c r="L9075" t="s">
        <v>103</v>
      </c>
      <c r="M9075" t="s">
        <v>103</v>
      </c>
      <c r="N9075" t="s">
        <v>103</v>
      </c>
    </row>
    <row r="9076" spans="1:14" s="3" customFormat="1" x14ac:dyDescent="0.3">
      <c r="A9076" s="3" t="s">
        <v>27</v>
      </c>
      <c r="B9076" s="3" t="s">
        <v>2500</v>
      </c>
      <c r="C9076" s="3">
        <v>8</v>
      </c>
      <c r="D9076" s="3" t="s">
        <v>192</v>
      </c>
      <c r="E9076" s="3" t="s">
        <v>103</v>
      </c>
      <c r="F9076" s="3" t="s">
        <v>103</v>
      </c>
      <c r="G9076" s="3" t="s">
        <v>103</v>
      </c>
      <c r="H9076" s="3" t="s">
        <v>103</v>
      </c>
      <c r="I9076" s="3" t="s">
        <v>103</v>
      </c>
      <c r="J9076" s="3" t="s">
        <v>103</v>
      </c>
      <c r="K9076" s="3" t="s">
        <v>103</v>
      </c>
      <c r="L9076" s="3" t="s">
        <v>103</v>
      </c>
      <c r="M9076" s="3" t="s">
        <v>103</v>
      </c>
      <c r="N9076" s="3" t="s">
        <v>103</v>
      </c>
    </row>
    <row r="9077" spans="1:14" x14ac:dyDescent="0.3">
      <c r="A9077" t="s">
        <v>41</v>
      </c>
      <c r="B9077" t="s">
        <v>2498</v>
      </c>
      <c r="C9077">
        <v>374</v>
      </c>
      <c r="D9077" t="s">
        <v>1167</v>
      </c>
      <c r="E9077" t="s">
        <v>214</v>
      </c>
      <c r="F9077" t="s">
        <v>95</v>
      </c>
      <c r="G9077" t="s">
        <v>116</v>
      </c>
      <c r="H9077" t="s">
        <v>103</v>
      </c>
      <c r="I9077" t="s">
        <v>95</v>
      </c>
      <c r="J9077" t="s">
        <v>282</v>
      </c>
      <c r="K9077" t="s">
        <v>103</v>
      </c>
      <c r="L9077" t="s">
        <v>194</v>
      </c>
      <c r="M9077" t="s">
        <v>116</v>
      </c>
      <c r="N9077" t="s">
        <v>116</v>
      </c>
    </row>
    <row r="9078" spans="1:14" x14ac:dyDescent="0.3">
      <c r="A9078" t="s">
        <v>41</v>
      </c>
      <c r="B9078" t="s">
        <v>2499</v>
      </c>
      <c r="C9078">
        <v>588</v>
      </c>
      <c r="D9078" t="s">
        <v>849</v>
      </c>
      <c r="E9078" t="s">
        <v>107</v>
      </c>
      <c r="F9078" t="s">
        <v>116</v>
      </c>
      <c r="G9078" t="s">
        <v>103</v>
      </c>
      <c r="H9078" t="s">
        <v>103</v>
      </c>
      <c r="I9078" t="s">
        <v>91</v>
      </c>
      <c r="J9078" t="s">
        <v>116</v>
      </c>
      <c r="K9078" t="s">
        <v>103</v>
      </c>
      <c r="L9078" t="s">
        <v>98</v>
      </c>
      <c r="M9078" t="s">
        <v>97</v>
      </c>
      <c r="N9078" t="s">
        <v>103</v>
      </c>
    </row>
    <row r="9079" spans="1:14" x14ac:dyDescent="0.3">
      <c r="A9079" t="s">
        <v>41</v>
      </c>
      <c r="B9079" t="s">
        <v>2500</v>
      </c>
      <c r="C9079">
        <v>93</v>
      </c>
      <c r="D9079" t="s">
        <v>840</v>
      </c>
      <c r="E9079" t="s">
        <v>103</v>
      </c>
      <c r="F9079" t="s">
        <v>103</v>
      </c>
      <c r="G9079" t="s">
        <v>103</v>
      </c>
      <c r="H9079" t="s">
        <v>103</v>
      </c>
      <c r="I9079" t="s">
        <v>103</v>
      </c>
      <c r="J9079" t="s">
        <v>103</v>
      </c>
      <c r="K9079" t="s">
        <v>103</v>
      </c>
      <c r="L9079" t="s">
        <v>103</v>
      </c>
      <c r="M9079" t="s">
        <v>438</v>
      </c>
      <c r="N9079" t="s">
        <v>438</v>
      </c>
    </row>
    <row r="9081" spans="1:14" x14ac:dyDescent="0.3">
      <c r="A9081" t="s">
        <v>2501</v>
      </c>
    </row>
    <row r="9082" spans="1:14" x14ac:dyDescent="0.3">
      <c r="A9082" t="s">
        <v>36</v>
      </c>
      <c r="B9082" t="s">
        <v>24</v>
      </c>
      <c r="C9082" t="s">
        <v>2502</v>
      </c>
      <c r="D9082" t="s">
        <v>2503</v>
      </c>
      <c r="E9082" t="s">
        <v>2504</v>
      </c>
      <c r="F9082" t="s">
        <v>2505</v>
      </c>
      <c r="G9082" t="s">
        <v>87</v>
      </c>
    </row>
    <row r="9083" spans="1:14" x14ac:dyDescent="0.3">
      <c r="A9083" t="s">
        <v>25</v>
      </c>
      <c r="B9083">
        <v>414</v>
      </c>
      <c r="C9083" t="s">
        <v>1579</v>
      </c>
      <c r="D9083" t="s">
        <v>1055</v>
      </c>
      <c r="E9083" t="s">
        <v>1556</v>
      </c>
      <c r="F9083" t="s">
        <v>111</v>
      </c>
      <c r="G9083" t="s">
        <v>523</v>
      </c>
    </row>
    <row r="9084" spans="1:14" x14ac:dyDescent="0.3">
      <c r="A9084" t="s">
        <v>26</v>
      </c>
      <c r="B9084">
        <v>477</v>
      </c>
      <c r="C9084" t="s">
        <v>299</v>
      </c>
      <c r="D9084" t="s">
        <v>705</v>
      </c>
      <c r="E9084" t="s">
        <v>802</v>
      </c>
      <c r="F9084" t="s">
        <v>452</v>
      </c>
      <c r="G9084" t="s">
        <v>402</v>
      </c>
    </row>
    <row r="9085" spans="1:14" x14ac:dyDescent="0.3">
      <c r="A9085" t="s">
        <v>29</v>
      </c>
      <c r="B9085">
        <v>530</v>
      </c>
      <c r="C9085" t="s">
        <v>539</v>
      </c>
      <c r="D9085" t="s">
        <v>1083</v>
      </c>
      <c r="E9085" t="s">
        <v>382</v>
      </c>
      <c r="F9085" t="s">
        <v>33</v>
      </c>
      <c r="G9085" t="s">
        <v>696</v>
      </c>
    </row>
    <row r="9086" spans="1:14" x14ac:dyDescent="0.3">
      <c r="A9086" t="s">
        <v>28</v>
      </c>
      <c r="B9086">
        <v>317</v>
      </c>
      <c r="C9086" t="s">
        <v>1402</v>
      </c>
      <c r="D9086" t="s">
        <v>390</v>
      </c>
      <c r="E9086" t="s">
        <v>1029</v>
      </c>
      <c r="F9086" t="s">
        <v>549</v>
      </c>
      <c r="G9086" t="s">
        <v>560</v>
      </c>
    </row>
    <row r="9087" spans="1:14" x14ac:dyDescent="0.3">
      <c r="A9087" t="s">
        <v>27</v>
      </c>
      <c r="B9087">
        <v>300</v>
      </c>
      <c r="C9087" t="s">
        <v>528</v>
      </c>
      <c r="D9087" t="s">
        <v>148</v>
      </c>
      <c r="E9087" t="s">
        <v>648</v>
      </c>
      <c r="F9087" t="s">
        <v>113</v>
      </c>
      <c r="G9087" t="s">
        <v>372</v>
      </c>
    </row>
    <row r="9088" spans="1:14" x14ac:dyDescent="0.3">
      <c r="A9088" t="s">
        <v>41</v>
      </c>
      <c r="B9088">
        <v>2038</v>
      </c>
      <c r="C9088" t="s">
        <v>138</v>
      </c>
      <c r="D9088" t="s">
        <v>301</v>
      </c>
      <c r="E9088" t="s">
        <v>1098</v>
      </c>
      <c r="F9088" t="s">
        <v>140</v>
      </c>
      <c r="G9088" t="s">
        <v>496</v>
      </c>
    </row>
    <row r="9090" spans="1:8" x14ac:dyDescent="0.3">
      <c r="A9090" t="s">
        <v>2506</v>
      </c>
    </row>
    <row r="9091" spans="1:8" x14ac:dyDescent="0.3">
      <c r="A9091" t="s">
        <v>36</v>
      </c>
      <c r="B9091" t="s">
        <v>307</v>
      </c>
      <c r="C9091" t="s">
        <v>24</v>
      </c>
      <c r="D9091" t="s">
        <v>2502</v>
      </c>
      <c r="E9091" t="s">
        <v>2503</v>
      </c>
      <c r="F9091" t="s">
        <v>2504</v>
      </c>
      <c r="G9091" t="s">
        <v>2505</v>
      </c>
      <c r="H9091" t="s">
        <v>87</v>
      </c>
    </row>
    <row r="9092" spans="1:8" x14ac:dyDescent="0.3">
      <c r="A9092" t="s">
        <v>25</v>
      </c>
      <c r="B9092" t="s">
        <v>291</v>
      </c>
      <c r="C9092">
        <v>156</v>
      </c>
      <c r="D9092" t="s">
        <v>546</v>
      </c>
      <c r="E9092" t="s">
        <v>663</v>
      </c>
      <c r="F9092" t="s">
        <v>1021</v>
      </c>
      <c r="G9092" t="s">
        <v>62</v>
      </c>
      <c r="H9092" t="s">
        <v>440</v>
      </c>
    </row>
    <row r="9093" spans="1:8" x14ac:dyDescent="0.3">
      <c r="A9093" t="s">
        <v>25</v>
      </c>
      <c r="B9093" t="s">
        <v>292</v>
      </c>
      <c r="C9093">
        <v>254</v>
      </c>
      <c r="D9093" t="s">
        <v>442</v>
      </c>
      <c r="E9093" t="s">
        <v>369</v>
      </c>
      <c r="F9093" t="s">
        <v>675</v>
      </c>
      <c r="G9093" t="s">
        <v>700</v>
      </c>
      <c r="H9093" t="s">
        <v>875</v>
      </c>
    </row>
    <row r="9094" spans="1:8" x14ac:dyDescent="0.3">
      <c r="A9094" t="s">
        <v>25</v>
      </c>
      <c r="B9094" t="s">
        <v>308</v>
      </c>
      <c r="C9094">
        <v>4</v>
      </c>
      <c r="D9094" t="s">
        <v>1362</v>
      </c>
      <c r="E9094" t="s">
        <v>1362</v>
      </c>
      <c r="F9094" t="s">
        <v>1205</v>
      </c>
      <c r="G9094" t="s">
        <v>103</v>
      </c>
      <c r="H9094" t="s">
        <v>456</v>
      </c>
    </row>
    <row r="9095" spans="1:8" x14ac:dyDescent="0.3">
      <c r="A9095" t="s">
        <v>26</v>
      </c>
      <c r="B9095" t="s">
        <v>291</v>
      </c>
      <c r="C9095">
        <v>122</v>
      </c>
      <c r="D9095" t="s">
        <v>669</v>
      </c>
      <c r="E9095" t="s">
        <v>402</v>
      </c>
      <c r="F9095" t="s">
        <v>810</v>
      </c>
      <c r="G9095" t="s">
        <v>32</v>
      </c>
      <c r="H9095" t="s">
        <v>352</v>
      </c>
    </row>
    <row r="9096" spans="1:8" x14ac:dyDescent="0.3">
      <c r="A9096" t="s">
        <v>26</v>
      </c>
      <c r="B9096" t="s">
        <v>292</v>
      </c>
      <c r="C9096">
        <v>352</v>
      </c>
      <c r="D9096" t="s">
        <v>361</v>
      </c>
      <c r="E9096" t="s">
        <v>1223</v>
      </c>
      <c r="F9096" t="s">
        <v>628</v>
      </c>
      <c r="G9096" t="s">
        <v>251</v>
      </c>
      <c r="H9096" t="s">
        <v>815</v>
      </c>
    </row>
    <row r="9097" spans="1:8" x14ac:dyDescent="0.3">
      <c r="A9097" t="s">
        <v>26</v>
      </c>
      <c r="B9097" t="s">
        <v>308</v>
      </c>
      <c r="C9097">
        <v>3</v>
      </c>
      <c r="D9097" t="s">
        <v>784</v>
      </c>
      <c r="E9097" t="s">
        <v>784</v>
      </c>
      <c r="F9097" t="s">
        <v>784</v>
      </c>
      <c r="G9097" t="s">
        <v>103</v>
      </c>
      <c r="H9097" t="s">
        <v>699</v>
      </c>
    </row>
    <row r="9098" spans="1:8" x14ac:dyDescent="0.3">
      <c r="A9098" t="s">
        <v>29</v>
      </c>
      <c r="B9098" t="s">
        <v>291</v>
      </c>
      <c r="C9098">
        <v>205</v>
      </c>
      <c r="D9098" t="s">
        <v>471</v>
      </c>
      <c r="E9098" t="s">
        <v>331</v>
      </c>
      <c r="F9098" t="s">
        <v>230</v>
      </c>
      <c r="G9098" t="s">
        <v>94</v>
      </c>
      <c r="H9098" t="s">
        <v>1048</v>
      </c>
    </row>
    <row r="9099" spans="1:8" x14ac:dyDescent="0.3">
      <c r="A9099" t="s">
        <v>29</v>
      </c>
      <c r="B9099" t="s">
        <v>292</v>
      </c>
      <c r="C9099">
        <v>325</v>
      </c>
      <c r="D9099" t="s">
        <v>685</v>
      </c>
      <c r="E9099" t="s">
        <v>409</v>
      </c>
      <c r="F9099" t="s">
        <v>1224</v>
      </c>
      <c r="G9099" t="s">
        <v>114</v>
      </c>
      <c r="H9099" t="s">
        <v>423</v>
      </c>
    </row>
    <row r="9100" spans="1:8" x14ac:dyDescent="0.3">
      <c r="A9100" t="s">
        <v>28</v>
      </c>
      <c r="B9100" t="s">
        <v>291</v>
      </c>
      <c r="C9100">
        <v>114</v>
      </c>
      <c r="D9100" t="s">
        <v>679</v>
      </c>
      <c r="E9100" t="s">
        <v>670</v>
      </c>
      <c r="F9100" t="s">
        <v>1028</v>
      </c>
      <c r="G9100" t="s">
        <v>190</v>
      </c>
      <c r="H9100" t="s">
        <v>838</v>
      </c>
    </row>
    <row r="9101" spans="1:8" x14ac:dyDescent="0.3">
      <c r="A9101" t="s">
        <v>28</v>
      </c>
      <c r="B9101" t="s">
        <v>292</v>
      </c>
      <c r="C9101">
        <v>191</v>
      </c>
      <c r="D9101" t="s">
        <v>1240</v>
      </c>
      <c r="E9101" t="s">
        <v>810</v>
      </c>
      <c r="F9101" t="s">
        <v>403</v>
      </c>
      <c r="G9101" t="s">
        <v>242</v>
      </c>
      <c r="H9101" t="s">
        <v>900</v>
      </c>
    </row>
    <row r="9102" spans="1:8" x14ac:dyDescent="0.3">
      <c r="A9102" t="s">
        <v>28</v>
      </c>
      <c r="B9102" t="s">
        <v>308</v>
      </c>
      <c r="C9102">
        <v>12</v>
      </c>
      <c r="D9102" t="s">
        <v>564</v>
      </c>
      <c r="E9102" t="s">
        <v>564</v>
      </c>
      <c r="F9102" t="s">
        <v>436</v>
      </c>
      <c r="G9102" t="s">
        <v>297</v>
      </c>
      <c r="H9102" t="s">
        <v>807</v>
      </c>
    </row>
    <row r="9103" spans="1:8" x14ac:dyDescent="0.3">
      <c r="A9103" t="s">
        <v>27</v>
      </c>
      <c r="B9103" t="s">
        <v>291</v>
      </c>
      <c r="C9103">
        <v>95</v>
      </c>
      <c r="D9103" t="s">
        <v>515</v>
      </c>
      <c r="E9103" t="s">
        <v>205</v>
      </c>
      <c r="F9103" t="s">
        <v>152</v>
      </c>
      <c r="G9103" t="s">
        <v>266</v>
      </c>
      <c r="H9103" t="s">
        <v>2109</v>
      </c>
    </row>
    <row r="9104" spans="1:8" x14ac:dyDescent="0.3">
      <c r="A9104" t="s">
        <v>27</v>
      </c>
      <c r="B9104" t="s">
        <v>292</v>
      </c>
      <c r="C9104">
        <v>198</v>
      </c>
      <c r="D9104" t="s">
        <v>162</v>
      </c>
      <c r="E9104" t="s">
        <v>173</v>
      </c>
      <c r="F9104" t="s">
        <v>491</v>
      </c>
      <c r="G9104" t="s">
        <v>281</v>
      </c>
      <c r="H9104" t="s">
        <v>1025</v>
      </c>
    </row>
    <row r="9105" spans="1:8" x14ac:dyDescent="0.3">
      <c r="A9105" t="s">
        <v>27</v>
      </c>
      <c r="B9105" t="s">
        <v>308</v>
      </c>
      <c r="C9105">
        <v>7</v>
      </c>
      <c r="D9105" t="s">
        <v>477</v>
      </c>
      <c r="E9105" t="s">
        <v>488</v>
      </c>
      <c r="F9105" t="s">
        <v>477</v>
      </c>
      <c r="G9105" t="s">
        <v>103</v>
      </c>
      <c r="H9105" t="s">
        <v>821</v>
      </c>
    </row>
    <row r="9106" spans="1:8" x14ac:dyDescent="0.3">
      <c r="A9106" t="s">
        <v>41</v>
      </c>
      <c r="B9106" t="s">
        <v>291</v>
      </c>
      <c r="C9106">
        <v>692</v>
      </c>
      <c r="D9106" t="s">
        <v>429</v>
      </c>
      <c r="E9106" t="s">
        <v>660</v>
      </c>
      <c r="F9106" t="s">
        <v>407</v>
      </c>
      <c r="G9106" t="s">
        <v>607</v>
      </c>
      <c r="H9106" t="s">
        <v>423</v>
      </c>
    </row>
    <row r="9107" spans="1:8" x14ac:dyDescent="0.3">
      <c r="A9107" t="s">
        <v>41</v>
      </c>
      <c r="B9107" t="s">
        <v>292</v>
      </c>
      <c r="C9107">
        <v>1320</v>
      </c>
      <c r="D9107" t="s">
        <v>510</v>
      </c>
      <c r="E9107" t="s">
        <v>129</v>
      </c>
      <c r="F9107" t="s">
        <v>1024</v>
      </c>
      <c r="G9107" t="s">
        <v>94</v>
      </c>
      <c r="H9107" t="s">
        <v>361</v>
      </c>
    </row>
    <row r="9108" spans="1:8" x14ac:dyDescent="0.3">
      <c r="A9108" t="s">
        <v>41</v>
      </c>
      <c r="B9108" t="s">
        <v>308</v>
      </c>
      <c r="C9108">
        <v>26</v>
      </c>
      <c r="D9108" t="s">
        <v>804</v>
      </c>
      <c r="E9108" t="s">
        <v>422</v>
      </c>
      <c r="F9108" t="s">
        <v>1425</v>
      </c>
      <c r="G9108" t="s">
        <v>517</v>
      </c>
      <c r="H9108" t="s">
        <v>458</v>
      </c>
    </row>
    <row r="9110" spans="1:8" x14ac:dyDescent="0.3">
      <c r="A9110" t="s">
        <v>2507</v>
      </c>
    </row>
    <row r="9111" spans="1:8" x14ac:dyDescent="0.3">
      <c r="A9111" t="s">
        <v>36</v>
      </c>
      <c r="B9111" t="s">
        <v>310</v>
      </c>
      <c r="C9111" t="s">
        <v>24</v>
      </c>
      <c r="D9111" t="s">
        <v>2502</v>
      </c>
      <c r="E9111" t="s">
        <v>2503</v>
      </c>
      <c r="F9111" t="s">
        <v>2504</v>
      </c>
      <c r="G9111" t="s">
        <v>2505</v>
      </c>
      <c r="H9111" t="s">
        <v>87</v>
      </c>
    </row>
    <row r="9112" spans="1:8" x14ac:dyDescent="0.3">
      <c r="A9112" t="s">
        <v>25</v>
      </c>
      <c r="B9112" t="s">
        <v>311</v>
      </c>
      <c r="C9112">
        <v>324</v>
      </c>
      <c r="D9112" t="s">
        <v>1215</v>
      </c>
      <c r="E9112" t="s">
        <v>353</v>
      </c>
      <c r="F9112" t="s">
        <v>1549</v>
      </c>
      <c r="G9112" t="s">
        <v>157</v>
      </c>
      <c r="H9112" t="s">
        <v>259</v>
      </c>
    </row>
    <row r="9113" spans="1:8" x14ac:dyDescent="0.3">
      <c r="A9113" t="s">
        <v>25</v>
      </c>
      <c r="B9113" t="s">
        <v>312</v>
      </c>
      <c r="C9113">
        <v>80</v>
      </c>
      <c r="D9113" t="s">
        <v>1212</v>
      </c>
      <c r="E9113" t="s">
        <v>367</v>
      </c>
      <c r="F9113" t="s">
        <v>1024</v>
      </c>
      <c r="G9113" t="s">
        <v>511</v>
      </c>
      <c r="H9113" t="s">
        <v>293</v>
      </c>
    </row>
    <row r="9114" spans="1:8" x14ac:dyDescent="0.3">
      <c r="A9114" t="s">
        <v>25</v>
      </c>
      <c r="B9114" t="s">
        <v>308</v>
      </c>
      <c r="C9114">
        <v>10</v>
      </c>
      <c r="D9114" t="s">
        <v>651</v>
      </c>
      <c r="E9114" t="s">
        <v>651</v>
      </c>
      <c r="F9114" t="s">
        <v>398</v>
      </c>
      <c r="G9114" t="s">
        <v>458</v>
      </c>
      <c r="H9114" t="s">
        <v>1223</v>
      </c>
    </row>
    <row r="9115" spans="1:8" x14ac:dyDescent="0.3">
      <c r="A9115" t="s">
        <v>26</v>
      </c>
      <c r="B9115" t="s">
        <v>311</v>
      </c>
      <c r="C9115">
        <v>343</v>
      </c>
      <c r="D9115" t="s">
        <v>535</v>
      </c>
      <c r="E9115" t="s">
        <v>489</v>
      </c>
      <c r="F9115" t="s">
        <v>394</v>
      </c>
      <c r="G9115" t="s">
        <v>607</v>
      </c>
      <c r="H9115" t="s">
        <v>685</v>
      </c>
    </row>
    <row r="9116" spans="1:8" x14ac:dyDescent="0.3">
      <c r="A9116" t="s">
        <v>26</v>
      </c>
      <c r="B9116" t="s">
        <v>312</v>
      </c>
      <c r="C9116">
        <v>96</v>
      </c>
      <c r="D9116" t="s">
        <v>407</v>
      </c>
      <c r="E9116" t="s">
        <v>507</v>
      </c>
      <c r="F9116" t="s">
        <v>1015</v>
      </c>
      <c r="G9116" t="s">
        <v>662</v>
      </c>
      <c r="H9116" t="s">
        <v>694</v>
      </c>
    </row>
    <row r="9117" spans="1:8" x14ac:dyDescent="0.3">
      <c r="A9117" t="s">
        <v>26</v>
      </c>
      <c r="B9117" t="s">
        <v>308</v>
      </c>
      <c r="C9117">
        <v>38</v>
      </c>
      <c r="D9117" t="s">
        <v>526</v>
      </c>
      <c r="E9117" t="s">
        <v>131</v>
      </c>
      <c r="F9117" t="s">
        <v>298</v>
      </c>
      <c r="G9117" t="s">
        <v>103</v>
      </c>
      <c r="H9117" t="s">
        <v>297</v>
      </c>
    </row>
    <row r="9118" spans="1:8" x14ac:dyDescent="0.3">
      <c r="A9118" t="s">
        <v>29</v>
      </c>
      <c r="B9118" t="s">
        <v>311</v>
      </c>
      <c r="C9118">
        <v>414</v>
      </c>
      <c r="D9118" t="s">
        <v>577</v>
      </c>
      <c r="E9118" t="s">
        <v>525</v>
      </c>
      <c r="F9118" t="s">
        <v>1014</v>
      </c>
      <c r="G9118" t="s">
        <v>278</v>
      </c>
      <c r="H9118" t="s">
        <v>441</v>
      </c>
    </row>
    <row r="9119" spans="1:8" x14ac:dyDescent="0.3">
      <c r="A9119" t="s">
        <v>29</v>
      </c>
      <c r="B9119" t="s">
        <v>312</v>
      </c>
      <c r="C9119">
        <v>103</v>
      </c>
      <c r="D9119" t="s">
        <v>695</v>
      </c>
      <c r="E9119" t="s">
        <v>331</v>
      </c>
      <c r="F9119" t="s">
        <v>1023</v>
      </c>
      <c r="G9119" t="s">
        <v>113</v>
      </c>
      <c r="H9119" t="s">
        <v>924</v>
      </c>
    </row>
    <row r="9120" spans="1:8" x14ac:dyDescent="0.3">
      <c r="A9120" t="s">
        <v>29</v>
      </c>
      <c r="B9120" t="s">
        <v>308</v>
      </c>
      <c r="C9120">
        <v>13</v>
      </c>
      <c r="D9120" t="s">
        <v>132</v>
      </c>
      <c r="E9120" t="s">
        <v>99</v>
      </c>
      <c r="F9120" t="s">
        <v>677</v>
      </c>
      <c r="G9120" t="s">
        <v>103</v>
      </c>
      <c r="H9120" t="s">
        <v>678</v>
      </c>
    </row>
    <row r="9121" spans="1:8" x14ac:dyDescent="0.3">
      <c r="A9121" t="s">
        <v>28</v>
      </c>
      <c r="B9121" t="s">
        <v>311</v>
      </c>
      <c r="C9121">
        <v>223</v>
      </c>
      <c r="D9121" t="s">
        <v>943</v>
      </c>
      <c r="E9121" t="s">
        <v>462</v>
      </c>
      <c r="F9121" t="s">
        <v>392</v>
      </c>
      <c r="G9121" t="s">
        <v>482</v>
      </c>
      <c r="H9121" t="s">
        <v>529</v>
      </c>
    </row>
    <row r="9122" spans="1:8" x14ac:dyDescent="0.3">
      <c r="A9122" t="s">
        <v>28</v>
      </c>
      <c r="B9122" t="s">
        <v>312</v>
      </c>
      <c r="C9122">
        <v>93</v>
      </c>
      <c r="D9122" t="s">
        <v>873</v>
      </c>
      <c r="E9122" t="s">
        <v>1208</v>
      </c>
      <c r="F9122" t="s">
        <v>621</v>
      </c>
      <c r="G9122" t="s">
        <v>100</v>
      </c>
      <c r="H9122" t="s">
        <v>705</v>
      </c>
    </row>
    <row r="9123" spans="1:8" x14ac:dyDescent="0.3">
      <c r="A9123" t="s">
        <v>28</v>
      </c>
      <c r="B9123" t="s">
        <v>308</v>
      </c>
      <c r="C9123">
        <v>1</v>
      </c>
      <c r="D9123" t="s">
        <v>192</v>
      </c>
      <c r="E9123" t="s">
        <v>192</v>
      </c>
      <c r="F9123" t="s">
        <v>192</v>
      </c>
      <c r="G9123" t="s">
        <v>103</v>
      </c>
      <c r="H9123" t="s">
        <v>103</v>
      </c>
    </row>
    <row r="9124" spans="1:8" x14ac:dyDescent="0.3">
      <c r="A9124" t="s">
        <v>27</v>
      </c>
      <c r="B9124" t="s">
        <v>311</v>
      </c>
      <c r="C9124">
        <v>237</v>
      </c>
      <c r="D9124" t="s">
        <v>54</v>
      </c>
      <c r="E9124" t="s">
        <v>488</v>
      </c>
      <c r="F9124" t="s">
        <v>504</v>
      </c>
      <c r="G9124" t="s">
        <v>32</v>
      </c>
      <c r="H9124" t="s">
        <v>1278</v>
      </c>
    </row>
    <row r="9125" spans="1:8" x14ac:dyDescent="0.3">
      <c r="A9125" t="s">
        <v>27</v>
      </c>
      <c r="B9125" t="s">
        <v>312</v>
      </c>
      <c r="C9125">
        <v>60</v>
      </c>
      <c r="D9125" t="s">
        <v>743</v>
      </c>
      <c r="E9125" t="s">
        <v>607</v>
      </c>
      <c r="F9125" t="s">
        <v>650</v>
      </c>
      <c r="G9125" t="s">
        <v>118</v>
      </c>
      <c r="H9125" t="s">
        <v>1037</v>
      </c>
    </row>
    <row r="9126" spans="1:8" x14ac:dyDescent="0.3">
      <c r="A9126" t="s">
        <v>27</v>
      </c>
      <c r="B9126" t="s">
        <v>308</v>
      </c>
      <c r="C9126">
        <v>3</v>
      </c>
      <c r="D9126" t="s">
        <v>406</v>
      </c>
      <c r="E9126" t="s">
        <v>943</v>
      </c>
      <c r="F9126" t="s">
        <v>119</v>
      </c>
      <c r="G9126" t="s">
        <v>103</v>
      </c>
      <c r="H9126" t="s">
        <v>103</v>
      </c>
    </row>
    <row r="9127" spans="1:8" x14ac:dyDescent="0.3">
      <c r="A9127" t="s">
        <v>41</v>
      </c>
      <c r="B9127" t="s">
        <v>311</v>
      </c>
      <c r="C9127">
        <v>1541</v>
      </c>
      <c r="D9127" t="s">
        <v>365</v>
      </c>
      <c r="E9127" t="s">
        <v>1204</v>
      </c>
      <c r="F9127" t="s">
        <v>1214</v>
      </c>
      <c r="G9127" t="s">
        <v>511</v>
      </c>
      <c r="H9127" t="s">
        <v>370</v>
      </c>
    </row>
    <row r="9128" spans="1:8" x14ac:dyDescent="0.3">
      <c r="A9128" t="s">
        <v>41</v>
      </c>
      <c r="B9128" t="s">
        <v>312</v>
      </c>
      <c r="C9128">
        <v>432</v>
      </c>
      <c r="D9128" t="s">
        <v>683</v>
      </c>
      <c r="E9128" t="s">
        <v>484</v>
      </c>
      <c r="F9128" t="s">
        <v>357</v>
      </c>
      <c r="G9128" t="s">
        <v>281</v>
      </c>
      <c r="H9128" t="s">
        <v>363</v>
      </c>
    </row>
    <row r="9129" spans="1:8" x14ac:dyDescent="0.3">
      <c r="A9129" t="s">
        <v>41</v>
      </c>
      <c r="B9129" t="s">
        <v>308</v>
      </c>
      <c r="C9129">
        <v>65</v>
      </c>
      <c r="D9129" t="s">
        <v>1198</v>
      </c>
      <c r="E9129" t="s">
        <v>106</v>
      </c>
      <c r="F9129" t="s">
        <v>1236</v>
      </c>
      <c r="G9129" t="s">
        <v>662</v>
      </c>
      <c r="H9129" t="s">
        <v>694</v>
      </c>
    </row>
    <row r="9131" spans="1:8" x14ac:dyDescent="0.3">
      <c r="A9131" t="s">
        <v>2508</v>
      </c>
    </row>
    <row r="9132" spans="1:8" x14ac:dyDescent="0.3">
      <c r="A9132" t="s">
        <v>36</v>
      </c>
      <c r="B9132" t="s">
        <v>197</v>
      </c>
      <c r="C9132" t="s">
        <v>24</v>
      </c>
      <c r="D9132" t="s">
        <v>2502</v>
      </c>
      <c r="E9132" t="s">
        <v>2503</v>
      </c>
      <c r="F9132" t="s">
        <v>2504</v>
      </c>
      <c r="G9132" t="s">
        <v>2505</v>
      </c>
      <c r="H9132" t="s">
        <v>87</v>
      </c>
    </row>
    <row r="9133" spans="1:8" x14ac:dyDescent="0.3">
      <c r="A9133" t="s">
        <v>25</v>
      </c>
      <c r="B9133" t="s">
        <v>198</v>
      </c>
      <c r="C9133">
        <v>104</v>
      </c>
      <c r="D9133" t="s">
        <v>553</v>
      </c>
      <c r="E9133" t="s">
        <v>542</v>
      </c>
      <c r="F9133" t="s">
        <v>669</v>
      </c>
      <c r="G9133" t="s">
        <v>250</v>
      </c>
      <c r="H9133" t="s">
        <v>975</v>
      </c>
    </row>
    <row r="9134" spans="1:8" x14ac:dyDescent="0.3">
      <c r="A9134" t="s">
        <v>25</v>
      </c>
      <c r="B9134" t="s">
        <v>199</v>
      </c>
      <c r="C9134">
        <v>310</v>
      </c>
      <c r="D9134" t="s">
        <v>527</v>
      </c>
      <c r="E9134" t="s">
        <v>873</v>
      </c>
      <c r="F9134" t="s">
        <v>231</v>
      </c>
      <c r="G9134" t="s">
        <v>460</v>
      </c>
      <c r="H9134" t="s">
        <v>935</v>
      </c>
    </row>
    <row r="9135" spans="1:8" x14ac:dyDescent="0.3">
      <c r="A9135" t="s">
        <v>26</v>
      </c>
      <c r="B9135" t="s">
        <v>198</v>
      </c>
      <c r="C9135">
        <v>41</v>
      </c>
      <c r="D9135" t="s">
        <v>440</v>
      </c>
      <c r="E9135" t="s">
        <v>688</v>
      </c>
      <c r="F9135" t="s">
        <v>226</v>
      </c>
      <c r="G9135" t="s">
        <v>137</v>
      </c>
      <c r="H9135" t="s">
        <v>1091</v>
      </c>
    </row>
    <row r="9136" spans="1:8" x14ac:dyDescent="0.3">
      <c r="A9136" t="s">
        <v>26</v>
      </c>
      <c r="B9136" t="s">
        <v>199</v>
      </c>
      <c r="C9136">
        <v>436</v>
      </c>
      <c r="D9136" t="s">
        <v>396</v>
      </c>
      <c r="E9136" t="s">
        <v>542</v>
      </c>
      <c r="F9136" t="s">
        <v>1241</v>
      </c>
      <c r="G9136" t="s">
        <v>232</v>
      </c>
      <c r="H9136" t="s">
        <v>1207</v>
      </c>
    </row>
    <row r="9137" spans="1:8" x14ac:dyDescent="0.3">
      <c r="A9137" t="s">
        <v>29</v>
      </c>
      <c r="B9137" t="s">
        <v>198</v>
      </c>
      <c r="C9137">
        <v>170</v>
      </c>
      <c r="D9137" t="s">
        <v>825</v>
      </c>
      <c r="E9137" t="s">
        <v>789</v>
      </c>
      <c r="F9137" t="s">
        <v>919</v>
      </c>
      <c r="G9137" t="s">
        <v>242</v>
      </c>
      <c r="H9137" t="s">
        <v>1425</v>
      </c>
    </row>
    <row r="9138" spans="1:8" x14ac:dyDescent="0.3">
      <c r="A9138" t="s">
        <v>29</v>
      </c>
      <c r="B9138" t="s">
        <v>199</v>
      </c>
      <c r="C9138">
        <v>360</v>
      </c>
      <c r="D9138" t="s">
        <v>565</v>
      </c>
      <c r="E9138" t="s">
        <v>697</v>
      </c>
      <c r="F9138" t="s">
        <v>670</v>
      </c>
      <c r="G9138" t="s">
        <v>438</v>
      </c>
      <c r="H9138" t="s">
        <v>793</v>
      </c>
    </row>
    <row r="9139" spans="1:8" x14ac:dyDescent="0.3">
      <c r="A9139" t="s">
        <v>28</v>
      </c>
      <c r="B9139" t="s">
        <v>198</v>
      </c>
      <c r="C9139">
        <v>70</v>
      </c>
      <c r="D9139" t="s">
        <v>440</v>
      </c>
      <c r="E9139" t="s">
        <v>560</v>
      </c>
      <c r="F9139" t="s">
        <v>932</v>
      </c>
      <c r="G9139" t="s">
        <v>99</v>
      </c>
      <c r="H9139" t="s">
        <v>391</v>
      </c>
    </row>
    <row r="9140" spans="1:8" x14ac:dyDescent="0.3">
      <c r="A9140" t="s">
        <v>28</v>
      </c>
      <c r="B9140" t="s">
        <v>199</v>
      </c>
      <c r="C9140">
        <v>247</v>
      </c>
      <c r="D9140" t="s">
        <v>791</v>
      </c>
      <c r="E9140" t="s">
        <v>928</v>
      </c>
      <c r="F9140" t="s">
        <v>300</v>
      </c>
      <c r="G9140" t="s">
        <v>737</v>
      </c>
      <c r="H9140" t="s">
        <v>507</v>
      </c>
    </row>
    <row r="9141" spans="1:8" x14ac:dyDescent="0.3">
      <c r="A9141" t="s">
        <v>27</v>
      </c>
      <c r="B9141" t="s">
        <v>198</v>
      </c>
      <c r="C9141">
        <v>136</v>
      </c>
      <c r="D9141" t="s">
        <v>495</v>
      </c>
      <c r="E9141" t="s">
        <v>191</v>
      </c>
      <c r="F9141" t="s">
        <v>577</v>
      </c>
      <c r="G9141" t="s">
        <v>466</v>
      </c>
      <c r="H9141" t="s">
        <v>1329</v>
      </c>
    </row>
    <row r="9142" spans="1:8" x14ac:dyDescent="0.3">
      <c r="A9142" t="s">
        <v>27</v>
      </c>
      <c r="B9142" t="s">
        <v>199</v>
      </c>
      <c r="C9142">
        <v>164</v>
      </c>
      <c r="D9142" t="s">
        <v>273</v>
      </c>
      <c r="E9142" t="s">
        <v>515</v>
      </c>
      <c r="F9142" t="s">
        <v>503</v>
      </c>
      <c r="G9142" t="s">
        <v>217</v>
      </c>
      <c r="H9142" t="s">
        <v>726</v>
      </c>
    </row>
    <row r="9143" spans="1:8" x14ac:dyDescent="0.3">
      <c r="A9143" t="s">
        <v>41</v>
      </c>
      <c r="B9143" t="s">
        <v>198</v>
      </c>
      <c r="C9143">
        <v>521</v>
      </c>
      <c r="D9143" t="s">
        <v>539</v>
      </c>
      <c r="E9143" t="s">
        <v>557</v>
      </c>
      <c r="F9143" t="s">
        <v>666</v>
      </c>
      <c r="G9143" t="s">
        <v>463</v>
      </c>
      <c r="H9143" t="s">
        <v>535</v>
      </c>
    </row>
    <row r="9144" spans="1:8" x14ac:dyDescent="0.3">
      <c r="A9144" t="s">
        <v>41</v>
      </c>
      <c r="B9144" t="s">
        <v>199</v>
      </c>
      <c r="C9144">
        <v>1517</v>
      </c>
      <c r="D9144" t="s">
        <v>919</v>
      </c>
      <c r="E9144" t="s">
        <v>129</v>
      </c>
      <c r="F9144" t="s">
        <v>500</v>
      </c>
      <c r="G9144" t="s">
        <v>278</v>
      </c>
      <c r="H9144" t="s">
        <v>1054</v>
      </c>
    </row>
    <row r="9146" spans="1:8" x14ac:dyDescent="0.3">
      <c r="A9146" t="s">
        <v>2509</v>
      </c>
    </row>
    <row r="9147" spans="1:8" x14ac:dyDescent="0.3">
      <c r="A9147" t="s">
        <v>36</v>
      </c>
      <c r="B9147" t="s">
        <v>1647</v>
      </c>
      <c r="C9147" t="s">
        <v>24</v>
      </c>
      <c r="D9147" t="s">
        <v>2502</v>
      </c>
      <c r="E9147" t="s">
        <v>2503</v>
      </c>
      <c r="F9147" t="s">
        <v>2504</v>
      </c>
      <c r="G9147" t="s">
        <v>2505</v>
      </c>
      <c r="H9147" t="s">
        <v>87</v>
      </c>
    </row>
    <row r="9148" spans="1:8" x14ac:dyDescent="0.3">
      <c r="A9148" t="s">
        <v>25</v>
      </c>
      <c r="B9148" t="s">
        <v>1648</v>
      </c>
      <c r="C9148">
        <v>143</v>
      </c>
      <c r="D9148" t="s">
        <v>363</v>
      </c>
      <c r="E9148" t="s">
        <v>929</v>
      </c>
      <c r="F9148" t="s">
        <v>866</v>
      </c>
      <c r="G9148" t="s">
        <v>809</v>
      </c>
      <c r="H9148" t="s">
        <v>131</v>
      </c>
    </row>
    <row r="9149" spans="1:8" x14ac:dyDescent="0.3">
      <c r="A9149" t="s">
        <v>25</v>
      </c>
      <c r="B9149" t="s">
        <v>1649</v>
      </c>
      <c r="C9149">
        <v>271</v>
      </c>
      <c r="D9149" t="s">
        <v>462</v>
      </c>
      <c r="E9149" t="s">
        <v>512</v>
      </c>
      <c r="F9149" t="s">
        <v>1006</v>
      </c>
      <c r="G9149" t="s">
        <v>543</v>
      </c>
      <c r="H9149" t="s">
        <v>893</v>
      </c>
    </row>
    <row r="9150" spans="1:8" x14ac:dyDescent="0.3">
      <c r="A9150" t="s">
        <v>26</v>
      </c>
      <c r="B9150" t="s">
        <v>1648</v>
      </c>
      <c r="C9150">
        <v>153</v>
      </c>
      <c r="D9150" t="s">
        <v>1089</v>
      </c>
      <c r="E9150" t="s">
        <v>1028</v>
      </c>
      <c r="F9150" t="s">
        <v>1169</v>
      </c>
      <c r="G9150" t="s">
        <v>114</v>
      </c>
      <c r="H9150" t="s">
        <v>131</v>
      </c>
    </row>
    <row r="9151" spans="1:8" x14ac:dyDescent="0.3">
      <c r="A9151" t="s">
        <v>26</v>
      </c>
      <c r="B9151" t="s">
        <v>1649</v>
      </c>
      <c r="C9151">
        <v>324</v>
      </c>
      <c r="D9151" t="s">
        <v>1196</v>
      </c>
      <c r="E9151" t="s">
        <v>688</v>
      </c>
      <c r="F9151" t="s">
        <v>1231</v>
      </c>
      <c r="G9151" t="s">
        <v>60</v>
      </c>
      <c r="H9151" t="s">
        <v>1212</v>
      </c>
    </row>
    <row r="9152" spans="1:8" x14ac:dyDescent="0.3">
      <c r="A9152" t="s">
        <v>29</v>
      </c>
      <c r="B9152" t="s">
        <v>1648</v>
      </c>
      <c r="C9152">
        <v>252</v>
      </c>
      <c r="D9152" t="s">
        <v>698</v>
      </c>
      <c r="E9152" t="s">
        <v>684</v>
      </c>
      <c r="F9152" t="s">
        <v>421</v>
      </c>
      <c r="G9152" t="s">
        <v>101</v>
      </c>
      <c r="H9152" t="s">
        <v>416</v>
      </c>
    </row>
    <row r="9153" spans="1:8" x14ac:dyDescent="0.3">
      <c r="A9153" t="s">
        <v>29</v>
      </c>
      <c r="B9153" t="s">
        <v>1649</v>
      </c>
      <c r="C9153">
        <v>278</v>
      </c>
      <c r="D9153" t="s">
        <v>50</v>
      </c>
      <c r="E9153" t="s">
        <v>268</v>
      </c>
      <c r="F9153" t="s">
        <v>648</v>
      </c>
      <c r="G9153" t="s">
        <v>270</v>
      </c>
      <c r="H9153" t="s">
        <v>260</v>
      </c>
    </row>
    <row r="9154" spans="1:8" x14ac:dyDescent="0.3">
      <c r="A9154" t="s">
        <v>28</v>
      </c>
      <c r="B9154" t="s">
        <v>1648</v>
      </c>
      <c r="C9154">
        <v>77</v>
      </c>
      <c r="D9154" t="s">
        <v>439</v>
      </c>
      <c r="E9154" t="s">
        <v>415</v>
      </c>
      <c r="F9154" t="s">
        <v>808</v>
      </c>
      <c r="G9154" t="s">
        <v>232</v>
      </c>
      <c r="H9154" t="s">
        <v>273</v>
      </c>
    </row>
    <row r="9155" spans="1:8" x14ac:dyDescent="0.3">
      <c r="A9155" t="s">
        <v>28</v>
      </c>
      <c r="B9155" t="s">
        <v>1649</v>
      </c>
      <c r="C9155">
        <v>240</v>
      </c>
      <c r="D9155" t="s">
        <v>1060</v>
      </c>
      <c r="E9155" t="s">
        <v>427</v>
      </c>
      <c r="F9155" t="s">
        <v>363</v>
      </c>
      <c r="G9155" t="s">
        <v>693</v>
      </c>
      <c r="H9155" t="s">
        <v>501</v>
      </c>
    </row>
    <row r="9156" spans="1:8" x14ac:dyDescent="0.3">
      <c r="A9156" t="s">
        <v>27</v>
      </c>
      <c r="B9156" t="s">
        <v>1648</v>
      </c>
      <c r="C9156">
        <v>64</v>
      </c>
      <c r="D9156" t="s">
        <v>503</v>
      </c>
      <c r="E9156" t="s">
        <v>756</v>
      </c>
      <c r="F9156" t="s">
        <v>661</v>
      </c>
      <c r="G9156" t="s">
        <v>543</v>
      </c>
      <c r="H9156" t="s">
        <v>357</v>
      </c>
    </row>
    <row r="9157" spans="1:8" x14ac:dyDescent="0.3">
      <c r="A9157" t="s">
        <v>27</v>
      </c>
      <c r="B9157" t="s">
        <v>1649</v>
      </c>
      <c r="C9157">
        <v>236</v>
      </c>
      <c r="D9157" t="s">
        <v>517</v>
      </c>
      <c r="E9157" t="s">
        <v>890</v>
      </c>
      <c r="F9157" t="s">
        <v>707</v>
      </c>
      <c r="G9157" t="s">
        <v>118</v>
      </c>
      <c r="H9157" t="s">
        <v>1369</v>
      </c>
    </row>
    <row r="9158" spans="1:8" x14ac:dyDescent="0.3">
      <c r="A9158" t="s">
        <v>41</v>
      </c>
      <c r="B9158" t="s">
        <v>1648</v>
      </c>
      <c r="C9158">
        <v>689</v>
      </c>
      <c r="D9158" t="s">
        <v>454</v>
      </c>
      <c r="E9158" t="s">
        <v>1196</v>
      </c>
      <c r="F9158" t="s">
        <v>527</v>
      </c>
      <c r="G9158" t="s">
        <v>100</v>
      </c>
      <c r="H9158" t="s">
        <v>109</v>
      </c>
    </row>
    <row r="9159" spans="1:8" x14ac:dyDescent="0.3">
      <c r="A9159" t="s">
        <v>41</v>
      </c>
      <c r="B9159" t="s">
        <v>1649</v>
      </c>
      <c r="C9159">
        <v>1349</v>
      </c>
      <c r="D9159" t="s">
        <v>429</v>
      </c>
      <c r="E9159" t="s">
        <v>684</v>
      </c>
      <c r="F9159" t="s">
        <v>421</v>
      </c>
      <c r="G9159" t="s">
        <v>452</v>
      </c>
      <c r="H9159" t="s">
        <v>1220</v>
      </c>
    </row>
    <row r="9161" spans="1:8" x14ac:dyDescent="0.3">
      <c r="A9161" t="s">
        <v>2510</v>
      </c>
    </row>
    <row r="9162" spans="1:8" x14ac:dyDescent="0.3">
      <c r="A9162" t="s">
        <v>36</v>
      </c>
      <c r="B9162" t="s">
        <v>2511</v>
      </c>
      <c r="C9162" t="s">
        <v>24</v>
      </c>
      <c r="D9162" t="s">
        <v>2502</v>
      </c>
      <c r="E9162" t="s">
        <v>2503</v>
      </c>
      <c r="F9162" t="s">
        <v>2504</v>
      </c>
      <c r="G9162" t="s">
        <v>2505</v>
      </c>
      <c r="H9162" t="s">
        <v>87</v>
      </c>
    </row>
    <row r="9163" spans="1:8" x14ac:dyDescent="0.3">
      <c r="A9163" t="s">
        <v>25</v>
      </c>
      <c r="B9163" t="s">
        <v>2512</v>
      </c>
      <c r="C9163">
        <v>55</v>
      </c>
      <c r="D9163" t="s">
        <v>839</v>
      </c>
      <c r="E9163" t="s">
        <v>1007</v>
      </c>
      <c r="F9163" t="s">
        <v>704</v>
      </c>
      <c r="G9163" t="s">
        <v>570</v>
      </c>
      <c r="H9163" t="s">
        <v>190</v>
      </c>
    </row>
    <row r="9164" spans="1:8" x14ac:dyDescent="0.3">
      <c r="A9164" t="s">
        <v>25</v>
      </c>
      <c r="B9164" t="s">
        <v>2513</v>
      </c>
      <c r="C9164">
        <v>58</v>
      </c>
      <c r="D9164" t="s">
        <v>1461</v>
      </c>
      <c r="E9164" t="s">
        <v>873</v>
      </c>
      <c r="F9164" t="s">
        <v>1032</v>
      </c>
      <c r="G9164" t="s">
        <v>169</v>
      </c>
      <c r="H9164" t="s">
        <v>259</v>
      </c>
    </row>
    <row r="9165" spans="1:8" s="3" customFormat="1" x14ac:dyDescent="0.3">
      <c r="A9165" s="3" t="s">
        <v>25</v>
      </c>
      <c r="B9165" s="3" t="s">
        <v>2514</v>
      </c>
      <c r="C9165" s="3">
        <v>30</v>
      </c>
      <c r="D9165" s="3" t="s">
        <v>372</v>
      </c>
      <c r="E9165" s="3" t="s">
        <v>358</v>
      </c>
      <c r="F9165" s="3" t="s">
        <v>1361</v>
      </c>
      <c r="G9165" s="3" t="s">
        <v>162</v>
      </c>
      <c r="H9165" s="3" t="s">
        <v>591</v>
      </c>
    </row>
    <row r="9166" spans="1:8" x14ac:dyDescent="0.3">
      <c r="A9166" t="s">
        <v>25</v>
      </c>
      <c r="B9166" t="s">
        <v>2515</v>
      </c>
      <c r="C9166">
        <v>271</v>
      </c>
      <c r="D9166" t="s">
        <v>462</v>
      </c>
      <c r="E9166" t="s">
        <v>512</v>
      </c>
      <c r="F9166" t="s">
        <v>1006</v>
      </c>
      <c r="G9166" t="s">
        <v>543</v>
      </c>
      <c r="H9166" t="s">
        <v>893</v>
      </c>
    </row>
    <row r="9167" spans="1:8" x14ac:dyDescent="0.3">
      <c r="A9167" t="s">
        <v>26</v>
      </c>
      <c r="B9167" t="s">
        <v>2512</v>
      </c>
      <c r="C9167">
        <v>50</v>
      </c>
      <c r="D9167" t="s">
        <v>2185</v>
      </c>
      <c r="E9167" t="s">
        <v>1229</v>
      </c>
      <c r="F9167" t="s">
        <v>1017</v>
      </c>
      <c r="G9167" t="s">
        <v>232</v>
      </c>
      <c r="H9167" t="s">
        <v>132</v>
      </c>
    </row>
    <row r="9168" spans="1:8" x14ac:dyDescent="0.3">
      <c r="A9168" t="s">
        <v>26</v>
      </c>
      <c r="B9168" t="s">
        <v>2513</v>
      </c>
      <c r="C9168">
        <v>55</v>
      </c>
      <c r="D9168" t="s">
        <v>1418</v>
      </c>
      <c r="E9168" t="s">
        <v>353</v>
      </c>
      <c r="F9168" t="s">
        <v>428</v>
      </c>
      <c r="G9168" t="s">
        <v>112</v>
      </c>
      <c r="H9168" t="s">
        <v>536</v>
      </c>
    </row>
    <row r="9169" spans="1:8" x14ac:dyDescent="0.3">
      <c r="A9169" t="s">
        <v>26</v>
      </c>
      <c r="B9169" t="s">
        <v>2514</v>
      </c>
      <c r="C9169">
        <v>48</v>
      </c>
      <c r="D9169" t="s">
        <v>353</v>
      </c>
      <c r="E9169" t="s">
        <v>1229</v>
      </c>
      <c r="F9169" t="s">
        <v>870</v>
      </c>
      <c r="G9169" t="s">
        <v>103</v>
      </c>
      <c r="H9169" t="s">
        <v>544</v>
      </c>
    </row>
    <row r="9170" spans="1:8" x14ac:dyDescent="0.3">
      <c r="A9170" t="s">
        <v>26</v>
      </c>
      <c r="B9170" t="s">
        <v>2515</v>
      </c>
      <c r="C9170">
        <v>324</v>
      </c>
      <c r="D9170" t="s">
        <v>1196</v>
      </c>
      <c r="E9170" t="s">
        <v>688</v>
      </c>
      <c r="F9170" t="s">
        <v>1231</v>
      </c>
      <c r="G9170" t="s">
        <v>60</v>
      </c>
      <c r="H9170" t="s">
        <v>1212</v>
      </c>
    </row>
    <row r="9171" spans="1:8" x14ac:dyDescent="0.3">
      <c r="A9171" t="s">
        <v>29</v>
      </c>
      <c r="B9171" t="s">
        <v>2512</v>
      </c>
      <c r="C9171">
        <v>100</v>
      </c>
      <c r="D9171" t="s">
        <v>250</v>
      </c>
      <c r="E9171" t="s">
        <v>520</v>
      </c>
      <c r="F9171" t="s">
        <v>393</v>
      </c>
      <c r="G9171" t="s">
        <v>101</v>
      </c>
      <c r="H9171" t="s">
        <v>929</v>
      </c>
    </row>
    <row r="9172" spans="1:8" x14ac:dyDescent="0.3">
      <c r="A9172" t="s">
        <v>29</v>
      </c>
      <c r="B9172" t="s">
        <v>2513</v>
      </c>
      <c r="C9172">
        <v>87</v>
      </c>
      <c r="D9172" t="s">
        <v>1043</v>
      </c>
      <c r="E9172" t="s">
        <v>679</v>
      </c>
      <c r="F9172" t="s">
        <v>367</v>
      </c>
      <c r="G9172" t="s">
        <v>94</v>
      </c>
      <c r="H9172" t="s">
        <v>390</v>
      </c>
    </row>
    <row r="9173" spans="1:8" x14ac:dyDescent="0.3">
      <c r="A9173" t="s">
        <v>29</v>
      </c>
      <c r="B9173" t="s">
        <v>2514</v>
      </c>
      <c r="C9173">
        <v>65</v>
      </c>
      <c r="D9173" t="s">
        <v>975</v>
      </c>
      <c r="E9173" t="s">
        <v>472</v>
      </c>
      <c r="F9173" t="s">
        <v>373</v>
      </c>
      <c r="G9173" t="s">
        <v>126</v>
      </c>
      <c r="H9173" t="s">
        <v>411</v>
      </c>
    </row>
    <row r="9174" spans="1:8" x14ac:dyDescent="0.3">
      <c r="A9174" t="s">
        <v>29</v>
      </c>
      <c r="B9174" t="s">
        <v>2515</v>
      </c>
      <c r="C9174">
        <v>278</v>
      </c>
      <c r="D9174" t="s">
        <v>50</v>
      </c>
      <c r="E9174" t="s">
        <v>268</v>
      </c>
      <c r="F9174" t="s">
        <v>648</v>
      </c>
      <c r="G9174" t="s">
        <v>270</v>
      </c>
      <c r="H9174" t="s">
        <v>260</v>
      </c>
    </row>
    <row r="9175" spans="1:8" s="3" customFormat="1" x14ac:dyDescent="0.3">
      <c r="A9175" s="3" t="s">
        <v>28</v>
      </c>
      <c r="B9175" s="3" t="s">
        <v>2512</v>
      </c>
      <c r="C9175" s="3">
        <v>24</v>
      </c>
      <c r="D9175" s="3" t="s">
        <v>229</v>
      </c>
      <c r="E9175" s="3" t="s">
        <v>795</v>
      </c>
      <c r="F9175" s="3" t="s">
        <v>857</v>
      </c>
      <c r="G9175" s="3" t="s">
        <v>93</v>
      </c>
      <c r="H9175" s="3" t="s">
        <v>477</v>
      </c>
    </row>
    <row r="9176" spans="1:8" x14ac:dyDescent="0.3">
      <c r="A9176" t="s">
        <v>28</v>
      </c>
      <c r="B9176" t="s">
        <v>2513</v>
      </c>
      <c r="C9176">
        <v>34</v>
      </c>
      <c r="D9176" t="s">
        <v>255</v>
      </c>
      <c r="E9176" t="s">
        <v>1375</v>
      </c>
      <c r="F9176" t="s">
        <v>165</v>
      </c>
      <c r="G9176" t="s">
        <v>103</v>
      </c>
      <c r="H9176" t="s">
        <v>136</v>
      </c>
    </row>
    <row r="9177" spans="1:8" s="3" customFormat="1" x14ac:dyDescent="0.3">
      <c r="A9177" s="3" t="s">
        <v>28</v>
      </c>
      <c r="B9177" s="3" t="s">
        <v>2514</v>
      </c>
      <c r="C9177" s="3">
        <v>19</v>
      </c>
      <c r="D9177" s="3" t="s">
        <v>1328</v>
      </c>
      <c r="E9177" s="3" t="s">
        <v>464</v>
      </c>
      <c r="F9177" s="3" t="s">
        <v>1025</v>
      </c>
      <c r="G9177" s="3" t="s">
        <v>580</v>
      </c>
      <c r="H9177" s="3" t="s">
        <v>60</v>
      </c>
    </row>
    <row r="9178" spans="1:8" x14ac:dyDescent="0.3">
      <c r="A9178" t="s">
        <v>28</v>
      </c>
      <c r="B9178" t="s">
        <v>2515</v>
      </c>
      <c r="C9178">
        <v>240</v>
      </c>
      <c r="D9178" t="s">
        <v>1060</v>
      </c>
      <c r="E9178" t="s">
        <v>427</v>
      </c>
      <c r="F9178" t="s">
        <v>363</v>
      </c>
      <c r="G9178" t="s">
        <v>693</v>
      </c>
      <c r="H9178" t="s">
        <v>501</v>
      </c>
    </row>
    <row r="9179" spans="1:8" s="3" customFormat="1" x14ac:dyDescent="0.3">
      <c r="A9179" s="3" t="s">
        <v>27</v>
      </c>
      <c r="B9179" s="3" t="s">
        <v>2512</v>
      </c>
      <c r="C9179" s="3">
        <v>23</v>
      </c>
      <c r="D9179" s="3" t="s">
        <v>1212</v>
      </c>
      <c r="E9179" s="3" t="s">
        <v>111</v>
      </c>
      <c r="F9179" s="3" t="s">
        <v>650</v>
      </c>
      <c r="G9179" s="3" t="s">
        <v>737</v>
      </c>
      <c r="H9179" s="3" t="s">
        <v>647</v>
      </c>
    </row>
    <row r="9180" spans="1:8" s="3" customFormat="1" x14ac:dyDescent="0.3">
      <c r="A9180" s="3" t="s">
        <v>27</v>
      </c>
      <c r="B9180" s="3" t="s">
        <v>2513</v>
      </c>
      <c r="C9180" s="3">
        <v>24</v>
      </c>
      <c r="D9180" s="3" t="s">
        <v>175</v>
      </c>
      <c r="E9180" s="3" t="s">
        <v>188</v>
      </c>
      <c r="F9180" s="3" t="s">
        <v>499</v>
      </c>
      <c r="G9180" s="3" t="s">
        <v>680</v>
      </c>
      <c r="H9180" s="3" t="s">
        <v>1054</v>
      </c>
    </row>
    <row r="9181" spans="1:8" s="3" customFormat="1" x14ac:dyDescent="0.3">
      <c r="A9181" s="3" t="s">
        <v>27</v>
      </c>
      <c r="B9181" s="3" t="s">
        <v>2514</v>
      </c>
      <c r="C9181" s="3">
        <v>17</v>
      </c>
      <c r="D9181" s="3" t="s">
        <v>645</v>
      </c>
      <c r="E9181" s="3" t="s">
        <v>1293</v>
      </c>
      <c r="F9181" s="3" t="s">
        <v>690</v>
      </c>
      <c r="G9181" s="3" t="s">
        <v>493</v>
      </c>
      <c r="H9181" s="3" t="s">
        <v>1223</v>
      </c>
    </row>
    <row r="9182" spans="1:8" x14ac:dyDescent="0.3">
      <c r="A9182" t="s">
        <v>27</v>
      </c>
      <c r="B9182" t="s">
        <v>2515</v>
      </c>
      <c r="C9182">
        <v>236</v>
      </c>
      <c r="D9182" t="s">
        <v>517</v>
      </c>
      <c r="E9182" t="s">
        <v>890</v>
      </c>
      <c r="F9182" t="s">
        <v>707</v>
      </c>
      <c r="G9182" t="s">
        <v>118</v>
      </c>
      <c r="H9182" t="s">
        <v>1369</v>
      </c>
    </row>
    <row r="9183" spans="1:8" x14ac:dyDescent="0.3">
      <c r="A9183" t="s">
        <v>41</v>
      </c>
      <c r="B9183" t="s">
        <v>2512</v>
      </c>
      <c r="C9183">
        <v>252</v>
      </c>
      <c r="D9183" t="s">
        <v>407</v>
      </c>
      <c r="E9183" t="s">
        <v>815</v>
      </c>
      <c r="F9183" t="s">
        <v>424</v>
      </c>
      <c r="G9183" t="s">
        <v>90</v>
      </c>
      <c r="H9183" t="s">
        <v>489</v>
      </c>
    </row>
    <row r="9184" spans="1:8" x14ac:dyDescent="0.3">
      <c r="A9184" t="s">
        <v>41</v>
      </c>
      <c r="B9184" t="s">
        <v>2513</v>
      </c>
      <c r="C9184">
        <v>258</v>
      </c>
      <c r="D9184" t="s">
        <v>34</v>
      </c>
      <c r="E9184" t="s">
        <v>1422</v>
      </c>
      <c r="F9184" t="s">
        <v>386</v>
      </c>
      <c r="G9184" t="s">
        <v>460</v>
      </c>
      <c r="H9184" t="s">
        <v>561</v>
      </c>
    </row>
    <row r="9185" spans="1:21" x14ac:dyDescent="0.3">
      <c r="A9185" t="s">
        <v>41</v>
      </c>
      <c r="B9185" t="s">
        <v>2514</v>
      </c>
      <c r="C9185">
        <v>179</v>
      </c>
      <c r="D9185" t="s">
        <v>510</v>
      </c>
      <c r="E9185" t="s">
        <v>1090</v>
      </c>
      <c r="F9185" t="s">
        <v>1039</v>
      </c>
      <c r="G9185" t="s">
        <v>511</v>
      </c>
      <c r="H9185" t="s">
        <v>523</v>
      </c>
    </row>
    <row r="9186" spans="1:21" x14ac:dyDescent="0.3">
      <c r="A9186" t="s">
        <v>41</v>
      </c>
      <c r="B9186" t="s">
        <v>2515</v>
      </c>
      <c r="C9186">
        <v>1349</v>
      </c>
      <c r="D9186" t="s">
        <v>429</v>
      </c>
      <c r="E9186" t="s">
        <v>684</v>
      </c>
      <c r="F9186" t="s">
        <v>421</v>
      </c>
      <c r="G9186" t="s">
        <v>452</v>
      </c>
      <c r="H9186" t="s">
        <v>1220</v>
      </c>
    </row>
    <row r="9188" spans="1:21" x14ac:dyDescent="0.3">
      <c r="A9188" t="s">
        <v>2516</v>
      </c>
    </row>
    <row r="9189" spans="1:21" x14ac:dyDescent="0.3">
      <c r="A9189" t="s">
        <v>36</v>
      </c>
      <c r="B9189" t="s">
        <v>24</v>
      </c>
      <c r="C9189" t="s">
        <v>2482</v>
      </c>
      <c r="D9189" t="s">
        <v>2517</v>
      </c>
      <c r="E9189" t="s">
        <v>2518</v>
      </c>
      <c r="F9189" t="s">
        <v>2519</v>
      </c>
      <c r="G9189" t="s">
        <v>2520</v>
      </c>
      <c r="H9189" t="s">
        <v>2521</v>
      </c>
      <c r="I9189" t="s">
        <v>2491</v>
      </c>
      <c r="J9189" t="s">
        <v>2522</v>
      </c>
      <c r="K9189" t="s">
        <v>2523</v>
      </c>
      <c r="L9189" t="s">
        <v>2524</v>
      </c>
      <c r="M9189" t="s">
        <v>2525</v>
      </c>
      <c r="N9189" t="s">
        <v>2526</v>
      </c>
      <c r="O9189" t="s">
        <v>2527</v>
      </c>
      <c r="P9189" t="s">
        <v>2528</v>
      </c>
      <c r="Q9189" t="s">
        <v>2529</v>
      </c>
      <c r="R9189" t="s">
        <v>2530</v>
      </c>
      <c r="S9189" t="s">
        <v>2531</v>
      </c>
      <c r="T9189" t="s">
        <v>89</v>
      </c>
    </row>
    <row r="9190" spans="1:21" x14ac:dyDescent="0.3">
      <c r="A9190" t="s">
        <v>25</v>
      </c>
      <c r="B9190">
        <v>245</v>
      </c>
      <c r="C9190" t="s">
        <v>325</v>
      </c>
      <c r="D9190" t="s">
        <v>103</v>
      </c>
      <c r="E9190" t="s">
        <v>103</v>
      </c>
      <c r="F9190" t="s">
        <v>103</v>
      </c>
      <c r="G9190" t="s">
        <v>103</v>
      </c>
      <c r="H9190" t="s">
        <v>103</v>
      </c>
      <c r="I9190" t="s">
        <v>103</v>
      </c>
      <c r="J9190" t="s">
        <v>103</v>
      </c>
      <c r="K9190" t="s">
        <v>103</v>
      </c>
      <c r="L9190" t="s">
        <v>103</v>
      </c>
      <c r="M9190" t="s">
        <v>103</v>
      </c>
      <c r="N9190" t="s">
        <v>103</v>
      </c>
      <c r="O9190" t="s">
        <v>116</v>
      </c>
      <c r="P9190" t="s">
        <v>103</v>
      </c>
      <c r="Q9190" t="s">
        <v>103</v>
      </c>
      <c r="R9190" t="s">
        <v>103</v>
      </c>
      <c r="S9190" t="s">
        <v>103</v>
      </c>
      <c r="T9190" t="s">
        <v>97</v>
      </c>
    </row>
    <row r="9191" spans="1:21" x14ac:dyDescent="0.3">
      <c r="A9191" t="s">
        <v>26</v>
      </c>
      <c r="B9191">
        <v>284</v>
      </c>
      <c r="C9191" t="s">
        <v>192</v>
      </c>
      <c r="D9191" t="s">
        <v>103</v>
      </c>
      <c r="E9191" t="s">
        <v>103</v>
      </c>
      <c r="F9191" t="s">
        <v>103</v>
      </c>
      <c r="G9191" t="s">
        <v>103</v>
      </c>
      <c r="H9191" t="s">
        <v>103</v>
      </c>
      <c r="I9191" t="s">
        <v>103</v>
      </c>
      <c r="J9191" t="s">
        <v>103</v>
      </c>
      <c r="K9191" t="s">
        <v>103</v>
      </c>
      <c r="L9191" t="s">
        <v>103</v>
      </c>
      <c r="M9191" t="s">
        <v>103</v>
      </c>
      <c r="N9191" t="s">
        <v>103</v>
      </c>
      <c r="O9191" t="s">
        <v>103</v>
      </c>
      <c r="P9191" t="s">
        <v>103</v>
      </c>
      <c r="Q9191" t="s">
        <v>103</v>
      </c>
      <c r="R9191" t="s">
        <v>103</v>
      </c>
      <c r="S9191" t="s">
        <v>103</v>
      </c>
      <c r="T9191" t="s">
        <v>103</v>
      </c>
    </row>
    <row r="9192" spans="1:21" x14ac:dyDescent="0.3">
      <c r="A9192" t="s">
        <v>29</v>
      </c>
      <c r="B9192">
        <v>206</v>
      </c>
      <c r="C9192" t="s">
        <v>279</v>
      </c>
      <c r="D9192" t="s">
        <v>103</v>
      </c>
      <c r="E9192" t="s">
        <v>208</v>
      </c>
      <c r="F9192" t="s">
        <v>120</v>
      </c>
      <c r="G9192" t="s">
        <v>120</v>
      </c>
      <c r="H9192" t="s">
        <v>103</v>
      </c>
      <c r="I9192" t="s">
        <v>103</v>
      </c>
      <c r="J9192" t="s">
        <v>103</v>
      </c>
      <c r="K9192" t="s">
        <v>103</v>
      </c>
      <c r="L9192" t="s">
        <v>122</v>
      </c>
      <c r="M9192" t="s">
        <v>103</v>
      </c>
      <c r="N9192" t="s">
        <v>103</v>
      </c>
      <c r="O9192" t="s">
        <v>103</v>
      </c>
      <c r="P9192" t="s">
        <v>103</v>
      </c>
      <c r="Q9192" t="s">
        <v>103</v>
      </c>
      <c r="R9192" t="s">
        <v>98</v>
      </c>
      <c r="S9192" t="s">
        <v>194</v>
      </c>
      <c r="T9192" t="s">
        <v>103</v>
      </c>
    </row>
    <row r="9193" spans="1:21" x14ac:dyDescent="0.3">
      <c r="A9193" t="s">
        <v>28</v>
      </c>
      <c r="B9193">
        <v>189</v>
      </c>
      <c r="C9193" t="s">
        <v>852</v>
      </c>
      <c r="D9193" t="s">
        <v>103</v>
      </c>
      <c r="E9193" t="s">
        <v>103</v>
      </c>
      <c r="F9193" t="s">
        <v>103</v>
      </c>
      <c r="G9193" t="s">
        <v>103</v>
      </c>
      <c r="H9193" t="s">
        <v>103</v>
      </c>
      <c r="I9193" t="s">
        <v>103</v>
      </c>
      <c r="J9193" t="s">
        <v>103</v>
      </c>
      <c r="K9193" t="s">
        <v>103</v>
      </c>
      <c r="L9193" t="s">
        <v>128</v>
      </c>
      <c r="M9193" t="s">
        <v>120</v>
      </c>
      <c r="N9193" t="s">
        <v>103</v>
      </c>
      <c r="O9193" t="s">
        <v>103</v>
      </c>
      <c r="P9193" t="s">
        <v>103</v>
      </c>
      <c r="Q9193" t="s">
        <v>103</v>
      </c>
      <c r="R9193" t="s">
        <v>103</v>
      </c>
      <c r="S9193" t="s">
        <v>103</v>
      </c>
      <c r="T9193" t="s">
        <v>103</v>
      </c>
    </row>
    <row r="9194" spans="1:21" x14ac:dyDescent="0.3">
      <c r="A9194" t="s">
        <v>27</v>
      </c>
      <c r="B9194">
        <v>105</v>
      </c>
      <c r="C9194" t="s">
        <v>876</v>
      </c>
      <c r="D9194" t="s">
        <v>103</v>
      </c>
      <c r="E9194" t="s">
        <v>103</v>
      </c>
      <c r="F9194" t="s">
        <v>103</v>
      </c>
      <c r="G9194" t="s">
        <v>103</v>
      </c>
      <c r="H9194" t="s">
        <v>103</v>
      </c>
      <c r="I9194" t="s">
        <v>103</v>
      </c>
      <c r="J9194" t="s">
        <v>282</v>
      </c>
      <c r="K9194" t="s">
        <v>103</v>
      </c>
      <c r="L9194" t="s">
        <v>103</v>
      </c>
      <c r="M9194" t="s">
        <v>103</v>
      </c>
      <c r="N9194" t="s">
        <v>103</v>
      </c>
      <c r="O9194" t="s">
        <v>103</v>
      </c>
      <c r="P9194" t="s">
        <v>103</v>
      </c>
      <c r="Q9194" t="s">
        <v>103</v>
      </c>
      <c r="R9194" t="s">
        <v>103</v>
      </c>
      <c r="S9194" t="s">
        <v>103</v>
      </c>
      <c r="T9194" t="s">
        <v>103</v>
      </c>
    </row>
    <row r="9195" spans="1:21" x14ac:dyDescent="0.3">
      <c r="A9195" t="s">
        <v>41</v>
      </c>
      <c r="B9195">
        <v>1029</v>
      </c>
      <c r="C9195" t="s">
        <v>1176</v>
      </c>
      <c r="D9195" t="s">
        <v>103</v>
      </c>
      <c r="E9195" t="s">
        <v>95</v>
      </c>
      <c r="F9195" t="s">
        <v>66</v>
      </c>
      <c r="G9195" t="s">
        <v>66</v>
      </c>
      <c r="H9195" t="s">
        <v>103</v>
      </c>
      <c r="I9195" t="s">
        <v>103</v>
      </c>
      <c r="J9195" t="s">
        <v>103</v>
      </c>
      <c r="K9195" t="s">
        <v>103</v>
      </c>
      <c r="L9195" t="s">
        <v>116</v>
      </c>
      <c r="M9195" t="s">
        <v>103</v>
      </c>
      <c r="N9195" t="s">
        <v>103</v>
      </c>
      <c r="O9195" t="s">
        <v>91</v>
      </c>
      <c r="P9195" t="s">
        <v>103</v>
      </c>
      <c r="Q9195" t="s">
        <v>103</v>
      </c>
      <c r="R9195" t="s">
        <v>122</v>
      </c>
      <c r="S9195" t="s">
        <v>97</v>
      </c>
      <c r="T9195" t="s">
        <v>91</v>
      </c>
    </row>
    <row r="9197" spans="1:21" x14ac:dyDescent="0.3">
      <c r="A9197" t="s">
        <v>2532</v>
      </c>
    </row>
    <row r="9198" spans="1:21" x14ac:dyDescent="0.3">
      <c r="A9198" t="s">
        <v>36</v>
      </c>
      <c r="B9198" t="s">
        <v>307</v>
      </c>
      <c r="C9198" t="s">
        <v>24</v>
      </c>
      <c r="D9198" t="s">
        <v>2482</v>
      </c>
      <c r="E9198" t="s">
        <v>2517</v>
      </c>
      <c r="F9198" t="s">
        <v>2518</v>
      </c>
      <c r="G9198" t="s">
        <v>2519</v>
      </c>
      <c r="H9198" t="s">
        <v>2520</v>
      </c>
      <c r="I9198" t="s">
        <v>2521</v>
      </c>
      <c r="J9198" t="s">
        <v>2491</v>
      </c>
      <c r="K9198" t="s">
        <v>2522</v>
      </c>
      <c r="L9198" t="s">
        <v>2523</v>
      </c>
      <c r="M9198" t="s">
        <v>2524</v>
      </c>
      <c r="N9198" t="s">
        <v>2525</v>
      </c>
      <c r="O9198" t="s">
        <v>2526</v>
      </c>
      <c r="P9198" t="s">
        <v>2527</v>
      </c>
      <c r="Q9198" t="s">
        <v>2528</v>
      </c>
      <c r="R9198" t="s">
        <v>2529</v>
      </c>
      <c r="S9198" t="s">
        <v>2530</v>
      </c>
      <c r="T9198" t="s">
        <v>2531</v>
      </c>
      <c r="U9198" t="s">
        <v>89</v>
      </c>
    </row>
    <row r="9199" spans="1:21" x14ac:dyDescent="0.3">
      <c r="A9199" t="s">
        <v>25</v>
      </c>
      <c r="B9199" t="s">
        <v>291</v>
      </c>
      <c r="C9199">
        <v>85</v>
      </c>
      <c r="D9199" t="s">
        <v>192</v>
      </c>
      <c r="E9199" t="s">
        <v>103</v>
      </c>
      <c r="F9199" t="s">
        <v>103</v>
      </c>
      <c r="G9199" t="s">
        <v>103</v>
      </c>
      <c r="H9199" t="s">
        <v>103</v>
      </c>
      <c r="I9199" t="s">
        <v>103</v>
      </c>
      <c r="J9199" t="s">
        <v>103</v>
      </c>
      <c r="K9199" t="s">
        <v>103</v>
      </c>
      <c r="L9199" t="s">
        <v>103</v>
      </c>
      <c r="M9199" t="s">
        <v>103</v>
      </c>
      <c r="N9199" t="s">
        <v>103</v>
      </c>
      <c r="O9199" t="s">
        <v>103</v>
      </c>
      <c r="P9199" t="s">
        <v>103</v>
      </c>
      <c r="Q9199" t="s">
        <v>103</v>
      </c>
      <c r="R9199" t="s">
        <v>103</v>
      </c>
      <c r="S9199" t="s">
        <v>103</v>
      </c>
      <c r="T9199" t="s">
        <v>103</v>
      </c>
      <c r="U9199" t="s">
        <v>103</v>
      </c>
    </row>
    <row r="9200" spans="1:21" x14ac:dyDescent="0.3">
      <c r="A9200" t="s">
        <v>25</v>
      </c>
      <c r="B9200" t="s">
        <v>292</v>
      </c>
      <c r="C9200">
        <v>157</v>
      </c>
      <c r="D9200" t="s">
        <v>954</v>
      </c>
      <c r="E9200" t="s">
        <v>91</v>
      </c>
      <c r="F9200" t="s">
        <v>103</v>
      </c>
      <c r="G9200" t="s">
        <v>103</v>
      </c>
      <c r="H9200" t="s">
        <v>103</v>
      </c>
      <c r="I9200" t="s">
        <v>103</v>
      </c>
      <c r="J9200" t="s">
        <v>103</v>
      </c>
      <c r="K9200" t="s">
        <v>103</v>
      </c>
      <c r="L9200" t="s">
        <v>103</v>
      </c>
      <c r="M9200" t="s">
        <v>103</v>
      </c>
      <c r="N9200" t="s">
        <v>103</v>
      </c>
      <c r="O9200" t="s">
        <v>103</v>
      </c>
      <c r="P9200" t="s">
        <v>97</v>
      </c>
      <c r="Q9200" t="s">
        <v>103</v>
      </c>
      <c r="R9200" t="s">
        <v>103</v>
      </c>
      <c r="S9200" t="s">
        <v>103</v>
      </c>
      <c r="T9200" t="s">
        <v>103</v>
      </c>
      <c r="U9200" t="s">
        <v>95</v>
      </c>
    </row>
    <row r="9201" spans="1:21" x14ac:dyDescent="0.3">
      <c r="A9201" t="s">
        <v>25</v>
      </c>
      <c r="B9201" t="s">
        <v>308</v>
      </c>
      <c r="C9201">
        <v>3</v>
      </c>
      <c r="D9201" t="s">
        <v>192</v>
      </c>
      <c r="E9201" t="s">
        <v>103</v>
      </c>
      <c r="F9201" t="s">
        <v>103</v>
      </c>
      <c r="G9201" t="s">
        <v>103</v>
      </c>
      <c r="H9201" t="s">
        <v>103</v>
      </c>
      <c r="I9201" t="s">
        <v>103</v>
      </c>
      <c r="J9201" t="s">
        <v>103</v>
      </c>
      <c r="K9201" t="s">
        <v>103</v>
      </c>
      <c r="L9201" t="s">
        <v>103</v>
      </c>
      <c r="M9201" t="s">
        <v>103</v>
      </c>
      <c r="N9201" t="s">
        <v>103</v>
      </c>
      <c r="O9201" t="s">
        <v>103</v>
      </c>
      <c r="P9201" t="s">
        <v>103</v>
      </c>
      <c r="Q9201" t="s">
        <v>103</v>
      </c>
      <c r="R9201" t="s">
        <v>103</v>
      </c>
      <c r="S9201" t="s">
        <v>103</v>
      </c>
      <c r="T9201" t="s">
        <v>103</v>
      </c>
      <c r="U9201" t="s">
        <v>103</v>
      </c>
    </row>
    <row r="9202" spans="1:21" x14ac:dyDescent="0.3">
      <c r="A9202" t="s">
        <v>26</v>
      </c>
      <c r="B9202" t="s">
        <v>291</v>
      </c>
      <c r="C9202">
        <v>65</v>
      </c>
      <c r="D9202" t="s">
        <v>192</v>
      </c>
      <c r="E9202" t="s">
        <v>103</v>
      </c>
      <c r="F9202" t="s">
        <v>103</v>
      </c>
      <c r="G9202" t="s">
        <v>103</v>
      </c>
      <c r="H9202" t="s">
        <v>103</v>
      </c>
      <c r="I9202" t="s">
        <v>103</v>
      </c>
      <c r="J9202" t="s">
        <v>103</v>
      </c>
      <c r="K9202" t="s">
        <v>103</v>
      </c>
      <c r="L9202" t="s">
        <v>103</v>
      </c>
      <c r="M9202" t="s">
        <v>103</v>
      </c>
      <c r="N9202" t="s">
        <v>103</v>
      </c>
      <c r="O9202" t="s">
        <v>103</v>
      </c>
      <c r="P9202" t="s">
        <v>103</v>
      </c>
      <c r="Q9202" t="s">
        <v>103</v>
      </c>
      <c r="R9202" t="s">
        <v>103</v>
      </c>
      <c r="S9202" t="s">
        <v>103</v>
      </c>
      <c r="T9202" t="s">
        <v>103</v>
      </c>
      <c r="U9202" t="s">
        <v>103</v>
      </c>
    </row>
    <row r="9203" spans="1:21" x14ac:dyDescent="0.3">
      <c r="A9203" t="s">
        <v>26</v>
      </c>
      <c r="B9203" t="s">
        <v>292</v>
      </c>
      <c r="C9203">
        <v>217</v>
      </c>
      <c r="D9203" t="s">
        <v>192</v>
      </c>
      <c r="E9203" t="s">
        <v>103</v>
      </c>
      <c r="F9203" t="s">
        <v>103</v>
      </c>
      <c r="G9203" t="s">
        <v>103</v>
      </c>
      <c r="H9203" t="s">
        <v>103</v>
      </c>
      <c r="I9203" t="s">
        <v>103</v>
      </c>
      <c r="J9203" t="s">
        <v>103</v>
      </c>
      <c r="K9203" t="s">
        <v>103</v>
      </c>
      <c r="L9203" t="s">
        <v>103</v>
      </c>
      <c r="M9203" t="s">
        <v>103</v>
      </c>
      <c r="N9203" t="s">
        <v>103</v>
      </c>
      <c r="O9203" t="s">
        <v>103</v>
      </c>
      <c r="P9203" t="s">
        <v>103</v>
      </c>
      <c r="Q9203" t="s">
        <v>103</v>
      </c>
      <c r="R9203" t="s">
        <v>103</v>
      </c>
      <c r="S9203" t="s">
        <v>103</v>
      </c>
      <c r="T9203" t="s">
        <v>103</v>
      </c>
      <c r="U9203" t="s">
        <v>103</v>
      </c>
    </row>
    <row r="9204" spans="1:21" x14ac:dyDescent="0.3">
      <c r="A9204" t="s">
        <v>26</v>
      </c>
      <c r="B9204" t="s">
        <v>308</v>
      </c>
      <c r="C9204">
        <v>2</v>
      </c>
      <c r="D9204" t="s">
        <v>192</v>
      </c>
      <c r="E9204" t="s">
        <v>103</v>
      </c>
      <c r="F9204" t="s">
        <v>103</v>
      </c>
      <c r="G9204" t="s">
        <v>103</v>
      </c>
      <c r="H9204" t="s">
        <v>103</v>
      </c>
      <c r="I9204" t="s">
        <v>103</v>
      </c>
      <c r="J9204" t="s">
        <v>103</v>
      </c>
      <c r="K9204" t="s">
        <v>103</v>
      </c>
      <c r="L9204" t="s">
        <v>103</v>
      </c>
      <c r="M9204" t="s">
        <v>103</v>
      </c>
      <c r="N9204" t="s">
        <v>103</v>
      </c>
      <c r="O9204" t="s">
        <v>103</v>
      </c>
      <c r="P9204" t="s">
        <v>103</v>
      </c>
      <c r="Q9204" t="s">
        <v>103</v>
      </c>
      <c r="R9204" t="s">
        <v>103</v>
      </c>
      <c r="S9204" t="s">
        <v>103</v>
      </c>
      <c r="T9204" t="s">
        <v>103</v>
      </c>
      <c r="U9204" t="s">
        <v>103</v>
      </c>
    </row>
    <row r="9205" spans="1:21" x14ac:dyDescent="0.3">
      <c r="A9205" t="s">
        <v>29</v>
      </c>
      <c r="B9205" t="s">
        <v>291</v>
      </c>
      <c r="C9205">
        <v>67</v>
      </c>
      <c r="D9205" t="s">
        <v>867</v>
      </c>
      <c r="E9205" t="s">
        <v>103</v>
      </c>
      <c r="F9205" t="s">
        <v>103</v>
      </c>
      <c r="G9205" t="s">
        <v>103</v>
      </c>
      <c r="H9205" t="s">
        <v>208</v>
      </c>
      <c r="I9205" t="s">
        <v>103</v>
      </c>
      <c r="J9205" t="s">
        <v>103</v>
      </c>
      <c r="K9205" t="s">
        <v>103</v>
      </c>
      <c r="L9205" t="s">
        <v>103</v>
      </c>
      <c r="M9205" t="s">
        <v>103</v>
      </c>
      <c r="N9205" t="s">
        <v>103</v>
      </c>
      <c r="O9205" t="s">
        <v>103</v>
      </c>
      <c r="P9205" t="s">
        <v>103</v>
      </c>
      <c r="Q9205" t="s">
        <v>103</v>
      </c>
      <c r="R9205" t="s">
        <v>103</v>
      </c>
      <c r="S9205" t="s">
        <v>239</v>
      </c>
      <c r="T9205" t="s">
        <v>239</v>
      </c>
      <c r="U9205" t="s">
        <v>103</v>
      </c>
    </row>
    <row r="9206" spans="1:21" x14ac:dyDescent="0.3">
      <c r="A9206" t="s">
        <v>29</v>
      </c>
      <c r="B9206" t="s">
        <v>292</v>
      </c>
      <c r="C9206">
        <v>139</v>
      </c>
      <c r="D9206" t="s">
        <v>896</v>
      </c>
      <c r="E9206" t="s">
        <v>103</v>
      </c>
      <c r="F9206" t="s">
        <v>270</v>
      </c>
      <c r="G9206" t="s">
        <v>98</v>
      </c>
      <c r="H9206" t="s">
        <v>103</v>
      </c>
      <c r="I9206" t="s">
        <v>103</v>
      </c>
      <c r="J9206" t="s">
        <v>103</v>
      </c>
      <c r="K9206" t="s">
        <v>103</v>
      </c>
      <c r="L9206" t="s">
        <v>103</v>
      </c>
      <c r="M9206" t="s">
        <v>120</v>
      </c>
      <c r="N9206" t="s">
        <v>103</v>
      </c>
      <c r="O9206" t="s">
        <v>103</v>
      </c>
      <c r="P9206" t="s">
        <v>103</v>
      </c>
      <c r="Q9206" t="s">
        <v>103</v>
      </c>
      <c r="R9206" t="s">
        <v>103</v>
      </c>
      <c r="S9206" t="s">
        <v>95</v>
      </c>
      <c r="T9206" t="s">
        <v>468</v>
      </c>
      <c r="U9206" t="s">
        <v>103</v>
      </c>
    </row>
    <row r="9207" spans="1:21" x14ac:dyDescent="0.3">
      <c r="A9207" t="s">
        <v>28</v>
      </c>
      <c r="B9207" t="s">
        <v>291</v>
      </c>
      <c r="C9207">
        <v>55</v>
      </c>
      <c r="D9207" t="s">
        <v>283</v>
      </c>
      <c r="E9207" t="s">
        <v>103</v>
      </c>
      <c r="F9207" t="s">
        <v>103</v>
      </c>
      <c r="G9207" t="s">
        <v>103</v>
      </c>
      <c r="H9207" t="s">
        <v>103</v>
      </c>
      <c r="I9207" t="s">
        <v>103</v>
      </c>
      <c r="J9207" t="s">
        <v>103</v>
      </c>
      <c r="K9207" t="s">
        <v>103</v>
      </c>
      <c r="L9207" t="s">
        <v>103</v>
      </c>
      <c r="M9207" t="s">
        <v>108</v>
      </c>
      <c r="N9207" t="s">
        <v>329</v>
      </c>
      <c r="O9207" t="s">
        <v>103</v>
      </c>
      <c r="P9207" t="s">
        <v>103</v>
      </c>
      <c r="Q9207" t="s">
        <v>103</v>
      </c>
      <c r="R9207" t="s">
        <v>103</v>
      </c>
      <c r="S9207" t="s">
        <v>103</v>
      </c>
      <c r="T9207" t="s">
        <v>103</v>
      </c>
      <c r="U9207" t="s">
        <v>103</v>
      </c>
    </row>
    <row r="9208" spans="1:21" x14ac:dyDescent="0.3">
      <c r="A9208" t="s">
        <v>28</v>
      </c>
      <c r="B9208" t="s">
        <v>292</v>
      </c>
      <c r="C9208">
        <v>128</v>
      </c>
      <c r="D9208" t="s">
        <v>192</v>
      </c>
      <c r="E9208" t="s">
        <v>103</v>
      </c>
      <c r="F9208" t="s">
        <v>103</v>
      </c>
      <c r="G9208" t="s">
        <v>103</v>
      </c>
      <c r="H9208" t="s">
        <v>103</v>
      </c>
      <c r="I9208" t="s">
        <v>103</v>
      </c>
      <c r="J9208" t="s">
        <v>103</v>
      </c>
      <c r="K9208" t="s">
        <v>103</v>
      </c>
      <c r="L9208" t="s">
        <v>103</v>
      </c>
      <c r="M9208" t="s">
        <v>103</v>
      </c>
      <c r="N9208" t="s">
        <v>103</v>
      </c>
      <c r="O9208" t="s">
        <v>103</v>
      </c>
      <c r="P9208" t="s">
        <v>103</v>
      </c>
      <c r="Q9208" t="s">
        <v>103</v>
      </c>
      <c r="R9208" t="s">
        <v>103</v>
      </c>
      <c r="S9208" t="s">
        <v>103</v>
      </c>
      <c r="T9208" t="s">
        <v>103</v>
      </c>
      <c r="U9208" t="s">
        <v>103</v>
      </c>
    </row>
    <row r="9209" spans="1:21" x14ac:dyDescent="0.3">
      <c r="A9209" t="s">
        <v>28</v>
      </c>
      <c r="B9209" t="s">
        <v>308</v>
      </c>
      <c r="C9209">
        <v>6</v>
      </c>
      <c r="D9209" t="s">
        <v>192</v>
      </c>
      <c r="E9209" t="s">
        <v>103</v>
      </c>
      <c r="F9209" t="s">
        <v>103</v>
      </c>
      <c r="G9209" t="s">
        <v>103</v>
      </c>
      <c r="H9209" t="s">
        <v>103</v>
      </c>
      <c r="I9209" t="s">
        <v>103</v>
      </c>
      <c r="J9209" t="s">
        <v>103</v>
      </c>
      <c r="K9209" t="s">
        <v>103</v>
      </c>
      <c r="L9209" t="s">
        <v>103</v>
      </c>
      <c r="M9209" t="s">
        <v>103</v>
      </c>
      <c r="N9209" t="s">
        <v>103</v>
      </c>
      <c r="O9209" t="s">
        <v>103</v>
      </c>
      <c r="P9209" t="s">
        <v>103</v>
      </c>
      <c r="Q9209" t="s">
        <v>103</v>
      </c>
      <c r="R9209" t="s">
        <v>103</v>
      </c>
      <c r="S9209" t="s">
        <v>103</v>
      </c>
      <c r="T9209" t="s">
        <v>103</v>
      </c>
      <c r="U9209" t="s">
        <v>103</v>
      </c>
    </row>
    <row r="9210" spans="1:21" s="3" customFormat="1" x14ac:dyDescent="0.3">
      <c r="A9210" s="3" t="s">
        <v>27</v>
      </c>
      <c r="B9210" s="3" t="s">
        <v>291</v>
      </c>
      <c r="C9210" s="3">
        <v>22</v>
      </c>
      <c r="D9210" s="3" t="s">
        <v>192</v>
      </c>
      <c r="E9210" s="3" t="s">
        <v>103</v>
      </c>
      <c r="F9210" s="3" t="s">
        <v>103</v>
      </c>
      <c r="G9210" s="3" t="s">
        <v>103</v>
      </c>
      <c r="H9210" s="3" t="s">
        <v>103</v>
      </c>
      <c r="I9210" s="3" t="s">
        <v>103</v>
      </c>
      <c r="J9210" s="3" t="s">
        <v>103</v>
      </c>
      <c r="K9210" s="3" t="s">
        <v>103</v>
      </c>
      <c r="L9210" s="3" t="s">
        <v>103</v>
      </c>
      <c r="M9210" s="3" t="s">
        <v>103</v>
      </c>
      <c r="N9210" s="3" t="s">
        <v>103</v>
      </c>
      <c r="O9210" s="3" t="s">
        <v>103</v>
      </c>
      <c r="P9210" s="3" t="s">
        <v>103</v>
      </c>
      <c r="Q9210" s="3" t="s">
        <v>103</v>
      </c>
      <c r="R9210" s="3" t="s">
        <v>103</v>
      </c>
      <c r="S9210" s="3" t="s">
        <v>103</v>
      </c>
      <c r="T9210" s="3" t="s">
        <v>103</v>
      </c>
      <c r="U9210" s="3" t="s">
        <v>103</v>
      </c>
    </row>
    <row r="9211" spans="1:21" x14ac:dyDescent="0.3">
      <c r="A9211" t="s">
        <v>27</v>
      </c>
      <c r="B9211" t="s">
        <v>292</v>
      </c>
      <c r="C9211">
        <v>81</v>
      </c>
      <c r="D9211" t="s">
        <v>954</v>
      </c>
      <c r="E9211" t="s">
        <v>103</v>
      </c>
      <c r="F9211" t="s">
        <v>103</v>
      </c>
      <c r="G9211" t="s">
        <v>103</v>
      </c>
      <c r="H9211" t="s">
        <v>103</v>
      </c>
      <c r="I9211" t="s">
        <v>103</v>
      </c>
      <c r="J9211" t="s">
        <v>103</v>
      </c>
      <c r="K9211" t="s">
        <v>468</v>
      </c>
      <c r="L9211" t="s">
        <v>103</v>
      </c>
      <c r="M9211" t="s">
        <v>103</v>
      </c>
      <c r="N9211" t="s">
        <v>103</v>
      </c>
      <c r="O9211" t="s">
        <v>103</v>
      </c>
      <c r="P9211" t="s">
        <v>103</v>
      </c>
      <c r="Q9211" t="s">
        <v>103</v>
      </c>
      <c r="R9211" t="s">
        <v>103</v>
      </c>
      <c r="S9211" t="s">
        <v>103</v>
      </c>
      <c r="T9211" t="s">
        <v>103</v>
      </c>
      <c r="U9211" t="s">
        <v>103</v>
      </c>
    </row>
    <row r="9212" spans="1:21" x14ac:dyDescent="0.3">
      <c r="A9212" t="s">
        <v>27</v>
      </c>
      <c r="B9212" t="s">
        <v>308</v>
      </c>
      <c r="C9212">
        <v>2</v>
      </c>
      <c r="D9212" t="s">
        <v>192</v>
      </c>
      <c r="E9212" t="s">
        <v>103</v>
      </c>
      <c r="F9212" t="s">
        <v>103</v>
      </c>
      <c r="G9212" t="s">
        <v>103</v>
      </c>
      <c r="H9212" t="s">
        <v>103</v>
      </c>
      <c r="I9212" t="s">
        <v>103</v>
      </c>
      <c r="J9212" t="s">
        <v>103</v>
      </c>
      <c r="K9212" t="s">
        <v>103</v>
      </c>
      <c r="L9212" t="s">
        <v>103</v>
      </c>
      <c r="M9212" t="s">
        <v>103</v>
      </c>
      <c r="N9212" t="s">
        <v>103</v>
      </c>
      <c r="O9212" t="s">
        <v>103</v>
      </c>
      <c r="P9212" t="s">
        <v>103</v>
      </c>
      <c r="Q9212" t="s">
        <v>103</v>
      </c>
      <c r="R9212" t="s">
        <v>103</v>
      </c>
      <c r="S9212" t="s">
        <v>103</v>
      </c>
      <c r="T9212" t="s">
        <v>103</v>
      </c>
      <c r="U9212" t="s">
        <v>103</v>
      </c>
    </row>
    <row r="9213" spans="1:21" x14ac:dyDescent="0.3">
      <c r="A9213" t="s">
        <v>41</v>
      </c>
      <c r="B9213" t="s">
        <v>291</v>
      </c>
      <c r="C9213">
        <v>294</v>
      </c>
      <c r="D9213" t="s">
        <v>342</v>
      </c>
      <c r="E9213" t="s">
        <v>103</v>
      </c>
      <c r="F9213" t="s">
        <v>103</v>
      </c>
      <c r="G9213" t="s">
        <v>103</v>
      </c>
      <c r="H9213" t="s">
        <v>139</v>
      </c>
      <c r="I9213" t="s">
        <v>103</v>
      </c>
      <c r="J9213" t="s">
        <v>103</v>
      </c>
      <c r="K9213" t="s">
        <v>103</v>
      </c>
      <c r="L9213" t="s">
        <v>103</v>
      </c>
      <c r="M9213" t="s">
        <v>122</v>
      </c>
      <c r="N9213" t="s">
        <v>91</v>
      </c>
      <c r="O9213" t="s">
        <v>103</v>
      </c>
      <c r="P9213" t="s">
        <v>103</v>
      </c>
      <c r="Q9213" t="s">
        <v>103</v>
      </c>
      <c r="R9213" t="s">
        <v>103</v>
      </c>
      <c r="S9213" t="s">
        <v>120</v>
      </c>
      <c r="T9213" t="s">
        <v>120</v>
      </c>
      <c r="U9213" t="s">
        <v>103</v>
      </c>
    </row>
    <row r="9214" spans="1:21" x14ac:dyDescent="0.3">
      <c r="A9214" t="s">
        <v>41</v>
      </c>
      <c r="B9214" t="s">
        <v>292</v>
      </c>
      <c r="C9214">
        <v>722</v>
      </c>
      <c r="D9214" t="s">
        <v>852</v>
      </c>
      <c r="E9214" t="s">
        <v>103</v>
      </c>
      <c r="F9214" t="s">
        <v>345</v>
      </c>
      <c r="G9214" t="s">
        <v>116</v>
      </c>
      <c r="H9214" t="s">
        <v>103</v>
      </c>
      <c r="I9214" t="s">
        <v>103</v>
      </c>
      <c r="J9214" t="s">
        <v>103</v>
      </c>
      <c r="K9214" t="s">
        <v>103</v>
      </c>
      <c r="L9214" t="s">
        <v>103</v>
      </c>
      <c r="M9214" t="s">
        <v>66</v>
      </c>
      <c r="N9214" t="s">
        <v>103</v>
      </c>
      <c r="O9214" t="s">
        <v>103</v>
      </c>
      <c r="P9214" t="s">
        <v>91</v>
      </c>
      <c r="Q9214" t="s">
        <v>103</v>
      </c>
      <c r="R9214" t="s">
        <v>103</v>
      </c>
      <c r="S9214" t="s">
        <v>116</v>
      </c>
      <c r="T9214" t="s">
        <v>97</v>
      </c>
      <c r="U9214" t="s">
        <v>66</v>
      </c>
    </row>
    <row r="9215" spans="1:21" x14ac:dyDescent="0.3">
      <c r="A9215" t="s">
        <v>41</v>
      </c>
      <c r="B9215" t="s">
        <v>308</v>
      </c>
      <c r="C9215">
        <v>13</v>
      </c>
      <c r="D9215" t="s">
        <v>192</v>
      </c>
      <c r="E9215" t="s">
        <v>103</v>
      </c>
      <c r="F9215" t="s">
        <v>103</v>
      </c>
      <c r="G9215" t="s">
        <v>103</v>
      </c>
      <c r="H9215" t="s">
        <v>103</v>
      </c>
      <c r="I9215" t="s">
        <v>103</v>
      </c>
      <c r="J9215" t="s">
        <v>103</v>
      </c>
      <c r="K9215" t="s">
        <v>103</v>
      </c>
      <c r="L9215" t="s">
        <v>103</v>
      </c>
      <c r="M9215" t="s">
        <v>103</v>
      </c>
      <c r="N9215" t="s">
        <v>103</v>
      </c>
      <c r="O9215" t="s">
        <v>103</v>
      </c>
      <c r="P9215" t="s">
        <v>103</v>
      </c>
      <c r="Q9215" t="s">
        <v>103</v>
      </c>
      <c r="R9215" t="s">
        <v>103</v>
      </c>
      <c r="S9215" t="s">
        <v>103</v>
      </c>
      <c r="T9215" t="s">
        <v>103</v>
      </c>
      <c r="U9215" t="s">
        <v>103</v>
      </c>
    </row>
    <row r="9217" spans="1:21" x14ac:dyDescent="0.3">
      <c r="A9217" t="s">
        <v>2533</v>
      </c>
    </row>
    <row r="9218" spans="1:21" x14ac:dyDescent="0.3">
      <c r="A9218" t="s">
        <v>36</v>
      </c>
      <c r="B9218" t="s">
        <v>310</v>
      </c>
      <c r="C9218" t="s">
        <v>24</v>
      </c>
      <c r="D9218" t="s">
        <v>2482</v>
      </c>
      <c r="E9218" t="s">
        <v>2517</v>
      </c>
      <c r="F9218" t="s">
        <v>2518</v>
      </c>
      <c r="G9218" t="s">
        <v>2519</v>
      </c>
      <c r="H9218" t="s">
        <v>2520</v>
      </c>
      <c r="I9218" t="s">
        <v>2521</v>
      </c>
      <c r="J9218" t="s">
        <v>2491</v>
      </c>
      <c r="K9218" t="s">
        <v>2522</v>
      </c>
      <c r="L9218" t="s">
        <v>2523</v>
      </c>
      <c r="M9218" t="s">
        <v>2524</v>
      </c>
      <c r="N9218" t="s">
        <v>2525</v>
      </c>
      <c r="O9218" t="s">
        <v>2526</v>
      </c>
      <c r="P9218" t="s">
        <v>2527</v>
      </c>
      <c r="Q9218" t="s">
        <v>2528</v>
      </c>
      <c r="R9218" t="s">
        <v>2529</v>
      </c>
      <c r="S9218" t="s">
        <v>2530</v>
      </c>
      <c r="T9218" t="s">
        <v>2531</v>
      </c>
      <c r="U9218" t="s">
        <v>89</v>
      </c>
    </row>
    <row r="9219" spans="1:21" x14ac:dyDescent="0.3">
      <c r="A9219" t="s">
        <v>25</v>
      </c>
      <c r="B9219" t="s">
        <v>311</v>
      </c>
      <c r="C9219">
        <v>198</v>
      </c>
      <c r="D9219" t="s">
        <v>950</v>
      </c>
      <c r="E9219" t="s">
        <v>91</v>
      </c>
      <c r="F9219" t="s">
        <v>103</v>
      </c>
      <c r="G9219" t="s">
        <v>103</v>
      </c>
      <c r="H9219" t="s">
        <v>103</v>
      </c>
      <c r="I9219" t="s">
        <v>103</v>
      </c>
      <c r="J9219" t="s">
        <v>103</v>
      </c>
      <c r="K9219" t="s">
        <v>103</v>
      </c>
      <c r="L9219" t="s">
        <v>103</v>
      </c>
      <c r="M9219" t="s">
        <v>103</v>
      </c>
      <c r="N9219" t="s">
        <v>103</v>
      </c>
      <c r="O9219" t="s">
        <v>103</v>
      </c>
      <c r="P9219" t="s">
        <v>122</v>
      </c>
      <c r="Q9219" t="s">
        <v>103</v>
      </c>
      <c r="R9219" t="s">
        <v>103</v>
      </c>
      <c r="S9219" t="s">
        <v>103</v>
      </c>
      <c r="T9219" t="s">
        <v>103</v>
      </c>
      <c r="U9219" t="s">
        <v>120</v>
      </c>
    </row>
    <row r="9220" spans="1:21" x14ac:dyDescent="0.3">
      <c r="A9220" t="s">
        <v>25</v>
      </c>
      <c r="B9220" t="s">
        <v>312</v>
      </c>
      <c r="C9220">
        <v>42</v>
      </c>
      <c r="D9220" t="s">
        <v>192</v>
      </c>
      <c r="E9220" t="s">
        <v>103</v>
      </c>
      <c r="F9220" t="s">
        <v>103</v>
      </c>
      <c r="G9220" t="s">
        <v>103</v>
      </c>
      <c r="H9220" t="s">
        <v>103</v>
      </c>
      <c r="I9220" t="s">
        <v>103</v>
      </c>
      <c r="J9220" t="s">
        <v>103</v>
      </c>
      <c r="K9220" t="s">
        <v>103</v>
      </c>
      <c r="L9220" t="s">
        <v>103</v>
      </c>
      <c r="M9220" t="s">
        <v>103</v>
      </c>
      <c r="N9220" t="s">
        <v>103</v>
      </c>
      <c r="O9220" t="s">
        <v>103</v>
      </c>
      <c r="P9220" t="s">
        <v>103</v>
      </c>
      <c r="Q9220" t="s">
        <v>103</v>
      </c>
      <c r="R9220" t="s">
        <v>103</v>
      </c>
      <c r="S9220" t="s">
        <v>103</v>
      </c>
      <c r="T9220" t="s">
        <v>103</v>
      </c>
      <c r="U9220" t="s">
        <v>103</v>
      </c>
    </row>
    <row r="9221" spans="1:21" x14ac:dyDescent="0.3">
      <c r="A9221" t="s">
        <v>25</v>
      </c>
      <c r="B9221" t="s">
        <v>308</v>
      </c>
      <c r="C9221">
        <v>5</v>
      </c>
      <c r="D9221" t="s">
        <v>192</v>
      </c>
      <c r="E9221" t="s">
        <v>103</v>
      </c>
      <c r="F9221" t="s">
        <v>103</v>
      </c>
      <c r="G9221" t="s">
        <v>103</v>
      </c>
      <c r="H9221" t="s">
        <v>103</v>
      </c>
      <c r="I9221" t="s">
        <v>103</v>
      </c>
      <c r="J9221" t="s">
        <v>103</v>
      </c>
      <c r="K9221" t="s">
        <v>103</v>
      </c>
      <c r="L9221" t="s">
        <v>103</v>
      </c>
      <c r="M9221" t="s">
        <v>103</v>
      </c>
      <c r="N9221" t="s">
        <v>103</v>
      </c>
      <c r="O9221" t="s">
        <v>103</v>
      </c>
      <c r="P9221" t="s">
        <v>103</v>
      </c>
      <c r="Q9221" t="s">
        <v>103</v>
      </c>
      <c r="R9221" t="s">
        <v>103</v>
      </c>
      <c r="S9221" t="s">
        <v>103</v>
      </c>
      <c r="T9221" t="s">
        <v>103</v>
      </c>
      <c r="U9221" t="s">
        <v>103</v>
      </c>
    </row>
    <row r="9222" spans="1:21" x14ac:dyDescent="0.3">
      <c r="A9222" t="s">
        <v>26</v>
      </c>
      <c r="B9222" t="s">
        <v>311</v>
      </c>
      <c r="C9222">
        <v>213</v>
      </c>
      <c r="D9222" t="s">
        <v>192</v>
      </c>
      <c r="E9222" t="s">
        <v>103</v>
      </c>
      <c r="F9222" t="s">
        <v>103</v>
      </c>
      <c r="G9222" t="s">
        <v>103</v>
      </c>
      <c r="H9222" t="s">
        <v>103</v>
      </c>
      <c r="I9222" t="s">
        <v>103</v>
      </c>
      <c r="J9222" t="s">
        <v>103</v>
      </c>
      <c r="K9222" t="s">
        <v>103</v>
      </c>
      <c r="L9222" t="s">
        <v>103</v>
      </c>
      <c r="M9222" t="s">
        <v>103</v>
      </c>
      <c r="N9222" t="s">
        <v>103</v>
      </c>
      <c r="O9222" t="s">
        <v>103</v>
      </c>
      <c r="P9222" t="s">
        <v>103</v>
      </c>
      <c r="Q9222" t="s">
        <v>103</v>
      </c>
      <c r="R9222" t="s">
        <v>103</v>
      </c>
      <c r="S9222" t="s">
        <v>103</v>
      </c>
      <c r="T9222" t="s">
        <v>103</v>
      </c>
      <c r="U9222" t="s">
        <v>103</v>
      </c>
    </row>
    <row r="9223" spans="1:21" x14ac:dyDescent="0.3">
      <c r="A9223" t="s">
        <v>26</v>
      </c>
      <c r="B9223" t="s">
        <v>312</v>
      </c>
      <c r="C9223">
        <v>49</v>
      </c>
      <c r="D9223" t="s">
        <v>192</v>
      </c>
      <c r="E9223" t="s">
        <v>103</v>
      </c>
      <c r="F9223" t="s">
        <v>103</v>
      </c>
      <c r="G9223" t="s">
        <v>103</v>
      </c>
      <c r="H9223" t="s">
        <v>103</v>
      </c>
      <c r="I9223" t="s">
        <v>103</v>
      </c>
      <c r="J9223" t="s">
        <v>103</v>
      </c>
      <c r="K9223" t="s">
        <v>103</v>
      </c>
      <c r="L9223" t="s">
        <v>103</v>
      </c>
      <c r="M9223" t="s">
        <v>103</v>
      </c>
      <c r="N9223" t="s">
        <v>103</v>
      </c>
      <c r="O9223" t="s">
        <v>103</v>
      </c>
      <c r="P9223" t="s">
        <v>103</v>
      </c>
      <c r="Q9223" t="s">
        <v>103</v>
      </c>
      <c r="R9223" t="s">
        <v>103</v>
      </c>
      <c r="S9223" t="s">
        <v>103</v>
      </c>
      <c r="T9223" t="s">
        <v>103</v>
      </c>
      <c r="U9223" t="s">
        <v>103</v>
      </c>
    </row>
    <row r="9224" spans="1:21" x14ac:dyDescent="0.3">
      <c r="A9224" t="s">
        <v>26</v>
      </c>
      <c r="B9224" t="s">
        <v>308</v>
      </c>
      <c r="C9224">
        <v>22</v>
      </c>
      <c r="D9224" t="s">
        <v>192</v>
      </c>
      <c r="E9224" t="s">
        <v>103</v>
      </c>
      <c r="F9224" t="s">
        <v>103</v>
      </c>
      <c r="G9224" t="s">
        <v>103</v>
      </c>
      <c r="H9224" t="s">
        <v>103</v>
      </c>
      <c r="I9224" t="s">
        <v>103</v>
      </c>
      <c r="J9224" t="s">
        <v>103</v>
      </c>
      <c r="K9224" t="s">
        <v>103</v>
      </c>
      <c r="L9224" t="s">
        <v>103</v>
      </c>
      <c r="M9224" t="s">
        <v>103</v>
      </c>
      <c r="N9224" t="s">
        <v>103</v>
      </c>
      <c r="O9224" t="s">
        <v>103</v>
      </c>
      <c r="P9224" t="s">
        <v>103</v>
      </c>
      <c r="Q9224" t="s">
        <v>103</v>
      </c>
      <c r="R9224" t="s">
        <v>103</v>
      </c>
      <c r="S9224" t="s">
        <v>103</v>
      </c>
      <c r="T9224" t="s">
        <v>103</v>
      </c>
      <c r="U9224" t="s">
        <v>103</v>
      </c>
    </row>
    <row r="9225" spans="1:21" x14ac:dyDescent="0.3">
      <c r="A9225" t="s">
        <v>29</v>
      </c>
      <c r="B9225" t="s">
        <v>311</v>
      </c>
      <c r="C9225">
        <v>172</v>
      </c>
      <c r="D9225" t="s">
        <v>833</v>
      </c>
      <c r="E9225" t="s">
        <v>103</v>
      </c>
      <c r="F9225" t="s">
        <v>239</v>
      </c>
      <c r="G9225" t="s">
        <v>95</v>
      </c>
      <c r="H9225" t="s">
        <v>139</v>
      </c>
      <c r="I9225" t="s">
        <v>103</v>
      </c>
      <c r="J9225" t="s">
        <v>103</v>
      </c>
      <c r="K9225" t="s">
        <v>103</v>
      </c>
      <c r="L9225" t="s">
        <v>103</v>
      </c>
      <c r="M9225" t="s">
        <v>97</v>
      </c>
      <c r="N9225" t="s">
        <v>103</v>
      </c>
      <c r="O9225" t="s">
        <v>103</v>
      </c>
      <c r="P9225" t="s">
        <v>103</v>
      </c>
      <c r="Q9225" t="s">
        <v>103</v>
      </c>
      <c r="R9225" t="s">
        <v>103</v>
      </c>
      <c r="S9225" t="s">
        <v>103</v>
      </c>
      <c r="T9225" t="s">
        <v>282</v>
      </c>
      <c r="U9225" t="s">
        <v>103</v>
      </c>
    </row>
    <row r="9226" spans="1:21" s="3" customFormat="1" x14ac:dyDescent="0.3">
      <c r="A9226" s="3" t="s">
        <v>29</v>
      </c>
      <c r="B9226" s="3" t="s">
        <v>312</v>
      </c>
      <c r="C9226" s="3">
        <v>30</v>
      </c>
      <c r="D9226" s="3" t="s">
        <v>783</v>
      </c>
      <c r="E9226" s="3" t="s">
        <v>103</v>
      </c>
      <c r="F9226" s="3" t="s">
        <v>284</v>
      </c>
      <c r="G9226" s="3" t="s">
        <v>103</v>
      </c>
      <c r="H9226" s="3" t="s">
        <v>103</v>
      </c>
      <c r="I9226" s="3" t="s">
        <v>103</v>
      </c>
      <c r="J9226" s="3" t="s">
        <v>103</v>
      </c>
      <c r="K9226" s="3" t="s">
        <v>103</v>
      </c>
      <c r="L9226" s="3" t="s">
        <v>103</v>
      </c>
      <c r="M9226" s="3" t="s">
        <v>103</v>
      </c>
      <c r="N9226" s="3" t="s">
        <v>103</v>
      </c>
      <c r="O9226" s="3" t="s">
        <v>103</v>
      </c>
      <c r="P9226" s="3" t="s">
        <v>103</v>
      </c>
      <c r="Q9226" s="3" t="s">
        <v>103</v>
      </c>
      <c r="R9226" s="3" t="s">
        <v>103</v>
      </c>
      <c r="S9226" s="3" t="s">
        <v>140</v>
      </c>
      <c r="T9226" s="3" t="s">
        <v>467</v>
      </c>
      <c r="U9226" s="3" t="s">
        <v>103</v>
      </c>
    </row>
    <row r="9227" spans="1:21" x14ac:dyDescent="0.3">
      <c r="A9227" t="s">
        <v>29</v>
      </c>
      <c r="B9227" t="s">
        <v>308</v>
      </c>
      <c r="C9227">
        <v>4</v>
      </c>
      <c r="D9227" t="s">
        <v>192</v>
      </c>
      <c r="E9227" t="s">
        <v>103</v>
      </c>
      <c r="F9227" t="s">
        <v>103</v>
      </c>
      <c r="G9227" t="s">
        <v>103</v>
      </c>
      <c r="H9227" t="s">
        <v>103</v>
      </c>
      <c r="I9227" t="s">
        <v>103</v>
      </c>
      <c r="J9227" t="s">
        <v>103</v>
      </c>
      <c r="K9227" t="s">
        <v>103</v>
      </c>
      <c r="L9227" t="s">
        <v>103</v>
      </c>
      <c r="M9227" t="s">
        <v>103</v>
      </c>
      <c r="N9227" t="s">
        <v>103</v>
      </c>
      <c r="O9227" t="s">
        <v>103</v>
      </c>
      <c r="P9227" t="s">
        <v>103</v>
      </c>
      <c r="Q9227" t="s">
        <v>103</v>
      </c>
      <c r="R9227" t="s">
        <v>103</v>
      </c>
      <c r="S9227" t="s">
        <v>103</v>
      </c>
      <c r="T9227" t="s">
        <v>103</v>
      </c>
      <c r="U9227" t="s">
        <v>103</v>
      </c>
    </row>
    <row r="9228" spans="1:21" x14ac:dyDescent="0.3">
      <c r="A9228" t="s">
        <v>28</v>
      </c>
      <c r="B9228" t="s">
        <v>311</v>
      </c>
      <c r="C9228">
        <v>132</v>
      </c>
      <c r="D9228" t="s">
        <v>1471</v>
      </c>
      <c r="E9228" t="s">
        <v>103</v>
      </c>
      <c r="F9228" t="s">
        <v>103</v>
      </c>
      <c r="G9228" t="s">
        <v>103</v>
      </c>
      <c r="H9228" t="s">
        <v>103</v>
      </c>
      <c r="I9228" t="s">
        <v>103</v>
      </c>
      <c r="J9228" t="s">
        <v>103</v>
      </c>
      <c r="K9228" t="s">
        <v>103</v>
      </c>
      <c r="L9228" t="s">
        <v>103</v>
      </c>
      <c r="M9228" t="s">
        <v>245</v>
      </c>
      <c r="N9228" t="s">
        <v>139</v>
      </c>
      <c r="O9228" t="s">
        <v>103</v>
      </c>
      <c r="P9228" t="s">
        <v>103</v>
      </c>
      <c r="Q9228" t="s">
        <v>103</v>
      </c>
      <c r="R9228" t="s">
        <v>103</v>
      </c>
      <c r="S9228" t="s">
        <v>103</v>
      </c>
      <c r="T9228" t="s">
        <v>103</v>
      </c>
      <c r="U9228" t="s">
        <v>103</v>
      </c>
    </row>
    <row r="9229" spans="1:21" x14ac:dyDescent="0.3">
      <c r="A9229" t="s">
        <v>28</v>
      </c>
      <c r="B9229" t="s">
        <v>312</v>
      </c>
      <c r="C9229">
        <v>56</v>
      </c>
      <c r="D9229" t="s">
        <v>803</v>
      </c>
      <c r="E9229" t="s">
        <v>103</v>
      </c>
      <c r="F9229" t="s">
        <v>103</v>
      </c>
      <c r="G9229" t="s">
        <v>103</v>
      </c>
      <c r="H9229" t="s">
        <v>103</v>
      </c>
      <c r="I9229" t="s">
        <v>103</v>
      </c>
      <c r="J9229" t="s">
        <v>103</v>
      </c>
      <c r="K9229" t="s">
        <v>103</v>
      </c>
      <c r="L9229" t="s">
        <v>103</v>
      </c>
      <c r="M9229" t="s">
        <v>114</v>
      </c>
      <c r="N9229" t="s">
        <v>103</v>
      </c>
      <c r="O9229" t="s">
        <v>103</v>
      </c>
      <c r="P9229" t="s">
        <v>103</v>
      </c>
      <c r="Q9229" t="s">
        <v>103</v>
      </c>
      <c r="R9229" t="s">
        <v>103</v>
      </c>
      <c r="S9229" t="s">
        <v>103</v>
      </c>
      <c r="T9229" t="s">
        <v>103</v>
      </c>
      <c r="U9229" t="s">
        <v>103</v>
      </c>
    </row>
    <row r="9230" spans="1:21" x14ac:dyDescent="0.3">
      <c r="A9230" t="s">
        <v>28</v>
      </c>
      <c r="B9230" t="s">
        <v>308</v>
      </c>
      <c r="C9230">
        <v>1</v>
      </c>
      <c r="D9230" t="s">
        <v>192</v>
      </c>
      <c r="E9230" t="s">
        <v>103</v>
      </c>
      <c r="F9230" t="s">
        <v>103</v>
      </c>
      <c r="G9230" t="s">
        <v>103</v>
      </c>
      <c r="H9230" t="s">
        <v>103</v>
      </c>
      <c r="I9230" t="s">
        <v>103</v>
      </c>
      <c r="J9230" t="s">
        <v>103</v>
      </c>
      <c r="K9230" t="s">
        <v>103</v>
      </c>
      <c r="L9230" t="s">
        <v>103</v>
      </c>
      <c r="M9230" t="s">
        <v>103</v>
      </c>
      <c r="N9230" t="s">
        <v>103</v>
      </c>
      <c r="O9230" t="s">
        <v>103</v>
      </c>
      <c r="P9230" t="s">
        <v>103</v>
      </c>
      <c r="Q9230" t="s">
        <v>103</v>
      </c>
      <c r="R9230" t="s">
        <v>103</v>
      </c>
      <c r="S9230" t="s">
        <v>103</v>
      </c>
      <c r="T9230" t="s">
        <v>103</v>
      </c>
      <c r="U9230" t="s">
        <v>103</v>
      </c>
    </row>
    <row r="9231" spans="1:21" x14ac:dyDescent="0.3">
      <c r="A9231" t="s">
        <v>27</v>
      </c>
      <c r="B9231" t="s">
        <v>311</v>
      </c>
      <c r="C9231">
        <v>87</v>
      </c>
      <c r="D9231" t="s">
        <v>192</v>
      </c>
      <c r="E9231" t="s">
        <v>103</v>
      </c>
      <c r="F9231" t="s">
        <v>103</v>
      </c>
      <c r="G9231" t="s">
        <v>103</v>
      </c>
      <c r="H9231" t="s">
        <v>103</v>
      </c>
      <c r="I9231" t="s">
        <v>103</v>
      </c>
      <c r="J9231" t="s">
        <v>103</v>
      </c>
      <c r="K9231" t="s">
        <v>103</v>
      </c>
      <c r="L9231" t="s">
        <v>103</v>
      </c>
      <c r="M9231" t="s">
        <v>103</v>
      </c>
      <c r="N9231" t="s">
        <v>103</v>
      </c>
      <c r="O9231" t="s">
        <v>103</v>
      </c>
      <c r="P9231" t="s">
        <v>103</v>
      </c>
      <c r="Q9231" t="s">
        <v>103</v>
      </c>
      <c r="R9231" t="s">
        <v>103</v>
      </c>
      <c r="S9231" t="s">
        <v>103</v>
      </c>
      <c r="T9231" t="s">
        <v>103</v>
      </c>
      <c r="U9231" t="s">
        <v>103</v>
      </c>
    </row>
    <row r="9232" spans="1:21" s="3" customFormat="1" x14ac:dyDescent="0.3">
      <c r="A9232" s="3" t="s">
        <v>27</v>
      </c>
      <c r="B9232" s="3" t="s">
        <v>312</v>
      </c>
      <c r="C9232" s="3">
        <v>15</v>
      </c>
      <c r="D9232" s="3" t="s">
        <v>207</v>
      </c>
      <c r="E9232" s="3" t="s">
        <v>103</v>
      </c>
      <c r="F9232" s="3" t="s">
        <v>103</v>
      </c>
      <c r="G9232" s="3" t="s">
        <v>103</v>
      </c>
      <c r="H9232" s="3" t="s">
        <v>103</v>
      </c>
      <c r="I9232" s="3" t="s">
        <v>103</v>
      </c>
      <c r="J9232" s="3" t="s">
        <v>103</v>
      </c>
      <c r="K9232" s="3" t="s">
        <v>124</v>
      </c>
      <c r="L9232" s="3" t="s">
        <v>103</v>
      </c>
      <c r="M9232" s="3" t="s">
        <v>103</v>
      </c>
      <c r="N9232" s="3" t="s">
        <v>103</v>
      </c>
      <c r="O9232" s="3" t="s">
        <v>103</v>
      </c>
      <c r="P9232" s="3" t="s">
        <v>103</v>
      </c>
      <c r="Q9232" s="3" t="s">
        <v>103</v>
      </c>
      <c r="R9232" s="3" t="s">
        <v>103</v>
      </c>
      <c r="S9232" s="3" t="s">
        <v>103</v>
      </c>
      <c r="T9232" s="3" t="s">
        <v>103</v>
      </c>
      <c r="U9232" s="3" t="s">
        <v>103</v>
      </c>
    </row>
    <row r="9233" spans="1:21" x14ac:dyDescent="0.3">
      <c r="A9233" t="s">
        <v>27</v>
      </c>
      <c r="B9233" t="s">
        <v>308</v>
      </c>
      <c r="C9233">
        <v>3</v>
      </c>
      <c r="D9233" t="s">
        <v>192</v>
      </c>
      <c r="E9233" t="s">
        <v>103</v>
      </c>
      <c r="F9233" t="s">
        <v>103</v>
      </c>
      <c r="G9233" t="s">
        <v>103</v>
      </c>
      <c r="H9233" t="s">
        <v>103</v>
      </c>
      <c r="I9233" t="s">
        <v>103</v>
      </c>
      <c r="J9233" t="s">
        <v>103</v>
      </c>
      <c r="K9233" t="s">
        <v>103</v>
      </c>
      <c r="L9233" t="s">
        <v>103</v>
      </c>
      <c r="M9233" t="s">
        <v>103</v>
      </c>
      <c r="N9233" t="s">
        <v>103</v>
      </c>
      <c r="O9233" t="s">
        <v>103</v>
      </c>
      <c r="P9233" t="s">
        <v>103</v>
      </c>
      <c r="Q9233" t="s">
        <v>103</v>
      </c>
      <c r="R9233" t="s">
        <v>103</v>
      </c>
      <c r="S9233" t="s">
        <v>103</v>
      </c>
      <c r="T9233" t="s">
        <v>103</v>
      </c>
      <c r="U9233" t="s">
        <v>103</v>
      </c>
    </row>
    <row r="9234" spans="1:21" x14ac:dyDescent="0.3">
      <c r="A9234" t="s">
        <v>41</v>
      </c>
      <c r="B9234" t="s">
        <v>311</v>
      </c>
      <c r="C9234">
        <v>802</v>
      </c>
      <c r="D9234" t="s">
        <v>322</v>
      </c>
      <c r="E9234" t="s">
        <v>103</v>
      </c>
      <c r="F9234" t="s">
        <v>120</v>
      </c>
      <c r="G9234" t="s">
        <v>116</v>
      </c>
      <c r="H9234" t="s">
        <v>116</v>
      </c>
      <c r="I9234" t="s">
        <v>103</v>
      </c>
      <c r="J9234" t="s">
        <v>103</v>
      </c>
      <c r="K9234" t="s">
        <v>103</v>
      </c>
      <c r="L9234" t="s">
        <v>103</v>
      </c>
      <c r="M9234" t="s">
        <v>116</v>
      </c>
      <c r="N9234" t="s">
        <v>103</v>
      </c>
      <c r="O9234" t="s">
        <v>103</v>
      </c>
      <c r="P9234" t="s">
        <v>91</v>
      </c>
      <c r="Q9234" t="s">
        <v>103</v>
      </c>
      <c r="R9234" t="s">
        <v>103</v>
      </c>
      <c r="S9234" t="s">
        <v>103</v>
      </c>
      <c r="T9234" t="s">
        <v>122</v>
      </c>
      <c r="U9234" t="s">
        <v>91</v>
      </c>
    </row>
    <row r="9235" spans="1:21" x14ac:dyDescent="0.3">
      <c r="A9235" t="s">
        <v>41</v>
      </c>
      <c r="B9235" t="s">
        <v>312</v>
      </c>
      <c r="C9235">
        <v>192</v>
      </c>
      <c r="D9235" t="s">
        <v>981</v>
      </c>
      <c r="E9235" t="s">
        <v>103</v>
      </c>
      <c r="F9235" t="s">
        <v>245</v>
      </c>
      <c r="G9235" t="s">
        <v>103</v>
      </c>
      <c r="H9235" t="s">
        <v>103</v>
      </c>
      <c r="I9235" t="s">
        <v>103</v>
      </c>
      <c r="J9235" t="s">
        <v>103</v>
      </c>
      <c r="K9235" t="s">
        <v>66</v>
      </c>
      <c r="L9235" t="s">
        <v>103</v>
      </c>
      <c r="M9235" t="s">
        <v>122</v>
      </c>
      <c r="N9235" t="s">
        <v>103</v>
      </c>
      <c r="O9235" t="s">
        <v>103</v>
      </c>
      <c r="P9235" t="s">
        <v>103</v>
      </c>
      <c r="Q9235" t="s">
        <v>103</v>
      </c>
      <c r="R9235" t="s">
        <v>103</v>
      </c>
      <c r="S9235" t="s">
        <v>93</v>
      </c>
      <c r="T9235" t="s">
        <v>345</v>
      </c>
      <c r="U9235" t="s">
        <v>103</v>
      </c>
    </row>
    <row r="9236" spans="1:21" x14ac:dyDescent="0.3">
      <c r="A9236" t="s">
        <v>41</v>
      </c>
      <c r="B9236" t="s">
        <v>308</v>
      </c>
      <c r="C9236">
        <v>35</v>
      </c>
      <c r="D9236" t="s">
        <v>192</v>
      </c>
      <c r="E9236" t="s">
        <v>103</v>
      </c>
      <c r="F9236" t="s">
        <v>103</v>
      </c>
      <c r="G9236" t="s">
        <v>103</v>
      </c>
      <c r="H9236" t="s">
        <v>103</v>
      </c>
      <c r="I9236" t="s">
        <v>103</v>
      </c>
      <c r="J9236" t="s">
        <v>103</v>
      </c>
      <c r="K9236" t="s">
        <v>103</v>
      </c>
      <c r="L9236" t="s">
        <v>103</v>
      </c>
      <c r="M9236" t="s">
        <v>103</v>
      </c>
      <c r="N9236" t="s">
        <v>103</v>
      </c>
      <c r="O9236" t="s">
        <v>103</v>
      </c>
      <c r="P9236" t="s">
        <v>103</v>
      </c>
      <c r="Q9236" t="s">
        <v>103</v>
      </c>
      <c r="R9236" t="s">
        <v>103</v>
      </c>
      <c r="S9236" t="s">
        <v>103</v>
      </c>
      <c r="T9236" t="s">
        <v>103</v>
      </c>
      <c r="U9236" t="s">
        <v>103</v>
      </c>
    </row>
    <row r="9238" spans="1:21" x14ac:dyDescent="0.3">
      <c r="A9238" t="s">
        <v>2534</v>
      </c>
    </row>
    <row r="9239" spans="1:21" x14ac:dyDescent="0.3">
      <c r="A9239" t="s">
        <v>36</v>
      </c>
      <c r="B9239" t="s">
        <v>197</v>
      </c>
      <c r="C9239" t="s">
        <v>24</v>
      </c>
      <c r="D9239" t="s">
        <v>2482</v>
      </c>
      <c r="E9239" t="s">
        <v>2517</v>
      </c>
      <c r="F9239" t="s">
        <v>2518</v>
      </c>
      <c r="G9239" t="s">
        <v>2519</v>
      </c>
      <c r="H9239" t="s">
        <v>2520</v>
      </c>
      <c r="I9239" t="s">
        <v>2521</v>
      </c>
      <c r="J9239" t="s">
        <v>2491</v>
      </c>
      <c r="K9239" t="s">
        <v>2522</v>
      </c>
      <c r="L9239" t="s">
        <v>2523</v>
      </c>
      <c r="M9239" t="s">
        <v>2524</v>
      </c>
      <c r="N9239" t="s">
        <v>2525</v>
      </c>
      <c r="O9239" t="s">
        <v>2526</v>
      </c>
      <c r="P9239" t="s">
        <v>2527</v>
      </c>
      <c r="Q9239" t="s">
        <v>2528</v>
      </c>
      <c r="R9239" t="s">
        <v>2529</v>
      </c>
      <c r="S9239" t="s">
        <v>2530</v>
      </c>
      <c r="T9239" t="s">
        <v>2531</v>
      </c>
      <c r="U9239" t="s">
        <v>89</v>
      </c>
    </row>
    <row r="9240" spans="1:21" x14ac:dyDescent="0.3">
      <c r="A9240" t="s">
        <v>25</v>
      </c>
      <c r="B9240" t="s">
        <v>198</v>
      </c>
      <c r="C9240">
        <v>51</v>
      </c>
      <c r="D9240" t="s">
        <v>192</v>
      </c>
      <c r="E9240" t="s">
        <v>103</v>
      </c>
      <c r="F9240" t="s">
        <v>103</v>
      </c>
      <c r="G9240" t="s">
        <v>103</v>
      </c>
      <c r="H9240" t="s">
        <v>103</v>
      </c>
      <c r="I9240" t="s">
        <v>103</v>
      </c>
      <c r="J9240" t="s">
        <v>103</v>
      </c>
      <c r="K9240" t="s">
        <v>103</v>
      </c>
      <c r="L9240" t="s">
        <v>103</v>
      </c>
      <c r="M9240" t="s">
        <v>103</v>
      </c>
      <c r="N9240" t="s">
        <v>103</v>
      </c>
      <c r="O9240" t="s">
        <v>103</v>
      </c>
      <c r="P9240" t="s">
        <v>103</v>
      </c>
      <c r="Q9240" t="s">
        <v>103</v>
      </c>
      <c r="R9240" t="s">
        <v>103</v>
      </c>
      <c r="S9240" t="s">
        <v>103</v>
      </c>
      <c r="T9240" t="s">
        <v>103</v>
      </c>
      <c r="U9240" t="s">
        <v>103</v>
      </c>
    </row>
    <row r="9241" spans="1:21" x14ac:dyDescent="0.3">
      <c r="A9241" t="s">
        <v>25</v>
      </c>
      <c r="B9241" t="s">
        <v>199</v>
      </c>
      <c r="C9241">
        <v>194</v>
      </c>
      <c r="D9241" t="s">
        <v>950</v>
      </c>
      <c r="E9241" t="s">
        <v>91</v>
      </c>
      <c r="F9241" t="s">
        <v>103</v>
      </c>
      <c r="G9241" t="s">
        <v>103</v>
      </c>
      <c r="H9241" t="s">
        <v>103</v>
      </c>
      <c r="I9241" t="s">
        <v>103</v>
      </c>
      <c r="J9241" t="s">
        <v>103</v>
      </c>
      <c r="K9241" t="s">
        <v>103</v>
      </c>
      <c r="L9241" t="s">
        <v>103</v>
      </c>
      <c r="M9241" t="s">
        <v>103</v>
      </c>
      <c r="N9241" t="s">
        <v>103</v>
      </c>
      <c r="O9241" t="s">
        <v>103</v>
      </c>
      <c r="P9241" t="s">
        <v>122</v>
      </c>
      <c r="Q9241" t="s">
        <v>103</v>
      </c>
      <c r="R9241" t="s">
        <v>103</v>
      </c>
      <c r="S9241" t="s">
        <v>103</v>
      </c>
      <c r="T9241" t="s">
        <v>103</v>
      </c>
      <c r="U9241" t="s">
        <v>97</v>
      </c>
    </row>
    <row r="9242" spans="1:21" s="3" customFormat="1" x14ac:dyDescent="0.3">
      <c r="A9242" s="3" t="s">
        <v>26</v>
      </c>
      <c r="B9242" s="3" t="s">
        <v>198</v>
      </c>
      <c r="C9242" s="3">
        <v>17</v>
      </c>
      <c r="D9242" s="3" t="s">
        <v>192</v>
      </c>
      <c r="E9242" s="3" t="s">
        <v>103</v>
      </c>
      <c r="F9242" s="3" t="s">
        <v>103</v>
      </c>
      <c r="G9242" s="3" t="s">
        <v>103</v>
      </c>
      <c r="H9242" s="3" t="s">
        <v>103</v>
      </c>
      <c r="I9242" s="3" t="s">
        <v>103</v>
      </c>
      <c r="J9242" s="3" t="s">
        <v>103</v>
      </c>
      <c r="K9242" s="3" t="s">
        <v>103</v>
      </c>
      <c r="L9242" s="3" t="s">
        <v>103</v>
      </c>
      <c r="M9242" s="3" t="s">
        <v>103</v>
      </c>
      <c r="N9242" s="3" t="s">
        <v>103</v>
      </c>
      <c r="O9242" s="3" t="s">
        <v>103</v>
      </c>
      <c r="P9242" s="3" t="s">
        <v>103</v>
      </c>
      <c r="Q9242" s="3" t="s">
        <v>103</v>
      </c>
      <c r="R9242" s="3" t="s">
        <v>103</v>
      </c>
      <c r="S9242" s="3" t="s">
        <v>103</v>
      </c>
      <c r="T9242" s="3" t="s">
        <v>103</v>
      </c>
      <c r="U9242" s="3" t="s">
        <v>103</v>
      </c>
    </row>
    <row r="9243" spans="1:21" x14ac:dyDescent="0.3">
      <c r="A9243" t="s">
        <v>26</v>
      </c>
      <c r="B9243" t="s">
        <v>199</v>
      </c>
      <c r="C9243">
        <v>267</v>
      </c>
      <c r="D9243" t="s">
        <v>192</v>
      </c>
      <c r="E9243" t="s">
        <v>103</v>
      </c>
      <c r="F9243" t="s">
        <v>103</v>
      </c>
      <c r="G9243" t="s">
        <v>103</v>
      </c>
      <c r="H9243" t="s">
        <v>103</v>
      </c>
      <c r="I9243" t="s">
        <v>103</v>
      </c>
      <c r="J9243" t="s">
        <v>103</v>
      </c>
      <c r="K9243" t="s">
        <v>103</v>
      </c>
      <c r="L9243" t="s">
        <v>103</v>
      </c>
      <c r="M9243" t="s">
        <v>103</v>
      </c>
      <c r="N9243" t="s">
        <v>103</v>
      </c>
      <c r="O9243" t="s">
        <v>103</v>
      </c>
      <c r="P9243" t="s">
        <v>103</v>
      </c>
      <c r="Q9243" t="s">
        <v>103</v>
      </c>
      <c r="R9243" t="s">
        <v>103</v>
      </c>
      <c r="S9243" t="s">
        <v>103</v>
      </c>
      <c r="T9243" t="s">
        <v>103</v>
      </c>
      <c r="U9243" t="s">
        <v>103</v>
      </c>
    </row>
    <row r="9244" spans="1:21" x14ac:dyDescent="0.3">
      <c r="A9244" t="s">
        <v>29</v>
      </c>
      <c r="B9244" t="s">
        <v>198</v>
      </c>
      <c r="C9244">
        <v>68</v>
      </c>
      <c r="D9244" t="s">
        <v>861</v>
      </c>
      <c r="E9244" t="s">
        <v>103</v>
      </c>
      <c r="F9244" t="s">
        <v>118</v>
      </c>
      <c r="G9244" t="s">
        <v>122</v>
      </c>
      <c r="H9244" t="s">
        <v>105</v>
      </c>
      <c r="I9244" t="s">
        <v>103</v>
      </c>
      <c r="J9244" t="s">
        <v>103</v>
      </c>
      <c r="K9244" t="s">
        <v>103</v>
      </c>
      <c r="L9244" t="s">
        <v>103</v>
      </c>
      <c r="M9244" t="s">
        <v>103</v>
      </c>
      <c r="N9244" t="s">
        <v>103</v>
      </c>
      <c r="O9244" t="s">
        <v>103</v>
      </c>
      <c r="P9244" t="s">
        <v>103</v>
      </c>
      <c r="Q9244" t="s">
        <v>103</v>
      </c>
      <c r="R9244" t="s">
        <v>103</v>
      </c>
      <c r="S9244" t="s">
        <v>103</v>
      </c>
      <c r="T9244" t="s">
        <v>103</v>
      </c>
      <c r="U9244" t="s">
        <v>103</v>
      </c>
    </row>
    <row r="9245" spans="1:21" x14ac:dyDescent="0.3">
      <c r="A9245" t="s">
        <v>29</v>
      </c>
      <c r="B9245" t="s">
        <v>199</v>
      </c>
      <c r="C9245">
        <v>138</v>
      </c>
      <c r="D9245" t="s">
        <v>597</v>
      </c>
      <c r="E9245" t="s">
        <v>103</v>
      </c>
      <c r="F9245" t="s">
        <v>245</v>
      </c>
      <c r="G9245" t="s">
        <v>95</v>
      </c>
      <c r="H9245" t="s">
        <v>103</v>
      </c>
      <c r="I9245" t="s">
        <v>103</v>
      </c>
      <c r="J9245" t="s">
        <v>103</v>
      </c>
      <c r="K9245" t="s">
        <v>103</v>
      </c>
      <c r="L9245" t="s">
        <v>103</v>
      </c>
      <c r="M9245" t="s">
        <v>120</v>
      </c>
      <c r="N9245" t="s">
        <v>103</v>
      </c>
      <c r="O9245" t="s">
        <v>103</v>
      </c>
      <c r="P9245" t="s">
        <v>103</v>
      </c>
      <c r="Q9245" t="s">
        <v>103</v>
      </c>
      <c r="R9245" t="s">
        <v>103</v>
      </c>
      <c r="S9245" t="s">
        <v>239</v>
      </c>
      <c r="T9245" t="s">
        <v>208</v>
      </c>
      <c r="U9245" t="s">
        <v>103</v>
      </c>
    </row>
    <row r="9246" spans="1:21" x14ac:dyDescent="0.3">
      <c r="A9246" t="s">
        <v>28</v>
      </c>
      <c r="B9246" t="s">
        <v>198</v>
      </c>
      <c r="C9246">
        <v>32</v>
      </c>
      <c r="D9246" t="s">
        <v>192</v>
      </c>
      <c r="E9246" t="s">
        <v>103</v>
      </c>
      <c r="F9246" t="s">
        <v>103</v>
      </c>
      <c r="G9246" t="s">
        <v>103</v>
      </c>
      <c r="H9246" t="s">
        <v>103</v>
      </c>
      <c r="I9246" t="s">
        <v>103</v>
      </c>
      <c r="J9246" t="s">
        <v>103</v>
      </c>
      <c r="K9246" t="s">
        <v>103</v>
      </c>
      <c r="L9246" t="s">
        <v>103</v>
      </c>
      <c r="M9246" t="s">
        <v>103</v>
      </c>
      <c r="N9246" t="s">
        <v>103</v>
      </c>
      <c r="O9246" t="s">
        <v>103</v>
      </c>
      <c r="P9246" t="s">
        <v>103</v>
      </c>
      <c r="Q9246" t="s">
        <v>103</v>
      </c>
      <c r="R9246" t="s">
        <v>103</v>
      </c>
      <c r="S9246" t="s">
        <v>103</v>
      </c>
      <c r="T9246" t="s">
        <v>103</v>
      </c>
      <c r="U9246" t="s">
        <v>103</v>
      </c>
    </row>
    <row r="9247" spans="1:21" x14ac:dyDescent="0.3">
      <c r="A9247" t="s">
        <v>28</v>
      </c>
      <c r="B9247" t="s">
        <v>199</v>
      </c>
      <c r="C9247">
        <v>157</v>
      </c>
      <c r="D9247" t="s">
        <v>65</v>
      </c>
      <c r="E9247" t="s">
        <v>103</v>
      </c>
      <c r="F9247" t="s">
        <v>103</v>
      </c>
      <c r="G9247" t="s">
        <v>103</v>
      </c>
      <c r="H9247" t="s">
        <v>103</v>
      </c>
      <c r="I9247" t="s">
        <v>103</v>
      </c>
      <c r="J9247" t="s">
        <v>103</v>
      </c>
      <c r="K9247" t="s">
        <v>103</v>
      </c>
      <c r="L9247" t="s">
        <v>103</v>
      </c>
      <c r="M9247" t="s">
        <v>64</v>
      </c>
      <c r="N9247" t="s">
        <v>95</v>
      </c>
      <c r="O9247" t="s">
        <v>103</v>
      </c>
      <c r="P9247" t="s">
        <v>103</v>
      </c>
      <c r="Q9247" t="s">
        <v>103</v>
      </c>
      <c r="R9247" t="s">
        <v>103</v>
      </c>
      <c r="S9247" t="s">
        <v>103</v>
      </c>
      <c r="T9247" t="s">
        <v>103</v>
      </c>
      <c r="U9247" t="s">
        <v>103</v>
      </c>
    </row>
    <row r="9248" spans="1:21" x14ac:dyDescent="0.3">
      <c r="A9248" t="s">
        <v>27</v>
      </c>
      <c r="B9248" t="s">
        <v>198</v>
      </c>
      <c r="C9248">
        <v>55</v>
      </c>
      <c r="D9248" t="s">
        <v>192</v>
      </c>
      <c r="E9248" t="s">
        <v>103</v>
      </c>
      <c r="F9248" t="s">
        <v>103</v>
      </c>
      <c r="G9248" t="s">
        <v>103</v>
      </c>
      <c r="H9248" t="s">
        <v>103</v>
      </c>
      <c r="I9248" t="s">
        <v>103</v>
      </c>
      <c r="J9248" t="s">
        <v>103</v>
      </c>
      <c r="K9248" t="s">
        <v>103</v>
      </c>
      <c r="L9248" t="s">
        <v>103</v>
      </c>
      <c r="M9248" t="s">
        <v>103</v>
      </c>
      <c r="N9248" t="s">
        <v>103</v>
      </c>
      <c r="O9248" t="s">
        <v>103</v>
      </c>
      <c r="P9248" t="s">
        <v>103</v>
      </c>
      <c r="Q9248" t="s">
        <v>103</v>
      </c>
      <c r="R9248" t="s">
        <v>103</v>
      </c>
      <c r="S9248" t="s">
        <v>103</v>
      </c>
      <c r="T9248" t="s">
        <v>103</v>
      </c>
      <c r="U9248" t="s">
        <v>103</v>
      </c>
    </row>
    <row r="9249" spans="1:21" x14ac:dyDescent="0.3">
      <c r="A9249" t="s">
        <v>27</v>
      </c>
      <c r="B9249" t="s">
        <v>199</v>
      </c>
      <c r="C9249">
        <v>50</v>
      </c>
      <c r="D9249" t="s">
        <v>328</v>
      </c>
      <c r="E9249" t="s">
        <v>103</v>
      </c>
      <c r="F9249" t="s">
        <v>103</v>
      </c>
      <c r="G9249" t="s">
        <v>103</v>
      </c>
      <c r="H9249" t="s">
        <v>103</v>
      </c>
      <c r="I9249" t="s">
        <v>103</v>
      </c>
      <c r="J9249" t="s">
        <v>103</v>
      </c>
      <c r="K9249" t="s">
        <v>329</v>
      </c>
      <c r="L9249" t="s">
        <v>103</v>
      </c>
      <c r="M9249" t="s">
        <v>103</v>
      </c>
      <c r="N9249" t="s">
        <v>103</v>
      </c>
      <c r="O9249" t="s">
        <v>103</v>
      </c>
      <c r="P9249" t="s">
        <v>103</v>
      </c>
      <c r="Q9249" t="s">
        <v>103</v>
      </c>
      <c r="R9249" t="s">
        <v>103</v>
      </c>
      <c r="S9249" t="s">
        <v>103</v>
      </c>
      <c r="T9249" t="s">
        <v>103</v>
      </c>
      <c r="U9249" t="s">
        <v>103</v>
      </c>
    </row>
    <row r="9250" spans="1:21" x14ac:dyDescent="0.3">
      <c r="A9250" t="s">
        <v>41</v>
      </c>
      <c r="B9250" t="s">
        <v>198</v>
      </c>
      <c r="C9250">
        <v>223</v>
      </c>
      <c r="D9250" t="s">
        <v>768</v>
      </c>
      <c r="E9250" t="s">
        <v>103</v>
      </c>
      <c r="F9250" t="s">
        <v>239</v>
      </c>
      <c r="G9250" t="s">
        <v>66</v>
      </c>
      <c r="H9250" t="s">
        <v>345</v>
      </c>
      <c r="I9250" t="s">
        <v>103</v>
      </c>
      <c r="J9250" t="s">
        <v>103</v>
      </c>
      <c r="K9250" t="s">
        <v>103</v>
      </c>
      <c r="L9250" t="s">
        <v>103</v>
      </c>
      <c r="M9250" t="s">
        <v>103</v>
      </c>
      <c r="N9250" t="s">
        <v>103</v>
      </c>
      <c r="O9250" t="s">
        <v>103</v>
      </c>
      <c r="P9250" t="s">
        <v>103</v>
      </c>
      <c r="Q9250" t="s">
        <v>103</v>
      </c>
      <c r="R9250" t="s">
        <v>103</v>
      </c>
      <c r="S9250" t="s">
        <v>103</v>
      </c>
      <c r="T9250" t="s">
        <v>103</v>
      </c>
      <c r="U9250" t="s">
        <v>103</v>
      </c>
    </row>
    <row r="9251" spans="1:21" x14ac:dyDescent="0.3">
      <c r="A9251" t="s">
        <v>41</v>
      </c>
      <c r="B9251" t="s">
        <v>199</v>
      </c>
      <c r="C9251">
        <v>806</v>
      </c>
      <c r="D9251" t="s">
        <v>1481</v>
      </c>
      <c r="E9251" t="s">
        <v>103</v>
      </c>
      <c r="F9251" t="s">
        <v>97</v>
      </c>
      <c r="G9251" t="s">
        <v>66</v>
      </c>
      <c r="H9251" t="s">
        <v>103</v>
      </c>
      <c r="I9251" t="s">
        <v>103</v>
      </c>
      <c r="J9251" t="s">
        <v>103</v>
      </c>
      <c r="K9251" t="s">
        <v>103</v>
      </c>
      <c r="L9251" t="s">
        <v>103</v>
      </c>
      <c r="M9251" t="s">
        <v>122</v>
      </c>
      <c r="N9251" t="s">
        <v>103</v>
      </c>
      <c r="O9251" t="s">
        <v>103</v>
      </c>
      <c r="P9251" t="s">
        <v>91</v>
      </c>
      <c r="Q9251" t="s">
        <v>103</v>
      </c>
      <c r="R9251" t="s">
        <v>103</v>
      </c>
      <c r="S9251" t="s">
        <v>97</v>
      </c>
      <c r="T9251" t="s">
        <v>120</v>
      </c>
      <c r="U9251" t="s">
        <v>91</v>
      </c>
    </row>
    <row r="9253" spans="1:21" x14ac:dyDescent="0.3">
      <c r="A9253" t="s">
        <v>2535</v>
      </c>
    </row>
    <row r="9254" spans="1:21" x14ac:dyDescent="0.3">
      <c r="A9254" t="s">
        <v>36</v>
      </c>
      <c r="B9254" t="s">
        <v>1647</v>
      </c>
      <c r="C9254" t="s">
        <v>24</v>
      </c>
      <c r="D9254" t="s">
        <v>2482</v>
      </c>
      <c r="E9254" t="s">
        <v>2517</v>
      </c>
      <c r="F9254" t="s">
        <v>2518</v>
      </c>
      <c r="G9254" t="s">
        <v>2519</v>
      </c>
      <c r="H9254" t="s">
        <v>2520</v>
      </c>
      <c r="I9254" t="s">
        <v>2521</v>
      </c>
      <c r="J9254" t="s">
        <v>2491</v>
      </c>
      <c r="K9254" t="s">
        <v>2522</v>
      </c>
      <c r="L9254" t="s">
        <v>2523</v>
      </c>
      <c r="M9254" t="s">
        <v>2524</v>
      </c>
      <c r="N9254" t="s">
        <v>2525</v>
      </c>
      <c r="O9254" t="s">
        <v>2526</v>
      </c>
      <c r="P9254" t="s">
        <v>2527</v>
      </c>
      <c r="Q9254" t="s">
        <v>2528</v>
      </c>
      <c r="R9254" t="s">
        <v>2529</v>
      </c>
      <c r="S9254" t="s">
        <v>2530</v>
      </c>
      <c r="T9254" t="s">
        <v>2531</v>
      </c>
      <c r="U9254" t="s">
        <v>89</v>
      </c>
    </row>
    <row r="9255" spans="1:21" x14ac:dyDescent="0.3">
      <c r="A9255" t="s">
        <v>25</v>
      </c>
      <c r="B9255" t="s">
        <v>1648</v>
      </c>
      <c r="C9255">
        <v>107</v>
      </c>
      <c r="D9255" t="s">
        <v>1471</v>
      </c>
      <c r="E9255" t="s">
        <v>103</v>
      </c>
      <c r="F9255" t="s">
        <v>103</v>
      </c>
      <c r="G9255" t="s">
        <v>103</v>
      </c>
      <c r="H9255" t="s">
        <v>103</v>
      </c>
      <c r="I9255" t="s">
        <v>103</v>
      </c>
      <c r="J9255" t="s">
        <v>103</v>
      </c>
      <c r="K9255" t="s">
        <v>103</v>
      </c>
      <c r="L9255" t="s">
        <v>103</v>
      </c>
      <c r="M9255" t="s">
        <v>103</v>
      </c>
      <c r="N9255" t="s">
        <v>103</v>
      </c>
      <c r="O9255" t="s">
        <v>103</v>
      </c>
      <c r="P9255" t="s">
        <v>95</v>
      </c>
      <c r="Q9255" t="s">
        <v>103</v>
      </c>
      <c r="R9255" t="s">
        <v>103</v>
      </c>
      <c r="S9255" t="s">
        <v>103</v>
      </c>
      <c r="T9255" t="s">
        <v>103</v>
      </c>
      <c r="U9255" t="s">
        <v>345</v>
      </c>
    </row>
    <row r="9256" spans="1:21" x14ac:dyDescent="0.3">
      <c r="A9256" t="s">
        <v>25</v>
      </c>
      <c r="B9256" t="s">
        <v>1649</v>
      </c>
      <c r="C9256">
        <v>138</v>
      </c>
      <c r="D9256" t="s">
        <v>337</v>
      </c>
      <c r="E9256" t="s">
        <v>91</v>
      </c>
      <c r="F9256" t="s">
        <v>103</v>
      </c>
      <c r="G9256" t="s">
        <v>103</v>
      </c>
      <c r="H9256" t="s">
        <v>103</v>
      </c>
      <c r="I9256" t="s">
        <v>103</v>
      </c>
      <c r="J9256" t="s">
        <v>103</v>
      </c>
      <c r="K9256" t="s">
        <v>103</v>
      </c>
      <c r="L9256" t="s">
        <v>103</v>
      </c>
      <c r="M9256" t="s">
        <v>103</v>
      </c>
      <c r="N9256" t="s">
        <v>103</v>
      </c>
      <c r="O9256" t="s">
        <v>103</v>
      </c>
      <c r="P9256" t="s">
        <v>91</v>
      </c>
      <c r="Q9256" t="s">
        <v>103</v>
      </c>
      <c r="R9256" t="s">
        <v>103</v>
      </c>
      <c r="S9256" t="s">
        <v>103</v>
      </c>
      <c r="T9256" t="s">
        <v>103</v>
      </c>
      <c r="U9256" t="s">
        <v>103</v>
      </c>
    </row>
    <row r="9257" spans="1:21" x14ac:dyDescent="0.3">
      <c r="A9257" t="s">
        <v>26</v>
      </c>
      <c r="B9257" t="s">
        <v>1648</v>
      </c>
      <c r="C9257">
        <v>121</v>
      </c>
      <c r="D9257" t="s">
        <v>192</v>
      </c>
      <c r="E9257" t="s">
        <v>103</v>
      </c>
      <c r="F9257" t="s">
        <v>103</v>
      </c>
      <c r="G9257" t="s">
        <v>103</v>
      </c>
      <c r="H9257" t="s">
        <v>103</v>
      </c>
      <c r="I9257" t="s">
        <v>103</v>
      </c>
      <c r="J9257" t="s">
        <v>103</v>
      </c>
      <c r="K9257" t="s">
        <v>103</v>
      </c>
      <c r="L9257" t="s">
        <v>103</v>
      </c>
      <c r="M9257" t="s">
        <v>103</v>
      </c>
      <c r="N9257" t="s">
        <v>103</v>
      </c>
      <c r="O9257" t="s">
        <v>103</v>
      </c>
      <c r="P9257" t="s">
        <v>103</v>
      </c>
      <c r="Q9257" t="s">
        <v>103</v>
      </c>
      <c r="R9257" t="s">
        <v>103</v>
      </c>
      <c r="S9257" t="s">
        <v>103</v>
      </c>
      <c r="T9257" t="s">
        <v>103</v>
      </c>
      <c r="U9257" t="s">
        <v>103</v>
      </c>
    </row>
    <row r="9258" spans="1:21" x14ac:dyDescent="0.3">
      <c r="A9258" t="s">
        <v>26</v>
      </c>
      <c r="B9258" t="s">
        <v>1649</v>
      </c>
      <c r="C9258">
        <v>163</v>
      </c>
      <c r="D9258" t="s">
        <v>192</v>
      </c>
      <c r="E9258" t="s">
        <v>103</v>
      </c>
      <c r="F9258" t="s">
        <v>103</v>
      </c>
      <c r="G9258" t="s">
        <v>103</v>
      </c>
      <c r="H9258" t="s">
        <v>103</v>
      </c>
      <c r="I9258" t="s">
        <v>103</v>
      </c>
      <c r="J9258" t="s">
        <v>103</v>
      </c>
      <c r="K9258" t="s">
        <v>103</v>
      </c>
      <c r="L9258" t="s">
        <v>103</v>
      </c>
      <c r="M9258" t="s">
        <v>103</v>
      </c>
      <c r="N9258" t="s">
        <v>103</v>
      </c>
      <c r="O9258" t="s">
        <v>103</v>
      </c>
      <c r="P9258" t="s">
        <v>103</v>
      </c>
      <c r="Q9258" t="s">
        <v>103</v>
      </c>
      <c r="R9258" t="s">
        <v>103</v>
      </c>
      <c r="S9258" t="s">
        <v>103</v>
      </c>
      <c r="T9258" t="s">
        <v>103</v>
      </c>
      <c r="U9258" t="s">
        <v>103</v>
      </c>
    </row>
    <row r="9259" spans="1:21" x14ac:dyDescent="0.3">
      <c r="A9259" t="s">
        <v>29</v>
      </c>
      <c r="B9259" t="s">
        <v>1648</v>
      </c>
      <c r="C9259">
        <v>118</v>
      </c>
      <c r="D9259" t="s">
        <v>1501</v>
      </c>
      <c r="E9259" t="s">
        <v>103</v>
      </c>
      <c r="F9259" t="s">
        <v>438</v>
      </c>
      <c r="G9259" t="s">
        <v>345</v>
      </c>
      <c r="H9259" t="s">
        <v>345</v>
      </c>
      <c r="I9259" t="s">
        <v>103</v>
      </c>
      <c r="J9259" t="s">
        <v>103</v>
      </c>
      <c r="K9259" t="s">
        <v>103</v>
      </c>
      <c r="L9259" t="s">
        <v>103</v>
      </c>
      <c r="M9259" t="s">
        <v>95</v>
      </c>
      <c r="N9259" t="s">
        <v>103</v>
      </c>
      <c r="O9259" t="s">
        <v>103</v>
      </c>
      <c r="P9259" t="s">
        <v>103</v>
      </c>
      <c r="Q9259" t="s">
        <v>103</v>
      </c>
      <c r="R9259" t="s">
        <v>103</v>
      </c>
      <c r="S9259" t="s">
        <v>139</v>
      </c>
      <c r="T9259" t="s">
        <v>345</v>
      </c>
      <c r="U9259" t="s">
        <v>103</v>
      </c>
    </row>
    <row r="9260" spans="1:21" x14ac:dyDescent="0.3">
      <c r="A9260" t="s">
        <v>29</v>
      </c>
      <c r="B9260" t="s">
        <v>1649</v>
      </c>
      <c r="C9260">
        <v>88</v>
      </c>
      <c r="D9260" t="s">
        <v>335</v>
      </c>
      <c r="E9260" t="s">
        <v>103</v>
      </c>
      <c r="F9260" t="s">
        <v>103</v>
      </c>
      <c r="G9260" t="s">
        <v>103</v>
      </c>
      <c r="H9260" t="s">
        <v>103</v>
      </c>
      <c r="I9260" t="s">
        <v>103</v>
      </c>
      <c r="J9260" t="s">
        <v>103</v>
      </c>
      <c r="K9260" t="s">
        <v>103</v>
      </c>
      <c r="L9260" t="s">
        <v>103</v>
      </c>
      <c r="M9260" t="s">
        <v>103</v>
      </c>
      <c r="N9260" t="s">
        <v>103</v>
      </c>
      <c r="O9260" t="s">
        <v>103</v>
      </c>
      <c r="P9260" t="s">
        <v>103</v>
      </c>
      <c r="Q9260" t="s">
        <v>103</v>
      </c>
      <c r="R9260" t="s">
        <v>103</v>
      </c>
      <c r="S9260" t="s">
        <v>345</v>
      </c>
      <c r="T9260" t="s">
        <v>239</v>
      </c>
      <c r="U9260" t="s">
        <v>103</v>
      </c>
    </row>
    <row r="9261" spans="1:21" x14ac:dyDescent="0.3">
      <c r="A9261" t="s">
        <v>28</v>
      </c>
      <c r="B9261" t="s">
        <v>1648</v>
      </c>
      <c r="C9261">
        <v>61</v>
      </c>
      <c r="D9261" t="s">
        <v>192</v>
      </c>
      <c r="E9261" t="s">
        <v>103</v>
      </c>
      <c r="F9261" t="s">
        <v>103</v>
      </c>
      <c r="G9261" t="s">
        <v>103</v>
      </c>
      <c r="H9261" t="s">
        <v>103</v>
      </c>
      <c r="I9261" t="s">
        <v>103</v>
      </c>
      <c r="J9261" t="s">
        <v>103</v>
      </c>
      <c r="K9261" t="s">
        <v>103</v>
      </c>
      <c r="L9261" t="s">
        <v>103</v>
      </c>
      <c r="M9261" t="s">
        <v>103</v>
      </c>
      <c r="N9261" t="s">
        <v>103</v>
      </c>
      <c r="O9261" t="s">
        <v>103</v>
      </c>
      <c r="P9261" t="s">
        <v>103</v>
      </c>
      <c r="Q9261" t="s">
        <v>103</v>
      </c>
      <c r="R9261" t="s">
        <v>103</v>
      </c>
      <c r="S9261" t="s">
        <v>103</v>
      </c>
      <c r="T9261" t="s">
        <v>103</v>
      </c>
      <c r="U9261" t="s">
        <v>103</v>
      </c>
    </row>
    <row r="9262" spans="1:21" x14ac:dyDescent="0.3">
      <c r="A9262" t="s">
        <v>28</v>
      </c>
      <c r="B9262" t="s">
        <v>1649</v>
      </c>
      <c r="C9262">
        <v>128</v>
      </c>
      <c r="D9262" t="s">
        <v>336</v>
      </c>
      <c r="E9262" t="s">
        <v>103</v>
      </c>
      <c r="F9262" t="s">
        <v>103</v>
      </c>
      <c r="G9262" t="s">
        <v>103</v>
      </c>
      <c r="H9262" t="s">
        <v>103</v>
      </c>
      <c r="I9262" t="s">
        <v>103</v>
      </c>
      <c r="J9262" t="s">
        <v>103</v>
      </c>
      <c r="K9262" t="s">
        <v>103</v>
      </c>
      <c r="L9262" t="s">
        <v>103</v>
      </c>
      <c r="M9262" t="s">
        <v>272</v>
      </c>
      <c r="N9262" t="s">
        <v>139</v>
      </c>
      <c r="O9262" t="s">
        <v>103</v>
      </c>
      <c r="P9262" t="s">
        <v>103</v>
      </c>
      <c r="Q9262" t="s">
        <v>103</v>
      </c>
      <c r="R9262" t="s">
        <v>103</v>
      </c>
      <c r="S9262" t="s">
        <v>103</v>
      </c>
      <c r="T9262" t="s">
        <v>103</v>
      </c>
      <c r="U9262" t="s">
        <v>103</v>
      </c>
    </row>
    <row r="9263" spans="1:21" x14ac:dyDescent="0.3">
      <c r="A9263" t="s">
        <v>27</v>
      </c>
      <c r="B9263" t="s">
        <v>1648</v>
      </c>
      <c r="C9263">
        <v>35</v>
      </c>
      <c r="D9263" t="s">
        <v>192</v>
      </c>
      <c r="E9263" t="s">
        <v>103</v>
      </c>
      <c r="F9263" t="s">
        <v>103</v>
      </c>
      <c r="G9263" t="s">
        <v>103</v>
      </c>
      <c r="H9263" t="s">
        <v>103</v>
      </c>
      <c r="I9263" t="s">
        <v>103</v>
      </c>
      <c r="J9263" t="s">
        <v>103</v>
      </c>
      <c r="K9263" t="s">
        <v>103</v>
      </c>
      <c r="L9263" t="s">
        <v>103</v>
      </c>
      <c r="M9263" t="s">
        <v>103</v>
      </c>
      <c r="N9263" t="s">
        <v>103</v>
      </c>
      <c r="O9263" t="s">
        <v>103</v>
      </c>
      <c r="P9263" t="s">
        <v>103</v>
      </c>
      <c r="Q9263" t="s">
        <v>103</v>
      </c>
      <c r="R9263" t="s">
        <v>103</v>
      </c>
      <c r="S9263" t="s">
        <v>103</v>
      </c>
      <c r="T9263" t="s">
        <v>103</v>
      </c>
      <c r="U9263" t="s">
        <v>103</v>
      </c>
    </row>
    <row r="9264" spans="1:21" x14ac:dyDescent="0.3">
      <c r="A9264" t="s">
        <v>27</v>
      </c>
      <c r="B9264" t="s">
        <v>1649</v>
      </c>
      <c r="C9264">
        <v>70</v>
      </c>
      <c r="D9264" t="s">
        <v>340</v>
      </c>
      <c r="E9264" t="s">
        <v>103</v>
      </c>
      <c r="F9264" t="s">
        <v>103</v>
      </c>
      <c r="G9264" t="s">
        <v>103</v>
      </c>
      <c r="H9264" t="s">
        <v>103</v>
      </c>
      <c r="I9264" t="s">
        <v>103</v>
      </c>
      <c r="J9264" t="s">
        <v>103</v>
      </c>
      <c r="K9264" t="s">
        <v>216</v>
      </c>
      <c r="L9264" t="s">
        <v>103</v>
      </c>
      <c r="M9264" t="s">
        <v>103</v>
      </c>
      <c r="N9264" t="s">
        <v>103</v>
      </c>
      <c r="O9264" t="s">
        <v>103</v>
      </c>
      <c r="P9264" t="s">
        <v>103</v>
      </c>
      <c r="Q9264" t="s">
        <v>103</v>
      </c>
      <c r="R9264" t="s">
        <v>103</v>
      </c>
      <c r="S9264" t="s">
        <v>103</v>
      </c>
      <c r="T9264" t="s">
        <v>103</v>
      </c>
      <c r="U9264" t="s">
        <v>103</v>
      </c>
    </row>
    <row r="9265" spans="1:21" x14ac:dyDescent="0.3">
      <c r="A9265" t="s">
        <v>41</v>
      </c>
      <c r="B9265" t="s">
        <v>1648</v>
      </c>
      <c r="C9265">
        <v>442</v>
      </c>
      <c r="D9265" t="s">
        <v>1633</v>
      </c>
      <c r="E9265" t="s">
        <v>103</v>
      </c>
      <c r="F9265" t="s">
        <v>216</v>
      </c>
      <c r="G9265" t="s">
        <v>97</v>
      </c>
      <c r="H9265" t="s">
        <v>97</v>
      </c>
      <c r="I9265" t="s">
        <v>103</v>
      </c>
      <c r="J9265" t="s">
        <v>103</v>
      </c>
      <c r="K9265" t="s">
        <v>103</v>
      </c>
      <c r="L9265" t="s">
        <v>103</v>
      </c>
      <c r="M9265" t="s">
        <v>116</v>
      </c>
      <c r="N9265" t="s">
        <v>103</v>
      </c>
      <c r="O9265" t="s">
        <v>103</v>
      </c>
      <c r="P9265" t="s">
        <v>91</v>
      </c>
      <c r="Q9265" t="s">
        <v>103</v>
      </c>
      <c r="R9265" t="s">
        <v>103</v>
      </c>
      <c r="S9265" t="s">
        <v>122</v>
      </c>
      <c r="T9265" t="s">
        <v>97</v>
      </c>
      <c r="U9265" t="s">
        <v>66</v>
      </c>
    </row>
    <row r="9266" spans="1:21" x14ac:dyDescent="0.3">
      <c r="A9266" t="s">
        <v>41</v>
      </c>
      <c r="B9266" t="s">
        <v>1649</v>
      </c>
      <c r="C9266">
        <v>587</v>
      </c>
      <c r="D9266" t="s">
        <v>325</v>
      </c>
      <c r="E9266" t="s">
        <v>103</v>
      </c>
      <c r="F9266" t="s">
        <v>103</v>
      </c>
      <c r="G9266" t="s">
        <v>103</v>
      </c>
      <c r="H9266" t="s">
        <v>103</v>
      </c>
      <c r="I9266" t="s">
        <v>103</v>
      </c>
      <c r="J9266" t="s">
        <v>103</v>
      </c>
      <c r="K9266" t="s">
        <v>91</v>
      </c>
      <c r="L9266" t="s">
        <v>103</v>
      </c>
      <c r="M9266" t="s">
        <v>66</v>
      </c>
      <c r="N9266" t="s">
        <v>91</v>
      </c>
      <c r="O9266" t="s">
        <v>103</v>
      </c>
      <c r="P9266" t="s">
        <v>103</v>
      </c>
      <c r="Q9266" t="s">
        <v>103</v>
      </c>
      <c r="R9266" t="s">
        <v>103</v>
      </c>
      <c r="S9266" t="s">
        <v>116</v>
      </c>
      <c r="T9266" t="s">
        <v>97</v>
      </c>
      <c r="U9266" t="s">
        <v>103</v>
      </c>
    </row>
    <row r="9268" spans="1:21" x14ac:dyDescent="0.3">
      <c r="A9268" t="s">
        <v>2536</v>
      </c>
    </row>
    <row r="9269" spans="1:21" x14ac:dyDescent="0.3">
      <c r="A9269" t="s">
        <v>36</v>
      </c>
      <c r="B9269" t="s">
        <v>2511</v>
      </c>
      <c r="C9269" t="s">
        <v>24</v>
      </c>
      <c r="D9269" t="s">
        <v>2482</v>
      </c>
      <c r="E9269" t="s">
        <v>2517</v>
      </c>
      <c r="F9269" t="s">
        <v>2518</v>
      </c>
      <c r="G9269" t="s">
        <v>2519</v>
      </c>
      <c r="H9269" t="s">
        <v>2520</v>
      </c>
      <c r="I9269" t="s">
        <v>2521</v>
      </c>
      <c r="J9269" t="s">
        <v>2491</v>
      </c>
      <c r="K9269" t="s">
        <v>2522</v>
      </c>
      <c r="L9269" t="s">
        <v>2523</v>
      </c>
      <c r="M9269" t="s">
        <v>2524</v>
      </c>
      <c r="N9269" t="s">
        <v>2525</v>
      </c>
      <c r="O9269" t="s">
        <v>2526</v>
      </c>
      <c r="P9269" t="s">
        <v>2527</v>
      </c>
      <c r="Q9269" t="s">
        <v>2528</v>
      </c>
      <c r="R9269" t="s">
        <v>2529</v>
      </c>
      <c r="S9269" t="s">
        <v>2530</v>
      </c>
      <c r="T9269" t="s">
        <v>2531</v>
      </c>
      <c r="U9269" t="s">
        <v>89</v>
      </c>
    </row>
    <row r="9270" spans="1:21" x14ac:dyDescent="0.3">
      <c r="A9270" t="s">
        <v>25</v>
      </c>
      <c r="B9270" t="s">
        <v>2512</v>
      </c>
      <c r="C9270">
        <v>42</v>
      </c>
      <c r="D9270" t="s">
        <v>192</v>
      </c>
      <c r="E9270" t="s">
        <v>103</v>
      </c>
      <c r="F9270" t="s">
        <v>103</v>
      </c>
      <c r="G9270" t="s">
        <v>103</v>
      </c>
      <c r="H9270" t="s">
        <v>103</v>
      </c>
      <c r="I9270" t="s">
        <v>103</v>
      </c>
      <c r="J9270" t="s">
        <v>103</v>
      </c>
      <c r="K9270" t="s">
        <v>103</v>
      </c>
      <c r="L9270" t="s">
        <v>103</v>
      </c>
      <c r="M9270" t="s">
        <v>103</v>
      </c>
      <c r="N9270" t="s">
        <v>103</v>
      </c>
      <c r="O9270" t="s">
        <v>103</v>
      </c>
      <c r="P9270" t="s">
        <v>103</v>
      </c>
      <c r="Q9270" t="s">
        <v>103</v>
      </c>
      <c r="R9270" t="s">
        <v>103</v>
      </c>
      <c r="S9270" t="s">
        <v>103</v>
      </c>
      <c r="T9270" t="s">
        <v>103</v>
      </c>
      <c r="U9270" t="s">
        <v>103</v>
      </c>
    </row>
    <row r="9271" spans="1:21" x14ac:dyDescent="0.3">
      <c r="A9271" t="s">
        <v>25</v>
      </c>
      <c r="B9271" t="s">
        <v>2513</v>
      </c>
      <c r="C9271">
        <v>39</v>
      </c>
      <c r="D9271" t="s">
        <v>322</v>
      </c>
      <c r="E9271" t="s">
        <v>103</v>
      </c>
      <c r="F9271" t="s">
        <v>103</v>
      </c>
      <c r="G9271" t="s">
        <v>103</v>
      </c>
      <c r="H9271" t="s">
        <v>103</v>
      </c>
      <c r="I9271" t="s">
        <v>103</v>
      </c>
      <c r="J9271" t="s">
        <v>103</v>
      </c>
      <c r="K9271" t="s">
        <v>103</v>
      </c>
      <c r="L9271" t="s">
        <v>103</v>
      </c>
      <c r="M9271" t="s">
        <v>103</v>
      </c>
      <c r="N9271" t="s">
        <v>103</v>
      </c>
      <c r="O9271" t="s">
        <v>103</v>
      </c>
      <c r="P9271" t="s">
        <v>105</v>
      </c>
      <c r="Q9271" t="s">
        <v>103</v>
      </c>
      <c r="R9271" t="s">
        <v>103</v>
      </c>
      <c r="S9271" t="s">
        <v>103</v>
      </c>
      <c r="T9271" t="s">
        <v>103</v>
      </c>
      <c r="U9271" t="s">
        <v>103</v>
      </c>
    </row>
    <row r="9272" spans="1:21" s="3" customFormat="1" x14ac:dyDescent="0.3">
      <c r="A9272" s="3" t="s">
        <v>25</v>
      </c>
      <c r="B9272" s="3" t="s">
        <v>2514</v>
      </c>
      <c r="C9272" s="3">
        <v>26</v>
      </c>
      <c r="D9272" s="3" t="s">
        <v>861</v>
      </c>
      <c r="E9272" s="3" t="s">
        <v>103</v>
      </c>
      <c r="F9272" s="3" t="s">
        <v>103</v>
      </c>
      <c r="G9272" s="3" t="s">
        <v>103</v>
      </c>
      <c r="H9272" s="3" t="s">
        <v>103</v>
      </c>
      <c r="I9272" s="3" t="s">
        <v>103</v>
      </c>
      <c r="J9272" s="3" t="s">
        <v>103</v>
      </c>
      <c r="K9272" s="3" t="s">
        <v>103</v>
      </c>
      <c r="L9272" s="3" t="s">
        <v>103</v>
      </c>
      <c r="M9272" s="3" t="s">
        <v>103</v>
      </c>
      <c r="N9272" s="3" t="s">
        <v>103</v>
      </c>
      <c r="O9272" s="3" t="s">
        <v>103</v>
      </c>
      <c r="P9272" s="3" t="s">
        <v>103</v>
      </c>
      <c r="Q9272" s="3" t="s">
        <v>103</v>
      </c>
      <c r="R9272" s="3" t="s">
        <v>103</v>
      </c>
      <c r="S9272" s="3" t="s">
        <v>103</v>
      </c>
      <c r="T9272" s="3" t="s">
        <v>103</v>
      </c>
      <c r="U9272" s="3" t="s">
        <v>113</v>
      </c>
    </row>
    <row r="9273" spans="1:21" x14ac:dyDescent="0.3">
      <c r="A9273" t="s">
        <v>25</v>
      </c>
      <c r="B9273" t="s">
        <v>2515</v>
      </c>
      <c r="C9273">
        <v>138</v>
      </c>
      <c r="D9273" t="s">
        <v>337</v>
      </c>
      <c r="E9273" t="s">
        <v>91</v>
      </c>
      <c r="F9273" t="s">
        <v>103</v>
      </c>
      <c r="G9273" t="s">
        <v>103</v>
      </c>
      <c r="H9273" t="s">
        <v>103</v>
      </c>
      <c r="I9273" t="s">
        <v>103</v>
      </c>
      <c r="J9273" t="s">
        <v>103</v>
      </c>
      <c r="K9273" t="s">
        <v>103</v>
      </c>
      <c r="L9273" t="s">
        <v>103</v>
      </c>
      <c r="M9273" t="s">
        <v>103</v>
      </c>
      <c r="N9273" t="s">
        <v>103</v>
      </c>
      <c r="O9273" t="s">
        <v>103</v>
      </c>
      <c r="P9273" t="s">
        <v>91</v>
      </c>
      <c r="Q9273" t="s">
        <v>103</v>
      </c>
      <c r="R9273" t="s">
        <v>103</v>
      </c>
      <c r="S9273" t="s">
        <v>103</v>
      </c>
      <c r="T9273" t="s">
        <v>103</v>
      </c>
      <c r="U9273" t="s">
        <v>103</v>
      </c>
    </row>
    <row r="9274" spans="1:21" x14ac:dyDescent="0.3">
      <c r="A9274" t="s">
        <v>26</v>
      </c>
      <c r="B9274" t="s">
        <v>2512</v>
      </c>
      <c r="C9274">
        <v>36</v>
      </c>
      <c r="D9274" t="s">
        <v>192</v>
      </c>
      <c r="E9274" t="s">
        <v>103</v>
      </c>
      <c r="F9274" t="s">
        <v>103</v>
      </c>
      <c r="G9274" t="s">
        <v>103</v>
      </c>
      <c r="H9274" t="s">
        <v>103</v>
      </c>
      <c r="I9274" t="s">
        <v>103</v>
      </c>
      <c r="J9274" t="s">
        <v>103</v>
      </c>
      <c r="K9274" t="s">
        <v>103</v>
      </c>
      <c r="L9274" t="s">
        <v>103</v>
      </c>
      <c r="M9274" t="s">
        <v>103</v>
      </c>
      <c r="N9274" t="s">
        <v>103</v>
      </c>
      <c r="O9274" t="s">
        <v>103</v>
      </c>
      <c r="P9274" t="s">
        <v>103</v>
      </c>
      <c r="Q9274" t="s">
        <v>103</v>
      </c>
      <c r="R9274" t="s">
        <v>103</v>
      </c>
      <c r="S9274" t="s">
        <v>103</v>
      </c>
      <c r="T9274" t="s">
        <v>103</v>
      </c>
      <c r="U9274" t="s">
        <v>103</v>
      </c>
    </row>
    <row r="9275" spans="1:21" x14ac:dyDescent="0.3">
      <c r="A9275" t="s">
        <v>26</v>
      </c>
      <c r="B9275" t="s">
        <v>2513</v>
      </c>
      <c r="C9275">
        <v>42</v>
      </c>
      <c r="D9275" t="s">
        <v>192</v>
      </c>
      <c r="E9275" t="s">
        <v>103</v>
      </c>
      <c r="F9275" t="s">
        <v>103</v>
      </c>
      <c r="G9275" t="s">
        <v>103</v>
      </c>
      <c r="H9275" t="s">
        <v>103</v>
      </c>
      <c r="I9275" t="s">
        <v>103</v>
      </c>
      <c r="J9275" t="s">
        <v>103</v>
      </c>
      <c r="K9275" t="s">
        <v>103</v>
      </c>
      <c r="L9275" t="s">
        <v>103</v>
      </c>
      <c r="M9275" t="s">
        <v>103</v>
      </c>
      <c r="N9275" t="s">
        <v>103</v>
      </c>
      <c r="O9275" t="s">
        <v>103</v>
      </c>
      <c r="P9275" t="s">
        <v>103</v>
      </c>
      <c r="Q9275" t="s">
        <v>103</v>
      </c>
      <c r="R9275" t="s">
        <v>103</v>
      </c>
      <c r="S9275" t="s">
        <v>103</v>
      </c>
      <c r="T9275" t="s">
        <v>103</v>
      </c>
      <c r="U9275" t="s">
        <v>103</v>
      </c>
    </row>
    <row r="9276" spans="1:21" x14ac:dyDescent="0.3">
      <c r="A9276" t="s">
        <v>26</v>
      </c>
      <c r="B9276" t="s">
        <v>2514</v>
      </c>
      <c r="C9276">
        <v>43</v>
      </c>
      <c r="D9276" t="s">
        <v>192</v>
      </c>
      <c r="E9276" t="s">
        <v>103</v>
      </c>
      <c r="F9276" t="s">
        <v>103</v>
      </c>
      <c r="G9276" t="s">
        <v>103</v>
      </c>
      <c r="H9276" t="s">
        <v>103</v>
      </c>
      <c r="I9276" t="s">
        <v>103</v>
      </c>
      <c r="J9276" t="s">
        <v>103</v>
      </c>
      <c r="K9276" t="s">
        <v>103</v>
      </c>
      <c r="L9276" t="s">
        <v>103</v>
      </c>
      <c r="M9276" t="s">
        <v>103</v>
      </c>
      <c r="N9276" t="s">
        <v>103</v>
      </c>
      <c r="O9276" t="s">
        <v>103</v>
      </c>
      <c r="P9276" t="s">
        <v>103</v>
      </c>
      <c r="Q9276" t="s">
        <v>103</v>
      </c>
      <c r="R9276" t="s">
        <v>103</v>
      </c>
      <c r="S9276" t="s">
        <v>103</v>
      </c>
      <c r="T9276" t="s">
        <v>103</v>
      </c>
      <c r="U9276" t="s">
        <v>103</v>
      </c>
    </row>
    <row r="9277" spans="1:21" x14ac:dyDescent="0.3">
      <c r="A9277" t="s">
        <v>26</v>
      </c>
      <c r="B9277" t="s">
        <v>2515</v>
      </c>
      <c r="C9277">
        <v>163</v>
      </c>
      <c r="D9277" t="s">
        <v>192</v>
      </c>
      <c r="E9277" t="s">
        <v>103</v>
      </c>
      <c r="F9277" t="s">
        <v>103</v>
      </c>
      <c r="G9277" t="s">
        <v>103</v>
      </c>
      <c r="H9277" t="s">
        <v>103</v>
      </c>
      <c r="I9277" t="s">
        <v>103</v>
      </c>
      <c r="J9277" t="s">
        <v>103</v>
      </c>
      <c r="K9277" t="s">
        <v>103</v>
      </c>
      <c r="L9277" t="s">
        <v>103</v>
      </c>
      <c r="M9277" t="s">
        <v>103</v>
      </c>
      <c r="N9277" t="s">
        <v>103</v>
      </c>
      <c r="O9277" t="s">
        <v>103</v>
      </c>
      <c r="P9277" t="s">
        <v>103</v>
      </c>
      <c r="Q9277" t="s">
        <v>103</v>
      </c>
      <c r="R9277" t="s">
        <v>103</v>
      </c>
      <c r="S9277" t="s">
        <v>103</v>
      </c>
      <c r="T9277" t="s">
        <v>103</v>
      </c>
      <c r="U9277" t="s">
        <v>103</v>
      </c>
    </row>
    <row r="9278" spans="1:21" x14ac:dyDescent="0.3">
      <c r="A9278" t="s">
        <v>29</v>
      </c>
      <c r="B9278" t="s">
        <v>2512</v>
      </c>
      <c r="C9278">
        <v>47</v>
      </c>
      <c r="D9278" t="s">
        <v>625</v>
      </c>
      <c r="E9278" t="s">
        <v>103</v>
      </c>
      <c r="F9278" t="s">
        <v>103</v>
      </c>
      <c r="G9278" t="s">
        <v>103</v>
      </c>
      <c r="H9278" t="s">
        <v>270</v>
      </c>
      <c r="I9278" t="s">
        <v>103</v>
      </c>
      <c r="J9278" t="s">
        <v>103</v>
      </c>
      <c r="K9278" t="s">
        <v>103</v>
      </c>
      <c r="L9278" t="s">
        <v>103</v>
      </c>
      <c r="M9278" t="s">
        <v>341</v>
      </c>
      <c r="N9278" t="s">
        <v>103</v>
      </c>
      <c r="O9278" t="s">
        <v>103</v>
      </c>
      <c r="P9278" t="s">
        <v>103</v>
      </c>
      <c r="Q9278" t="s">
        <v>103</v>
      </c>
      <c r="R9278" t="s">
        <v>103</v>
      </c>
      <c r="S9278" t="s">
        <v>103</v>
      </c>
      <c r="T9278" t="s">
        <v>195</v>
      </c>
      <c r="U9278" t="s">
        <v>103</v>
      </c>
    </row>
    <row r="9279" spans="1:21" x14ac:dyDescent="0.3">
      <c r="A9279" t="s">
        <v>29</v>
      </c>
      <c r="B9279" t="s">
        <v>2513</v>
      </c>
      <c r="C9279">
        <v>42</v>
      </c>
      <c r="D9279" t="s">
        <v>1307</v>
      </c>
      <c r="E9279" t="s">
        <v>103</v>
      </c>
      <c r="F9279" t="s">
        <v>594</v>
      </c>
      <c r="G9279" t="s">
        <v>195</v>
      </c>
      <c r="H9279" t="s">
        <v>103</v>
      </c>
      <c r="I9279" t="s">
        <v>103</v>
      </c>
      <c r="J9279" t="s">
        <v>103</v>
      </c>
      <c r="K9279" t="s">
        <v>103</v>
      </c>
      <c r="L9279" t="s">
        <v>103</v>
      </c>
      <c r="M9279" t="s">
        <v>103</v>
      </c>
      <c r="N9279" t="s">
        <v>103</v>
      </c>
      <c r="O9279" t="s">
        <v>103</v>
      </c>
      <c r="P9279" t="s">
        <v>103</v>
      </c>
      <c r="Q9279" t="s">
        <v>103</v>
      </c>
      <c r="R9279" t="s">
        <v>103</v>
      </c>
      <c r="S9279" t="s">
        <v>118</v>
      </c>
      <c r="T9279" t="s">
        <v>103</v>
      </c>
      <c r="U9279" t="s">
        <v>103</v>
      </c>
    </row>
    <row r="9280" spans="1:21" s="3" customFormat="1" x14ac:dyDescent="0.3">
      <c r="A9280" s="3" t="s">
        <v>29</v>
      </c>
      <c r="B9280" s="3" t="s">
        <v>2514</v>
      </c>
      <c r="C9280" s="3">
        <v>29</v>
      </c>
      <c r="D9280" s="3" t="s">
        <v>213</v>
      </c>
      <c r="E9280" s="3" t="s">
        <v>103</v>
      </c>
      <c r="F9280" s="3" t="s">
        <v>214</v>
      </c>
      <c r="G9280" s="3" t="s">
        <v>103</v>
      </c>
      <c r="H9280" s="3" t="s">
        <v>103</v>
      </c>
      <c r="I9280" s="3" t="s">
        <v>103</v>
      </c>
      <c r="J9280" s="3" t="s">
        <v>103</v>
      </c>
      <c r="K9280" s="3" t="s">
        <v>103</v>
      </c>
      <c r="L9280" s="3" t="s">
        <v>103</v>
      </c>
      <c r="M9280" s="3" t="s">
        <v>103</v>
      </c>
      <c r="N9280" s="3" t="s">
        <v>103</v>
      </c>
      <c r="O9280" s="3" t="s">
        <v>103</v>
      </c>
      <c r="P9280" s="3" t="s">
        <v>103</v>
      </c>
      <c r="Q9280" s="3" t="s">
        <v>103</v>
      </c>
      <c r="R9280" s="3" t="s">
        <v>103</v>
      </c>
      <c r="S9280" s="3" t="s">
        <v>103</v>
      </c>
      <c r="T9280" s="3" t="s">
        <v>103</v>
      </c>
      <c r="U9280" s="3" t="s">
        <v>103</v>
      </c>
    </row>
    <row r="9281" spans="1:31" x14ac:dyDescent="0.3">
      <c r="A9281" t="s">
        <v>29</v>
      </c>
      <c r="B9281" t="s">
        <v>2515</v>
      </c>
      <c r="C9281">
        <v>88</v>
      </c>
      <c r="D9281" t="s">
        <v>335</v>
      </c>
      <c r="E9281" t="s">
        <v>103</v>
      </c>
      <c r="F9281" t="s">
        <v>103</v>
      </c>
      <c r="G9281" t="s">
        <v>103</v>
      </c>
      <c r="H9281" t="s">
        <v>103</v>
      </c>
      <c r="I9281" t="s">
        <v>103</v>
      </c>
      <c r="J9281" t="s">
        <v>103</v>
      </c>
      <c r="K9281" t="s">
        <v>103</v>
      </c>
      <c r="L9281" t="s">
        <v>103</v>
      </c>
      <c r="M9281" t="s">
        <v>103</v>
      </c>
      <c r="N9281" t="s">
        <v>103</v>
      </c>
      <c r="O9281" t="s">
        <v>103</v>
      </c>
      <c r="P9281" t="s">
        <v>103</v>
      </c>
      <c r="Q9281" t="s">
        <v>103</v>
      </c>
      <c r="R9281" t="s">
        <v>103</v>
      </c>
      <c r="S9281" t="s">
        <v>345</v>
      </c>
      <c r="T9281" t="s">
        <v>239</v>
      </c>
      <c r="U9281" t="s">
        <v>103</v>
      </c>
    </row>
    <row r="9282" spans="1:31" s="3" customFormat="1" x14ac:dyDescent="0.3">
      <c r="A9282" s="3" t="s">
        <v>28</v>
      </c>
      <c r="B9282" s="3" t="s">
        <v>2512</v>
      </c>
      <c r="C9282" s="3">
        <v>17</v>
      </c>
      <c r="D9282" s="3" t="s">
        <v>192</v>
      </c>
      <c r="E9282" s="3" t="s">
        <v>103</v>
      </c>
      <c r="F9282" s="3" t="s">
        <v>103</v>
      </c>
      <c r="G9282" s="3" t="s">
        <v>103</v>
      </c>
      <c r="H9282" s="3" t="s">
        <v>103</v>
      </c>
      <c r="I9282" s="3" t="s">
        <v>103</v>
      </c>
      <c r="J9282" s="3" t="s">
        <v>103</v>
      </c>
      <c r="K9282" s="3" t="s">
        <v>103</v>
      </c>
      <c r="L9282" s="3" t="s">
        <v>103</v>
      </c>
      <c r="M9282" s="3" t="s">
        <v>103</v>
      </c>
      <c r="N9282" s="3" t="s">
        <v>103</v>
      </c>
      <c r="O9282" s="3" t="s">
        <v>103</v>
      </c>
      <c r="P9282" s="3" t="s">
        <v>103</v>
      </c>
      <c r="Q9282" s="3" t="s">
        <v>103</v>
      </c>
      <c r="R9282" s="3" t="s">
        <v>103</v>
      </c>
      <c r="S9282" s="3" t="s">
        <v>103</v>
      </c>
      <c r="T9282" s="3" t="s">
        <v>103</v>
      </c>
      <c r="U9282" s="3" t="s">
        <v>103</v>
      </c>
    </row>
    <row r="9283" spans="1:31" s="3" customFormat="1" x14ac:dyDescent="0.3">
      <c r="A9283" s="3" t="s">
        <v>28</v>
      </c>
      <c r="B9283" s="3" t="s">
        <v>2513</v>
      </c>
      <c r="C9283" s="3">
        <v>30</v>
      </c>
      <c r="D9283" s="3" t="s">
        <v>192</v>
      </c>
      <c r="E9283" s="3" t="s">
        <v>103</v>
      </c>
      <c r="F9283" s="3" t="s">
        <v>103</v>
      </c>
      <c r="G9283" s="3" t="s">
        <v>103</v>
      </c>
      <c r="H9283" s="3" t="s">
        <v>103</v>
      </c>
      <c r="I9283" s="3" t="s">
        <v>103</v>
      </c>
      <c r="J9283" s="3" t="s">
        <v>103</v>
      </c>
      <c r="K9283" s="3" t="s">
        <v>103</v>
      </c>
      <c r="L9283" s="3" t="s">
        <v>103</v>
      </c>
      <c r="M9283" s="3" t="s">
        <v>103</v>
      </c>
      <c r="N9283" s="3" t="s">
        <v>103</v>
      </c>
      <c r="O9283" s="3" t="s">
        <v>103</v>
      </c>
      <c r="P9283" s="3" t="s">
        <v>103</v>
      </c>
      <c r="Q9283" s="3" t="s">
        <v>103</v>
      </c>
      <c r="R9283" s="3" t="s">
        <v>103</v>
      </c>
      <c r="S9283" s="3" t="s">
        <v>103</v>
      </c>
      <c r="T9283" s="3" t="s">
        <v>103</v>
      </c>
      <c r="U9283" s="3" t="s">
        <v>103</v>
      </c>
    </row>
    <row r="9284" spans="1:31" s="3" customFormat="1" x14ac:dyDescent="0.3">
      <c r="A9284" s="3" t="s">
        <v>28</v>
      </c>
      <c r="B9284" s="3" t="s">
        <v>2514</v>
      </c>
      <c r="C9284" s="3">
        <v>14</v>
      </c>
      <c r="D9284" s="3" t="s">
        <v>192</v>
      </c>
      <c r="E9284" s="3" t="s">
        <v>103</v>
      </c>
      <c r="F9284" s="3" t="s">
        <v>103</v>
      </c>
      <c r="G9284" s="3" t="s">
        <v>103</v>
      </c>
      <c r="H9284" s="3" t="s">
        <v>103</v>
      </c>
      <c r="I9284" s="3" t="s">
        <v>103</v>
      </c>
      <c r="J9284" s="3" t="s">
        <v>103</v>
      </c>
      <c r="K9284" s="3" t="s">
        <v>103</v>
      </c>
      <c r="L9284" s="3" t="s">
        <v>103</v>
      </c>
      <c r="M9284" s="3" t="s">
        <v>103</v>
      </c>
      <c r="N9284" s="3" t="s">
        <v>103</v>
      </c>
      <c r="O9284" s="3" t="s">
        <v>103</v>
      </c>
      <c r="P9284" s="3" t="s">
        <v>103</v>
      </c>
      <c r="Q9284" s="3" t="s">
        <v>103</v>
      </c>
      <c r="R9284" s="3" t="s">
        <v>103</v>
      </c>
      <c r="S9284" s="3" t="s">
        <v>103</v>
      </c>
      <c r="T9284" s="3" t="s">
        <v>103</v>
      </c>
      <c r="U9284" s="3" t="s">
        <v>103</v>
      </c>
    </row>
    <row r="9285" spans="1:31" x14ac:dyDescent="0.3">
      <c r="A9285" t="s">
        <v>28</v>
      </c>
      <c r="B9285" t="s">
        <v>2515</v>
      </c>
      <c r="C9285">
        <v>128</v>
      </c>
      <c r="D9285" t="s">
        <v>336</v>
      </c>
      <c r="E9285" t="s">
        <v>103</v>
      </c>
      <c r="F9285" t="s">
        <v>103</v>
      </c>
      <c r="G9285" t="s">
        <v>103</v>
      </c>
      <c r="H9285" t="s">
        <v>103</v>
      </c>
      <c r="I9285" t="s">
        <v>103</v>
      </c>
      <c r="J9285" t="s">
        <v>103</v>
      </c>
      <c r="K9285" t="s">
        <v>103</v>
      </c>
      <c r="L9285" t="s">
        <v>103</v>
      </c>
      <c r="M9285" t="s">
        <v>272</v>
      </c>
      <c r="N9285" t="s">
        <v>139</v>
      </c>
      <c r="O9285" t="s">
        <v>103</v>
      </c>
      <c r="P9285" t="s">
        <v>103</v>
      </c>
      <c r="Q9285" t="s">
        <v>103</v>
      </c>
      <c r="R9285" t="s">
        <v>103</v>
      </c>
      <c r="S9285" t="s">
        <v>103</v>
      </c>
      <c r="T9285" t="s">
        <v>103</v>
      </c>
      <c r="U9285" t="s">
        <v>103</v>
      </c>
    </row>
    <row r="9286" spans="1:31" s="3" customFormat="1" x14ac:dyDescent="0.3">
      <c r="A9286" s="3" t="s">
        <v>27</v>
      </c>
      <c r="B9286" s="3" t="s">
        <v>2512</v>
      </c>
      <c r="C9286" s="3">
        <v>14</v>
      </c>
      <c r="D9286" s="3" t="s">
        <v>192</v>
      </c>
      <c r="E9286" s="3" t="s">
        <v>103</v>
      </c>
      <c r="F9286" s="3" t="s">
        <v>103</v>
      </c>
      <c r="G9286" s="3" t="s">
        <v>103</v>
      </c>
      <c r="H9286" s="3" t="s">
        <v>103</v>
      </c>
      <c r="I9286" s="3" t="s">
        <v>103</v>
      </c>
      <c r="J9286" s="3" t="s">
        <v>103</v>
      </c>
      <c r="K9286" s="3" t="s">
        <v>103</v>
      </c>
      <c r="L9286" s="3" t="s">
        <v>103</v>
      </c>
      <c r="M9286" s="3" t="s">
        <v>103</v>
      </c>
      <c r="N9286" s="3" t="s">
        <v>103</v>
      </c>
      <c r="O9286" s="3" t="s">
        <v>103</v>
      </c>
      <c r="P9286" s="3" t="s">
        <v>103</v>
      </c>
      <c r="Q9286" s="3" t="s">
        <v>103</v>
      </c>
      <c r="R9286" s="3" t="s">
        <v>103</v>
      </c>
      <c r="S9286" s="3" t="s">
        <v>103</v>
      </c>
      <c r="T9286" s="3" t="s">
        <v>103</v>
      </c>
      <c r="U9286" s="3" t="s">
        <v>103</v>
      </c>
    </row>
    <row r="9287" spans="1:31" s="3" customFormat="1" x14ac:dyDescent="0.3">
      <c r="A9287" s="3" t="s">
        <v>27</v>
      </c>
      <c r="B9287" s="3" t="s">
        <v>2513</v>
      </c>
      <c r="C9287" s="3">
        <v>11</v>
      </c>
      <c r="D9287" s="3" t="s">
        <v>192</v>
      </c>
      <c r="E9287" s="3" t="s">
        <v>103</v>
      </c>
      <c r="F9287" s="3" t="s">
        <v>103</v>
      </c>
      <c r="G9287" s="3" t="s">
        <v>103</v>
      </c>
      <c r="H9287" s="3" t="s">
        <v>103</v>
      </c>
      <c r="I9287" s="3" t="s">
        <v>103</v>
      </c>
      <c r="J9287" s="3" t="s">
        <v>103</v>
      </c>
      <c r="K9287" s="3" t="s">
        <v>103</v>
      </c>
      <c r="L9287" s="3" t="s">
        <v>103</v>
      </c>
      <c r="M9287" s="3" t="s">
        <v>103</v>
      </c>
      <c r="N9287" s="3" t="s">
        <v>103</v>
      </c>
      <c r="O9287" s="3" t="s">
        <v>103</v>
      </c>
      <c r="P9287" s="3" t="s">
        <v>103</v>
      </c>
      <c r="Q9287" s="3" t="s">
        <v>103</v>
      </c>
      <c r="R9287" s="3" t="s">
        <v>103</v>
      </c>
      <c r="S9287" s="3" t="s">
        <v>103</v>
      </c>
      <c r="T9287" s="3" t="s">
        <v>103</v>
      </c>
      <c r="U9287" s="3" t="s">
        <v>103</v>
      </c>
    </row>
    <row r="9288" spans="1:31" s="3" customFormat="1" x14ac:dyDescent="0.3">
      <c r="A9288" s="3" t="s">
        <v>27</v>
      </c>
      <c r="B9288" s="3" t="s">
        <v>2514</v>
      </c>
      <c r="C9288" s="3">
        <v>10</v>
      </c>
      <c r="D9288" s="3" t="s">
        <v>192</v>
      </c>
      <c r="E9288" s="3" t="s">
        <v>103</v>
      </c>
      <c r="F9288" s="3" t="s">
        <v>103</v>
      </c>
      <c r="G9288" s="3" t="s">
        <v>103</v>
      </c>
      <c r="H9288" s="3" t="s">
        <v>103</v>
      </c>
      <c r="I9288" s="3" t="s">
        <v>103</v>
      </c>
      <c r="J9288" s="3" t="s">
        <v>103</v>
      </c>
      <c r="K9288" s="3" t="s">
        <v>103</v>
      </c>
      <c r="L9288" s="3" t="s">
        <v>103</v>
      </c>
      <c r="M9288" s="3" t="s">
        <v>103</v>
      </c>
      <c r="N9288" s="3" t="s">
        <v>103</v>
      </c>
      <c r="O9288" s="3" t="s">
        <v>103</v>
      </c>
      <c r="P9288" s="3" t="s">
        <v>103</v>
      </c>
      <c r="Q9288" s="3" t="s">
        <v>103</v>
      </c>
      <c r="R9288" s="3" t="s">
        <v>103</v>
      </c>
      <c r="S9288" s="3" t="s">
        <v>103</v>
      </c>
      <c r="T9288" s="3" t="s">
        <v>103</v>
      </c>
      <c r="U9288" s="3" t="s">
        <v>103</v>
      </c>
    </row>
    <row r="9289" spans="1:31" x14ac:dyDescent="0.3">
      <c r="A9289" t="s">
        <v>27</v>
      </c>
      <c r="B9289" t="s">
        <v>2515</v>
      </c>
      <c r="C9289">
        <v>70</v>
      </c>
      <c r="D9289" t="s">
        <v>340</v>
      </c>
      <c r="E9289" t="s">
        <v>103</v>
      </c>
      <c r="F9289" t="s">
        <v>103</v>
      </c>
      <c r="G9289" t="s">
        <v>103</v>
      </c>
      <c r="H9289" t="s">
        <v>103</v>
      </c>
      <c r="I9289" t="s">
        <v>103</v>
      </c>
      <c r="J9289" t="s">
        <v>103</v>
      </c>
      <c r="K9289" t="s">
        <v>216</v>
      </c>
      <c r="L9289" t="s">
        <v>103</v>
      </c>
      <c r="M9289" t="s">
        <v>103</v>
      </c>
      <c r="N9289" t="s">
        <v>103</v>
      </c>
      <c r="O9289" t="s">
        <v>103</v>
      </c>
      <c r="P9289" t="s">
        <v>103</v>
      </c>
      <c r="Q9289" t="s">
        <v>103</v>
      </c>
      <c r="R9289" t="s">
        <v>103</v>
      </c>
      <c r="S9289" t="s">
        <v>103</v>
      </c>
      <c r="T9289" t="s">
        <v>103</v>
      </c>
      <c r="U9289" t="s">
        <v>103</v>
      </c>
    </row>
    <row r="9290" spans="1:31" x14ac:dyDescent="0.3">
      <c r="A9290" t="s">
        <v>41</v>
      </c>
      <c r="B9290" t="s">
        <v>2512</v>
      </c>
      <c r="C9290">
        <v>156</v>
      </c>
      <c r="D9290" t="s">
        <v>833</v>
      </c>
      <c r="E9290" t="s">
        <v>103</v>
      </c>
      <c r="F9290" t="s">
        <v>103</v>
      </c>
      <c r="G9290" t="s">
        <v>103</v>
      </c>
      <c r="H9290" t="s">
        <v>110</v>
      </c>
      <c r="I9290" t="s">
        <v>103</v>
      </c>
      <c r="J9290" t="s">
        <v>103</v>
      </c>
      <c r="K9290" t="s">
        <v>103</v>
      </c>
      <c r="L9290" t="s">
        <v>103</v>
      </c>
      <c r="M9290" t="s">
        <v>98</v>
      </c>
      <c r="N9290" t="s">
        <v>103</v>
      </c>
      <c r="O9290" t="s">
        <v>103</v>
      </c>
      <c r="P9290" t="s">
        <v>103</v>
      </c>
      <c r="Q9290" t="s">
        <v>103</v>
      </c>
      <c r="R9290" t="s">
        <v>103</v>
      </c>
      <c r="S9290" t="s">
        <v>103</v>
      </c>
      <c r="T9290" t="s">
        <v>110</v>
      </c>
      <c r="U9290" t="s">
        <v>103</v>
      </c>
    </row>
    <row r="9291" spans="1:31" x14ac:dyDescent="0.3">
      <c r="A9291" t="s">
        <v>41</v>
      </c>
      <c r="B9291" t="s">
        <v>2513</v>
      </c>
      <c r="C9291">
        <v>164</v>
      </c>
      <c r="D9291" t="s">
        <v>1173</v>
      </c>
      <c r="E9291" t="s">
        <v>103</v>
      </c>
      <c r="F9291" t="s">
        <v>64</v>
      </c>
      <c r="G9291" t="s">
        <v>194</v>
      </c>
      <c r="H9291" t="s">
        <v>103</v>
      </c>
      <c r="I9291" t="s">
        <v>103</v>
      </c>
      <c r="J9291" t="s">
        <v>103</v>
      </c>
      <c r="K9291" t="s">
        <v>103</v>
      </c>
      <c r="L9291" t="s">
        <v>103</v>
      </c>
      <c r="M9291" t="s">
        <v>103</v>
      </c>
      <c r="N9291" t="s">
        <v>103</v>
      </c>
      <c r="O9291" t="s">
        <v>103</v>
      </c>
      <c r="P9291" t="s">
        <v>122</v>
      </c>
      <c r="Q9291" t="s">
        <v>103</v>
      </c>
      <c r="R9291" t="s">
        <v>103</v>
      </c>
      <c r="S9291" t="s">
        <v>282</v>
      </c>
      <c r="T9291" t="s">
        <v>103</v>
      </c>
      <c r="U9291" t="s">
        <v>103</v>
      </c>
    </row>
    <row r="9292" spans="1:31" x14ac:dyDescent="0.3">
      <c r="A9292" t="s">
        <v>41</v>
      </c>
      <c r="B9292" t="s">
        <v>2514</v>
      </c>
      <c r="C9292">
        <v>122</v>
      </c>
      <c r="D9292" t="s">
        <v>879</v>
      </c>
      <c r="E9292" t="s">
        <v>103</v>
      </c>
      <c r="F9292" t="s">
        <v>208</v>
      </c>
      <c r="G9292" t="s">
        <v>103</v>
      </c>
      <c r="H9292" t="s">
        <v>103</v>
      </c>
      <c r="I9292" t="s">
        <v>103</v>
      </c>
      <c r="J9292" t="s">
        <v>103</v>
      </c>
      <c r="K9292" t="s">
        <v>103</v>
      </c>
      <c r="L9292" t="s">
        <v>103</v>
      </c>
      <c r="M9292" t="s">
        <v>103</v>
      </c>
      <c r="N9292" t="s">
        <v>103</v>
      </c>
      <c r="O9292" t="s">
        <v>103</v>
      </c>
      <c r="P9292" t="s">
        <v>103</v>
      </c>
      <c r="Q9292" t="s">
        <v>103</v>
      </c>
      <c r="R9292" t="s">
        <v>103</v>
      </c>
      <c r="S9292" t="s">
        <v>103</v>
      </c>
      <c r="T9292" t="s">
        <v>103</v>
      </c>
      <c r="U9292" t="s">
        <v>139</v>
      </c>
    </row>
    <row r="9293" spans="1:31" x14ac:dyDescent="0.3">
      <c r="A9293" t="s">
        <v>41</v>
      </c>
      <c r="B9293" t="s">
        <v>2515</v>
      </c>
      <c r="C9293">
        <v>587</v>
      </c>
      <c r="D9293" t="s">
        <v>325</v>
      </c>
      <c r="E9293" t="s">
        <v>103</v>
      </c>
      <c r="F9293" t="s">
        <v>103</v>
      </c>
      <c r="G9293" t="s">
        <v>103</v>
      </c>
      <c r="H9293" t="s">
        <v>103</v>
      </c>
      <c r="I9293" t="s">
        <v>103</v>
      </c>
      <c r="J9293" t="s">
        <v>103</v>
      </c>
      <c r="K9293" t="s">
        <v>91</v>
      </c>
      <c r="L9293" t="s">
        <v>103</v>
      </c>
      <c r="M9293" t="s">
        <v>66</v>
      </c>
      <c r="N9293" t="s">
        <v>91</v>
      </c>
      <c r="O9293" t="s">
        <v>103</v>
      </c>
      <c r="P9293" t="s">
        <v>103</v>
      </c>
      <c r="Q9293" t="s">
        <v>103</v>
      </c>
      <c r="R9293" t="s">
        <v>103</v>
      </c>
      <c r="S9293" t="s">
        <v>116</v>
      </c>
      <c r="T9293" t="s">
        <v>97</v>
      </c>
      <c r="U9293" t="s">
        <v>103</v>
      </c>
    </row>
    <row r="9295" spans="1:31" x14ac:dyDescent="0.3">
      <c r="A9295" t="s">
        <v>2537</v>
      </c>
    </row>
    <row r="9296" spans="1:31" x14ac:dyDescent="0.3">
      <c r="A9296" t="s">
        <v>36</v>
      </c>
      <c r="B9296" t="s">
        <v>24</v>
      </c>
      <c r="C9296" t="s">
        <v>2538</v>
      </c>
      <c r="D9296" t="s">
        <v>2539</v>
      </c>
      <c r="E9296" t="s">
        <v>2540</v>
      </c>
      <c r="F9296" t="s">
        <v>2541</v>
      </c>
      <c r="G9296" t="s">
        <v>2542</v>
      </c>
      <c r="H9296" t="s">
        <v>2543</v>
      </c>
      <c r="I9296" t="s">
        <v>2544</v>
      </c>
      <c r="J9296" t="s">
        <v>2545</v>
      </c>
      <c r="K9296" t="s">
        <v>2546</v>
      </c>
      <c r="L9296" t="s">
        <v>2547</v>
      </c>
      <c r="M9296" t="s">
        <v>2548</v>
      </c>
      <c r="N9296" t="s">
        <v>2549</v>
      </c>
      <c r="O9296" t="s">
        <v>2550</v>
      </c>
      <c r="P9296" t="s">
        <v>2551</v>
      </c>
      <c r="Q9296" t="s">
        <v>2552</v>
      </c>
      <c r="R9296" t="s">
        <v>2553</v>
      </c>
      <c r="S9296" t="s">
        <v>2554</v>
      </c>
      <c r="T9296" t="s">
        <v>2555</v>
      </c>
      <c r="U9296" t="s">
        <v>2556</v>
      </c>
      <c r="V9296" t="s">
        <v>2557</v>
      </c>
      <c r="W9296" t="s">
        <v>2558</v>
      </c>
      <c r="X9296" t="s">
        <v>2559</v>
      </c>
      <c r="Y9296" t="s">
        <v>2560</v>
      </c>
      <c r="Z9296" t="s">
        <v>2561</v>
      </c>
      <c r="AA9296" t="s">
        <v>2562</v>
      </c>
      <c r="AB9296" t="s">
        <v>89</v>
      </c>
      <c r="AC9296" t="s">
        <v>87</v>
      </c>
      <c r="AD9296" t="s">
        <v>181</v>
      </c>
      <c r="AE9296" t="s">
        <v>1195</v>
      </c>
    </row>
    <row r="9297" spans="1:32" x14ac:dyDescent="0.3">
      <c r="A9297" t="s">
        <v>25</v>
      </c>
      <c r="B9297">
        <v>413</v>
      </c>
      <c r="C9297" t="s">
        <v>119</v>
      </c>
      <c r="D9297" t="s">
        <v>782</v>
      </c>
      <c r="E9297" t="s">
        <v>493</v>
      </c>
      <c r="F9297" t="s">
        <v>727</v>
      </c>
      <c r="G9297" t="s">
        <v>99</v>
      </c>
      <c r="H9297" t="s">
        <v>102</v>
      </c>
      <c r="I9297" t="s">
        <v>510</v>
      </c>
      <c r="J9297" t="s">
        <v>593</v>
      </c>
      <c r="K9297" t="s">
        <v>421</v>
      </c>
      <c r="L9297" t="s">
        <v>128</v>
      </c>
      <c r="M9297" t="s">
        <v>104</v>
      </c>
      <c r="N9297" t="s">
        <v>792</v>
      </c>
      <c r="O9297" t="s">
        <v>162</v>
      </c>
      <c r="P9297" t="s">
        <v>194</v>
      </c>
      <c r="Q9297" t="s">
        <v>660</v>
      </c>
      <c r="R9297" t="s">
        <v>32</v>
      </c>
      <c r="S9297" t="s">
        <v>188</v>
      </c>
      <c r="T9297" t="s">
        <v>282</v>
      </c>
      <c r="U9297" t="s">
        <v>103</v>
      </c>
      <c r="V9297" t="s">
        <v>70</v>
      </c>
      <c r="W9297" t="s">
        <v>139</v>
      </c>
      <c r="X9297" t="s">
        <v>139</v>
      </c>
      <c r="Y9297" t="s">
        <v>97</v>
      </c>
      <c r="Z9297" t="s">
        <v>95</v>
      </c>
      <c r="AA9297" t="s">
        <v>66</v>
      </c>
      <c r="AB9297" t="s">
        <v>97</v>
      </c>
      <c r="AC9297" t="s">
        <v>91</v>
      </c>
      <c r="AD9297" t="s">
        <v>103</v>
      </c>
      <c r="AE9297" t="s">
        <v>133</v>
      </c>
    </row>
    <row r="9298" spans="1:32" x14ac:dyDescent="0.3">
      <c r="A9298" t="s">
        <v>26</v>
      </c>
      <c r="B9298">
        <v>477</v>
      </c>
      <c r="C9298" t="s">
        <v>571</v>
      </c>
      <c r="D9298" t="s">
        <v>933</v>
      </c>
      <c r="E9298" t="s">
        <v>532</v>
      </c>
      <c r="F9298" t="s">
        <v>667</v>
      </c>
      <c r="G9298" t="s">
        <v>100</v>
      </c>
      <c r="H9298" t="s">
        <v>466</v>
      </c>
      <c r="I9298" t="s">
        <v>557</v>
      </c>
      <c r="J9298" t="s">
        <v>422</v>
      </c>
      <c r="K9298" t="s">
        <v>458</v>
      </c>
      <c r="L9298" t="s">
        <v>107</v>
      </c>
      <c r="M9298" t="s">
        <v>136</v>
      </c>
      <c r="N9298" t="s">
        <v>658</v>
      </c>
      <c r="O9298" t="s">
        <v>756</v>
      </c>
      <c r="P9298" t="s">
        <v>120</v>
      </c>
      <c r="Q9298" t="s">
        <v>655</v>
      </c>
      <c r="R9298" t="s">
        <v>46</v>
      </c>
      <c r="S9298" t="s">
        <v>257</v>
      </c>
      <c r="T9298" t="s">
        <v>257</v>
      </c>
      <c r="U9298" t="s">
        <v>122</v>
      </c>
      <c r="V9298" t="s">
        <v>133</v>
      </c>
      <c r="W9298" t="s">
        <v>97</v>
      </c>
      <c r="X9298" t="s">
        <v>122</v>
      </c>
      <c r="Y9298" t="s">
        <v>103</v>
      </c>
      <c r="Z9298" t="s">
        <v>103</v>
      </c>
      <c r="AA9298" t="s">
        <v>116</v>
      </c>
      <c r="AB9298" t="s">
        <v>345</v>
      </c>
      <c r="AC9298" t="s">
        <v>103</v>
      </c>
      <c r="AD9298" t="s">
        <v>103</v>
      </c>
      <c r="AE9298" t="s">
        <v>201</v>
      </c>
    </row>
    <row r="9299" spans="1:32" x14ac:dyDescent="0.3">
      <c r="A9299" t="s">
        <v>29</v>
      </c>
      <c r="B9299">
        <v>530</v>
      </c>
      <c r="C9299" t="s">
        <v>190</v>
      </c>
      <c r="D9299" t="s">
        <v>1209</v>
      </c>
      <c r="E9299" t="s">
        <v>133</v>
      </c>
      <c r="F9299" t="s">
        <v>495</v>
      </c>
      <c r="G9299" t="s">
        <v>460</v>
      </c>
      <c r="H9299" t="s">
        <v>239</v>
      </c>
      <c r="I9299" t="s">
        <v>138</v>
      </c>
      <c r="J9299" t="s">
        <v>1002</v>
      </c>
      <c r="K9299" t="s">
        <v>390</v>
      </c>
      <c r="L9299" t="s">
        <v>113</v>
      </c>
      <c r="M9299" t="s">
        <v>190</v>
      </c>
      <c r="N9299" t="s">
        <v>535</v>
      </c>
      <c r="O9299" t="s">
        <v>117</v>
      </c>
      <c r="P9299" t="s">
        <v>125</v>
      </c>
      <c r="Q9299" t="s">
        <v>580</v>
      </c>
      <c r="R9299" t="s">
        <v>482</v>
      </c>
      <c r="S9299" t="s">
        <v>33</v>
      </c>
      <c r="T9299" t="s">
        <v>272</v>
      </c>
      <c r="U9299" t="s">
        <v>103</v>
      </c>
      <c r="V9299" t="s">
        <v>32</v>
      </c>
      <c r="W9299" t="s">
        <v>329</v>
      </c>
      <c r="X9299" t="s">
        <v>128</v>
      </c>
      <c r="Y9299" t="s">
        <v>239</v>
      </c>
      <c r="Z9299" t="s">
        <v>66</v>
      </c>
      <c r="AA9299" t="s">
        <v>122</v>
      </c>
      <c r="AB9299" t="s">
        <v>245</v>
      </c>
      <c r="AC9299" t="s">
        <v>468</v>
      </c>
      <c r="AD9299" t="s">
        <v>66</v>
      </c>
      <c r="AE9299" t="s">
        <v>32</v>
      </c>
    </row>
    <row r="9300" spans="1:32" x14ac:dyDescent="0.3">
      <c r="A9300" t="s">
        <v>28</v>
      </c>
      <c r="B9300">
        <v>317</v>
      </c>
      <c r="C9300" t="s">
        <v>681</v>
      </c>
      <c r="D9300" t="s">
        <v>692</v>
      </c>
      <c r="E9300" t="s">
        <v>112</v>
      </c>
      <c r="F9300" t="s">
        <v>522</v>
      </c>
      <c r="G9300" t="s">
        <v>528</v>
      </c>
      <c r="H9300" t="s">
        <v>566</v>
      </c>
      <c r="I9300" t="s">
        <v>421</v>
      </c>
      <c r="J9300" t="s">
        <v>431</v>
      </c>
      <c r="K9300" t="s">
        <v>650</v>
      </c>
      <c r="L9300" t="s">
        <v>105</v>
      </c>
      <c r="M9300" t="s">
        <v>90</v>
      </c>
      <c r="N9300" t="s">
        <v>557</v>
      </c>
      <c r="O9300" t="s">
        <v>918</v>
      </c>
      <c r="P9300" t="s">
        <v>195</v>
      </c>
      <c r="Q9300" t="s">
        <v>578</v>
      </c>
      <c r="R9300" t="s">
        <v>171</v>
      </c>
      <c r="S9300" t="s">
        <v>33</v>
      </c>
      <c r="T9300" t="s">
        <v>95</v>
      </c>
      <c r="U9300" t="s">
        <v>103</v>
      </c>
      <c r="V9300" t="s">
        <v>60</v>
      </c>
      <c r="W9300" t="s">
        <v>93</v>
      </c>
      <c r="X9300" t="s">
        <v>257</v>
      </c>
      <c r="Y9300" t="s">
        <v>103</v>
      </c>
      <c r="Z9300" t="s">
        <v>103</v>
      </c>
      <c r="AA9300" t="s">
        <v>66</v>
      </c>
      <c r="AB9300" t="s">
        <v>122</v>
      </c>
      <c r="AC9300" t="s">
        <v>103</v>
      </c>
      <c r="AD9300" t="s">
        <v>103</v>
      </c>
      <c r="AE9300" t="s">
        <v>494</v>
      </c>
    </row>
    <row r="9301" spans="1:32" x14ac:dyDescent="0.3">
      <c r="A9301" t="s">
        <v>27</v>
      </c>
      <c r="B9301">
        <v>300</v>
      </c>
      <c r="C9301" t="s">
        <v>112</v>
      </c>
      <c r="D9301" t="s">
        <v>1214</v>
      </c>
      <c r="E9301" t="s">
        <v>68</v>
      </c>
      <c r="F9301" t="s">
        <v>1236</v>
      </c>
      <c r="G9301" t="s">
        <v>114</v>
      </c>
      <c r="H9301" t="s">
        <v>652</v>
      </c>
      <c r="I9301" t="s">
        <v>748</v>
      </c>
      <c r="J9301" t="s">
        <v>231</v>
      </c>
      <c r="K9301" t="s">
        <v>402</v>
      </c>
      <c r="L9301" t="s">
        <v>128</v>
      </c>
      <c r="M9301" t="s">
        <v>115</v>
      </c>
      <c r="N9301" t="s">
        <v>562</v>
      </c>
      <c r="O9301" t="s">
        <v>206</v>
      </c>
      <c r="P9301" t="s">
        <v>98</v>
      </c>
      <c r="Q9301" t="s">
        <v>1293</v>
      </c>
      <c r="R9301" t="s">
        <v>284</v>
      </c>
      <c r="S9301" t="s">
        <v>466</v>
      </c>
      <c r="T9301" t="s">
        <v>438</v>
      </c>
      <c r="U9301" t="s">
        <v>103</v>
      </c>
      <c r="V9301" t="s">
        <v>46</v>
      </c>
      <c r="W9301" t="s">
        <v>68</v>
      </c>
      <c r="X9301" t="s">
        <v>110</v>
      </c>
      <c r="Y9301" t="s">
        <v>116</v>
      </c>
      <c r="Z9301" t="s">
        <v>103</v>
      </c>
      <c r="AA9301" t="s">
        <v>103</v>
      </c>
      <c r="AB9301" t="s">
        <v>66</v>
      </c>
      <c r="AC9301" t="s">
        <v>91</v>
      </c>
      <c r="AD9301" t="s">
        <v>103</v>
      </c>
      <c r="AE9301" t="s">
        <v>239</v>
      </c>
    </row>
    <row r="9302" spans="1:32" x14ac:dyDescent="0.3">
      <c r="A9302" t="s">
        <v>41</v>
      </c>
      <c r="B9302">
        <v>2037</v>
      </c>
      <c r="C9302" t="s">
        <v>224</v>
      </c>
      <c r="D9302" t="s">
        <v>1029</v>
      </c>
      <c r="E9302" t="s">
        <v>214</v>
      </c>
      <c r="F9302" t="s">
        <v>155</v>
      </c>
      <c r="G9302" t="s">
        <v>242</v>
      </c>
      <c r="H9302" t="s">
        <v>186</v>
      </c>
      <c r="I9302" t="s">
        <v>583</v>
      </c>
      <c r="J9302" t="s">
        <v>231</v>
      </c>
      <c r="K9302" t="s">
        <v>627</v>
      </c>
      <c r="L9302" t="s">
        <v>493</v>
      </c>
      <c r="M9302" t="s">
        <v>601</v>
      </c>
      <c r="N9302" t="s">
        <v>919</v>
      </c>
      <c r="O9302" t="s">
        <v>171</v>
      </c>
      <c r="P9302" t="s">
        <v>128</v>
      </c>
      <c r="Q9302" t="s">
        <v>688</v>
      </c>
      <c r="R9302" t="s">
        <v>543</v>
      </c>
      <c r="S9302" t="s">
        <v>107</v>
      </c>
      <c r="T9302" t="s">
        <v>257</v>
      </c>
      <c r="U9302" t="s">
        <v>91</v>
      </c>
      <c r="V9302" t="s">
        <v>232</v>
      </c>
      <c r="W9302" t="s">
        <v>239</v>
      </c>
      <c r="X9302" t="s">
        <v>239</v>
      </c>
      <c r="Y9302" t="s">
        <v>139</v>
      </c>
      <c r="Z9302" t="s">
        <v>66</v>
      </c>
      <c r="AA9302" t="s">
        <v>116</v>
      </c>
      <c r="AB9302" t="s">
        <v>468</v>
      </c>
      <c r="AC9302" t="s">
        <v>120</v>
      </c>
      <c r="AD9302" t="s">
        <v>91</v>
      </c>
      <c r="AE9302" t="s">
        <v>32</v>
      </c>
    </row>
    <row r="9304" spans="1:32" x14ac:dyDescent="0.3">
      <c r="A9304" t="s">
        <v>2563</v>
      </c>
    </row>
    <row r="9305" spans="1:32" x14ac:dyDescent="0.3">
      <c r="A9305" t="s">
        <v>36</v>
      </c>
      <c r="B9305" t="s">
        <v>307</v>
      </c>
      <c r="C9305" t="s">
        <v>24</v>
      </c>
      <c r="D9305" t="s">
        <v>2538</v>
      </c>
      <c r="E9305" t="s">
        <v>2539</v>
      </c>
      <c r="F9305" t="s">
        <v>2540</v>
      </c>
      <c r="G9305" t="s">
        <v>2541</v>
      </c>
      <c r="H9305" t="s">
        <v>2542</v>
      </c>
      <c r="I9305" t="s">
        <v>2543</v>
      </c>
      <c r="J9305" t="s">
        <v>2544</v>
      </c>
      <c r="K9305" t="s">
        <v>2545</v>
      </c>
      <c r="L9305" t="s">
        <v>2546</v>
      </c>
      <c r="M9305" t="s">
        <v>2547</v>
      </c>
      <c r="N9305" t="s">
        <v>2548</v>
      </c>
      <c r="O9305" t="s">
        <v>2549</v>
      </c>
      <c r="P9305" t="s">
        <v>2550</v>
      </c>
      <c r="Q9305" t="s">
        <v>2551</v>
      </c>
      <c r="R9305" t="s">
        <v>2552</v>
      </c>
      <c r="S9305" t="s">
        <v>2553</v>
      </c>
      <c r="T9305" t="s">
        <v>2554</v>
      </c>
      <c r="U9305" t="s">
        <v>2555</v>
      </c>
      <c r="V9305" t="s">
        <v>2556</v>
      </c>
      <c r="W9305" t="s">
        <v>2557</v>
      </c>
      <c r="X9305" t="s">
        <v>2558</v>
      </c>
      <c r="Y9305" t="s">
        <v>2559</v>
      </c>
      <c r="Z9305" t="s">
        <v>2560</v>
      </c>
      <c r="AA9305" t="s">
        <v>2561</v>
      </c>
      <c r="AB9305" t="s">
        <v>2562</v>
      </c>
      <c r="AC9305" t="s">
        <v>89</v>
      </c>
      <c r="AD9305" t="s">
        <v>87</v>
      </c>
      <c r="AE9305" t="s">
        <v>181</v>
      </c>
      <c r="AF9305" t="s">
        <v>1195</v>
      </c>
    </row>
    <row r="9306" spans="1:32" x14ac:dyDescent="0.3">
      <c r="A9306" t="s">
        <v>25</v>
      </c>
      <c r="B9306" t="s">
        <v>291</v>
      </c>
      <c r="C9306">
        <v>156</v>
      </c>
      <c r="D9306" t="s">
        <v>517</v>
      </c>
      <c r="E9306" t="s">
        <v>1556</v>
      </c>
      <c r="F9306" t="s">
        <v>239</v>
      </c>
      <c r="G9306" t="s">
        <v>579</v>
      </c>
      <c r="H9306" t="s">
        <v>254</v>
      </c>
      <c r="I9306" t="s">
        <v>278</v>
      </c>
      <c r="J9306" t="s">
        <v>454</v>
      </c>
      <c r="K9306" t="s">
        <v>747</v>
      </c>
      <c r="L9306" t="s">
        <v>427</v>
      </c>
      <c r="M9306" t="s">
        <v>217</v>
      </c>
      <c r="N9306" t="s">
        <v>244</v>
      </c>
      <c r="O9306" t="s">
        <v>1015</v>
      </c>
      <c r="P9306" t="s">
        <v>137</v>
      </c>
      <c r="Q9306" t="s">
        <v>97</v>
      </c>
      <c r="R9306" t="s">
        <v>521</v>
      </c>
      <c r="S9306" t="s">
        <v>60</v>
      </c>
      <c r="T9306" t="s">
        <v>345</v>
      </c>
      <c r="U9306" t="s">
        <v>139</v>
      </c>
      <c r="V9306" t="s">
        <v>103</v>
      </c>
      <c r="W9306" t="s">
        <v>201</v>
      </c>
      <c r="X9306" t="s">
        <v>93</v>
      </c>
      <c r="Y9306" t="s">
        <v>93</v>
      </c>
      <c r="Z9306" t="s">
        <v>468</v>
      </c>
      <c r="AA9306" t="s">
        <v>103</v>
      </c>
      <c r="AB9306" t="s">
        <v>120</v>
      </c>
      <c r="AC9306" t="s">
        <v>97</v>
      </c>
      <c r="AD9306" t="s">
        <v>103</v>
      </c>
      <c r="AE9306" t="s">
        <v>103</v>
      </c>
      <c r="AF9306" t="s">
        <v>102</v>
      </c>
    </row>
    <row r="9307" spans="1:32" x14ac:dyDescent="0.3">
      <c r="A9307" t="s">
        <v>25</v>
      </c>
      <c r="B9307" t="s">
        <v>292</v>
      </c>
      <c r="C9307">
        <v>253</v>
      </c>
      <c r="D9307" t="s">
        <v>136</v>
      </c>
      <c r="E9307" t="s">
        <v>1009</v>
      </c>
      <c r="F9307" t="s">
        <v>615</v>
      </c>
      <c r="G9307" t="s">
        <v>695</v>
      </c>
      <c r="H9307" t="s">
        <v>146</v>
      </c>
      <c r="I9307" t="s">
        <v>217</v>
      </c>
      <c r="J9307" t="s">
        <v>541</v>
      </c>
      <c r="K9307" t="s">
        <v>1329</v>
      </c>
      <c r="L9307" t="s">
        <v>510</v>
      </c>
      <c r="M9307" t="s">
        <v>208</v>
      </c>
      <c r="N9307" t="s">
        <v>517</v>
      </c>
      <c r="O9307" t="s">
        <v>498</v>
      </c>
      <c r="P9307" t="s">
        <v>473</v>
      </c>
      <c r="Q9307" t="s">
        <v>105</v>
      </c>
      <c r="R9307" t="s">
        <v>1223</v>
      </c>
      <c r="S9307" t="s">
        <v>102</v>
      </c>
      <c r="T9307" t="s">
        <v>662</v>
      </c>
      <c r="U9307" t="s">
        <v>468</v>
      </c>
      <c r="V9307" t="s">
        <v>103</v>
      </c>
      <c r="W9307" t="s">
        <v>206</v>
      </c>
      <c r="X9307" t="s">
        <v>103</v>
      </c>
      <c r="Y9307" t="s">
        <v>103</v>
      </c>
      <c r="Z9307" t="s">
        <v>103</v>
      </c>
      <c r="AA9307" t="s">
        <v>345</v>
      </c>
      <c r="AB9307" t="s">
        <v>103</v>
      </c>
      <c r="AC9307" t="s">
        <v>97</v>
      </c>
      <c r="AD9307" t="s">
        <v>91</v>
      </c>
      <c r="AE9307" t="s">
        <v>103</v>
      </c>
      <c r="AF9307" t="s">
        <v>140</v>
      </c>
    </row>
    <row r="9308" spans="1:32" x14ac:dyDescent="0.3">
      <c r="A9308" t="s">
        <v>25</v>
      </c>
      <c r="B9308" t="s">
        <v>308</v>
      </c>
      <c r="C9308">
        <v>4</v>
      </c>
      <c r="D9308" t="s">
        <v>534</v>
      </c>
      <c r="E9308" t="s">
        <v>240</v>
      </c>
      <c r="F9308" t="s">
        <v>534</v>
      </c>
      <c r="G9308" t="s">
        <v>103</v>
      </c>
      <c r="H9308" t="s">
        <v>103</v>
      </c>
      <c r="I9308" t="s">
        <v>103</v>
      </c>
      <c r="J9308" t="s">
        <v>534</v>
      </c>
      <c r="K9308" t="s">
        <v>240</v>
      </c>
      <c r="L9308" t="s">
        <v>1438</v>
      </c>
      <c r="M9308" t="s">
        <v>693</v>
      </c>
      <c r="N9308" t="s">
        <v>103</v>
      </c>
      <c r="O9308" t="s">
        <v>103</v>
      </c>
      <c r="P9308" t="s">
        <v>103</v>
      </c>
      <c r="Q9308" t="s">
        <v>693</v>
      </c>
      <c r="R9308" t="s">
        <v>693</v>
      </c>
      <c r="S9308" t="s">
        <v>103</v>
      </c>
      <c r="T9308" t="s">
        <v>103</v>
      </c>
      <c r="U9308" t="s">
        <v>103</v>
      </c>
      <c r="V9308" t="s">
        <v>103</v>
      </c>
      <c r="W9308" t="s">
        <v>103</v>
      </c>
      <c r="X9308" t="s">
        <v>103</v>
      </c>
      <c r="Y9308" t="s">
        <v>103</v>
      </c>
      <c r="Z9308" t="s">
        <v>103</v>
      </c>
      <c r="AA9308" t="s">
        <v>103</v>
      </c>
      <c r="AB9308" t="s">
        <v>103</v>
      </c>
      <c r="AC9308" t="s">
        <v>103</v>
      </c>
      <c r="AD9308" t="s">
        <v>103</v>
      </c>
      <c r="AE9308" t="s">
        <v>103</v>
      </c>
      <c r="AF9308" t="s">
        <v>103</v>
      </c>
    </row>
    <row r="9309" spans="1:32" x14ac:dyDescent="0.3">
      <c r="A9309" t="s">
        <v>26</v>
      </c>
      <c r="B9309" t="s">
        <v>291</v>
      </c>
      <c r="C9309">
        <v>122</v>
      </c>
      <c r="D9309" t="s">
        <v>162</v>
      </c>
      <c r="E9309" t="s">
        <v>675</v>
      </c>
      <c r="F9309" t="s">
        <v>103</v>
      </c>
      <c r="G9309" t="s">
        <v>519</v>
      </c>
      <c r="H9309" t="s">
        <v>247</v>
      </c>
      <c r="I9309" t="s">
        <v>205</v>
      </c>
      <c r="J9309" t="s">
        <v>643</v>
      </c>
      <c r="K9309" t="s">
        <v>1180</v>
      </c>
      <c r="L9309" t="s">
        <v>1422</v>
      </c>
      <c r="M9309" t="s">
        <v>70</v>
      </c>
      <c r="N9309" t="s">
        <v>146</v>
      </c>
      <c r="O9309" t="s">
        <v>259</v>
      </c>
      <c r="P9309" t="s">
        <v>927</v>
      </c>
      <c r="Q9309" t="s">
        <v>122</v>
      </c>
      <c r="R9309" t="s">
        <v>1090</v>
      </c>
      <c r="S9309" t="s">
        <v>921</v>
      </c>
      <c r="T9309" t="s">
        <v>103</v>
      </c>
      <c r="U9309" t="s">
        <v>105</v>
      </c>
      <c r="V9309" t="s">
        <v>103</v>
      </c>
      <c r="W9309" t="s">
        <v>167</v>
      </c>
      <c r="X9309" t="s">
        <v>341</v>
      </c>
      <c r="Y9309" t="s">
        <v>245</v>
      </c>
      <c r="Z9309" t="s">
        <v>103</v>
      </c>
      <c r="AA9309" t="s">
        <v>103</v>
      </c>
      <c r="AB9309" t="s">
        <v>103</v>
      </c>
      <c r="AC9309" t="s">
        <v>239</v>
      </c>
      <c r="AD9309" t="s">
        <v>103</v>
      </c>
      <c r="AE9309" t="s">
        <v>103</v>
      </c>
      <c r="AF9309" t="s">
        <v>194</v>
      </c>
    </row>
    <row r="9310" spans="1:32" x14ac:dyDescent="0.3">
      <c r="A9310" t="s">
        <v>26</v>
      </c>
      <c r="B9310" t="s">
        <v>292</v>
      </c>
      <c r="C9310">
        <v>352</v>
      </c>
      <c r="D9310" t="s">
        <v>251</v>
      </c>
      <c r="E9310" t="s">
        <v>363</v>
      </c>
      <c r="F9310" t="s">
        <v>531</v>
      </c>
      <c r="G9310" t="s">
        <v>875</v>
      </c>
      <c r="H9310" t="s">
        <v>190</v>
      </c>
      <c r="I9310" t="s">
        <v>133</v>
      </c>
      <c r="J9310" t="s">
        <v>514</v>
      </c>
      <c r="K9310" t="s">
        <v>462</v>
      </c>
      <c r="L9310" t="s">
        <v>699</v>
      </c>
      <c r="M9310" t="s">
        <v>114</v>
      </c>
      <c r="N9310" t="s">
        <v>104</v>
      </c>
      <c r="O9310" t="s">
        <v>695</v>
      </c>
      <c r="P9310" t="s">
        <v>30</v>
      </c>
      <c r="Q9310" t="s">
        <v>120</v>
      </c>
      <c r="R9310" t="s">
        <v>498</v>
      </c>
      <c r="S9310" t="s">
        <v>524</v>
      </c>
      <c r="T9310" t="s">
        <v>438</v>
      </c>
      <c r="U9310" t="s">
        <v>64</v>
      </c>
      <c r="V9310" t="s">
        <v>97</v>
      </c>
      <c r="W9310" t="s">
        <v>64</v>
      </c>
      <c r="X9310" t="s">
        <v>103</v>
      </c>
      <c r="Y9310" t="s">
        <v>103</v>
      </c>
      <c r="Z9310" t="s">
        <v>103</v>
      </c>
      <c r="AA9310" t="s">
        <v>103</v>
      </c>
      <c r="AB9310" t="s">
        <v>122</v>
      </c>
      <c r="AC9310" t="s">
        <v>98</v>
      </c>
      <c r="AD9310" t="s">
        <v>103</v>
      </c>
      <c r="AE9310" t="s">
        <v>103</v>
      </c>
      <c r="AF9310" t="s">
        <v>112</v>
      </c>
    </row>
    <row r="9311" spans="1:32" x14ac:dyDescent="0.3">
      <c r="A9311" t="s">
        <v>26</v>
      </c>
      <c r="B9311" t="s">
        <v>308</v>
      </c>
      <c r="C9311">
        <v>3</v>
      </c>
      <c r="D9311" t="s">
        <v>103</v>
      </c>
      <c r="E9311" t="s">
        <v>1178</v>
      </c>
      <c r="F9311" t="s">
        <v>103</v>
      </c>
      <c r="G9311" t="s">
        <v>1009</v>
      </c>
      <c r="H9311" t="s">
        <v>1202</v>
      </c>
      <c r="I9311" t="s">
        <v>921</v>
      </c>
      <c r="J9311" t="s">
        <v>103</v>
      </c>
      <c r="K9311" t="s">
        <v>921</v>
      </c>
      <c r="L9311" t="s">
        <v>784</v>
      </c>
      <c r="M9311" t="s">
        <v>103</v>
      </c>
      <c r="N9311" t="s">
        <v>103</v>
      </c>
      <c r="O9311" t="s">
        <v>103</v>
      </c>
      <c r="P9311" t="s">
        <v>1202</v>
      </c>
      <c r="Q9311" t="s">
        <v>103</v>
      </c>
      <c r="R9311" t="s">
        <v>192</v>
      </c>
      <c r="S9311" t="s">
        <v>103</v>
      </c>
      <c r="T9311" t="s">
        <v>103</v>
      </c>
      <c r="U9311" t="s">
        <v>103</v>
      </c>
      <c r="V9311" t="s">
        <v>103</v>
      </c>
      <c r="W9311" t="s">
        <v>103</v>
      </c>
      <c r="X9311" t="s">
        <v>103</v>
      </c>
      <c r="Y9311" t="s">
        <v>103</v>
      </c>
      <c r="Z9311" t="s">
        <v>103</v>
      </c>
      <c r="AA9311" t="s">
        <v>103</v>
      </c>
      <c r="AB9311" t="s">
        <v>103</v>
      </c>
      <c r="AC9311" t="s">
        <v>103</v>
      </c>
      <c r="AD9311" t="s">
        <v>103</v>
      </c>
      <c r="AE9311" t="s">
        <v>103</v>
      </c>
      <c r="AF9311" t="s">
        <v>103</v>
      </c>
    </row>
    <row r="9312" spans="1:32" x14ac:dyDescent="0.3">
      <c r="A9312" t="s">
        <v>29</v>
      </c>
      <c r="B9312" t="s">
        <v>291</v>
      </c>
      <c r="C9312">
        <v>205</v>
      </c>
      <c r="D9312" t="s">
        <v>494</v>
      </c>
      <c r="E9312" t="s">
        <v>1071</v>
      </c>
      <c r="F9312" t="s">
        <v>128</v>
      </c>
      <c r="G9312" t="s">
        <v>271</v>
      </c>
      <c r="H9312" t="s">
        <v>124</v>
      </c>
      <c r="I9312" t="s">
        <v>468</v>
      </c>
      <c r="J9312" t="s">
        <v>694</v>
      </c>
      <c r="K9312" t="s">
        <v>787</v>
      </c>
      <c r="L9312" t="s">
        <v>1559</v>
      </c>
      <c r="M9312" t="s">
        <v>466</v>
      </c>
      <c r="N9312" t="s">
        <v>112</v>
      </c>
      <c r="O9312" t="s">
        <v>1015</v>
      </c>
      <c r="P9312" t="s">
        <v>146</v>
      </c>
      <c r="Q9312" t="s">
        <v>186</v>
      </c>
      <c r="R9312" t="s">
        <v>463</v>
      </c>
      <c r="S9312" t="s">
        <v>481</v>
      </c>
      <c r="T9312" t="s">
        <v>438</v>
      </c>
      <c r="U9312" t="s">
        <v>266</v>
      </c>
      <c r="V9312" t="s">
        <v>103</v>
      </c>
      <c r="W9312" t="s">
        <v>558</v>
      </c>
      <c r="X9312" t="s">
        <v>112</v>
      </c>
      <c r="Y9312" t="s">
        <v>281</v>
      </c>
      <c r="Z9312" t="s">
        <v>95</v>
      </c>
      <c r="AA9312" t="s">
        <v>103</v>
      </c>
      <c r="AB9312" t="s">
        <v>103</v>
      </c>
      <c r="AC9312" t="s">
        <v>245</v>
      </c>
      <c r="AD9312" t="s">
        <v>122</v>
      </c>
      <c r="AE9312" t="s">
        <v>120</v>
      </c>
      <c r="AF9312" t="s">
        <v>493</v>
      </c>
    </row>
    <row r="9313" spans="1:32" x14ac:dyDescent="0.3">
      <c r="A9313" t="s">
        <v>29</v>
      </c>
      <c r="B9313" t="s">
        <v>292</v>
      </c>
      <c r="C9313">
        <v>325</v>
      </c>
      <c r="D9313" t="s">
        <v>466</v>
      </c>
      <c r="E9313" t="s">
        <v>1009</v>
      </c>
      <c r="F9313" t="s">
        <v>124</v>
      </c>
      <c r="G9313" t="s">
        <v>1319</v>
      </c>
      <c r="H9313" t="s">
        <v>460</v>
      </c>
      <c r="I9313" t="s">
        <v>105</v>
      </c>
      <c r="J9313" t="s">
        <v>553</v>
      </c>
      <c r="K9313" t="s">
        <v>2010</v>
      </c>
      <c r="L9313" t="s">
        <v>1098</v>
      </c>
      <c r="M9313" t="s">
        <v>272</v>
      </c>
      <c r="N9313" t="s">
        <v>100</v>
      </c>
      <c r="O9313" t="s">
        <v>462</v>
      </c>
      <c r="P9313" t="s">
        <v>119</v>
      </c>
      <c r="Q9313" t="s">
        <v>467</v>
      </c>
      <c r="R9313" t="s">
        <v>565</v>
      </c>
      <c r="S9313" t="s">
        <v>100</v>
      </c>
      <c r="T9313" t="s">
        <v>232</v>
      </c>
      <c r="U9313" t="s">
        <v>102</v>
      </c>
      <c r="V9313" t="s">
        <v>103</v>
      </c>
      <c r="W9313" t="s">
        <v>113</v>
      </c>
      <c r="X9313" t="s">
        <v>103</v>
      </c>
      <c r="Y9313" t="s">
        <v>122</v>
      </c>
      <c r="Z9313" t="s">
        <v>208</v>
      </c>
      <c r="AA9313" t="s">
        <v>116</v>
      </c>
      <c r="AB9313" t="s">
        <v>120</v>
      </c>
      <c r="AC9313" t="s">
        <v>245</v>
      </c>
      <c r="AD9313" t="s">
        <v>245</v>
      </c>
      <c r="AE9313" t="s">
        <v>103</v>
      </c>
      <c r="AF9313" t="s">
        <v>662</v>
      </c>
    </row>
    <row r="9314" spans="1:32" x14ac:dyDescent="0.3">
      <c r="A9314" t="s">
        <v>28</v>
      </c>
      <c r="B9314" t="s">
        <v>291</v>
      </c>
      <c r="C9314">
        <v>114</v>
      </c>
      <c r="D9314" t="s">
        <v>526</v>
      </c>
      <c r="E9314" t="s">
        <v>1293</v>
      </c>
      <c r="F9314" t="s">
        <v>239</v>
      </c>
      <c r="G9314" t="s">
        <v>31</v>
      </c>
      <c r="H9314" t="s">
        <v>254</v>
      </c>
      <c r="I9314" t="s">
        <v>544</v>
      </c>
      <c r="J9314" t="s">
        <v>1559</v>
      </c>
      <c r="K9314" t="s">
        <v>1348</v>
      </c>
      <c r="L9314" t="s">
        <v>506</v>
      </c>
      <c r="M9314" t="s">
        <v>128</v>
      </c>
      <c r="N9314" t="s">
        <v>607</v>
      </c>
      <c r="O9314" t="s">
        <v>672</v>
      </c>
      <c r="P9314" t="s">
        <v>123</v>
      </c>
      <c r="Q9314" t="s">
        <v>113</v>
      </c>
      <c r="R9314" t="s">
        <v>516</v>
      </c>
      <c r="S9314" t="s">
        <v>452</v>
      </c>
      <c r="T9314" t="s">
        <v>140</v>
      </c>
      <c r="U9314" t="s">
        <v>139</v>
      </c>
      <c r="V9314" t="s">
        <v>103</v>
      </c>
      <c r="W9314" t="s">
        <v>127</v>
      </c>
      <c r="X9314" t="s">
        <v>558</v>
      </c>
      <c r="Y9314" t="s">
        <v>206</v>
      </c>
      <c r="Z9314" t="s">
        <v>103</v>
      </c>
      <c r="AA9314" t="s">
        <v>103</v>
      </c>
      <c r="AB9314" t="s">
        <v>103</v>
      </c>
      <c r="AC9314" t="s">
        <v>98</v>
      </c>
      <c r="AD9314" t="s">
        <v>103</v>
      </c>
      <c r="AE9314" t="s">
        <v>103</v>
      </c>
      <c r="AF9314" t="s">
        <v>100</v>
      </c>
    </row>
    <row r="9315" spans="1:32" x14ac:dyDescent="0.3">
      <c r="A9315" t="s">
        <v>28</v>
      </c>
      <c r="B9315" t="s">
        <v>292</v>
      </c>
      <c r="C9315">
        <v>191</v>
      </c>
      <c r="D9315" t="s">
        <v>56</v>
      </c>
      <c r="E9315" t="s">
        <v>1257</v>
      </c>
      <c r="F9315" t="s">
        <v>190</v>
      </c>
      <c r="G9315" t="s">
        <v>658</v>
      </c>
      <c r="H9315" t="s">
        <v>681</v>
      </c>
      <c r="I9315" t="s">
        <v>515</v>
      </c>
      <c r="J9315" t="s">
        <v>1211</v>
      </c>
      <c r="K9315" t="s">
        <v>512</v>
      </c>
      <c r="L9315" t="s">
        <v>236</v>
      </c>
      <c r="M9315" t="s">
        <v>239</v>
      </c>
      <c r="N9315" t="s">
        <v>94</v>
      </c>
      <c r="O9315" t="s">
        <v>547</v>
      </c>
      <c r="P9315" t="s">
        <v>148</v>
      </c>
      <c r="Q9315" t="s">
        <v>239</v>
      </c>
      <c r="R9315" t="s">
        <v>142</v>
      </c>
      <c r="S9315" t="s">
        <v>819</v>
      </c>
      <c r="T9315" t="s">
        <v>125</v>
      </c>
      <c r="U9315" t="s">
        <v>95</v>
      </c>
      <c r="V9315" t="s">
        <v>103</v>
      </c>
      <c r="W9315" t="s">
        <v>124</v>
      </c>
      <c r="X9315" t="s">
        <v>103</v>
      </c>
      <c r="Y9315" t="s">
        <v>122</v>
      </c>
      <c r="Z9315" t="s">
        <v>103</v>
      </c>
      <c r="AA9315" t="s">
        <v>103</v>
      </c>
      <c r="AB9315" t="s">
        <v>122</v>
      </c>
      <c r="AC9315" t="s">
        <v>103</v>
      </c>
      <c r="AD9315" t="s">
        <v>103</v>
      </c>
      <c r="AE9315" t="s">
        <v>103</v>
      </c>
      <c r="AF9315" t="s">
        <v>108</v>
      </c>
    </row>
    <row r="9316" spans="1:32" x14ac:dyDescent="0.3">
      <c r="A9316" t="s">
        <v>28</v>
      </c>
      <c r="B9316" t="s">
        <v>308</v>
      </c>
      <c r="C9316">
        <v>12</v>
      </c>
      <c r="D9316" t="s">
        <v>173</v>
      </c>
      <c r="E9316" t="s">
        <v>1088</v>
      </c>
      <c r="F9316" t="s">
        <v>1093</v>
      </c>
      <c r="G9316" t="s">
        <v>579</v>
      </c>
      <c r="H9316" t="s">
        <v>157</v>
      </c>
      <c r="I9316" t="s">
        <v>103</v>
      </c>
      <c r="J9316" t="s">
        <v>526</v>
      </c>
      <c r="K9316" t="s">
        <v>48</v>
      </c>
      <c r="L9316" t="s">
        <v>561</v>
      </c>
      <c r="M9316" t="s">
        <v>103</v>
      </c>
      <c r="N9316" t="s">
        <v>1260</v>
      </c>
      <c r="O9316" t="s">
        <v>1032</v>
      </c>
      <c r="P9316" t="s">
        <v>160</v>
      </c>
      <c r="Q9316" t="s">
        <v>157</v>
      </c>
      <c r="R9316" t="s">
        <v>684</v>
      </c>
      <c r="S9316" t="s">
        <v>409</v>
      </c>
      <c r="T9316" t="s">
        <v>205</v>
      </c>
      <c r="U9316" t="s">
        <v>103</v>
      </c>
      <c r="V9316" t="s">
        <v>103</v>
      </c>
      <c r="W9316" t="s">
        <v>103</v>
      </c>
      <c r="X9316" t="s">
        <v>103</v>
      </c>
      <c r="Y9316" t="s">
        <v>103</v>
      </c>
      <c r="Z9316" t="s">
        <v>103</v>
      </c>
      <c r="AA9316" t="s">
        <v>103</v>
      </c>
      <c r="AB9316" t="s">
        <v>103</v>
      </c>
      <c r="AC9316" t="s">
        <v>103</v>
      </c>
      <c r="AD9316" t="s">
        <v>103</v>
      </c>
      <c r="AE9316" t="s">
        <v>103</v>
      </c>
      <c r="AF9316" t="s">
        <v>103</v>
      </c>
    </row>
    <row r="9317" spans="1:32" x14ac:dyDescent="0.3">
      <c r="A9317" t="s">
        <v>27</v>
      </c>
      <c r="B9317" t="s">
        <v>291</v>
      </c>
      <c r="C9317">
        <v>95</v>
      </c>
      <c r="D9317" t="s">
        <v>188</v>
      </c>
      <c r="E9317" t="s">
        <v>573</v>
      </c>
      <c r="F9317" t="s">
        <v>103</v>
      </c>
      <c r="G9317" t="s">
        <v>1558</v>
      </c>
      <c r="H9317" t="s">
        <v>341</v>
      </c>
      <c r="I9317" t="s">
        <v>649</v>
      </c>
      <c r="J9317" t="s">
        <v>1390</v>
      </c>
      <c r="K9317" t="s">
        <v>1325</v>
      </c>
      <c r="L9317" t="s">
        <v>729</v>
      </c>
      <c r="M9317" t="s">
        <v>282</v>
      </c>
      <c r="N9317" t="s">
        <v>629</v>
      </c>
      <c r="O9317" t="s">
        <v>647</v>
      </c>
      <c r="P9317" t="s">
        <v>737</v>
      </c>
      <c r="Q9317" t="s">
        <v>103</v>
      </c>
      <c r="R9317" t="s">
        <v>661</v>
      </c>
      <c r="S9317" t="s">
        <v>140</v>
      </c>
      <c r="T9317" t="s">
        <v>245</v>
      </c>
      <c r="U9317" t="s">
        <v>110</v>
      </c>
      <c r="V9317" t="s">
        <v>103</v>
      </c>
      <c r="W9317" t="s">
        <v>162</v>
      </c>
      <c r="X9317" t="s">
        <v>517</v>
      </c>
      <c r="Y9317" t="s">
        <v>188</v>
      </c>
      <c r="Z9317" t="s">
        <v>103</v>
      </c>
      <c r="AA9317" t="s">
        <v>103</v>
      </c>
      <c r="AB9317" t="s">
        <v>103</v>
      </c>
      <c r="AC9317" t="s">
        <v>139</v>
      </c>
      <c r="AD9317" t="s">
        <v>116</v>
      </c>
      <c r="AE9317" t="s">
        <v>103</v>
      </c>
      <c r="AF9317" t="s">
        <v>468</v>
      </c>
    </row>
    <row r="9318" spans="1:32" x14ac:dyDescent="0.3">
      <c r="A9318" t="s">
        <v>27</v>
      </c>
      <c r="B9318" t="s">
        <v>292</v>
      </c>
      <c r="C9318">
        <v>198</v>
      </c>
      <c r="D9318" t="s">
        <v>94</v>
      </c>
      <c r="E9318" t="s">
        <v>943</v>
      </c>
      <c r="F9318" t="s">
        <v>591</v>
      </c>
      <c r="G9318" t="s">
        <v>359</v>
      </c>
      <c r="H9318" t="s">
        <v>32</v>
      </c>
      <c r="I9318" t="s">
        <v>890</v>
      </c>
      <c r="J9318" t="s">
        <v>696</v>
      </c>
      <c r="K9318" t="s">
        <v>1220</v>
      </c>
      <c r="L9318" t="s">
        <v>1223</v>
      </c>
      <c r="M9318" t="s">
        <v>270</v>
      </c>
      <c r="N9318" t="s">
        <v>162</v>
      </c>
      <c r="O9318" t="s">
        <v>443</v>
      </c>
      <c r="P9318" t="s">
        <v>281</v>
      </c>
      <c r="Q9318" t="s">
        <v>110</v>
      </c>
      <c r="R9318" t="s">
        <v>1216</v>
      </c>
      <c r="S9318" t="s">
        <v>591</v>
      </c>
      <c r="T9318" t="s">
        <v>126</v>
      </c>
      <c r="U9318" t="s">
        <v>113</v>
      </c>
      <c r="V9318" t="s">
        <v>103</v>
      </c>
      <c r="W9318" t="s">
        <v>485</v>
      </c>
      <c r="X9318" t="s">
        <v>103</v>
      </c>
      <c r="Y9318" t="s">
        <v>97</v>
      </c>
      <c r="Z9318" t="s">
        <v>97</v>
      </c>
      <c r="AA9318" t="s">
        <v>103</v>
      </c>
      <c r="AB9318" t="s">
        <v>103</v>
      </c>
      <c r="AC9318" t="s">
        <v>103</v>
      </c>
      <c r="AD9318" t="s">
        <v>103</v>
      </c>
      <c r="AE9318" t="s">
        <v>103</v>
      </c>
      <c r="AF9318" t="s">
        <v>216</v>
      </c>
    </row>
    <row r="9319" spans="1:32" x14ac:dyDescent="0.3">
      <c r="A9319" t="s">
        <v>27</v>
      </c>
      <c r="B9319" t="s">
        <v>308</v>
      </c>
      <c r="C9319">
        <v>7</v>
      </c>
      <c r="D9319" t="s">
        <v>103</v>
      </c>
      <c r="E9319" t="s">
        <v>129</v>
      </c>
      <c r="F9319" t="s">
        <v>488</v>
      </c>
      <c r="G9319" t="s">
        <v>302</v>
      </c>
      <c r="H9319" t="s">
        <v>103</v>
      </c>
      <c r="I9319" t="s">
        <v>103</v>
      </c>
      <c r="J9319" t="s">
        <v>605</v>
      </c>
      <c r="K9319" t="s">
        <v>173</v>
      </c>
      <c r="L9319" t="s">
        <v>477</v>
      </c>
      <c r="M9319" t="s">
        <v>103</v>
      </c>
      <c r="N9319" t="s">
        <v>488</v>
      </c>
      <c r="O9319" t="s">
        <v>1205</v>
      </c>
      <c r="P9319" t="s">
        <v>103</v>
      </c>
      <c r="Q9319" t="s">
        <v>103</v>
      </c>
      <c r="R9319" t="s">
        <v>821</v>
      </c>
      <c r="S9319" t="s">
        <v>488</v>
      </c>
      <c r="T9319" t="s">
        <v>488</v>
      </c>
      <c r="U9319" t="s">
        <v>103</v>
      </c>
      <c r="V9319" t="s">
        <v>103</v>
      </c>
      <c r="W9319" t="s">
        <v>1216</v>
      </c>
      <c r="X9319" t="s">
        <v>103</v>
      </c>
      <c r="Y9319" t="s">
        <v>103</v>
      </c>
      <c r="Z9319" t="s">
        <v>103</v>
      </c>
      <c r="AA9319" t="s">
        <v>103</v>
      </c>
      <c r="AB9319" t="s">
        <v>103</v>
      </c>
      <c r="AC9319" t="s">
        <v>103</v>
      </c>
      <c r="AD9319" t="s">
        <v>103</v>
      </c>
      <c r="AE9319" t="s">
        <v>103</v>
      </c>
      <c r="AF9319" t="s">
        <v>103</v>
      </c>
    </row>
    <row r="9320" spans="1:32" x14ac:dyDescent="0.3">
      <c r="A9320" t="s">
        <v>41</v>
      </c>
      <c r="B9320" t="s">
        <v>291</v>
      </c>
      <c r="C9320">
        <v>692</v>
      </c>
      <c r="D9320" t="s">
        <v>459</v>
      </c>
      <c r="E9320" t="s">
        <v>1294</v>
      </c>
      <c r="F9320" t="s">
        <v>216</v>
      </c>
      <c r="G9320" t="s">
        <v>807</v>
      </c>
      <c r="H9320" t="s">
        <v>126</v>
      </c>
      <c r="I9320" t="s">
        <v>186</v>
      </c>
      <c r="J9320" t="s">
        <v>404</v>
      </c>
      <c r="K9320" t="s">
        <v>1438</v>
      </c>
      <c r="L9320" t="s">
        <v>797</v>
      </c>
      <c r="M9320" t="s">
        <v>33</v>
      </c>
      <c r="N9320" t="s">
        <v>108</v>
      </c>
      <c r="O9320" t="s">
        <v>1229</v>
      </c>
      <c r="P9320" t="s">
        <v>244</v>
      </c>
      <c r="Q9320" t="s">
        <v>257</v>
      </c>
      <c r="R9320" t="s">
        <v>268</v>
      </c>
      <c r="S9320" t="s">
        <v>115</v>
      </c>
      <c r="T9320" t="s">
        <v>118</v>
      </c>
      <c r="U9320" t="s">
        <v>208</v>
      </c>
      <c r="V9320" t="s">
        <v>103</v>
      </c>
      <c r="W9320" t="s">
        <v>60</v>
      </c>
      <c r="X9320" t="s">
        <v>201</v>
      </c>
      <c r="Y9320" t="s">
        <v>591</v>
      </c>
      <c r="Z9320" t="s">
        <v>120</v>
      </c>
      <c r="AA9320" t="s">
        <v>103</v>
      </c>
      <c r="AB9320" t="s">
        <v>91</v>
      </c>
      <c r="AC9320" t="s">
        <v>194</v>
      </c>
      <c r="AD9320" t="s">
        <v>66</v>
      </c>
      <c r="AE9320" t="s">
        <v>116</v>
      </c>
      <c r="AF9320" t="s">
        <v>467</v>
      </c>
    </row>
    <row r="9321" spans="1:32" x14ac:dyDescent="0.3">
      <c r="A9321" t="s">
        <v>41</v>
      </c>
      <c r="B9321" t="s">
        <v>292</v>
      </c>
      <c r="C9321">
        <v>1319</v>
      </c>
      <c r="D9321" t="s">
        <v>575</v>
      </c>
      <c r="E9321" t="s">
        <v>1029</v>
      </c>
      <c r="F9321" t="s">
        <v>594</v>
      </c>
      <c r="G9321" t="s">
        <v>1219</v>
      </c>
      <c r="H9321" t="s">
        <v>242</v>
      </c>
      <c r="I9321" t="s">
        <v>591</v>
      </c>
      <c r="J9321" t="s">
        <v>553</v>
      </c>
      <c r="K9321" t="s">
        <v>943</v>
      </c>
      <c r="L9321" t="s">
        <v>420</v>
      </c>
      <c r="M9321" t="s">
        <v>195</v>
      </c>
      <c r="N9321" t="s">
        <v>99</v>
      </c>
      <c r="O9321" t="s">
        <v>537</v>
      </c>
      <c r="P9321" t="s">
        <v>524</v>
      </c>
      <c r="Q9321" t="s">
        <v>329</v>
      </c>
      <c r="R9321" t="s">
        <v>674</v>
      </c>
      <c r="S9321" t="s">
        <v>601</v>
      </c>
      <c r="T9321" t="s">
        <v>278</v>
      </c>
      <c r="U9321" t="s">
        <v>64</v>
      </c>
      <c r="V9321" t="s">
        <v>91</v>
      </c>
      <c r="W9321" t="s">
        <v>284</v>
      </c>
      <c r="X9321" t="s">
        <v>103</v>
      </c>
      <c r="Y9321" t="s">
        <v>66</v>
      </c>
      <c r="Z9321" t="s">
        <v>98</v>
      </c>
      <c r="AA9321" t="s">
        <v>116</v>
      </c>
      <c r="AB9321" t="s">
        <v>122</v>
      </c>
      <c r="AC9321" t="s">
        <v>345</v>
      </c>
      <c r="AD9321" t="s">
        <v>139</v>
      </c>
      <c r="AE9321" t="s">
        <v>103</v>
      </c>
      <c r="AF9321" t="s">
        <v>662</v>
      </c>
    </row>
    <row r="9322" spans="1:32" x14ac:dyDescent="0.3">
      <c r="A9322" t="s">
        <v>41</v>
      </c>
      <c r="B9322" t="s">
        <v>308</v>
      </c>
      <c r="C9322">
        <v>26</v>
      </c>
      <c r="D9322" t="s">
        <v>544</v>
      </c>
      <c r="E9322" t="s">
        <v>795</v>
      </c>
      <c r="F9322" t="s">
        <v>471</v>
      </c>
      <c r="G9322" t="s">
        <v>489</v>
      </c>
      <c r="H9322" t="s">
        <v>171</v>
      </c>
      <c r="I9322" t="s">
        <v>140</v>
      </c>
      <c r="J9322" t="s">
        <v>815</v>
      </c>
      <c r="K9322" t="s">
        <v>453</v>
      </c>
      <c r="L9322" t="s">
        <v>1199</v>
      </c>
      <c r="M9322" t="s">
        <v>217</v>
      </c>
      <c r="N9322" t="s">
        <v>331</v>
      </c>
      <c r="O9322" t="s">
        <v>1084</v>
      </c>
      <c r="P9322" t="s">
        <v>173</v>
      </c>
      <c r="Q9322" t="s">
        <v>232</v>
      </c>
      <c r="R9322" t="s">
        <v>1021</v>
      </c>
      <c r="S9322" t="s">
        <v>693</v>
      </c>
      <c r="T9322" t="s">
        <v>33</v>
      </c>
      <c r="U9322" t="s">
        <v>103</v>
      </c>
      <c r="V9322" t="s">
        <v>103</v>
      </c>
      <c r="W9322" t="s">
        <v>90</v>
      </c>
      <c r="X9322" t="s">
        <v>103</v>
      </c>
      <c r="Y9322" t="s">
        <v>103</v>
      </c>
      <c r="Z9322" t="s">
        <v>103</v>
      </c>
      <c r="AA9322" t="s">
        <v>103</v>
      </c>
      <c r="AB9322" t="s">
        <v>103</v>
      </c>
      <c r="AC9322" t="s">
        <v>103</v>
      </c>
      <c r="AD9322" t="s">
        <v>103</v>
      </c>
      <c r="AE9322" t="s">
        <v>103</v>
      </c>
      <c r="AF9322" t="s">
        <v>103</v>
      </c>
    </row>
    <row r="9324" spans="1:32" x14ac:dyDescent="0.3">
      <c r="A9324" t="s">
        <v>2564</v>
      </c>
    </row>
    <row r="9325" spans="1:32" x14ac:dyDescent="0.3">
      <c r="A9325" t="s">
        <v>36</v>
      </c>
      <c r="B9325" t="s">
        <v>310</v>
      </c>
      <c r="C9325" t="s">
        <v>24</v>
      </c>
      <c r="D9325" t="s">
        <v>2538</v>
      </c>
      <c r="E9325" t="s">
        <v>2539</v>
      </c>
      <c r="F9325" t="s">
        <v>2540</v>
      </c>
      <c r="G9325" t="s">
        <v>2541</v>
      </c>
      <c r="H9325" t="s">
        <v>2542</v>
      </c>
      <c r="I9325" t="s">
        <v>2543</v>
      </c>
      <c r="J9325" t="s">
        <v>2544</v>
      </c>
      <c r="K9325" t="s">
        <v>2545</v>
      </c>
      <c r="L9325" t="s">
        <v>2546</v>
      </c>
      <c r="M9325" t="s">
        <v>2547</v>
      </c>
      <c r="N9325" t="s">
        <v>2548</v>
      </c>
      <c r="O9325" t="s">
        <v>2549</v>
      </c>
      <c r="P9325" t="s">
        <v>2550</v>
      </c>
      <c r="Q9325" t="s">
        <v>2551</v>
      </c>
      <c r="R9325" t="s">
        <v>2552</v>
      </c>
      <c r="S9325" t="s">
        <v>2553</v>
      </c>
      <c r="T9325" t="s">
        <v>2554</v>
      </c>
      <c r="U9325" t="s">
        <v>2555</v>
      </c>
      <c r="V9325" t="s">
        <v>2556</v>
      </c>
      <c r="W9325" t="s">
        <v>2557</v>
      </c>
      <c r="X9325" t="s">
        <v>2558</v>
      </c>
      <c r="Y9325" t="s">
        <v>2559</v>
      </c>
      <c r="Z9325" t="s">
        <v>2560</v>
      </c>
      <c r="AA9325" t="s">
        <v>2561</v>
      </c>
      <c r="AB9325" t="s">
        <v>2562</v>
      </c>
      <c r="AC9325" t="s">
        <v>89</v>
      </c>
      <c r="AD9325" t="s">
        <v>87</v>
      </c>
      <c r="AE9325" t="s">
        <v>181</v>
      </c>
      <c r="AF9325" t="s">
        <v>1195</v>
      </c>
    </row>
    <row r="9326" spans="1:32" x14ac:dyDescent="0.3">
      <c r="A9326" t="s">
        <v>25</v>
      </c>
      <c r="B9326" t="s">
        <v>311</v>
      </c>
      <c r="C9326">
        <v>323</v>
      </c>
      <c r="D9326" t="s">
        <v>517</v>
      </c>
      <c r="E9326" t="s">
        <v>430</v>
      </c>
      <c r="F9326" t="s">
        <v>272</v>
      </c>
      <c r="G9326" t="s">
        <v>479</v>
      </c>
      <c r="H9326" t="s">
        <v>459</v>
      </c>
      <c r="I9326" t="s">
        <v>591</v>
      </c>
      <c r="J9326" t="s">
        <v>303</v>
      </c>
      <c r="K9326" t="s">
        <v>924</v>
      </c>
      <c r="L9326" t="s">
        <v>1015</v>
      </c>
      <c r="M9326" t="s">
        <v>208</v>
      </c>
      <c r="N9326" t="s">
        <v>130</v>
      </c>
      <c r="O9326" t="s">
        <v>513</v>
      </c>
      <c r="P9326" t="s">
        <v>682</v>
      </c>
      <c r="Q9326" t="s">
        <v>468</v>
      </c>
      <c r="R9326" t="s">
        <v>520</v>
      </c>
      <c r="S9326" t="s">
        <v>615</v>
      </c>
      <c r="T9326" t="s">
        <v>102</v>
      </c>
      <c r="U9326" t="s">
        <v>468</v>
      </c>
      <c r="V9326" t="s">
        <v>103</v>
      </c>
      <c r="W9326" t="s">
        <v>438</v>
      </c>
      <c r="X9326" t="s">
        <v>345</v>
      </c>
      <c r="Y9326" t="s">
        <v>120</v>
      </c>
      <c r="Z9326" t="s">
        <v>120</v>
      </c>
      <c r="AA9326" t="s">
        <v>139</v>
      </c>
      <c r="AB9326" t="s">
        <v>116</v>
      </c>
      <c r="AC9326" t="s">
        <v>97</v>
      </c>
      <c r="AD9326" t="s">
        <v>91</v>
      </c>
      <c r="AE9326" t="s">
        <v>103</v>
      </c>
      <c r="AF9326" t="s">
        <v>281</v>
      </c>
    </row>
    <row r="9327" spans="1:32" x14ac:dyDescent="0.3">
      <c r="A9327" t="s">
        <v>25</v>
      </c>
      <c r="B9327" t="s">
        <v>312</v>
      </c>
      <c r="C9327">
        <v>80</v>
      </c>
      <c r="D9327" t="s">
        <v>150</v>
      </c>
      <c r="E9327" t="s">
        <v>929</v>
      </c>
      <c r="F9327" t="s">
        <v>245</v>
      </c>
      <c r="G9327" t="s">
        <v>756</v>
      </c>
      <c r="H9327" t="s">
        <v>575</v>
      </c>
      <c r="I9327" t="s">
        <v>105</v>
      </c>
      <c r="J9327" t="s">
        <v>367</v>
      </c>
      <c r="K9327" t="s">
        <v>1009</v>
      </c>
      <c r="L9327" t="s">
        <v>660</v>
      </c>
      <c r="M9327" t="s">
        <v>114</v>
      </c>
      <c r="N9327" t="s">
        <v>101</v>
      </c>
      <c r="O9327" t="s">
        <v>935</v>
      </c>
      <c r="P9327" t="s">
        <v>575</v>
      </c>
      <c r="Q9327" t="s">
        <v>93</v>
      </c>
      <c r="R9327" t="s">
        <v>1084</v>
      </c>
      <c r="S9327" t="s">
        <v>201</v>
      </c>
      <c r="T9327" t="s">
        <v>208</v>
      </c>
      <c r="U9327" t="s">
        <v>97</v>
      </c>
      <c r="V9327" t="s">
        <v>103</v>
      </c>
      <c r="W9327" t="s">
        <v>549</v>
      </c>
      <c r="X9327" t="s">
        <v>103</v>
      </c>
      <c r="Y9327" t="s">
        <v>329</v>
      </c>
      <c r="Z9327" t="s">
        <v>103</v>
      </c>
      <c r="AA9327" t="s">
        <v>103</v>
      </c>
      <c r="AB9327" t="s">
        <v>103</v>
      </c>
      <c r="AC9327" t="s">
        <v>120</v>
      </c>
      <c r="AD9327" t="s">
        <v>103</v>
      </c>
      <c r="AE9327" t="s">
        <v>103</v>
      </c>
      <c r="AF9327" t="s">
        <v>101</v>
      </c>
    </row>
    <row r="9328" spans="1:32" x14ac:dyDescent="0.3">
      <c r="A9328" t="s">
        <v>25</v>
      </c>
      <c r="B9328" t="s">
        <v>308</v>
      </c>
      <c r="C9328">
        <v>10</v>
      </c>
      <c r="D9328" t="s">
        <v>103</v>
      </c>
      <c r="E9328" t="s">
        <v>1358</v>
      </c>
      <c r="F9328" t="s">
        <v>582</v>
      </c>
      <c r="G9328" t="s">
        <v>101</v>
      </c>
      <c r="H9328" t="s">
        <v>743</v>
      </c>
      <c r="I9328" t="s">
        <v>103</v>
      </c>
      <c r="J9328" t="s">
        <v>1097</v>
      </c>
      <c r="K9328" t="s">
        <v>1545</v>
      </c>
      <c r="L9328" t="s">
        <v>566</v>
      </c>
      <c r="M9328" t="s">
        <v>103</v>
      </c>
      <c r="N9328" t="s">
        <v>103</v>
      </c>
      <c r="O9328" t="s">
        <v>255</v>
      </c>
      <c r="P9328" t="s">
        <v>103</v>
      </c>
      <c r="Q9328" t="s">
        <v>103</v>
      </c>
      <c r="R9328" t="s">
        <v>1231</v>
      </c>
      <c r="S9328" t="s">
        <v>131</v>
      </c>
      <c r="T9328" t="s">
        <v>409</v>
      </c>
      <c r="U9328" t="s">
        <v>103</v>
      </c>
      <c r="V9328" t="s">
        <v>103</v>
      </c>
      <c r="W9328" t="s">
        <v>1050</v>
      </c>
      <c r="X9328" t="s">
        <v>103</v>
      </c>
      <c r="Y9328" t="s">
        <v>103</v>
      </c>
      <c r="Z9328" t="s">
        <v>103</v>
      </c>
      <c r="AA9328" t="s">
        <v>103</v>
      </c>
      <c r="AB9328" t="s">
        <v>103</v>
      </c>
      <c r="AC9328" t="s">
        <v>103</v>
      </c>
      <c r="AD9328" t="s">
        <v>103</v>
      </c>
      <c r="AE9328" t="s">
        <v>103</v>
      </c>
      <c r="AF9328" t="s">
        <v>103</v>
      </c>
    </row>
    <row r="9329" spans="1:32" x14ac:dyDescent="0.3">
      <c r="A9329" t="s">
        <v>26</v>
      </c>
      <c r="B9329" t="s">
        <v>311</v>
      </c>
      <c r="C9329">
        <v>343</v>
      </c>
      <c r="D9329" t="s">
        <v>99</v>
      </c>
      <c r="E9329" t="s">
        <v>1025</v>
      </c>
      <c r="F9329" t="s">
        <v>615</v>
      </c>
      <c r="G9329" t="s">
        <v>264</v>
      </c>
      <c r="H9329" t="s">
        <v>126</v>
      </c>
      <c r="I9329" t="s">
        <v>511</v>
      </c>
      <c r="J9329" t="s">
        <v>644</v>
      </c>
      <c r="K9329" t="s">
        <v>657</v>
      </c>
      <c r="L9329" t="s">
        <v>573</v>
      </c>
      <c r="M9329" t="s">
        <v>32</v>
      </c>
      <c r="N9329" t="s">
        <v>171</v>
      </c>
      <c r="O9329" t="s">
        <v>259</v>
      </c>
      <c r="P9329" t="s">
        <v>522</v>
      </c>
      <c r="Q9329" t="s">
        <v>103</v>
      </c>
      <c r="R9329" t="s">
        <v>455</v>
      </c>
      <c r="S9329" t="s">
        <v>548</v>
      </c>
      <c r="T9329" t="s">
        <v>270</v>
      </c>
      <c r="U9329" t="s">
        <v>64</v>
      </c>
      <c r="V9329" t="s">
        <v>103</v>
      </c>
      <c r="W9329" t="s">
        <v>94</v>
      </c>
      <c r="X9329" t="s">
        <v>103</v>
      </c>
      <c r="Y9329" t="s">
        <v>116</v>
      </c>
      <c r="Z9329" t="s">
        <v>103</v>
      </c>
      <c r="AA9329" t="s">
        <v>103</v>
      </c>
      <c r="AB9329" t="s">
        <v>122</v>
      </c>
      <c r="AC9329" t="s">
        <v>239</v>
      </c>
      <c r="AD9329" t="s">
        <v>103</v>
      </c>
      <c r="AE9329" t="s">
        <v>103</v>
      </c>
      <c r="AF9329" t="s">
        <v>125</v>
      </c>
    </row>
    <row r="9330" spans="1:32" x14ac:dyDescent="0.3">
      <c r="A9330" t="s">
        <v>26</v>
      </c>
      <c r="B9330" t="s">
        <v>312</v>
      </c>
      <c r="C9330">
        <v>96</v>
      </c>
      <c r="D9330" t="s">
        <v>114</v>
      </c>
      <c r="E9330" t="s">
        <v>943</v>
      </c>
      <c r="F9330" t="s">
        <v>125</v>
      </c>
      <c r="G9330" t="s">
        <v>568</v>
      </c>
      <c r="H9330" t="s">
        <v>127</v>
      </c>
      <c r="I9330" t="s">
        <v>438</v>
      </c>
      <c r="J9330" t="s">
        <v>702</v>
      </c>
      <c r="K9330" t="s">
        <v>1200</v>
      </c>
      <c r="L9330" t="s">
        <v>478</v>
      </c>
      <c r="M9330" t="s">
        <v>493</v>
      </c>
      <c r="N9330" t="s">
        <v>188</v>
      </c>
      <c r="O9330" t="s">
        <v>700</v>
      </c>
      <c r="P9330" t="s">
        <v>130</v>
      </c>
      <c r="Q9330" t="s">
        <v>341</v>
      </c>
      <c r="R9330" t="s">
        <v>1024</v>
      </c>
      <c r="S9330" t="s">
        <v>488</v>
      </c>
      <c r="T9330" t="s">
        <v>95</v>
      </c>
      <c r="U9330" t="s">
        <v>345</v>
      </c>
      <c r="V9330" t="s">
        <v>329</v>
      </c>
      <c r="W9330" t="s">
        <v>64</v>
      </c>
      <c r="X9330" t="s">
        <v>217</v>
      </c>
      <c r="Y9330" t="s">
        <v>110</v>
      </c>
      <c r="Z9330" t="s">
        <v>103</v>
      </c>
      <c r="AA9330" t="s">
        <v>103</v>
      </c>
      <c r="AB9330" t="s">
        <v>103</v>
      </c>
      <c r="AC9330" t="s">
        <v>103</v>
      </c>
      <c r="AD9330" t="s">
        <v>103</v>
      </c>
      <c r="AE9330" t="s">
        <v>103</v>
      </c>
      <c r="AF9330" t="s">
        <v>594</v>
      </c>
    </row>
    <row r="9331" spans="1:32" x14ac:dyDescent="0.3">
      <c r="A9331" t="s">
        <v>26</v>
      </c>
      <c r="B9331" t="s">
        <v>308</v>
      </c>
      <c r="C9331">
        <v>38</v>
      </c>
      <c r="D9331" t="s">
        <v>205</v>
      </c>
      <c r="E9331" t="s">
        <v>349</v>
      </c>
      <c r="F9331" t="s">
        <v>662</v>
      </c>
      <c r="G9331" t="s">
        <v>1422</v>
      </c>
      <c r="H9331" t="s">
        <v>33</v>
      </c>
      <c r="I9331" t="s">
        <v>466</v>
      </c>
      <c r="J9331" t="s">
        <v>927</v>
      </c>
      <c r="K9331" t="s">
        <v>1402</v>
      </c>
      <c r="L9331" t="s">
        <v>658</v>
      </c>
      <c r="M9331" t="s">
        <v>103</v>
      </c>
      <c r="N9331" t="s">
        <v>68</v>
      </c>
      <c r="O9331" t="s">
        <v>108</v>
      </c>
      <c r="P9331" t="s">
        <v>829</v>
      </c>
      <c r="Q9331" t="s">
        <v>118</v>
      </c>
      <c r="R9331" t="s">
        <v>1279</v>
      </c>
      <c r="S9331" t="s">
        <v>494</v>
      </c>
      <c r="T9331" t="s">
        <v>195</v>
      </c>
      <c r="U9331" t="s">
        <v>467</v>
      </c>
      <c r="V9331" t="s">
        <v>103</v>
      </c>
      <c r="W9331" t="s">
        <v>257</v>
      </c>
      <c r="X9331" t="s">
        <v>103</v>
      </c>
      <c r="Y9331" t="s">
        <v>103</v>
      </c>
      <c r="Z9331" t="s">
        <v>103</v>
      </c>
      <c r="AA9331" t="s">
        <v>103</v>
      </c>
      <c r="AB9331" t="s">
        <v>103</v>
      </c>
      <c r="AC9331" t="s">
        <v>103</v>
      </c>
      <c r="AD9331" t="s">
        <v>103</v>
      </c>
      <c r="AE9331" t="s">
        <v>103</v>
      </c>
      <c r="AF9331" t="s">
        <v>251</v>
      </c>
    </row>
    <row r="9332" spans="1:32" x14ac:dyDescent="0.3">
      <c r="A9332" t="s">
        <v>29</v>
      </c>
      <c r="B9332" t="s">
        <v>311</v>
      </c>
      <c r="C9332">
        <v>414</v>
      </c>
      <c r="D9332" t="s">
        <v>494</v>
      </c>
      <c r="E9332" t="s">
        <v>508</v>
      </c>
      <c r="F9332" t="s">
        <v>284</v>
      </c>
      <c r="G9332" t="s">
        <v>700</v>
      </c>
      <c r="H9332" t="s">
        <v>124</v>
      </c>
      <c r="I9332" t="s">
        <v>216</v>
      </c>
      <c r="J9332" t="s">
        <v>1218</v>
      </c>
      <c r="K9332" t="s">
        <v>1292</v>
      </c>
      <c r="L9332" t="s">
        <v>362</v>
      </c>
      <c r="M9332" t="s">
        <v>107</v>
      </c>
      <c r="N9332" t="s">
        <v>100</v>
      </c>
      <c r="O9332" t="s">
        <v>676</v>
      </c>
      <c r="P9332" t="s">
        <v>148</v>
      </c>
      <c r="Q9332" t="s">
        <v>64</v>
      </c>
      <c r="R9332" t="s">
        <v>506</v>
      </c>
      <c r="S9332" t="s">
        <v>649</v>
      </c>
      <c r="T9332" t="s">
        <v>452</v>
      </c>
      <c r="U9332" t="s">
        <v>272</v>
      </c>
      <c r="V9332" t="s">
        <v>103</v>
      </c>
      <c r="W9332" t="s">
        <v>107</v>
      </c>
      <c r="X9332" t="s">
        <v>95</v>
      </c>
      <c r="Y9332" t="s">
        <v>257</v>
      </c>
      <c r="Z9332" t="s">
        <v>341</v>
      </c>
      <c r="AA9332" t="s">
        <v>66</v>
      </c>
      <c r="AB9332" t="s">
        <v>66</v>
      </c>
      <c r="AC9332" t="s">
        <v>282</v>
      </c>
      <c r="AD9332" t="s">
        <v>110</v>
      </c>
      <c r="AE9332" t="s">
        <v>116</v>
      </c>
      <c r="AF9332" t="s">
        <v>188</v>
      </c>
    </row>
    <row r="9333" spans="1:32" x14ac:dyDescent="0.3">
      <c r="A9333" t="s">
        <v>29</v>
      </c>
      <c r="B9333" t="s">
        <v>312</v>
      </c>
      <c r="C9333">
        <v>103</v>
      </c>
      <c r="D9333" t="s">
        <v>114</v>
      </c>
      <c r="E9333" t="s">
        <v>1238</v>
      </c>
      <c r="F9333" t="s">
        <v>190</v>
      </c>
      <c r="G9333" t="s">
        <v>658</v>
      </c>
      <c r="H9333" t="s">
        <v>206</v>
      </c>
      <c r="I9333" t="s">
        <v>98</v>
      </c>
      <c r="J9333" t="s">
        <v>647</v>
      </c>
      <c r="K9333" t="s">
        <v>802</v>
      </c>
      <c r="L9333" t="s">
        <v>534</v>
      </c>
      <c r="M9333" t="s">
        <v>70</v>
      </c>
      <c r="N9333" t="s">
        <v>107</v>
      </c>
      <c r="O9333" t="s">
        <v>393</v>
      </c>
      <c r="P9333" t="s">
        <v>68</v>
      </c>
      <c r="Q9333" t="s">
        <v>124</v>
      </c>
      <c r="R9333" t="s">
        <v>570</v>
      </c>
      <c r="S9333" t="s">
        <v>126</v>
      </c>
      <c r="T9333" t="s">
        <v>98</v>
      </c>
      <c r="U9333" t="s">
        <v>64</v>
      </c>
      <c r="V9333" t="s">
        <v>103</v>
      </c>
      <c r="W9333" t="s">
        <v>101</v>
      </c>
      <c r="X9333" t="s">
        <v>90</v>
      </c>
      <c r="Y9333" t="s">
        <v>239</v>
      </c>
      <c r="Z9333" t="s">
        <v>103</v>
      </c>
      <c r="AA9333" t="s">
        <v>103</v>
      </c>
      <c r="AB9333" t="s">
        <v>282</v>
      </c>
      <c r="AC9333" t="s">
        <v>214</v>
      </c>
      <c r="AD9333" t="s">
        <v>139</v>
      </c>
      <c r="AE9333" t="s">
        <v>103</v>
      </c>
      <c r="AF9333" t="s">
        <v>135</v>
      </c>
    </row>
    <row r="9334" spans="1:32" x14ac:dyDescent="0.3">
      <c r="A9334" t="s">
        <v>29</v>
      </c>
      <c r="B9334" t="s">
        <v>308</v>
      </c>
      <c r="C9334">
        <v>13</v>
      </c>
      <c r="D9334" t="s">
        <v>251</v>
      </c>
      <c r="E9334" t="s">
        <v>1251</v>
      </c>
      <c r="F9334" t="s">
        <v>511</v>
      </c>
      <c r="G9334" t="s">
        <v>456</v>
      </c>
      <c r="H9334" t="s">
        <v>173</v>
      </c>
      <c r="I9334" t="s">
        <v>511</v>
      </c>
      <c r="J9334" t="s">
        <v>464</v>
      </c>
      <c r="K9334" t="s">
        <v>1221</v>
      </c>
      <c r="L9334" t="s">
        <v>673</v>
      </c>
      <c r="M9334" t="s">
        <v>103</v>
      </c>
      <c r="N9334" t="s">
        <v>103</v>
      </c>
      <c r="O9334" t="s">
        <v>934</v>
      </c>
      <c r="P9334" t="s">
        <v>103</v>
      </c>
      <c r="Q9334" t="s">
        <v>103</v>
      </c>
      <c r="R9334" t="s">
        <v>829</v>
      </c>
      <c r="S9334" t="s">
        <v>103</v>
      </c>
      <c r="T9334" t="s">
        <v>103</v>
      </c>
      <c r="U9334" t="s">
        <v>254</v>
      </c>
      <c r="V9334" t="s">
        <v>103</v>
      </c>
      <c r="W9334" t="s">
        <v>482</v>
      </c>
      <c r="X9334" t="s">
        <v>103</v>
      </c>
      <c r="Y9334" t="s">
        <v>103</v>
      </c>
      <c r="Z9334" t="s">
        <v>103</v>
      </c>
      <c r="AA9334" t="s">
        <v>103</v>
      </c>
      <c r="AB9334" t="s">
        <v>103</v>
      </c>
      <c r="AC9334" t="s">
        <v>103</v>
      </c>
      <c r="AD9334" t="s">
        <v>103</v>
      </c>
      <c r="AE9334" t="s">
        <v>103</v>
      </c>
      <c r="AF9334" t="s">
        <v>103</v>
      </c>
    </row>
    <row r="9335" spans="1:32" x14ac:dyDescent="0.3">
      <c r="A9335" t="s">
        <v>28</v>
      </c>
      <c r="B9335" t="s">
        <v>311</v>
      </c>
      <c r="C9335">
        <v>223</v>
      </c>
      <c r="D9335" t="s">
        <v>756</v>
      </c>
      <c r="E9335" t="s">
        <v>436</v>
      </c>
      <c r="F9335" t="s">
        <v>558</v>
      </c>
      <c r="G9335" t="s">
        <v>1084</v>
      </c>
      <c r="H9335" t="s">
        <v>682</v>
      </c>
      <c r="I9335" t="s">
        <v>130</v>
      </c>
      <c r="J9335" t="s">
        <v>413</v>
      </c>
      <c r="K9335" t="s">
        <v>1058</v>
      </c>
      <c r="L9335" t="s">
        <v>568</v>
      </c>
      <c r="M9335" t="s">
        <v>245</v>
      </c>
      <c r="N9335" t="s">
        <v>652</v>
      </c>
      <c r="O9335" t="s">
        <v>671</v>
      </c>
      <c r="P9335" t="s">
        <v>925</v>
      </c>
      <c r="Q9335" t="s">
        <v>345</v>
      </c>
      <c r="R9335" t="s">
        <v>680</v>
      </c>
      <c r="S9335" t="s">
        <v>925</v>
      </c>
      <c r="T9335" t="s">
        <v>94</v>
      </c>
      <c r="U9335" t="s">
        <v>98</v>
      </c>
      <c r="V9335" t="s">
        <v>103</v>
      </c>
      <c r="W9335" t="s">
        <v>100</v>
      </c>
      <c r="X9335" t="s">
        <v>257</v>
      </c>
      <c r="Y9335" t="s">
        <v>438</v>
      </c>
      <c r="Z9335" t="s">
        <v>103</v>
      </c>
      <c r="AA9335" t="s">
        <v>103</v>
      </c>
      <c r="AB9335" t="s">
        <v>103</v>
      </c>
      <c r="AC9335" t="s">
        <v>97</v>
      </c>
      <c r="AD9335" t="s">
        <v>103</v>
      </c>
      <c r="AE9335" t="s">
        <v>103</v>
      </c>
      <c r="AF9335" t="s">
        <v>494</v>
      </c>
    </row>
    <row r="9336" spans="1:32" x14ac:dyDescent="0.3">
      <c r="A9336" t="s">
        <v>28</v>
      </c>
      <c r="B9336" t="s">
        <v>312</v>
      </c>
      <c r="C9336">
        <v>93</v>
      </c>
      <c r="D9336" t="s">
        <v>273</v>
      </c>
      <c r="E9336" t="s">
        <v>678</v>
      </c>
      <c r="F9336" t="s">
        <v>281</v>
      </c>
      <c r="G9336" t="s">
        <v>756</v>
      </c>
      <c r="H9336" t="s">
        <v>544</v>
      </c>
      <c r="I9336" t="s">
        <v>268</v>
      </c>
      <c r="J9336" t="s">
        <v>552</v>
      </c>
      <c r="K9336" t="s">
        <v>1011</v>
      </c>
      <c r="L9336" t="s">
        <v>792</v>
      </c>
      <c r="M9336" t="s">
        <v>208</v>
      </c>
      <c r="N9336" t="s">
        <v>438</v>
      </c>
      <c r="O9336" t="s">
        <v>514</v>
      </c>
      <c r="P9336" t="s">
        <v>205</v>
      </c>
      <c r="Q9336" t="s">
        <v>205</v>
      </c>
      <c r="R9336" t="s">
        <v>918</v>
      </c>
      <c r="S9336" t="s">
        <v>175</v>
      </c>
      <c r="T9336" t="s">
        <v>139</v>
      </c>
      <c r="U9336" t="s">
        <v>103</v>
      </c>
      <c r="V9336" t="s">
        <v>103</v>
      </c>
      <c r="W9336" t="s">
        <v>594</v>
      </c>
      <c r="X9336" t="s">
        <v>239</v>
      </c>
      <c r="Y9336" t="s">
        <v>103</v>
      </c>
      <c r="Z9336" t="s">
        <v>103</v>
      </c>
      <c r="AA9336" t="s">
        <v>103</v>
      </c>
      <c r="AB9336" t="s">
        <v>139</v>
      </c>
      <c r="AC9336" t="s">
        <v>103</v>
      </c>
      <c r="AD9336" t="s">
        <v>103</v>
      </c>
      <c r="AE9336" t="s">
        <v>103</v>
      </c>
      <c r="AF9336" t="s">
        <v>100</v>
      </c>
    </row>
    <row r="9337" spans="1:32" x14ac:dyDescent="0.3">
      <c r="A9337" t="s">
        <v>28</v>
      </c>
      <c r="B9337" t="s">
        <v>308</v>
      </c>
      <c r="C9337">
        <v>1</v>
      </c>
      <c r="D9337" t="s">
        <v>192</v>
      </c>
      <c r="E9337" t="s">
        <v>192</v>
      </c>
      <c r="F9337" t="s">
        <v>103</v>
      </c>
      <c r="G9337" t="s">
        <v>103</v>
      </c>
      <c r="H9337" t="s">
        <v>103</v>
      </c>
      <c r="I9337" t="s">
        <v>103</v>
      </c>
      <c r="J9337" t="s">
        <v>103</v>
      </c>
      <c r="K9337" t="s">
        <v>103</v>
      </c>
      <c r="L9337" t="s">
        <v>103</v>
      </c>
      <c r="M9337" t="s">
        <v>103</v>
      </c>
      <c r="N9337" t="s">
        <v>103</v>
      </c>
      <c r="O9337" t="s">
        <v>103</v>
      </c>
      <c r="P9337" t="s">
        <v>103</v>
      </c>
      <c r="Q9337" t="s">
        <v>103</v>
      </c>
      <c r="R9337" t="s">
        <v>103</v>
      </c>
      <c r="S9337" t="s">
        <v>103</v>
      </c>
      <c r="T9337" t="s">
        <v>103</v>
      </c>
      <c r="U9337" t="s">
        <v>103</v>
      </c>
      <c r="V9337" t="s">
        <v>103</v>
      </c>
      <c r="W9337" t="s">
        <v>103</v>
      </c>
      <c r="X9337" t="s">
        <v>103</v>
      </c>
      <c r="Y9337" t="s">
        <v>103</v>
      </c>
      <c r="Z9337" t="s">
        <v>103</v>
      </c>
      <c r="AA9337" t="s">
        <v>103</v>
      </c>
      <c r="AB9337" t="s">
        <v>103</v>
      </c>
      <c r="AC9337" t="s">
        <v>103</v>
      </c>
      <c r="AD9337" t="s">
        <v>103</v>
      </c>
      <c r="AE9337" t="s">
        <v>103</v>
      </c>
      <c r="AF9337" t="s">
        <v>103</v>
      </c>
    </row>
    <row r="9338" spans="1:32" x14ac:dyDescent="0.3">
      <c r="A9338" t="s">
        <v>27</v>
      </c>
      <c r="B9338" t="s">
        <v>311</v>
      </c>
      <c r="C9338">
        <v>237</v>
      </c>
      <c r="D9338" t="s">
        <v>206</v>
      </c>
      <c r="E9338" t="s">
        <v>413</v>
      </c>
      <c r="F9338" t="s">
        <v>188</v>
      </c>
      <c r="G9338" t="s">
        <v>423</v>
      </c>
      <c r="H9338" t="s">
        <v>188</v>
      </c>
      <c r="I9338" t="s">
        <v>123</v>
      </c>
      <c r="J9338" t="s">
        <v>1327</v>
      </c>
      <c r="K9338" t="s">
        <v>1240</v>
      </c>
      <c r="L9338" t="s">
        <v>357</v>
      </c>
      <c r="M9338" t="s">
        <v>239</v>
      </c>
      <c r="N9338" t="s">
        <v>92</v>
      </c>
      <c r="O9338" t="s">
        <v>792</v>
      </c>
      <c r="P9338" t="s">
        <v>607</v>
      </c>
      <c r="Q9338" t="s">
        <v>122</v>
      </c>
      <c r="R9338" t="s">
        <v>1054</v>
      </c>
      <c r="S9338" t="s">
        <v>214</v>
      </c>
      <c r="T9338" t="s">
        <v>60</v>
      </c>
      <c r="U9338" t="s">
        <v>102</v>
      </c>
      <c r="V9338" t="s">
        <v>103</v>
      </c>
      <c r="W9338" t="s">
        <v>807</v>
      </c>
      <c r="X9338" t="s">
        <v>125</v>
      </c>
      <c r="Y9338" t="s">
        <v>245</v>
      </c>
      <c r="Z9338" t="s">
        <v>103</v>
      </c>
      <c r="AA9338" t="s">
        <v>103</v>
      </c>
      <c r="AB9338" t="s">
        <v>103</v>
      </c>
      <c r="AC9338" t="s">
        <v>116</v>
      </c>
      <c r="AD9338" t="s">
        <v>91</v>
      </c>
      <c r="AE9338" t="s">
        <v>103</v>
      </c>
      <c r="AF9338" t="s">
        <v>282</v>
      </c>
    </row>
    <row r="9339" spans="1:32" x14ac:dyDescent="0.3">
      <c r="A9339" t="s">
        <v>27</v>
      </c>
      <c r="B9339" t="s">
        <v>312</v>
      </c>
      <c r="C9339">
        <v>60</v>
      </c>
      <c r="D9339" t="s">
        <v>591</v>
      </c>
      <c r="E9339" t="s">
        <v>1228</v>
      </c>
      <c r="F9339" t="s">
        <v>103</v>
      </c>
      <c r="G9339" t="s">
        <v>362</v>
      </c>
      <c r="H9339" t="s">
        <v>113</v>
      </c>
      <c r="I9339" t="s">
        <v>531</v>
      </c>
      <c r="J9339" t="s">
        <v>1260</v>
      </c>
      <c r="K9339" t="s">
        <v>226</v>
      </c>
      <c r="L9339" t="s">
        <v>474</v>
      </c>
      <c r="M9339" t="s">
        <v>466</v>
      </c>
      <c r="N9339" t="s">
        <v>460</v>
      </c>
      <c r="O9339" t="s">
        <v>427</v>
      </c>
      <c r="P9339" t="s">
        <v>329</v>
      </c>
      <c r="Q9339" t="s">
        <v>125</v>
      </c>
      <c r="R9339" t="s">
        <v>500</v>
      </c>
      <c r="S9339" t="s">
        <v>594</v>
      </c>
      <c r="T9339" t="s">
        <v>208</v>
      </c>
      <c r="U9339" t="s">
        <v>270</v>
      </c>
      <c r="V9339" t="s">
        <v>103</v>
      </c>
      <c r="W9339" t="s">
        <v>646</v>
      </c>
      <c r="X9339" t="s">
        <v>97</v>
      </c>
      <c r="Y9339" t="s">
        <v>103</v>
      </c>
      <c r="Z9339" t="s">
        <v>208</v>
      </c>
      <c r="AA9339" t="s">
        <v>103</v>
      </c>
      <c r="AB9339" t="s">
        <v>103</v>
      </c>
      <c r="AC9339" t="s">
        <v>103</v>
      </c>
      <c r="AD9339" t="s">
        <v>103</v>
      </c>
      <c r="AE9339" t="s">
        <v>103</v>
      </c>
      <c r="AF9339" t="s">
        <v>114</v>
      </c>
    </row>
    <row r="9340" spans="1:32" x14ac:dyDescent="0.3">
      <c r="A9340" t="s">
        <v>27</v>
      </c>
      <c r="B9340" t="s">
        <v>308</v>
      </c>
      <c r="C9340">
        <v>3</v>
      </c>
      <c r="D9340" t="s">
        <v>103</v>
      </c>
      <c r="E9340" t="s">
        <v>192</v>
      </c>
      <c r="F9340" t="s">
        <v>103</v>
      </c>
      <c r="G9340" t="s">
        <v>103</v>
      </c>
      <c r="H9340" t="s">
        <v>103</v>
      </c>
      <c r="I9340" t="s">
        <v>103</v>
      </c>
      <c r="J9340" t="s">
        <v>103</v>
      </c>
      <c r="K9340" t="s">
        <v>192</v>
      </c>
      <c r="L9340" t="s">
        <v>527</v>
      </c>
      <c r="M9340" t="s">
        <v>103</v>
      </c>
      <c r="N9340" t="s">
        <v>103</v>
      </c>
      <c r="O9340" t="s">
        <v>103</v>
      </c>
      <c r="P9340" t="s">
        <v>103</v>
      </c>
      <c r="Q9340" t="s">
        <v>103</v>
      </c>
      <c r="R9340" t="s">
        <v>406</v>
      </c>
      <c r="S9340" t="s">
        <v>103</v>
      </c>
      <c r="T9340" t="s">
        <v>103</v>
      </c>
      <c r="U9340" t="s">
        <v>103</v>
      </c>
      <c r="V9340" t="s">
        <v>103</v>
      </c>
      <c r="W9340" t="s">
        <v>103</v>
      </c>
      <c r="X9340" t="s">
        <v>103</v>
      </c>
      <c r="Y9340" t="s">
        <v>103</v>
      </c>
      <c r="Z9340" t="s">
        <v>103</v>
      </c>
      <c r="AA9340" t="s">
        <v>103</v>
      </c>
      <c r="AB9340" t="s">
        <v>103</v>
      </c>
      <c r="AC9340" t="s">
        <v>103</v>
      </c>
      <c r="AD9340" t="s">
        <v>103</v>
      </c>
      <c r="AE9340" t="s">
        <v>103</v>
      </c>
      <c r="AF9340" t="s">
        <v>103</v>
      </c>
    </row>
    <row r="9341" spans="1:32" x14ac:dyDescent="0.3">
      <c r="A9341" t="s">
        <v>41</v>
      </c>
      <c r="B9341" t="s">
        <v>311</v>
      </c>
      <c r="C9341">
        <v>1540</v>
      </c>
      <c r="D9341" t="s">
        <v>482</v>
      </c>
      <c r="E9341" t="s">
        <v>1018</v>
      </c>
      <c r="F9341" t="s">
        <v>532</v>
      </c>
      <c r="G9341" t="s">
        <v>486</v>
      </c>
      <c r="H9341" t="s">
        <v>90</v>
      </c>
      <c r="I9341" t="s">
        <v>113</v>
      </c>
      <c r="J9341" t="s">
        <v>679</v>
      </c>
      <c r="K9341" t="s">
        <v>1401</v>
      </c>
      <c r="L9341" t="s">
        <v>661</v>
      </c>
      <c r="M9341" t="s">
        <v>493</v>
      </c>
      <c r="N9341" t="s">
        <v>543</v>
      </c>
      <c r="O9341" t="s">
        <v>367</v>
      </c>
      <c r="P9341" t="s">
        <v>275</v>
      </c>
      <c r="Q9341" t="s">
        <v>216</v>
      </c>
      <c r="R9341" t="s">
        <v>565</v>
      </c>
      <c r="S9341" t="s">
        <v>123</v>
      </c>
      <c r="T9341" t="s">
        <v>33</v>
      </c>
      <c r="U9341" t="s">
        <v>217</v>
      </c>
      <c r="V9341" t="s">
        <v>103</v>
      </c>
      <c r="W9341" t="s">
        <v>70</v>
      </c>
      <c r="X9341" t="s">
        <v>98</v>
      </c>
      <c r="Y9341" t="s">
        <v>216</v>
      </c>
      <c r="Z9341" t="s">
        <v>282</v>
      </c>
      <c r="AA9341" t="s">
        <v>116</v>
      </c>
      <c r="AB9341" t="s">
        <v>116</v>
      </c>
      <c r="AC9341" t="s">
        <v>98</v>
      </c>
      <c r="AD9341" t="s">
        <v>95</v>
      </c>
      <c r="AE9341" t="s">
        <v>91</v>
      </c>
      <c r="AF9341" t="s">
        <v>186</v>
      </c>
    </row>
    <row r="9342" spans="1:32" x14ac:dyDescent="0.3">
      <c r="A9342" t="s">
        <v>41</v>
      </c>
      <c r="B9342" t="s">
        <v>312</v>
      </c>
      <c r="C9342">
        <v>432</v>
      </c>
      <c r="D9342" t="s">
        <v>94</v>
      </c>
      <c r="E9342" t="s">
        <v>1242</v>
      </c>
      <c r="F9342" t="s">
        <v>214</v>
      </c>
      <c r="G9342" t="s">
        <v>706</v>
      </c>
      <c r="H9342" t="s">
        <v>101</v>
      </c>
      <c r="I9342" t="s">
        <v>195</v>
      </c>
      <c r="J9342" t="s">
        <v>683</v>
      </c>
      <c r="K9342" t="s">
        <v>1199</v>
      </c>
      <c r="L9342" t="s">
        <v>556</v>
      </c>
      <c r="M9342" t="s">
        <v>532</v>
      </c>
      <c r="N9342" t="s">
        <v>214</v>
      </c>
      <c r="O9342" t="s">
        <v>1227</v>
      </c>
      <c r="P9342" t="s">
        <v>251</v>
      </c>
      <c r="Q9342" t="s">
        <v>284</v>
      </c>
      <c r="R9342" t="s">
        <v>684</v>
      </c>
      <c r="S9342" t="s">
        <v>254</v>
      </c>
      <c r="T9342" t="s">
        <v>345</v>
      </c>
      <c r="U9342" t="s">
        <v>105</v>
      </c>
      <c r="V9342" t="s">
        <v>97</v>
      </c>
      <c r="W9342" t="s">
        <v>511</v>
      </c>
      <c r="X9342" t="s">
        <v>615</v>
      </c>
      <c r="Y9342" t="s">
        <v>110</v>
      </c>
      <c r="Z9342" t="s">
        <v>91</v>
      </c>
      <c r="AA9342" t="s">
        <v>103</v>
      </c>
      <c r="AB9342" t="s">
        <v>97</v>
      </c>
      <c r="AC9342" t="s">
        <v>128</v>
      </c>
      <c r="AD9342" t="s">
        <v>122</v>
      </c>
      <c r="AE9342" t="s">
        <v>103</v>
      </c>
      <c r="AF9342" t="s">
        <v>242</v>
      </c>
    </row>
    <row r="9343" spans="1:32" x14ac:dyDescent="0.3">
      <c r="A9343" t="s">
        <v>41</v>
      </c>
      <c r="B9343" t="s">
        <v>308</v>
      </c>
      <c r="C9343">
        <v>65</v>
      </c>
      <c r="D9343" t="s">
        <v>140</v>
      </c>
      <c r="E9343" t="s">
        <v>374</v>
      </c>
      <c r="F9343" t="s">
        <v>629</v>
      </c>
      <c r="G9343" t="s">
        <v>674</v>
      </c>
      <c r="H9343" t="s">
        <v>549</v>
      </c>
      <c r="I9343" t="s">
        <v>70</v>
      </c>
      <c r="J9343" t="s">
        <v>582</v>
      </c>
      <c r="K9343" t="s">
        <v>665</v>
      </c>
      <c r="L9343" t="s">
        <v>301</v>
      </c>
      <c r="M9343" t="s">
        <v>103</v>
      </c>
      <c r="N9343" t="s">
        <v>245</v>
      </c>
      <c r="O9343" t="s">
        <v>574</v>
      </c>
      <c r="P9343" t="s">
        <v>629</v>
      </c>
      <c r="Q9343" t="s">
        <v>194</v>
      </c>
      <c r="R9343" t="s">
        <v>676</v>
      </c>
      <c r="S9343" t="s">
        <v>94</v>
      </c>
      <c r="T9343" t="s">
        <v>112</v>
      </c>
      <c r="U9343" t="s">
        <v>107</v>
      </c>
      <c r="V9343" t="s">
        <v>103</v>
      </c>
      <c r="W9343" t="s">
        <v>482</v>
      </c>
      <c r="X9343" t="s">
        <v>103</v>
      </c>
      <c r="Y9343" t="s">
        <v>103</v>
      </c>
      <c r="Z9343" t="s">
        <v>103</v>
      </c>
      <c r="AA9343" t="s">
        <v>103</v>
      </c>
      <c r="AB9343" t="s">
        <v>103</v>
      </c>
      <c r="AC9343" t="s">
        <v>103</v>
      </c>
      <c r="AD9343" t="s">
        <v>103</v>
      </c>
      <c r="AE9343" t="s">
        <v>103</v>
      </c>
      <c r="AF9343" t="s">
        <v>125</v>
      </c>
    </row>
    <row r="9345" spans="1:32" x14ac:dyDescent="0.3">
      <c r="A9345" t="s">
        <v>2565</v>
      </c>
    </row>
    <row r="9346" spans="1:32" x14ac:dyDescent="0.3">
      <c r="A9346" t="s">
        <v>36</v>
      </c>
      <c r="B9346" t="s">
        <v>197</v>
      </c>
      <c r="C9346" t="s">
        <v>24</v>
      </c>
      <c r="D9346" t="s">
        <v>2538</v>
      </c>
      <c r="E9346" t="s">
        <v>2539</v>
      </c>
      <c r="F9346" t="s">
        <v>2540</v>
      </c>
      <c r="G9346" t="s">
        <v>2541</v>
      </c>
      <c r="H9346" t="s">
        <v>2542</v>
      </c>
      <c r="I9346" t="s">
        <v>2543</v>
      </c>
      <c r="J9346" t="s">
        <v>2544</v>
      </c>
      <c r="K9346" t="s">
        <v>2545</v>
      </c>
      <c r="L9346" t="s">
        <v>2546</v>
      </c>
      <c r="M9346" t="s">
        <v>2547</v>
      </c>
      <c r="N9346" t="s">
        <v>2548</v>
      </c>
      <c r="O9346" t="s">
        <v>2549</v>
      </c>
      <c r="P9346" t="s">
        <v>2550</v>
      </c>
      <c r="Q9346" t="s">
        <v>2551</v>
      </c>
      <c r="R9346" t="s">
        <v>2552</v>
      </c>
      <c r="S9346" t="s">
        <v>2553</v>
      </c>
      <c r="T9346" t="s">
        <v>2554</v>
      </c>
      <c r="U9346" t="s">
        <v>2555</v>
      </c>
      <c r="V9346" t="s">
        <v>2556</v>
      </c>
      <c r="W9346" t="s">
        <v>2557</v>
      </c>
      <c r="X9346" t="s">
        <v>2558</v>
      </c>
      <c r="Y9346" t="s">
        <v>2559</v>
      </c>
      <c r="Z9346" t="s">
        <v>2560</v>
      </c>
      <c r="AA9346" t="s">
        <v>2561</v>
      </c>
      <c r="AB9346" t="s">
        <v>2562</v>
      </c>
      <c r="AC9346" t="s">
        <v>89</v>
      </c>
      <c r="AD9346" t="s">
        <v>87</v>
      </c>
      <c r="AE9346" t="s">
        <v>181</v>
      </c>
      <c r="AF9346" t="s">
        <v>1195</v>
      </c>
    </row>
    <row r="9347" spans="1:32" x14ac:dyDescent="0.3">
      <c r="A9347" t="s">
        <v>25</v>
      </c>
      <c r="B9347" t="s">
        <v>198</v>
      </c>
      <c r="C9347">
        <v>104</v>
      </c>
      <c r="D9347" t="s">
        <v>517</v>
      </c>
      <c r="E9347" t="s">
        <v>1209</v>
      </c>
      <c r="F9347" t="s">
        <v>70</v>
      </c>
      <c r="G9347" t="s">
        <v>570</v>
      </c>
      <c r="H9347" t="s">
        <v>813</v>
      </c>
      <c r="I9347" t="s">
        <v>195</v>
      </c>
      <c r="J9347" t="s">
        <v>647</v>
      </c>
      <c r="K9347" t="s">
        <v>1245</v>
      </c>
      <c r="L9347" t="s">
        <v>545</v>
      </c>
      <c r="M9347" t="s">
        <v>118</v>
      </c>
      <c r="N9347" t="s">
        <v>119</v>
      </c>
      <c r="O9347" t="s">
        <v>353</v>
      </c>
      <c r="P9347" t="s">
        <v>469</v>
      </c>
      <c r="Q9347" t="s">
        <v>201</v>
      </c>
      <c r="R9347" t="s">
        <v>259</v>
      </c>
      <c r="S9347" t="s">
        <v>532</v>
      </c>
      <c r="T9347" t="s">
        <v>284</v>
      </c>
      <c r="U9347" t="s">
        <v>493</v>
      </c>
      <c r="V9347" t="s">
        <v>103</v>
      </c>
      <c r="W9347" t="s">
        <v>571</v>
      </c>
      <c r="X9347" t="s">
        <v>103</v>
      </c>
      <c r="Y9347" t="s">
        <v>341</v>
      </c>
      <c r="Z9347" t="s">
        <v>103</v>
      </c>
      <c r="AA9347" t="s">
        <v>93</v>
      </c>
      <c r="AB9347" t="s">
        <v>103</v>
      </c>
      <c r="AC9347" t="s">
        <v>103</v>
      </c>
      <c r="AD9347" t="s">
        <v>103</v>
      </c>
      <c r="AE9347" t="s">
        <v>103</v>
      </c>
      <c r="AF9347" t="s">
        <v>232</v>
      </c>
    </row>
    <row r="9348" spans="1:32" x14ac:dyDescent="0.3">
      <c r="A9348" t="s">
        <v>25</v>
      </c>
      <c r="B9348" t="s">
        <v>199</v>
      </c>
      <c r="C9348">
        <v>309</v>
      </c>
      <c r="D9348" t="s">
        <v>119</v>
      </c>
      <c r="E9348" t="s">
        <v>1029</v>
      </c>
      <c r="F9348" t="s">
        <v>272</v>
      </c>
      <c r="G9348" t="s">
        <v>732</v>
      </c>
      <c r="H9348" t="s">
        <v>549</v>
      </c>
      <c r="I9348" t="s">
        <v>493</v>
      </c>
      <c r="J9348" t="s">
        <v>407</v>
      </c>
      <c r="K9348" t="s">
        <v>593</v>
      </c>
      <c r="L9348" t="s">
        <v>293</v>
      </c>
      <c r="M9348" t="s">
        <v>93</v>
      </c>
      <c r="N9348" t="s">
        <v>104</v>
      </c>
      <c r="O9348" t="s">
        <v>490</v>
      </c>
      <c r="P9348" t="s">
        <v>925</v>
      </c>
      <c r="Q9348" t="s">
        <v>97</v>
      </c>
      <c r="R9348" t="s">
        <v>746</v>
      </c>
      <c r="S9348" t="s">
        <v>33</v>
      </c>
      <c r="T9348" t="s">
        <v>102</v>
      </c>
      <c r="U9348" t="s">
        <v>116</v>
      </c>
      <c r="V9348" t="s">
        <v>103</v>
      </c>
      <c r="W9348" t="s">
        <v>201</v>
      </c>
      <c r="X9348" t="s">
        <v>345</v>
      </c>
      <c r="Y9348" t="s">
        <v>120</v>
      </c>
      <c r="Z9348" t="s">
        <v>120</v>
      </c>
      <c r="AA9348" t="s">
        <v>66</v>
      </c>
      <c r="AB9348" t="s">
        <v>116</v>
      </c>
      <c r="AC9348" t="s">
        <v>120</v>
      </c>
      <c r="AD9348" t="s">
        <v>91</v>
      </c>
      <c r="AE9348" t="s">
        <v>103</v>
      </c>
      <c r="AF9348" t="s">
        <v>281</v>
      </c>
    </row>
    <row r="9349" spans="1:32" x14ac:dyDescent="0.3">
      <c r="A9349" t="s">
        <v>26</v>
      </c>
      <c r="B9349" t="s">
        <v>198</v>
      </c>
      <c r="C9349">
        <v>41</v>
      </c>
      <c r="D9349" t="s">
        <v>111</v>
      </c>
      <c r="E9349" t="s">
        <v>1018</v>
      </c>
      <c r="F9349" t="s">
        <v>531</v>
      </c>
      <c r="G9349" t="s">
        <v>62</v>
      </c>
      <c r="H9349" t="s">
        <v>482</v>
      </c>
      <c r="I9349" t="s">
        <v>615</v>
      </c>
      <c r="J9349" t="s">
        <v>526</v>
      </c>
      <c r="K9349" t="s">
        <v>795</v>
      </c>
      <c r="L9349" t="s">
        <v>798</v>
      </c>
      <c r="M9349" t="s">
        <v>201</v>
      </c>
      <c r="N9349" t="s">
        <v>479</v>
      </c>
      <c r="O9349" t="s">
        <v>906</v>
      </c>
      <c r="P9349" t="s">
        <v>250</v>
      </c>
      <c r="Q9349" t="s">
        <v>103</v>
      </c>
      <c r="R9349" t="s">
        <v>1218</v>
      </c>
      <c r="S9349" t="s">
        <v>152</v>
      </c>
      <c r="T9349" t="s">
        <v>113</v>
      </c>
      <c r="U9349" t="s">
        <v>103</v>
      </c>
      <c r="V9349" t="s">
        <v>103</v>
      </c>
      <c r="W9349" t="s">
        <v>284</v>
      </c>
      <c r="X9349" t="s">
        <v>103</v>
      </c>
      <c r="Y9349" t="s">
        <v>438</v>
      </c>
      <c r="Z9349" t="s">
        <v>103</v>
      </c>
      <c r="AA9349" t="s">
        <v>103</v>
      </c>
      <c r="AB9349" t="s">
        <v>103</v>
      </c>
      <c r="AC9349" t="s">
        <v>103</v>
      </c>
      <c r="AD9349" t="s">
        <v>103</v>
      </c>
      <c r="AE9349" t="s">
        <v>103</v>
      </c>
      <c r="AF9349" t="s">
        <v>257</v>
      </c>
    </row>
    <row r="9350" spans="1:32" x14ac:dyDescent="0.3">
      <c r="A9350" t="s">
        <v>26</v>
      </c>
      <c r="B9350" t="s">
        <v>199</v>
      </c>
      <c r="C9350">
        <v>436</v>
      </c>
      <c r="D9350" t="s">
        <v>90</v>
      </c>
      <c r="E9350" t="s">
        <v>1556</v>
      </c>
      <c r="F9350" t="s">
        <v>201</v>
      </c>
      <c r="G9350" t="s">
        <v>644</v>
      </c>
      <c r="H9350" t="s">
        <v>494</v>
      </c>
      <c r="I9350" t="s">
        <v>594</v>
      </c>
      <c r="J9350" t="s">
        <v>644</v>
      </c>
      <c r="K9350" t="s">
        <v>1021</v>
      </c>
      <c r="L9350" t="s">
        <v>440</v>
      </c>
      <c r="M9350" t="s">
        <v>107</v>
      </c>
      <c r="N9350" t="s">
        <v>543</v>
      </c>
      <c r="O9350" t="s">
        <v>697</v>
      </c>
      <c r="P9350" t="s">
        <v>580</v>
      </c>
      <c r="Q9350" t="s">
        <v>120</v>
      </c>
      <c r="R9350" t="s">
        <v>499</v>
      </c>
      <c r="S9350" t="s">
        <v>228</v>
      </c>
      <c r="T9350" t="s">
        <v>118</v>
      </c>
      <c r="U9350" t="s">
        <v>266</v>
      </c>
      <c r="V9350" t="s">
        <v>122</v>
      </c>
      <c r="W9350" t="s">
        <v>133</v>
      </c>
      <c r="X9350" t="s">
        <v>97</v>
      </c>
      <c r="Y9350" t="s">
        <v>116</v>
      </c>
      <c r="Z9350" t="s">
        <v>103</v>
      </c>
      <c r="AA9350" t="s">
        <v>103</v>
      </c>
      <c r="AB9350" t="s">
        <v>116</v>
      </c>
      <c r="AC9350" t="s">
        <v>345</v>
      </c>
      <c r="AD9350" t="s">
        <v>103</v>
      </c>
      <c r="AE9350" t="s">
        <v>103</v>
      </c>
      <c r="AF9350" t="s">
        <v>532</v>
      </c>
    </row>
    <row r="9351" spans="1:32" x14ac:dyDescent="0.3">
      <c r="A9351" t="s">
        <v>29</v>
      </c>
      <c r="B9351" t="s">
        <v>198</v>
      </c>
      <c r="C9351">
        <v>170</v>
      </c>
      <c r="D9351" t="s">
        <v>60</v>
      </c>
      <c r="E9351" t="s">
        <v>794</v>
      </c>
      <c r="F9351" t="s">
        <v>140</v>
      </c>
      <c r="G9351" t="s">
        <v>162</v>
      </c>
      <c r="H9351" t="s">
        <v>70</v>
      </c>
      <c r="I9351" t="s">
        <v>329</v>
      </c>
      <c r="J9351" t="s">
        <v>506</v>
      </c>
      <c r="K9351" t="s">
        <v>1032</v>
      </c>
      <c r="L9351" t="s">
        <v>572</v>
      </c>
      <c r="M9351" t="s">
        <v>272</v>
      </c>
      <c r="N9351" t="s">
        <v>125</v>
      </c>
      <c r="O9351" t="s">
        <v>1228</v>
      </c>
      <c r="P9351" t="s">
        <v>549</v>
      </c>
      <c r="Q9351" t="s">
        <v>224</v>
      </c>
      <c r="R9351" t="s">
        <v>228</v>
      </c>
      <c r="S9351" t="s">
        <v>488</v>
      </c>
      <c r="T9351" t="s">
        <v>329</v>
      </c>
      <c r="U9351" t="s">
        <v>93</v>
      </c>
      <c r="V9351" t="s">
        <v>103</v>
      </c>
      <c r="W9351" t="s">
        <v>70</v>
      </c>
      <c r="X9351" t="s">
        <v>98</v>
      </c>
      <c r="Y9351" t="s">
        <v>98</v>
      </c>
      <c r="Z9351" t="s">
        <v>216</v>
      </c>
      <c r="AA9351" t="s">
        <v>103</v>
      </c>
      <c r="AB9351" t="s">
        <v>120</v>
      </c>
      <c r="AC9351" t="s">
        <v>188</v>
      </c>
      <c r="AD9351" t="s">
        <v>97</v>
      </c>
      <c r="AE9351" t="s">
        <v>95</v>
      </c>
      <c r="AF9351" t="s">
        <v>662</v>
      </c>
    </row>
    <row r="9352" spans="1:32" x14ac:dyDescent="0.3">
      <c r="A9352" t="s">
        <v>29</v>
      </c>
      <c r="B9352" t="s">
        <v>199</v>
      </c>
      <c r="C9352">
        <v>360</v>
      </c>
      <c r="D9352" t="s">
        <v>251</v>
      </c>
      <c r="E9352" t="s">
        <v>1059</v>
      </c>
      <c r="F9352" t="s">
        <v>32</v>
      </c>
      <c r="G9352" t="s">
        <v>519</v>
      </c>
      <c r="H9352" t="s">
        <v>205</v>
      </c>
      <c r="I9352" t="s">
        <v>194</v>
      </c>
      <c r="J9352" t="s">
        <v>361</v>
      </c>
      <c r="K9352" t="s">
        <v>426</v>
      </c>
      <c r="L9352" t="s">
        <v>509</v>
      </c>
      <c r="M9352" t="s">
        <v>32</v>
      </c>
      <c r="N9352" t="s">
        <v>205</v>
      </c>
      <c r="O9352" t="s">
        <v>134</v>
      </c>
      <c r="P9352" t="s">
        <v>536</v>
      </c>
      <c r="Q9352" t="s">
        <v>110</v>
      </c>
      <c r="R9352" t="s">
        <v>264</v>
      </c>
      <c r="S9352" t="s">
        <v>101</v>
      </c>
      <c r="T9352" t="s">
        <v>531</v>
      </c>
      <c r="U9352" t="s">
        <v>493</v>
      </c>
      <c r="V9352" t="s">
        <v>103</v>
      </c>
      <c r="W9352" t="s">
        <v>615</v>
      </c>
      <c r="X9352" t="s">
        <v>266</v>
      </c>
      <c r="Y9352" t="s">
        <v>270</v>
      </c>
      <c r="Z9352" t="s">
        <v>239</v>
      </c>
      <c r="AA9352" t="s">
        <v>116</v>
      </c>
      <c r="AB9352" t="s">
        <v>116</v>
      </c>
      <c r="AC9352" t="s">
        <v>95</v>
      </c>
      <c r="AD9352" t="s">
        <v>216</v>
      </c>
      <c r="AE9352" t="s">
        <v>103</v>
      </c>
      <c r="AF9352" t="s">
        <v>532</v>
      </c>
    </row>
    <row r="9353" spans="1:32" x14ac:dyDescent="0.3">
      <c r="A9353" t="s">
        <v>28</v>
      </c>
      <c r="B9353" t="s">
        <v>198</v>
      </c>
      <c r="C9353">
        <v>70</v>
      </c>
      <c r="D9353" t="s">
        <v>506</v>
      </c>
      <c r="E9353" t="s">
        <v>1055</v>
      </c>
      <c r="F9353" t="s">
        <v>254</v>
      </c>
      <c r="G9353" t="s">
        <v>570</v>
      </c>
      <c r="H9353" t="s">
        <v>483</v>
      </c>
      <c r="I9353" t="s">
        <v>70</v>
      </c>
      <c r="J9353" t="s">
        <v>1207</v>
      </c>
      <c r="K9353" t="s">
        <v>673</v>
      </c>
      <c r="L9353" t="s">
        <v>552</v>
      </c>
      <c r="M9353" t="s">
        <v>107</v>
      </c>
      <c r="N9353" t="s">
        <v>262</v>
      </c>
      <c r="O9353" t="s">
        <v>529</v>
      </c>
      <c r="P9353" t="s">
        <v>157</v>
      </c>
      <c r="Q9353" t="s">
        <v>136</v>
      </c>
      <c r="R9353" t="s">
        <v>670</v>
      </c>
      <c r="S9353" t="s">
        <v>481</v>
      </c>
      <c r="T9353" t="s">
        <v>133</v>
      </c>
      <c r="U9353" t="s">
        <v>118</v>
      </c>
      <c r="V9353" t="s">
        <v>103</v>
      </c>
      <c r="W9353" t="s">
        <v>254</v>
      </c>
      <c r="X9353" t="s">
        <v>195</v>
      </c>
      <c r="Y9353" t="s">
        <v>467</v>
      </c>
      <c r="Z9353" t="s">
        <v>103</v>
      </c>
      <c r="AA9353" t="s">
        <v>103</v>
      </c>
      <c r="AB9353" t="s">
        <v>103</v>
      </c>
      <c r="AC9353" t="s">
        <v>103</v>
      </c>
      <c r="AD9353" t="s">
        <v>103</v>
      </c>
      <c r="AE9353" t="s">
        <v>103</v>
      </c>
      <c r="AF9353" t="s">
        <v>103</v>
      </c>
    </row>
    <row r="9354" spans="1:32" x14ac:dyDescent="0.3">
      <c r="A9354" t="s">
        <v>28</v>
      </c>
      <c r="B9354" t="s">
        <v>199</v>
      </c>
      <c r="C9354">
        <v>247</v>
      </c>
      <c r="D9354" t="s">
        <v>132</v>
      </c>
      <c r="E9354" t="s">
        <v>387</v>
      </c>
      <c r="F9354" t="s">
        <v>532</v>
      </c>
      <c r="G9354" t="s">
        <v>671</v>
      </c>
      <c r="H9354" t="s">
        <v>162</v>
      </c>
      <c r="I9354" t="s">
        <v>734</v>
      </c>
      <c r="J9354" t="s">
        <v>396</v>
      </c>
      <c r="K9354" t="s">
        <v>1394</v>
      </c>
      <c r="L9354" t="s">
        <v>503</v>
      </c>
      <c r="M9354" t="s">
        <v>282</v>
      </c>
      <c r="N9354" t="s">
        <v>205</v>
      </c>
      <c r="O9354" t="s">
        <v>727</v>
      </c>
      <c r="P9354" t="s">
        <v>700</v>
      </c>
      <c r="Q9354" t="s">
        <v>122</v>
      </c>
      <c r="R9354" t="s">
        <v>271</v>
      </c>
      <c r="S9354" t="s">
        <v>131</v>
      </c>
      <c r="T9354" t="s">
        <v>32</v>
      </c>
      <c r="U9354" t="s">
        <v>91</v>
      </c>
      <c r="V9354" t="s">
        <v>103</v>
      </c>
      <c r="W9354" t="s">
        <v>140</v>
      </c>
      <c r="X9354" t="s">
        <v>208</v>
      </c>
      <c r="Y9354" t="s">
        <v>93</v>
      </c>
      <c r="Z9354" t="s">
        <v>103</v>
      </c>
      <c r="AA9354" t="s">
        <v>103</v>
      </c>
      <c r="AB9354" t="s">
        <v>116</v>
      </c>
      <c r="AC9354" t="s">
        <v>97</v>
      </c>
      <c r="AD9354" t="s">
        <v>103</v>
      </c>
      <c r="AE9354" t="s">
        <v>103</v>
      </c>
      <c r="AF9354" t="s">
        <v>135</v>
      </c>
    </row>
    <row r="9355" spans="1:32" x14ac:dyDescent="0.3">
      <c r="A9355" t="s">
        <v>27</v>
      </c>
      <c r="B9355" t="s">
        <v>198</v>
      </c>
      <c r="C9355">
        <v>136</v>
      </c>
      <c r="D9355" t="s">
        <v>195</v>
      </c>
      <c r="E9355" t="s">
        <v>933</v>
      </c>
      <c r="F9355" t="s">
        <v>270</v>
      </c>
      <c r="G9355" t="s">
        <v>669</v>
      </c>
      <c r="H9355" t="s">
        <v>345</v>
      </c>
      <c r="I9355" t="s">
        <v>819</v>
      </c>
      <c r="J9355" t="s">
        <v>384</v>
      </c>
      <c r="K9355" t="s">
        <v>1029</v>
      </c>
      <c r="L9355" t="s">
        <v>393</v>
      </c>
      <c r="M9355" t="s">
        <v>208</v>
      </c>
      <c r="N9355" t="s">
        <v>516</v>
      </c>
      <c r="O9355" t="s">
        <v>369</v>
      </c>
      <c r="P9355" t="s">
        <v>575</v>
      </c>
      <c r="Q9355" t="s">
        <v>208</v>
      </c>
      <c r="R9355" t="s">
        <v>1200</v>
      </c>
      <c r="S9355" t="s">
        <v>201</v>
      </c>
      <c r="T9355" t="s">
        <v>242</v>
      </c>
      <c r="U9355" t="s">
        <v>102</v>
      </c>
      <c r="V9355" t="s">
        <v>103</v>
      </c>
      <c r="W9355" t="s">
        <v>550</v>
      </c>
      <c r="X9355" t="s">
        <v>114</v>
      </c>
      <c r="Y9355" t="s">
        <v>95</v>
      </c>
      <c r="Z9355" t="s">
        <v>95</v>
      </c>
      <c r="AA9355" t="s">
        <v>103</v>
      </c>
      <c r="AB9355" t="s">
        <v>103</v>
      </c>
      <c r="AC9355" t="s">
        <v>97</v>
      </c>
      <c r="AD9355" t="s">
        <v>103</v>
      </c>
      <c r="AE9355" t="s">
        <v>103</v>
      </c>
      <c r="AF9355" t="s">
        <v>95</v>
      </c>
    </row>
    <row r="9356" spans="1:32" x14ac:dyDescent="0.3">
      <c r="A9356" t="s">
        <v>27</v>
      </c>
      <c r="B9356" t="s">
        <v>199</v>
      </c>
      <c r="C9356">
        <v>164</v>
      </c>
      <c r="D9356" t="s">
        <v>108</v>
      </c>
      <c r="E9356" t="s">
        <v>492</v>
      </c>
      <c r="F9356" t="s">
        <v>467</v>
      </c>
      <c r="G9356" t="s">
        <v>1401</v>
      </c>
      <c r="H9356" t="s">
        <v>251</v>
      </c>
      <c r="I9356" t="s">
        <v>217</v>
      </c>
      <c r="J9356" t="s">
        <v>229</v>
      </c>
      <c r="K9356" t="s">
        <v>1279</v>
      </c>
      <c r="L9356" t="s">
        <v>648</v>
      </c>
      <c r="M9356" t="s">
        <v>217</v>
      </c>
      <c r="N9356" t="s">
        <v>104</v>
      </c>
      <c r="O9356" t="s">
        <v>1218</v>
      </c>
      <c r="P9356" t="s">
        <v>113</v>
      </c>
      <c r="Q9356" t="s">
        <v>103</v>
      </c>
      <c r="R9356" t="s">
        <v>665</v>
      </c>
      <c r="S9356" t="s">
        <v>133</v>
      </c>
      <c r="T9356" t="s">
        <v>532</v>
      </c>
      <c r="U9356" t="s">
        <v>272</v>
      </c>
      <c r="V9356" t="s">
        <v>103</v>
      </c>
      <c r="W9356" t="s">
        <v>579</v>
      </c>
      <c r="X9356" t="s">
        <v>128</v>
      </c>
      <c r="Y9356" t="s">
        <v>329</v>
      </c>
      <c r="Z9356" t="s">
        <v>103</v>
      </c>
      <c r="AA9356" t="s">
        <v>103</v>
      </c>
      <c r="AB9356" t="s">
        <v>103</v>
      </c>
      <c r="AC9356" t="s">
        <v>103</v>
      </c>
      <c r="AD9356" t="s">
        <v>66</v>
      </c>
      <c r="AE9356" t="s">
        <v>103</v>
      </c>
      <c r="AF9356" t="s">
        <v>93</v>
      </c>
    </row>
    <row r="9357" spans="1:32" x14ac:dyDescent="0.3">
      <c r="A9357" t="s">
        <v>41</v>
      </c>
      <c r="B9357" t="s">
        <v>198</v>
      </c>
      <c r="C9357">
        <v>521</v>
      </c>
      <c r="D9357" t="s">
        <v>737</v>
      </c>
      <c r="E9357" t="s">
        <v>394</v>
      </c>
      <c r="F9357" t="s">
        <v>531</v>
      </c>
      <c r="G9357" t="s">
        <v>268</v>
      </c>
      <c r="H9357" t="s">
        <v>60</v>
      </c>
      <c r="I9357" t="s">
        <v>186</v>
      </c>
      <c r="J9357" t="s">
        <v>650</v>
      </c>
      <c r="K9357" t="s">
        <v>1426</v>
      </c>
      <c r="L9357" t="s">
        <v>929</v>
      </c>
      <c r="M9357" t="s">
        <v>68</v>
      </c>
      <c r="N9357" t="s">
        <v>60</v>
      </c>
      <c r="O9357" t="s">
        <v>770</v>
      </c>
      <c r="P9357" t="s">
        <v>136</v>
      </c>
      <c r="Q9357" t="s">
        <v>607</v>
      </c>
      <c r="R9357" t="s">
        <v>667</v>
      </c>
      <c r="S9357" t="s">
        <v>517</v>
      </c>
      <c r="T9357" t="s">
        <v>102</v>
      </c>
      <c r="U9357" t="s">
        <v>257</v>
      </c>
      <c r="V9357" t="s">
        <v>103</v>
      </c>
      <c r="W9357" t="s">
        <v>60</v>
      </c>
      <c r="X9357" t="s">
        <v>345</v>
      </c>
      <c r="Y9357" t="s">
        <v>194</v>
      </c>
      <c r="Z9357" t="s">
        <v>282</v>
      </c>
      <c r="AA9357" t="s">
        <v>122</v>
      </c>
      <c r="AB9357" t="s">
        <v>116</v>
      </c>
      <c r="AC9357" t="s">
        <v>118</v>
      </c>
      <c r="AD9357" t="s">
        <v>116</v>
      </c>
      <c r="AE9357" t="s">
        <v>122</v>
      </c>
      <c r="AF9357" t="s">
        <v>214</v>
      </c>
    </row>
    <row r="9358" spans="1:32" x14ac:dyDescent="0.3">
      <c r="A9358" t="s">
        <v>41</v>
      </c>
      <c r="B9358" t="s">
        <v>199</v>
      </c>
      <c r="C9358">
        <v>1516</v>
      </c>
      <c r="D9358" t="s">
        <v>549</v>
      </c>
      <c r="E9358" t="s">
        <v>400</v>
      </c>
      <c r="F9358" t="s">
        <v>113</v>
      </c>
      <c r="G9358" t="s">
        <v>756</v>
      </c>
      <c r="H9358" t="s">
        <v>90</v>
      </c>
      <c r="I9358" t="s">
        <v>591</v>
      </c>
      <c r="J9358" t="s">
        <v>458</v>
      </c>
      <c r="K9358" t="s">
        <v>231</v>
      </c>
      <c r="L9358" t="s">
        <v>407</v>
      </c>
      <c r="M9358" t="s">
        <v>114</v>
      </c>
      <c r="N9358" t="s">
        <v>99</v>
      </c>
      <c r="O9358" t="s">
        <v>699</v>
      </c>
      <c r="P9358" t="s">
        <v>516</v>
      </c>
      <c r="Q9358" t="s">
        <v>98</v>
      </c>
      <c r="R9358" t="s">
        <v>582</v>
      </c>
      <c r="S9358" t="s">
        <v>652</v>
      </c>
      <c r="T9358" t="s">
        <v>201</v>
      </c>
      <c r="U9358" t="s">
        <v>257</v>
      </c>
      <c r="V9358" t="s">
        <v>91</v>
      </c>
      <c r="W9358" t="s">
        <v>133</v>
      </c>
      <c r="X9358" t="s">
        <v>245</v>
      </c>
      <c r="Y9358" t="s">
        <v>216</v>
      </c>
      <c r="Z9358" t="s">
        <v>95</v>
      </c>
      <c r="AA9358" t="s">
        <v>66</v>
      </c>
      <c r="AB9358" t="s">
        <v>116</v>
      </c>
      <c r="AC9358" t="s">
        <v>139</v>
      </c>
      <c r="AD9358" t="s">
        <v>95</v>
      </c>
      <c r="AE9358" t="s">
        <v>103</v>
      </c>
      <c r="AF9358" t="s">
        <v>32</v>
      </c>
    </row>
    <row r="9360" spans="1:32" x14ac:dyDescent="0.3">
      <c r="A9360" t="s">
        <v>2566</v>
      </c>
    </row>
    <row r="9361" spans="1:32" x14ac:dyDescent="0.3">
      <c r="A9361" t="s">
        <v>36</v>
      </c>
      <c r="B9361" t="s">
        <v>1683</v>
      </c>
      <c r="C9361" t="s">
        <v>24</v>
      </c>
      <c r="D9361" t="s">
        <v>2538</v>
      </c>
      <c r="E9361" t="s">
        <v>2539</v>
      </c>
      <c r="F9361" t="s">
        <v>2540</v>
      </c>
      <c r="G9361" t="s">
        <v>2541</v>
      </c>
      <c r="H9361" t="s">
        <v>2542</v>
      </c>
      <c r="I9361" t="s">
        <v>2543</v>
      </c>
      <c r="J9361" t="s">
        <v>2544</v>
      </c>
      <c r="K9361" t="s">
        <v>2545</v>
      </c>
      <c r="L9361" t="s">
        <v>2546</v>
      </c>
      <c r="M9361" t="s">
        <v>2547</v>
      </c>
      <c r="N9361" t="s">
        <v>2548</v>
      </c>
      <c r="O9361" t="s">
        <v>2549</v>
      </c>
      <c r="P9361" t="s">
        <v>2550</v>
      </c>
      <c r="Q9361" t="s">
        <v>2551</v>
      </c>
      <c r="R9361" t="s">
        <v>2552</v>
      </c>
      <c r="S9361" t="s">
        <v>2553</v>
      </c>
      <c r="T9361" t="s">
        <v>2554</v>
      </c>
      <c r="U9361" t="s">
        <v>2555</v>
      </c>
      <c r="V9361" t="s">
        <v>2556</v>
      </c>
      <c r="W9361" t="s">
        <v>2557</v>
      </c>
      <c r="X9361" t="s">
        <v>2558</v>
      </c>
      <c r="Y9361" t="s">
        <v>2559</v>
      </c>
      <c r="Z9361" t="s">
        <v>2560</v>
      </c>
      <c r="AA9361" t="s">
        <v>2561</v>
      </c>
      <c r="AB9361" t="s">
        <v>2562</v>
      </c>
      <c r="AC9361" t="s">
        <v>89</v>
      </c>
      <c r="AD9361" t="s">
        <v>87</v>
      </c>
      <c r="AE9361" t="s">
        <v>181</v>
      </c>
      <c r="AF9361" t="s">
        <v>1195</v>
      </c>
    </row>
    <row r="9362" spans="1:32" x14ac:dyDescent="0.3">
      <c r="A9362" t="s">
        <v>25</v>
      </c>
      <c r="B9362" t="s">
        <v>1684</v>
      </c>
      <c r="C9362">
        <v>74</v>
      </c>
      <c r="D9362" t="s">
        <v>518</v>
      </c>
      <c r="E9362" t="s">
        <v>2033</v>
      </c>
      <c r="F9362" t="s">
        <v>103</v>
      </c>
      <c r="G9362" t="s">
        <v>921</v>
      </c>
      <c r="H9362" t="s">
        <v>459</v>
      </c>
      <c r="I9362" t="s">
        <v>64</v>
      </c>
      <c r="J9362" t="s">
        <v>670</v>
      </c>
      <c r="K9362" t="s">
        <v>831</v>
      </c>
      <c r="L9362" t="s">
        <v>572</v>
      </c>
      <c r="M9362" t="s">
        <v>257</v>
      </c>
      <c r="N9362" t="s">
        <v>743</v>
      </c>
      <c r="O9362" t="s">
        <v>1227</v>
      </c>
      <c r="P9362" t="s">
        <v>809</v>
      </c>
      <c r="Q9362" t="s">
        <v>468</v>
      </c>
      <c r="R9362" t="s">
        <v>682</v>
      </c>
      <c r="S9362" t="s">
        <v>242</v>
      </c>
      <c r="T9362" t="s">
        <v>201</v>
      </c>
      <c r="U9362" t="s">
        <v>64</v>
      </c>
      <c r="V9362" t="s">
        <v>103</v>
      </c>
      <c r="W9362" t="s">
        <v>33</v>
      </c>
      <c r="X9362" t="s">
        <v>103</v>
      </c>
      <c r="Y9362" t="s">
        <v>103</v>
      </c>
      <c r="Z9362" t="s">
        <v>103</v>
      </c>
      <c r="AA9362" t="s">
        <v>103</v>
      </c>
      <c r="AB9362" t="s">
        <v>103</v>
      </c>
      <c r="AC9362" t="s">
        <v>103</v>
      </c>
      <c r="AD9362" t="s">
        <v>97</v>
      </c>
      <c r="AE9362" t="s">
        <v>103</v>
      </c>
      <c r="AF9362" t="s">
        <v>190</v>
      </c>
    </row>
    <row r="9363" spans="1:32" x14ac:dyDescent="0.3">
      <c r="A9363" t="s">
        <v>25</v>
      </c>
      <c r="B9363" t="s">
        <v>1685</v>
      </c>
      <c r="C9363">
        <v>339</v>
      </c>
      <c r="D9363" t="s">
        <v>543</v>
      </c>
      <c r="E9363" t="s">
        <v>696</v>
      </c>
      <c r="F9363" t="s">
        <v>201</v>
      </c>
      <c r="G9363" t="s">
        <v>472</v>
      </c>
      <c r="H9363" t="s">
        <v>99</v>
      </c>
      <c r="I9363" t="s">
        <v>493</v>
      </c>
      <c r="J9363" t="s">
        <v>418</v>
      </c>
      <c r="K9363" t="s">
        <v>1058</v>
      </c>
      <c r="L9363" t="s">
        <v>619</v>
      </c>
      <c r="M9363" t="s">
        <v>93</v>
      </c>
      <c r="N9363" t="s">
        <v>517</v>
      </c>
      <c r="O9363" t="s">
        <v>1091</v>
      </c>
      <c r="P9363" t="s">
        <v>750</v>
      </c>
      <c r="Q9363" t="s">
        <v>110</v>
      </c>
      <c r="R9363" t="s">
        <v>250</v>
      </c>
      <c r="S9363" t="s">
        <v>107</v>
      </c>
      <c r="T9363" t="s">
        <v>493</v>
      </c>
      <c r="U9363" t="s">
        <v>95</v>
      </c>
      <c r="V9363" t="s">
        <v>103</v>
      </c>
      <c r="W9363" t="s">
        <v>70</v>
      </c>
      <c r="X9363" t="s">
        <v>282</v>
      </c>
      <c r="Y9363" t="s">
        <v>282</v>
      </c>
      <c r="Z9363" t="s">
        <v>120</v>
      </c>
      <c r="AA9363" t="s">
        <v>139</v>
      </c>
      <c r="AB9363" t="s">
        <v>116</v>
      </c>
      <c r="AC9363" t="s">
        <v>120</v>
      </c>
      <c r="AD9363" t="s">
        <v>103</v>
      </c>
      <c r="AE9363" t="s">
        <v>103</v>
      </c>
      <c r="AF9363" t="s">
        <v>278</v>
      </c>
    </row>
    <row r="9364" spans="1:32" x14ac:dyDescent="0.3">
      <c r="A9364" t="s">
        <v>26</v>
      </c>
      <c r="B9364" t="s">
        <v>1684</v>
      </c>
      <c r="C9364">
        <v>72</v>
      </c>
      <c r="D9364" t="s">
        <v>341</v>
      </c>
      <c r="E9364" t="s">
        <v>1091</v>
      </c>
      <c r="F9364" t="s">
        <v>91</v>
      </c>
      <c r="G9364" t="s">
        <v>1198</v>
      </c>
      <c r="H9364" t="s">
        <v>186</v>
      </c>
      <c r="I9364" t="s">
        <v>282</v>
      </c>
      <c r="J9364" t="s">
        <v>528</v>
      </c>
      <c r="K9364" t="s">
        <v>420</v>
      </c>
      <c r="L9364" t="s">
        <v>492</v>
      </c>
      <c r="M9364" t="s">
        <v>615</v>
      </c>
      <c r="N9364" t="s">
        <v>33</v>
      </c>
      <c r="O9364" t="s">
        <v>681</v>
      </c>
      <c r="P9364" t="s">
        <v>48</v>
      </c>
      <c r="Q9364" t="s">
        <v>139</v>
      </c>
      <c r="R9364" t="s">
        <v>453</v>
      </c>
      <c r="S9364" t="s">
        <v>551</v>
      </c>
      <c r="T9364" t="s">
        <v>103</v>
      </c>
      <c r="U9364" t="s">
        <v>103</v>
      </c>
      <c r="V9364" t="s">
        <v>103</v>
      </c>
      <c r="W9364" t="s">
        <v>251</v>
      </c>
      <c r="X9364" t="s">
        <v>103</v>
      </c>
      <c r="Y9364" t="s">
        <v>103</v>
      </c>
      <c r="Z9364" t="s">
        <v>103</v>
      </c>
      <c r="AA9364" t="s">
        <v>103</v>
      </c>
      <c r="AB9364" t="s">
        <v>103</v>
      </c>
      <c r="AC9364" t="s">
        <v>103</v>
      </c>
      <c r="AD9364" t="s">
        <v>103</v>
      </c>
      <c r="AE9364" t="s">
        <v>103</v>
      </c>
      <c r="AF9364" t="s">
        <v>452</v>
      </c>
    </row>
    <row r="9365" spans="1:32" x14ac:dyDescent="0.3">
      <c r="A9365" t="s">
        <v>26</v>
      </c>
      <c r="B9365" t="s">
        <v>1685</v>
      </c>
      <c r="C9365">
        <v>405</v>
      </c>
      <c r="D9365" t="s">
        <v>629</v>
      </c>
      <c r="E9365" t="s">
        <v>1329</v>
      </c>
      <c r="F9365" t="s">
        <v>281</v>
      </c>
      <c r="G9365" t="s">
        <v>522</v>
      </c>
      <c r="H9365" t="s">
        <v>242</v>
      </c>
      <c r="I9365" t="s">
        <v>101</v>
      </c>
      <c r="J9365" t="s">
        <v>825</v>
      </c>
      <c r="K9365" t="s">
        <v>1242</v>
      </c>
      <c r="L9365" t="s">
        <v>816</v>
      </c>
      <c r="M9365" t="s">
        <v>186</v>
      </c>
      <c r="N9365" t="s">
        <v>536</v>
      </c>
      <c r="O9365" t="s">
        <v>706</v>
      </c>
      <c r="P9365" t="s">
        <v>732</v>
      </c>
      <c r="Q9365" t="s">
        <v>97</v>
      </c>
      <c r="R9365" t="s">
        <v>666</v>
      </c>
      <c r="S9365" t="s">
        <v>46</v>
      </c>
      <c r="T9365" t="s">
        <v>270</v>
      </c>
      <c r="U9365" t="s">
        <v>270</v>
      </c>
      <c r="V9365" t="s">
        <v>122</v>
      </c>
      <c r="W9365" t="s">
        <v>281</v>
      </c>
      <c r="X9365" t="s">
        <v>97</v>
      </c>
      <c r="Y9365" t="s">
        <v>97</v>
      </c>
      <c r="Z9365" t="s">
        <v>103</v>
      </c>
      <c r="AA9365" t="s">
        <v>103</v>
      </c>
      <c r="AB9365" t="s">
        <v>116</v>
      </c>
      <c r="AC9365" t="s">
        <v>468</v>
      </c>
      <c r="AD9365" t="s">
        <v>103</v>
      </c>
      <c r="AE9365" t="s">
        <v>103</v>
      </c>
      <c r="AF9365" t="s">
        <v>186</v>
      </c>
    </row>
    <row r="9366" spans="1:32" x14ac:dyDescent="0.3">
      <c r="A9366" t="s">
        <v>29</v>
      </c>
      <c r="B9366" t="s">
        <v>1684</v>
      </c>
      <c r="C9366">
        <v>133</v>
      </c>
      <c r="D9366" t="s">
        <v>33</v>
      </c>
      <c r="E9366" t="s">
        <v>802</v>
      </c>
      <c r="F9366" t="s">
        <v>188</v>
      </c>
      <c r="G9366" t="s">
        <v>700</v>
      </c>
      <c r="H9366" t="s">
        <v>242</v>
      </c>
      <c r="I9366" t="s">
        <v>66</v>
      </c>
      <c r="J9366" t="s">
        <v>513</v>
      </c>
      <c r="K9366" t="s">
        <v>1058</v>
      </c>
      <c r="L9366" t="s">
        <v>933</v>
      </c>
      <c r="M9366" t="s">
        <v>114</v>
      </c>
      <c r="N9366" t="s">
        <v>543</v>
      </c>
      <c r="O9366" t="s">
        <v>1356</v>
      </c>
      <c r="P9366" t="s">
        <v>469</v>
      </c>
      <c r="Q9366" t="s">
        <v>532</v>
      </c>
      <c r="R9366" t="s">
        <v>672</v>
      </c>
      <c r="S9366" t="s">
        <v>284</v>
      </c>
      <c r="T9366" t="s">
        <v>257</v>
      </c>
      <c r="U9366" t="s">
        <v>216</v>
      </c>
      <c r="V9366" t="s">
        <v>103</v>
      </c>
      <c r="W9366" t="s">
        <v>251</v>
      </c>
      <c r="X9366" t="s">
        <v>239</v>
      </c>
      <c r="Y9366" t="s">
        <v>266</v>
      </c>
      <c r="Z9366" t="s">
        <v>103</v>
      </c>
      <c r="AA9366" t="s">
        <v>103</v>
      </c>
      <c r="AB9366" t="s">
        <v>95</v>
      </c>
      <c r="AC9366" t="s">
        <v>468</v>
      </c>
      <c r="AD9366" t="s">
        <v>282</v>
      </c>
      <c r="AE9366" t="s">
        <v>103</v>
      </c>
      <c r="AF9366" t="s">
        <v>438</v>
      </c>
    </row>
    <row r="9367" spans="1:32" x14ac:dyDescent="0.3">
      <c r="A9367" t="s">
        <v>29</v>
      </c>
      <c r="B9367" t="s">
        <v>1685</v>
      </c>
      <c r="C9367">
        <v>390</v>
      </c>
      <c r="D9367" t="s">
        <v>494</v>
      </c>
      <c r="E9367" t="s">
        <v>1064</v>
      </c>
      <c r="F9367" t="s">
        <v>452</v>
      </c>
      <c r="G9367" t="s">
        <v>275</v>
      </c>
      <c r="H9367" t="s">
        <v>101</v>
      </c>
      <c r="I9367" t="s">
        <v>208</v>
      </c>
      <c r="J9367" t="s">
        <v>674</v>
      </c>
      <c r="K9367" t="s">
        <v>389</v>
      </c>
      <c r="L9367" t="s">
        <v>1043</v>
      </c>
      <c r="M9367" t="s">
        <v>532</v>
      </c>
      <c r="N9367" t="s">
        <v>662</v>
      </c>
      <c r="O9367" t="s">
        <v>1015</v>
      </c>
      <c r="P9367" t="s">
        <v>629</v>
      </c>
      <c r="Q9367" t="s">
        <v>467</v>
      </c>
      <c r="R9367" t="s">
        <v>526</v>
      </c>
      <c r="S9367" t="s">
        <v>117</v>
      </c>
      <c r="T9367" t="s">
        <v>232</v>
      </c>
      <c r="U9367" t="s">
        <v>188</v>
      </c>
      <c r="V9367" t="s">
        <v>103</v>
      </c>
      <c r="W9367" t="s">
        <v>113</v>
      </c>
      <c r="X9367" t="s">
        <v>118</v>
      </c>
      <c r="Y9367" t="s">
        <v>93</v>
      </c>
      <c r="Z9367" t="s">
        <v>208</v>
      </c>
      <c r="AA9367" t="s">
        <v>103</v>
      </c>
      <c r="AB9367" t="s">
        <v>66</v>
      </c>
      <c r="AC9367" t="s">
        <v>341</v>
      </c>
      <c r="AD9367" t="s">
        <v>282</v>
      </c>
      <c r="AE9367" t="s">
        <v>116</v>
      </c>
      <c r="AF9367" t="s">
        <v>284</v>
      </c>
    </row>
    <row r="9368" spans="1:32" x14ac:dyDescent="0.3">
      <c r="A9368" t="s">
        <v>29</v>
      </c>
      <c r="B9368" t="s">
        <v>308</v>
      </c>
      <c r="C9368">
        <v>7</v>
      </c>
      <c r="D9368" t="s">
        <v>103</v>
      </c>
      <c r="E9368" t="s">
        <v>250</v>
      </c>
      <c r="F9368" t="s">
        <v>103</v>
      </c>
      <c r="G9368" t="s">
        <v>208</v>
      </c>
      <c r="H9368" t="s">
        <v>103</v>
      </c>
      <c r="I9368" t="s">
        <v>103</v>
      </c>
      <c r="J9368" t="s">
        <v>1097</v>
      </c>
      <c r="K9368" t="s">
        <v>1097</v>
      </c>
      <c r="L9368" t="s">
        <v>652</v>
      </c>
      <c r="M9368" t="s">
        <v>103</v>
      </c>
      <c r="N9368" t="s">
        <v>103</v>
      </c>
      <c r="O9368" t="s">
        <v>652</v>
      </c>
      <c r="P9368" t="s">
        <v>103</v>
      </c>
      <c r="Q9368" t="s">
        <v>103</v>
      </c>
      <c r="R9368" t="s">
        <v>208</v>
      </c>
      <c r="S9368" t="s">
        <v>103</v>
      </c>
      <c r="T9368" t="s">
        <v>103</v>
      </c>
      <c r="U9368" t="s">
        <v>103</v>
      </c>
      <c r="V9368" t="s">
        <v>103</v>
      </c>
      <c r="W9368" t="s">
        <v>103</v>
      </c>
      <c r="X9368" t="s">
        <v>103</v>
      </c>
      <c r="Y9368" t="s">
        <v>103</v>
      </c>
      <c r="Z9368" t="s">
        <v>103</v>
      </c>
      <c r="AA9368" t="s">
        <v>516</v>
      </c>
      <c r="AB9368" t="s">
        <v>103</v>
      </c>
      <c r="AC9368" t="s">
        <v>103</v>
      </c>
      <c r="AD9368" t="s">
        <v>30</v>
      </c>
      <c r="AE9368" t="s">
        <v>103</v>
      </c>
      <c r="AF9368" t="s">
        <v>256</v>
      </c>
    </row>
    <row r="9369" spans="1:32" x14ac:dyDescent="0.3">
      <c r="A9369" t="s">
        <v>28</v>
      </c>
      <c r="B9369" t="s">
        <v>1684</v>
      </c>
      <c r="C9369">
        <v>32</v>
      </c>
      <c r="D9369" t="s">
        <v>737</v>
      </c>
      <c r="E9369" t="s">
        <v>121</v>
      </c>
      <c r="F9369" t="s">
        <v>103</v>
      </c>
      <c r="G9369" t="s">
        <v>1090</v>
      </c>
      <c r="H9369" t="s">
        <v>127</v>
      </c>
      <c r="I9369" t="s">
        <v>591</v>
      </c>
      <c r="J9369" t="s">
        <v>129</v>
      </c>
      <c r="K9369" t="s">
        <v>361</v>
      </c>
      <c r="L9369" t="s">
        <v>663</v>
      </c>
      <c r="M9369" t="s">
        <v>103</v>
      </c>
      <c r="N9369" t="s">
        <v>558</v>
      </c>
      <c r="O9369" t="s">
        <v>746</v>
      </c>
      <c r="P9369" t="s">
        <v>539</v>
      </c>
      <c r="Q9369" t="s">
        <v>103</v>
      </c>
      <c r="R9369" t="s">
        <v>750</v>
      </c>
      <c r="S9369" t="s">
        <v>1196</v>
      </c>
      <c r="T9369" t="s">
        <v>103</v>
      </c>
      <c r="U9369" t="s">
        <v>103</v>
      </c>
      <c r="V9369" t="s">
        <v>103</v>
      </c>
      <c r="W9369" t="s">
        <v>594</v>
      </c>
      <c r="X9369" t="s">
        <v>591</v>
      </c>
      <c r="Y9369" t="s">
        <v>242</v>
      </c>
      <c r="Z9369" t="s">
        <v>103</v>
      </c>
      <c r="AA9369" t="s">
        <v>103</v>
      </c>
      <c r="AB9369" t="s">
        <v>103</v>
      </c>
      <c r="AC9369" t="s">
        <v>103</v>
      </c>
      <c r="AD9369" t="s">
        <v>103</v>
      </c>
      <c r="AE9369" t="s">
        <v>103</v>
      </c>
      <c r="AF9369" t="s">
        <v>103</v>
      </c>
    </row>
    <row r="9370" spans="1:32" x14ac:dyDescent="0.3">
      <c r="A9370" t="s">
        <v>28</v>
      </c>
      <c r="B9370" t="s">
        <v>1685</v>
      </c>
      <c r="C9370">
        <v>285</v>
      </c>
      <c r="D9370" t="s">
        <v>756</v>
      </c>
      <c r="E9370" t="s">
        <v>1220</v>
      </c>
      <c r="F9370" t="s">
        <v>531</v>
      </c>
      <c r="G9370" t="s">
        <v>554</v>
      </c>
      <c r="H9370" t="s">
        <v>160</v>
      </c>
      <c r="I9370" t="s">
        <v>519</v>
      </c>
      <c r="J9370" t="s">
        <v>1576</v>
      </c>
      <c r="K9370" t="s">
        <v>1059</v>
      </c>
      <c r="L9370" t="s">
        <v>569</v>
      </c>
      <c r="M9370" t="s">
        <v>341</v>
      </c>
      <c r="N9370" t="s">
        <v>224</v>
      </c>
      <c r="O9370" t="s">
        <v>646</v>
      </c>
      <c r="P9370" t="s">
        <v>136</v>
      </c>
      <c r="Q9370" t="s">
        <v>272</v>
      </c>
      <c r="R9370" t="s">
        <v>551</v>
      </c>
      <c r="S9370" t="s">
        <v>481</v>
      </c>
      <c r="T9370" t="s">
        <v>133</v>
      </c>
      <c r="U9370" t="s">
        <v>95</v>
      </c>
      <c r="V9370" t="s">
        <v>103</v>
      </c>
      <c r="W9370" t="s">
        <v>460</v>
      </c>
      <c r="X9370" t="s">
        <v>208</v>
      </c>
      <c r="Y9370" t="s">
        <v>208</v>
      </c>
      <c r="Z9370" t="s">
        <v>103</v>
      </c>
      <c r="AA9370" t="s">
        <v>103</v>
      </c>
      <c r="AB9370" t="s">
        <v>66</v>
      </c>
      <c r="AC9370" t="s">
        <v>122</v>
      </c>
      <c r="AD9370" t="s">
        <v>103</v>
      </c>
      <c r="AE9370" t="s">
        <v>103</v>
      </c>
      <c r="AF9370" t="s">
        <v>205</v>
      </c>
    </row>
    <row r="9371" spans="1:32" x14ac:dyDescent="0.3">
      <c r="A9371" t="s">
        <v>27</v>
      </c>
      <c r="B9371" t="s">
        <v>1684</v>
      </c>
      <c r="C9371">
        <v>88</v>
      </c>
      <c r="D9371" t="s">
        <v>64</v>
      </c>
      <c r="E9371" t="s">
        <v>1015</v>
      </c>
      <c r="F9371" t="s">
        <v>208</v>
      </c>
      <c r="G9371" t="s">
        <v>782</v>
      </c>
      <c r="H9371" t="s">
        <v>208</v>
      </c>
      <c r="I9371" t="s">
        <v>217</v>
      </c>
      <c r="J9371" t="s">
        <v>377</v>
      </c>
      <c r="K9371" t="s">
        <v>1260</v>
      </c>
      <c r="L9371" t="s">
        <v>661</v>
      </c>
      <c r="M9371" t="s">
        <v>103</v>
      </c>
      <c r="N9371" t="s">
        <v>94</v>
      </c>
      <c r="O9371" t="s">
        <v>539</v>
      </c>
      <c r="P9371" t="s">
        <v>607</v>
      </c>
      <c r="Q9371" t="s">
        <v>128</v>
      </c>
      <c r="R9371" t="s">
        <v>392</v>
      </c>
      <c r="S9371" t="s">
        <v>438</v>
      </c>
      <c r="T9371" t="s">
        <v>110</v>
      </c>
      <c r="U9371" t="s">
        <v>195</v>
      </c>
      <c r="V9371" t="s">
        <v>103</v>
      </c>
      <c r="W9371" t="s">
        <v>900</v>
      </c>
      <c r="X9371" t="s">
        <v>118</v>
      </c>
      <c r="Y9371" t="s">
        <v>186</v>
      </c>
      <c r="Z9371" t="s">
        <v>103</v>
      </c>
      <c r="AA9371" t="s">
        <v>103</v>
      </c>
      <c r="AB9371" t="s">
        <v>103</v>
      </c>
      <c r="AC9371" t="s">
        <v>98</v>
      </c>
      <c r="AD9371" t="s">
        <v>116</v>
      </c>
      <c r="AE9371" t="s">
        <v>103</v>
      </c>
      <c r="AF9371" t="s">
        <v>103</v>
      </c>
    </row>
    <row r="9372" spans="1:32" x14ac:dyDescent="0.3">
      <c r="A9372" t="s">
        <v>27</v>
      </c>
      <c r="B9372" t="s">
        <v>1685</v>
      </c>
      <c r="C9372">
        <v>211</v>
      </c>
      <c r="D9372" t="s">
        <v>251</v>
      </c>
      <c r="E9372" t="s">
        <v>1006</v>
      </c>
      <c r="F9372" t="s">
        <v>102</v>
      </c>
      <c r="G9372" t="s">
        <v>1024</v>
      </c>
      <c r="H9372" t="s">
        <v>615</v>
      </c>
      <c r="I9372" t="s">
        <v>130</v>
      </c>
      <c r="J9372" t="s">
        <v>368</v>
      </c>
      <c r="K9372" t="s">
        <v>1418</v>
      </c>
      <c r="L9372" t="s">
        <v>236</v>
      </c>
      <c r="M9372" t="s">
        <v>68</v>
      </c>
      <c r="N9372" t="s">
        <v>475</v>
      </c>
      <c r="O9372" t="s">
        <v>932</v>
      </c>
      <c r="P9372" t="s">
        <v>558</v>
      </c>
      <c r="Q9372" t="s">
        <v>97</v>
      </c>
      <c r="R9372" t="s">
        <v>663</v>
      </c>
      <c r="S9372" t="s">
        <v>112</v>
      </c>
      <c r="T9372" t="s">
        <v>242</v>
      </c>
      <c r="U9372" t="s">
        <v>102</v>
      </c>
      <c r="V9372" t="s">
        <v>103</v>
      </c>
      <c r="W9372" t="s">
        <v>528</v>
      </c>
      <c r="X9372" t="s">
        <v>467</v>
      </c>
      <c r="Y9372" t="s">
        <v>97</v>
      </c>
      <c r="Z9372" t="s">
        <v>97</v>
      </c>
      <c r="AA9372" t="s">
        <v>103</v>
      </c>
      <c r="AB9372" t="s">
        <v>103</v>
      </c>
      <c r="AC9372" t="s">
        <v>103</v>
      </c>
      <c r="AD9372" t="s">
        <v>103</v>
      </c>
      <c r="AE9372" t="s">
        <v>103</v>
      </c>
      <c r="AF9372" t="s">
        <v>208</v>
      </c>
    </row>
    <row r="9373" spans="1:32" x14ac:dyDescent="0.3">
      <c r="A9373" t="s">
        <v>27</v>
      </c>
      <c r="B9373" t="s">
        <v>308</v>
      </c>
      <c r="C9373">
        <v>1</v>
      </c>
      <c r="D9373" t="s">
        <v>103</v>
      </c>
      <c r="E9373" t="s">
        <v>103</v>
      </c>
      <c r="F9373" t="s">
        <v>103</v>
      </c>
      <c r="G9373" t="s">
        <v>192</v>
      </c>
      <c r="H9373" t="s">
        <v>103</v>
      </c>
      <c r="I9373" t="s">
        <v>103</v>
      </c>
      <c r="J9373" t="s">
        <v>192</v>
      </c>
      <c r="K9373" t="s">
        <v>192</v>
      </c>
      <c r="L9373" t="s">
        <v>103</v>
      </c>
      <c r="M9373" t="s">
        <v>103</v>
      </c>
      <c r="N9373" t="s">
        <v>103</v>
      </c>
      <c r="O9373" t="s">
        <v>103</v>
      </c>
      <c r="P9373" t="s">
        <v>103</v>
      </c>
      <c r="Q9373" t="s">
        <v>103</v>
      </c>
      <c r="R9373" t="s">
        <v>192</v>
      </c>
      <c r="S9373" t="s">
        <v>103</v>
      </c>
      <c r="T9373" t="s">
        <v>103</v>
      </c>
      <c r="U9373" t="s">
        <v>103</v>
      </c>
      <c r="V9373" t="s">
        <v>103</v>
      </c>
      <c r="W9373" t="s">
        <v>192</v>
      </c>
      <c r="X9373" t="s">
        <v>103</v>
      </c>
      <c r="Y9373" t="s">
        <v>103</v>
      </c>
      <c r="Z9373" t="s">
        <v>103</v>
      </c>
      <c r="AA9373" t="s">
        <v>103</v>
      </c>
      <c r="AB9373" t="s">
        <v>103</v>
      </c>
      <c r="AC9373" t="s">
        <v>103</v>
      </c>
      <c r="AD9373" t="s">
        <v>103</v>
      </c>
      <c r="AE9373" t="s">
        <v>103</v>
      </c>
      <c r="AF9373" t="s">
        <v>103</v>
      </c>
    </row>
    <row r="9374" spans="1:32" x14ac:dyDescent="0.3">
      <c r="A9374" t="s">
        <v>41</v>
      </c>
      <c r="B9374" t="s">
        <v>1684</v>
      </c>
      <c r="C9374">
        <v>399</v>
      </c>
      <c r="D9374" t="s">
        <v>531</v>
      </c>
      <c r="E9374" t="s">
        <v>1577</v>
      </c>
      <c r="F9374" t="s">
        <v>118</v>
      </c>
      <c r="G9374" t="s">
        <v>681</v>
      </c>
      <c r="H9374" t="s">
        <v>124</v>
      </c>
      <c r="I9374" t="s">
        <v>282</v>
      </c>
      <c r="J9374" t="s">
        <v>545</v>
      </c>
      <c r="K9374" t="s">
        <v>1676</v>
      </c>
      <c r="L9374" t="s">
        <v>225</v>
      </c>
      <c r="M9374" t="s">
        <v>438</v>
      </c>
      <c r="N9374" t="s">
        <v>693</v>
      </c>
      <c r="O9374" t="s">
        <v>352</v>
      </c>
      <c r="P9374" t="s">
        <v>273</v>
      </c>
      <c r="Q9374" t="s">
        <v>68</v>
      </c>
      <c r="R9374" t="s">
        <v>520</v>
      </c>
      <c r="S9374" t="s">
        <v>108</v>
      </c>
      <c r="T9374" t="s">
        <v>128</v>
      </c>
      <c r="U9374" t="s">
        <v>216</v>
      </c>
      <c r="V9374" t="s">
        <v>103</v>
      </c>
      <c r="W9374" t="s">
        <v>460</v>
      </c>
      <c r="X9374" t="s">
        <v>345</v>
      </c>
      <c r="Y9374" t="s">
        <v>208</v>
      </c>
      <c r="Z9374" t="s">
        <v>103</v>
      </c>
      <c r="AA9374" t="s">
        <v>103</v>
      </c>
      <c r="AB9374" t="s">
        <v>122</v>
      </c>
      <c r="AC9374" t="s">
        <v>139</v>
      </c>
      <c r="AD9374" t="s">
        <v>95</v>
      </c>
      <c r="AE9374" t="s">
        <v>103</v>
      </c>
      <c r="AF9374" t="s">
        <v>186</v>
      </c>
    </row>
    <row r="9375" spans="1:32" x14ac:dyDescent="0.3">
      <c r="A9375" t="s">
        <v>41</v>
      </c>
      <c r="B9375" t="s">
        <v>1685</v>
      </c>
      <c r="C9375">
        <v>1630</v>
      </c>
      <c r="D9375" t="s">
        <v>247</v>
      </c>
      <c r="E9375" t="s">
        <v>1053</v>
      </c>
      <c r="F9375" t="s">
        <v>133</v>
      </c>
      <c r="G9375" t="s">
        <v>30</v>
      </c>
      <c r="H9375" t="s">
        <v>90</v>
      </c>
      <c r="I9375" t="s">
        <v>33</v>
      </c>
      <c r="J9375" t="s">
        <v>559</v>
      </c>
      <c r="K9375" t="s">
        <v>675</v>
      </c>
      <c r="L9375" t="s">
        <v>666</v>
      </c>
      <c r="M9375" t="s">
        <v>188</v>
      </c>
      <c r="N9375" t="s">
        <v>601</v>
      </c>
      <c r="O9375" t="s">
        <v>1011</v>
      </c>
      <c r="P9375" t="s">
        <v>175</v>
      </c>
      <c r="Q9375" t="s">
        <v>329</v>
      </c>
      <c r="R9375" t="s">
        <v>648</v>
      </c>
      <c r="S9375" t="s">
        <v>136</v>
      </c>
      <c r="T9375" t="s">
        <v>214</v>
      </c>
      <c r="U9375" t="s">
        <v>64</v>
      </c>
      <c r="V9375" t="s">
        <v>91</v>
      </c>
      <c r="W9375" t="s">
        <v>133</v>
      </c>
      <c r="X9375" t="s">
        <v>216</v>
      </c>
      <c r="Y9375" t="s">
        <v>110</v>
      </c>
      <c r="Z9375" t="s">
        <v>282</v>
      </c>
      <c r="AA9375" t="s">
        <v>66</v>
      </c>
      <c r="AB9375" t="s">
        <v>116</v>
      </c>
      <c r="AC9375" t="s">
        <v>194</v>
      </c>
      <c r="AD9375" t="s">
        <v>122</v>
      </c>
      <c r="AE9375" t="s">
        <v>91</v>
      </c>
      <c r="AF9375" t="s">
        <v>32</v>
      </c>
    </row>
    <row r="9376" spans="1:32" x14ac:dyDescent="0.3">
      <c r="A9376" t="s">
        <v>41</v>
      </c>
      <c r="B9376" t="s">
        <v>308</v>
      </c>
      <c r="C9376">
        <v>8</v>
      </c>
      <c r="D9376" t="s">
        <v>103</v>
      </c>
      <c r="E9376" t="s">
        <v>650</v>
      </c>
      <c r="F9376" t="s">
        <v>103</v>
      </c>
      <c r="G9376" t="s">
        <v>466</v>
      </c>
      <c r="H9376" t="s">
        <v>103</v>
      </c>
      <c r="I9376" t="s">
        <v>103</v>
      </c>
      <c r="J9376" t="s">
        <v>501</v>
      </c>
      <c r="K9376" t="s">
        <v>501</v>
      </c>
      <c r="L9376" t="s">
        <v>191</v>
      </c>
      <c r="M9376" t="s">
        <v>103</v>
      </c>
      <c r="N9376" t="s">
        <v>103</v>
      </c>
      <c r="O9376" t="s">
        <v>191</v>
      </c>
      <c r="P9376" t="s">
        <v>103</v>
      </c>
      <c r="Q9376" t="s">
        <v>103</v>
      </c>
      <c r="R9376" t="s">
        <v>466</v>
      </c>
      <c r="S9376" t="s">
        <v>103</v>
      </c>
      <c r="T9376" t="s">
        <v>103</v>
      </c>
      <c r="U9376" t="s">
        <v>103</v>
      </c>
      <c r="V9376" t="s">
        <v>103</v>
      </c>
      <c r="W9376" t="s">
        <v>113</v>
      </c>
      <c r="X9376" t="s">
        <v>103</v>
      </c>
      <c r="Y9376" t="s">
        <v>103</v>
      </c>
      <c r="Z9376" t="s">
        <v>103</v>
      </c>
      <c r="AA9376" t="s">
        <v>488</v>
      </c>
      <c r="AB9376" t="s">
        <v>103</v>
      </c>
      <c r="AC9376" t="s">
        <v>103</v>
      </c>
      <c r="AD9376" t="s">
        <v>56</v>
      </c>
      <c r="AE9376" t="s">
        <v>103</v>
      </c>
      <c r="AF9376" t="s">
        <v>471</v>
      </c>
    </row>
    <row r="9378" spans="1:32" x14ac:dyDescent="0.3">
      <c r="A9378" t="s">
        <v>2567</v>
      </c>
    </row>
    <row r="9379" spans="1:32" x14ac:dyDescent="0.3">
      <c r="A9379" t="s">
        <v>36</v>
      </c>
      <c r="B9379" t="s">
        <v>1517</v>
      </c>
      <c r="C9379" t="s">
        <v>24</v>
      </c>
      <c r="D9379" t="s">
        <v>2538</v>
      </c>
      <c r="E9379" t="s">
        <v>2539</v>
      </c>
      <c r="F9379" t="s">
        <v>2540</v>
      </c>
      <c r="G9379" t="s">
        <v>2541</v>
      </c>
      <c r="H9379" t="s">
        <v>2542</v>
      </c>
      <c r="I9379" t="s">
        <v>2543</v>
      </c>
      <c r="J9379" t="s">
        <v>2544</v>
      </c>
      <c r="K9379" t="s">
        <v>2545</v>
      </c>
      <c r="L9379" t="s">
        <v>2546</v>
      </c>
      <c r="M9379" t="s">
        <v>2547</v>
      </c>
      <c r="N9379" t="s">
        <v>2548</v>
      </c>
      <c r="O9379" t="s">
        <v>2549</v>
      </c>
      <c r="P9379" t="s">
        <v>2550</v>
      </c>
      <c r="Q9379" t="s">
        <v>2551</v>
      </c>
      <c r="R9379" t="s">
        <v>2552</v>
      </c>
      <c r="S9379" t="s">
        <v>2553</v>
      </c>
      <c r="T9379" t="s">
        <v>2554</v>
      </c>
      <c r="U9379" t="s">
        <v>2555</v>
      </c>
      <c r="V9379" t="s">
        <v>2556</v>
      </c>
      <c r="W9379" t="s">
        <v>2557</v>
      </c>
      <c r="X9379" t="s">
        <v>2558</v>
      </c>
      <c r="Y9379" t="s">
        <v>2559</v>
      </c>
      <c r="Z9379" t="s">
        <v>2560</v>
      </c>
      <c r="AA9379" t="s">
        <v>2561</v>
      </c>
      <c r="AB9379" t="s">
        <v>2562</v>
      </c>
      <c r="AC9379" t="s">
        <v>89</v>
      </c>
      <c r="AD9379" t="s">
        <v>87</v>
      </c>
      <c r="AE9379" t="s">
        <v>181</v>
      </c>
      <c r="AF9379" t="s">
        <v>1195</v>
      </c>
    </row>
    <row r="9380" spans="1:32" x14ac:dyDescent="0.3">
      <c r="A9380" t="s">
        <v>25</v>
      </c>
      <c r="B9380" t="s">
        <v>1518</v>
      </c>
      <c r="C9380">
        <v>217</v>
      </c>
      <c r="D9380" t="s">
        <v>114</v>
      </c>
      <c r="E9380" t="s">
        <v>394</v>
      </c>
      <c r="F9380" t="s">
        <v>232</v>
      </c>
      <c r="G9380" t="s">
        <v>30</v>
      </c>
      <c r="H9380" t="s">
        <v>918</v>
      </c>
      <c r="I9380" t="s">
        <v>217</v>
      </c>
      <c r="J9380" t="s">
        <v>361</v>
      </c>
      <c r="K9380" t="s">
        <v>830</v>
      </c>
      <c r="L9380" t="s">
        <v>1041</v>
      </c>
      <c r="M9380" t="s">
        <v>438</v>
      </c>
      <c r="N9380" t="s">
        <v>475</v>
      </c>
      <c r="O9380" t="s">
        <v>664</v>
      </c>
      <c r="P9380" t="s">
        <v>528</v>
      </c>
      <c r="Q9380" t="s">
        <v>257</v>
      </c>
      <c r="R9380" t="s">
        <v>919</v>
      </c>
      <c r="S9380" t="s">
        <v>60</v>
      </c>
      <c r="T9380" t="s">
        <v>272</v>
      </c>
      <c r="U9380" t="s">
        <v>103</v>
      </c>
      <c r="V9380" t="s">
        <v>103</v>
      </c>
      <c r="W9380" t="s">
        <v>188</v>
      </c>
      <c r="X9380" t="s">
        <v>216</v>
      </c>
      <c r="Y9380" t="s">
        <v>95</v>
      </c>
      <c r="Z9380" t="s">
        <v>103</v>
      </c>
      <c r="AA9380" t="s">
        <v>468</v>
      </c>
      <c r="AB9380" t="s">
        <v>103</v>
      </c>
      <c r="AC9380" t="s">
        <v>120</v>
      </c>
      <c r="AD9380" t="s">
        <v>103</v>
      </c>
      <c r="AE9380" t="s">
        <v>103</v>
      </c>
      <c r="AF9380" t="s">
        <v>270</v>
      </c>
    </row>
    <row r="9381" spans="1:32" x14ac:dyDescent="0.3">
      <c r="A9381" t="s">
        <v>25</v>
      </c>
      <c r="B9381" t="s">
        <v>1519</v>
      </c>
      <c r="C9381">
        <v>196</v>
      </c>
      <c r="D9381" t="s">
        <v>681</v>
      </c>
      <c r="E9381" t="s">
        <v>1260</v>
      </c>
      <c r="F9381" t="s">
        <v>468</v>
      </c>
      <c r="G9381" t="s">
        <v>727</v>
      </c>
      <c r="H9381" t="s">
        <v>190</v>
      </c>
      <c r="I9381" t="s">
        <v>615</v>
      </c>
      <c r="J9381" t="s">
        <v>656</v>
      </c>
      <c r="K9381" t="s">
        <v>389</v>
      </c>
      <c r="L9381" t="s">
        <v>919</v>
      </c>
      <c r="M9381" t="s">
        <v>282</v>
      </c>
      <c r="N9381" t="s">
        <v>607</v>
      </c>
      <c r="O9381" t="s">
        <v>129</v>
      </c>
      <c r="P9381" t="s">
        <v>167</v>
      </c>
      <c r="Q9381" t="s">
        <v>103</v>
      </c>
      <c r="R9381" t="s">
        <v>700</v>
      </c>
      <c r="S9381" t="s">
        <v>93</v>
      </c>
      <c r="T9381" t="s">
        <v>615</v>
      </c>
      <c r="U9381" t="s">
        <v>93</v>
      </c>
      <c r="V9381" t="s">
        <v>103</v>
      </c>
      <c r="W9381" t="s">
        <v>511</v>
      </c>
      <c r="X9381" t="s">
        <v>103</v>
      </c>
      <c r="Y9381" t="s">
        <v>282</v>
      </c>
      <c r="Z9381" t="s">
        <v>282</v>
      </c>
      <c r="AA9381" t="s">
        <v>103</v>
      </c>
      <c r="AB9381" t="s">
        <v>97</v>
      </c>
      <c r="AC9381" t="s">
        <v>122</v>
      </c>
      <c r="AD9381" t="s">
        <v>66</v>
      </c>
      <c r="AE9381" t="s">
        <v>103</v>
      </c>
      <c r="AF9381" t="s">
        <v>90</v>
      </c>
    </row>
    <row r="9382" spans="1:32" x14ac:dyDescent="0.3">
      <c r="A9382" t="s">
        <v>26</v>
      </c>
      <c r="B9382" t="s">
        <v>1518</v>
      </c>
      <c r="C9382">
        <v>237</v>
      </c>
      <c r="D9382" t="s">
        <v>652</v>
      </c>
      <c r="E9382" t="s">
        <v>508</v>
      </c>
      <c r="F9382" t="s">
        <v>94</v>
      </c>
      <c r="G9382" t="s">
        <v>578</v>
      </c>
      <c r="H9382" t="s">
        <v>135</v>
      </c>
      <c r="I9382" t="s">
        <v>70</v>
      </c>
      <c r="J9382" t="s">
        <v>230</v>
      </c>
      <c r="K9382" t="s">
        <v>1230</v>
      </c>
      <c r="L9382" t="s">
        <v>1559</v>
      </c>
      <c r="M9382" t="s">
        <v>33</v>
      </c>
      <c r="N9382" t="s">
        <v>524</v>
      </c>
      <c r="O9382" t="s">
        <v>1213</v>
      </c>
      <c r="P9382" t="s">
        <v>520</v>
      </c>
      <c r="Q9382" t="s">
        <v>98</v>
      </c>
      <c r="R9382" t="s">
        <v>1070</v>
      </c>
      <c r="S9382" t="s">
        <v>875</v>
      </c>
      <c r="T9382" t="s">
        <v>217</v>
      </c>
      <c r="U9382" t="s">
        <v>93</v>
      </c>
      <c r="V9382" t="s">
        <v>103</v>
      </c>
      <c r="W9382" t="s">
        <v>662</v>
      </c>
      <c r="X9382" t="s">
        <v>97</v>
      </c>
      <c r="Y9382" t="s">
        <v>97</v>
      </c>
      <c r="Z9382" t="s">
        <v>103</v>
      </c>
      <c r="AA9382" t="s">
        <v>103</v>
      </c>
      <c r="AB9382" t="s">
        <v>103</v>
      </c>
      <c r="AC9382" t="s">
        <v>468</v>
      </c>
      <c r="AD9382" t="s">
        <v>103</v>
      </c>
      <c r="AE9382" t="s">
        <v>103</v>
      </c>
      <c r="AF9382" t="s">
        <v>95</v>
      </c>
    </row>
    <row r="9383" spans="1:32" x14ac:dyDescent="0.3">
      <c r="A9383" t="s">
        <v>26</v>
      </c>
      <c r="B9383" t="s">
        <v>1519</v>
      </c>
      <c r="C9383">
        <v>235</v>
      </c>
      <c r="D9383" t="s">
        <v>140</v>
      </c>
      <c r="E9383" t="s">
        <v>538</v>
      </c>
      <c r="F9383" t="s">
        <v>270</v>
      </c>
      <c r="G9383" t="s">
        <v>477</v>
      </c>
      <c r="H9383" t="s">
        <v>278</v>
      </c>
      <c r="I9383" t="s">
        <v>94</v>
      </c>
      <c r="J9383" t="s">
        <v>819</v>
      </c>
      <c r="K9383" t="s">
        <v>352</v>
      </c>
      <c r="L9383" t="s">
        <v>484</v>
      </c>
      <c r="M9383" t="s">
        <v>125</v>
      </c>
      <c r="N9383" t="s">
        <v>140</v>
      </c>
      <c r="O9383" t="s">
        <v>524</v>
      </c>
      <c r="P9383" t="s">
        <v>550</v>
      </c>
      <c r="Q9383" t="s">
        <v>66</v>
      </c>
      <c r="R9383" t="s">
        <v>490</v>
      </c>
      <c r="S9383" t="s">
        <v>117</v>
      </c>
      <c r="T9383" t="s">
        <v>257</v>
      </c>
      <c r="U9383" t="s">
        <v>64</v>
      </c>
      <c r="V9383" t="s">
        <v>139</v>
      </c>
      <c r="W9383" t="s">
        <v>33</v>
      </c>
      <c r="X9383" t="s">
        <v>122</v>
      </c>
      <c r="Y9383" t="s">
        <v>122</v>
      </c>
      <c r="Z9383" t="s">
        <v>103</v>
      </c>
      <c r="AA9383" t="s">
        <v>103</v>
      </c>
      <c r="AB9383" t="s">
        <v>120</v>
      </c>
      <c r="AC9383" t="s">
        <v>98</v>
      </c>
      <c r="AD9383" t="s">
        <v>103</v>
      </c>
      <c r="AE9383" t="s">
        <v>103</v>
      </c>
      <c r="AF9383" t="s">
        <v>242</v>
      </c>
    </row>
    <row r="9384" spans="1:32" x14ac:dyDescent="0.3">
      <c r="A9384" t="s">
        <v>26</v>
      </c>
      <c r="B9384" t="s">
        <v>308</v>
      </c>
      <c r="C9384">
        <v>5</v>
      </c>
      <c r="D9384" t="s">
        <v>506</v>
      </c>
      <c r="E9384" t="s">
        <v>655</v>
      </c>
      <c r="F9384" t="s">
        <v>103</v>
      </c>
      <c r="G9384" t="s">
        <v>825</v>
      </c>
      <c r="H9384" t="s">
        <v>825</v>
      </c>
      <c r="I9384" t="s">
        <v>1057</v>
      </c>
      <c r="J9384" t="s">
        <v>580</v>
      </c>
      <c r="K9384" t="s">
        <v>886</v>
      </c>
      <c r="L9384" t="s">
        <v>471</v>
      </c>
      <c r="M9384" t="s">
        <v>103</v>
      </c>
      <c r="N9384" t="s">
        <v>748</v>
      </c>
      <c r="O9384" t="s">
        <v>96</v>
      </c>
      <c r="P9384" t="s">
        <v>506</v>
      </c>
      <c r="Q9384" t="s">
        <v>103</v>
      </c>
      <c r="R9384" t="s">
        <v>567</v>
      </c>
      <c r="S9384" t="s">
        <v>103</v>
      </c>
      <c r="T9384" t="s">
        <v>103</v>
      </c>
      <c r="U9384" t="s">
        <v>103</v>
      </c>
      <c r="V9384" t="s">
        <v>103</v>
      </c>
      <c r="W9384" t="s">
        <v>580</v>
      </c>
      <c r="X9384" t="s">
        <v>103</v>
      </c>
      <c r="Y9384" t="s">
        <v>103</v>
      </c>
      <c r="Z9384" t="s">
        <v>103</v>
      </c>
      <c r="AA9384" t="s">
        <v>103</v>
      </c>
      <c r="AB9384" t="s">
        <v>103</v>
      </c>
      <c r="AC9384" t="s">
        <v>103</v>
      </c>
      <c r="AD9384" t="s">
        <v>103</v>
      </c>
      <c r="AE9384" t="s">
        <v>103</v>
      </c>
      <c r="AF9384" t="s">
        <v>103</v>
      </c>
    </row>
    <row r="9385" spans="1:32" x14ac:dyDescent="0.3">
      <c r="A9385" t="s">
        <v>29</v>
      </c>
      <c r="B9385" t="s">
        <v>1518</v>
      </c>
      <c r="C9385">
        <v>343</v>
      </c>
      <c r="D9385" t="s">
        <v>531</v>
      </c>
      <c r="E9385" t="s">
        <v>1375</v>
      </c>
      <c r="F9385" t="s">
        <v>281</v>
      </c>
      <c r="G9385" t="s">
        <v>515</v>
      </c>
      <c r="H9385" t="s">
        <v>511</v>
      </c>
      <c r="I9385" t="s">
        <v>208</v>
      </c>
      <c r="J9385" t="s">
        <v>96</v>
      </c>
      <c r="K9385" t="s">
        <v>508</v>
      </c>
      <c r="L9385" t="s">
        <v>362</v>
      </c>
      <c r="M9385" t="s">
        <v>591</v>
      </c>
      <c r="N9385" t="s">
        <v>494</v>
      </c>
      <c r="O9385" t="s">
        <v>1545</v>
      </c>
      <c r="P9385" t="s">
        <v>693</v>
      </c>
      <c r="Q9385" t="s">
        <v>591</v>
      </c>
      <c r="R9385" t="s">
        <v>825</v>
      </c>
      <c r="S9385" t="s">
        <v>157</v>
      </c>
      <c r="T9385" t="s">
        <v>281</v>
      </c>
      <c r="U9385" t="s">
        <v>217</v>
      </c>
      <c r="V9385" t="s">
        <v>103</v>
      </c>
      <c r="W9385" t="s">
        <v>206</v>
      </c>
      <c r="X9385" t="s">
        <v>266</v>
      </c>
      <c r="Y9385" t="s">
        <v>68</v>
      </c>
      <c r="Z9385" t="s">
        <v>128</v>
      </c>
      <c r="AA9385" t="s">
        <v>103</v>
      </c>
      <c r="AB9385" t="s">
        <v>103</v>
      </c>
      <c r="AC9385" t="s">
        <v>128</v>
      </c>
      <c r="AD9385" t="s">
        <v>139</v>
      </c>
      <c r="AE9385" t="s">
        <v>103</v>
      </c>
      <c r="AF9385" t="s">
        <v>468</v>
      </c>
    </row>
    <row r="9386" spans="1:32" x14ac:dyDescent="0.3">
      <c r="A9386" t="s">
        <v>29</v>
      </c>
      <c r="B9386" t="s">
        <v>1519</v>
      </c>
      <c r="C9386">
        <v>177</v>
      </c>
      <c r="D9386" t="s">
        <v>494</v>
      </c>
      <c r="E9386" t="s">
        <v>993</v>
      </c>
      <c r="F9386" t="s">
        <v>70</v>
      </c>
      <c r="G9386" t="s">
        <v>152</v>
      </c>
      <c r="H9386" t="s">
        <v>737</v>
      </c>
      <c r="I9386" t="s">
        <v>95</v>
      </c>
      <c r="J9386" t="s">
        <v>706</v>
      </c>
      <c r="K9386" t="s">
        <v>387</v>
      </c>
      <c r="L9386" t="s">
        <v>663</v>
      </c>
      <c r="M9386" t="s">
        <v>281</v>
      </c>
      <c r="N9386" t="s">
        <v>278</v>
      </c>
      <c r="O9386" t="s">
        <v>421</v>
      </c>
      <c r="P9386" t="s">
        <v>171</v>
      </c>
      <c r="Q9386" t="s">
        <v>195</v>
      </c>
      <c r="R9386" t="s">
        <v>169</v>
      </c>
      <c r="S9386" t="s">
        <v>615</v>
      </c>
      <c r="T9386" t="s">
        <v>532</v>
      </c>
      <c r="U9386" t="s">
        <v>186</v>
      </c>
      <c r="V9386" t="s">
        <v>103</v>
      </c>
      <c r="W9386" t="s">
        <v>195</v>
      </c>
      <c r="X9386" t="s">
        <v>282</v>
      </c>
      <c r="Y9386" t="s">
        <v>139</v>
      </c>
      <c r="Z9386" t="s">
        <v>103</v>
      </c>
      <c r="AA9386" t="s">
        <v>120</v>
      </c>
      <c r="AB9386" t="s">
        <v>345</v>
      </c>
      <c r="AC9386" t="s">
        <v>97</v>
      </c>
      <c r="AD9386" t="s">
        <v>95</v>
      </c>
      <c r="AE9386" t="s">
        <v>103</v>
      </c>
      <c r="AF9386" t="s">
        <v>918</v>
      </c>
    </row>
    <row r="9387" spans="1:32" x14ac:dyDescent="0.3">
      <c r="A9387" t="s">
        <v>29</v>
      </c>
      <c r="B9387" t="s">
        <v>308</v>
      </c>
      <c r="C9387">
        <v>10</v>
      </c>
      <c r="D9387" t="s">
        <v>570</v>
      </c>
      <c r="E9387" t="s">
        <v>1008</v>
      </c>
      <c r="F9387" t="s">
        <v>481</v>
      </c>
      <c r="G9387" t="s">
        <v>103</v>
      </c>
      <c r="H9387" t="s">
        <v>103</v>
      </c>
      <c r="I9387" t="s">
        <v>103</v>
      </c>
      <c r="J9387" t="s">
        <v>32</v>
      </c>
      <c r="K9387" t="s">
        <v>706</v>
      </c>
      <c r="L9387" t="s">
        <v>254</v>
      </c>
      <c r="M9387" t="s">
        <v>103</v>
      </c>
      <c r="N9387" t="s">
        <v>254</v>
      </c>
      <c r="O9387" t="s">
        <v>224</v>
      </c>
      <c r="P9387" t="s">
        <v>224</v>
      </c>
      <c r="Q9387" t="s">
        <v>103</v>
      </c>
      <c r="R9387" t="s">
        <v>670</v>
      </c>
      <c r="S9387" t="s">
        <v>103</v>
      </c>
      <c r="T9387" t="s">
        <v>103</v>
      </c>
      <c r="U9387" t="s">
        <v>543</v>
      </c>
      <c r="V9387" t="s">
        <v>103</v>
      </c>
      <c r="W9387" t="s">
        <v>103</v>
      </c>
      <c r="X9387" t="s">
        <v>103</v>
      </c>
      <c r="Y9387" t="s">
        <v>103</v>
      </c>
      <c r="Z9387" t="s">
        <v>103</v>
      </c>
      <c r="AA9387" t="s">
        <v>103</v>
      </c>
      <c r="AB9387" t="s">
        <v>103</v>
      </c>
      <c r="AC9387" t="s">
        <v>103</v>
      </c>
      <c r="AD9387" t="s">
        <v>1203</v>
      </c>
      <c r="AE9387" t="s">
        <v>918</v>
      </c>
      <c r="AF9387" t="s">
        <v>549</v>
      </c>
    </row>
    <row r="9388" spans="1:32" x14ac:dyDescent="0.3">
      <c r="A9388" t="s">
        <v>28</v>
      </c>
      <c r="B9388" t="s">
        <v>1518</v>
      </c>
      <c r="C9388">
        <v>172</v>
      </c>
      <c r="D9388" t="s">
        <v>409</v>
      </c>
      <c r="E9388" t="s">
        <v>2185</v>
      </c>
      <c r="F9388" t="s">
        <v>70</v>
      </c>
      <c r="G9388" t="s">
        <v>569</v>
      </c>
      <c r="H9388" t="s">
        <v>475</v>
      </c>
      <c r="I9388" t="s">
        <v>136</v>
      </c>
      <c r="J9388" t="s">
        <v>1057</v>
      </c>
      <c r="K9388" t="s">
        <v>1048</v>
      </c>
      <c r="L9388" t="s">
        <v>526</v>
      </c>
      <c r="M9388" t="s">
        <v>68</v>
      </c>
      <c r="N9388" t="s">
        <v>543</v>
      </c>
      <c r="O9388" t="s">
        <v>900</v>
      </c>
      <c r="P9388" t="s">
        <v>144</v>
      </c>
      <c r="Q9388" t="s">
        <v>467</v>
      </c>
      <c r="R9388" t="s">
        <v>691</v>
      </c>
      <c r="S9388" t="s">
        <v>150</v>
      </c>
      <c r="T9388" t="s">
        <v>251</v>
      </c>
      <c r="U9388" t="s">
        <v>91</v>
      </c>
      <c r="V9388" t="s">
        <v>103</v>
      </c>
      <c r="W9388" t="s">
        <v>460</v>
      </c>
      <c r="X9388" t="s">
        <v>467</v>
      </c>
      <c r="Y9388" t="s">
        <v>105</v>
      </c>
      <c r="Z9388" t="s">
        <v>103</v>
      </c>
      <c r="AA9388" t="s">
        <v>103</v>
      </c>
      <c r="AB9388" t="s">
        <v>103</v>
      </c>
      <c r="AC9388" t="s">
        <v>120</v>
      </c>
      <c r="AD9388" t="s">
        <v>103</v>
      </c>
      <c r="AE9388" t="s">
        <v>103</v>
      </c>
      <c r="AF9388" t="s">
        <v>558</v>
      </c>
    </row>
    <row r="9389" spans="1:32" x14ac:dyDescent="0.3">
      <c r="A9389" t="s">
        <v>28</v>
      </c>
      <c r="B9389" t="s">
        <v>1519</v>
      </c>
      <c r="C9389">
        <v>143</v>
      </c>
      <c r="D9389" t="s">
        <v>271</v>
      </c>
      <c r="E9389" t="s">
        <v>396</v>
      </c>
      <c r="F9389" t="s">
        <v>452</v>
      </c>
      <c r="G9389" t="s">
        <v>552</v>
      </c>
      <c r="H9389" t="s">
        <v>475</v>
      </c>
      <c r="I9389" t="s">
        <v>268</v>
      </c>
      <c r="J9389" t="s">
        <v>677</v>
      </c>
      <c r="K9389" t="s">
        <v>359</v>
      </c>
      <c r="L9389" t="s">
        <v>491</v>
      </c>
      <c r="M9389" t="s">
        <v>103</v>
      </c>
      <c r="N9389" t="s">
        <v>33</v>
      </c>
      <c r="O9389" t="s">
        <v>1084</v>
      </c>
      <c r="P9389" t="s">
        <v>918</v>
      </c>
      <c r="Q9389" t="s">
        <v>257</v>
      </c>
      <c r="R9389" t="s">
        <v>101</v>
      </c>
      <c r="S9389" t="s">
        <v>92</v>
      </c>
      <c r="T9389" t="s">
        <v>64</v>
      </c>
      <c r="U9389" t="s">
        <v>110</v>
      </c>
      <c r="V9389" t="s">
        <v>103</v>
      </c>
      <c r="W9389" t="s">
        <v>460</v>
      </c>
      <c r="X9389" t="s">
        <v>95</v>
      </c>
      <c r="Y9389" t="s">
        <v>102</v>
      </c>
      <c r="Z9389" t="s">
        <v>103</v>
      </c>
      <c r="AA9389" t="s">
        <v>103</v>
      </c>
      <c r="AB9389" t="s">
        <v>97</v>
      </c>
      <c r="AC9389" t="s">
        <v>103</v>
      </c>
      <c r="AD9389" t="s">
        <v>103</v>
      </c>
      <c r="AE9389" t="s">
        <v>103</v>
      </c>
      <c r="AF9389" t="s">
        <v>652</v>
      </c>
    </row>
    <row r="9390" spans="1:32" x14ac:dyDescent="0.3">
      <c r="A9390" t="s">
        <v>28</v>
      </c>
      <c r="B9390" t="s">
        <v>308</v>
      </c>
      <c r="C9390">
        <v>2</v>
      </c>
      <c r="D9390" t="s">
        <v>643</v>
      </c>
      <c r="E9390" t="s">
        <v>643</v>
      </c>
      <c r="F9390" t="s">
        <v>103</v>
      </c>
      <c r="G9390" t="s">
        <v>103</v>
      </c>
      <c r="H9390" t="s">
        <v>103</v>
      </c>
      <c r="I9390" t="s">
        <v>817</v>
      </c>
      <c r="J9390" t="s">
        <v>103</v>
      </c>
      <c r="K9390" t="s">
        <v>817</v>
      </c>
      <c r="L9390" t="s">
        <v>192</v>
      </c>
      <c r="M9390" t="s">
        <v>103</v>
      </c>
      <c r="N9390" t="s">
        <v>643</v>
      </c>
      <c r="O9390" t="s">
        <v>643</v>
      </c>
      <c r="P9390" t="s">
        <v>103</v>
      </c>
      <c r="Q9390" t="s">
        <v>103</v>
      </c>
      <c r="R9390" t="s">
        <v>103</v>
      </c>
      <c r="S9390" t="s">
        <v>103</v>
      </c>
      <c r="T9390" t="s">
        <v>103</v>
      </c>
      <c r="U9390" t="s">
        <v>103</v>
      </c>
      <c r="V9390" t="s">
        <v>103</v>
      </c>
      <c r="W9390" t="s">
        <v>103</v>
      </c>
      <c r="X9390" t="s">
        <v>103</v>
      </c>
      <c r="Y9390" t="s">
        <v>103</v>
      </c>
      <c r="Z9390" t="s">
        <v>103</v>
      </c>
      <c r="AA9390" t="s">
        <v>103</v>
      </c>
      <c r="AB9390" t="s">
        <v>103</v>
      </c>
      <c r="AC9390" t="s">
        <v>103</v>
      </c>
      <c r="AD9390" t="s">
        <v>103</v>
      </c>
      <c r="AE9390" t="s">
        <v>103</v>
      </c>
      <c r="AF9390" t="s">
        <v>103</v>
      </c>
    </row>
    <row r="9391" spans="1:32" x14ac:dyDescent="0.3">
      <c r="A9391" t="s">
        <v>27</v>
      </c>
      <c r="B9391" t="s">
        <v>1518</v>
      </c>
      <c r="C9391">
        <v>168</v>
      </c>
      <c r="D9391" t="s">
        <v>232</v>
      </c>
      <c r="E9391" t="s">
        <v>1210</v>
      </c>
      <c r="F9391" t="s">
        <v>188</v>
      </c>
      <c r="G9391" t="s">
        <v>1214</v>
      </c>
      <c r="H9391" t="s">
        <v>257</v>
      </c>
      <c r="I9391" t="s">
        <v>890</v>
      </c>
      <c r="J9391" t="s">
        <v>1394</v>
      </c>
      <c r="K9391" t="s">
        <v>1358</v>
      </c>
      <c r="L9391" t="s">
        <v>504</v>
      </c>
      <c r="M9391" t="s">
        <v>266</v>
      </c>
      <c r="N9391" t="s">
        <v>544</v>
      </c>
      <c r="O9391" t="s">
        <v>1055</v>
      </c>
      <c r="P9391" t="s">
        <v>281</v>
      </c>
      <c r="Q9391" t="s">
        <v>122</v>
      </c>
      <c r="R9391" t="s">
        <v>374</v>
      </c>
      <c r="S9391" t="s">
        <v>126</v>
      </c>
      <c r="T9391" t="s">
        <v>575</v>
      </c>
      <c r="U9391" t="s">
        <v>68</v>
      </c>
      <c r="V9391" t="s">
        <v>103</v>
      </c>
      <c r="W9391" t="s">
        <v>900</v>
      </c>
      <c r="X9391" t="s">
        <v>125</v>
      </c>
      <c r="Y9391" t="s">
        <v>468</v>
      </c>
      <c r="Z9391" t="s">
        <v>103</v>
      </c>
      <c r="AA9391" t="s">
        <v>103</v>
      </c>
      <c r="AB9391" t="s">
        <v>103</v>
      </c>
      <c r="AC9391" t="s">
        <v>122</v>
      </c>
      <c r="AD9391" t="s">
        <v>103</v>
      </c>
      <c r="AE9391" t="s">
        <v>103</v>
      </c>
      <c r="AF9391" t="s">
        <v>103</v>
      </c>
    </row>
    <row r="9392" spans="1:32" x14ac:dyDescent="0.3">
      <c r="A9392" t="s">
        <v>27</v>
      </c>
      <c r="B9392" t="s">
        <v>1519</v>
      </c>
      <c r="C9392">
        <v>124</v>
      </c>
      <c r="D9392" t="s">
        <v>133</v>
      </c>
      <c r="E9392" t="s">
        <v>930</v>
      </c>
      <c r="F9392" t="s">
        <v>93</v>
      </c>
      <c r="G9392" t="s">
        <v>1002</v>
      </c>
      <c r="H9392" t="s">
        <v>133</v>
      </c>
      <c r="I9392" t="s">
        <v>254</v>
      </c>
      <c r="J9392" t="s">
        <v>395</v>
      </c>
      <c r="K9392" t="s">
        <v>948</v>
      </c>
      <c r="L9392" t="s">
        <v>663</v>
      </c>
      <c r="M9392" t="s">
        <v>245</v>
      </c>
      <c r="N9392" t="s">
        <v>524</v>
      </c>
      <c r="O9392" t="s">
        <v>380</v>
      </c>
      <c r="P9392" t="s">
        <v>124</v>
      </c>
      <c r="Q9392" t="s">
        <v>105</v>
      </c>
      <c r="R9392" t="s">
        <v>461</v>
      </c>
      <c r="S9392" t="s">
        <v>98</v>
      </c>
      <c r="T9392" t="s">
        <v>107</v>
      </c>
      <c r="U9392" t="s">
        <v>114</v>
      </c>
      <c r="V9392" t="s">
        <v>103</v>
      </c>
      <c r="W9392" t="s">
        <v>693</v>
      </c>
      <c r="X9392" t="s">
        <v>341</v>
      </c>
      <c r="Y9392" t="s">
        <v>105</v>
      </c>
      <c r="Z9392" t="s">
        <v>98</v>
      </c>
      <c r="AA9392" t="s">
        <v>103</v>
      </c>
      <c r="AB9392" t="s">
        <v>103</v>
      </c>
      <c r="AC9392" t="s">
        <v>103</v>
      </c>
      <c r="AD9392" t="s">
        <v>66</v>
      </c>
      <c r="AE9392" t="s">
        <v>103</v>
      </c>
      <c r="AF9392" t="s">
        <v>188</v>
      </c>
    </row>
    <row r="9393" spans="1:32" x14ac:dyDescent="0.3">
      <c r="A9393" t="s">
        <v>27</v>
      </c>
      <c r="B9393" t="s">
        <v>308</v>
      </c>
      <c r="C9393">
        <v>8</v>
      </c>
      <c r="D9393" t="s">
        <v>103</v>
      </c>
      <c r="E9393" t="s">
        <v>627</v>
      </c>
      <c r="F9393" t="s">
        <v>103</v>
      </c>
      <c r="G9393" t="s">
        <v>370</v>
      </c>
      <c r="H9393" t="s">
        <v>681</v>
      </c>
      <c r="I9393" t="s">
        <v>756</v>
      </c>
      <c r="J9393" t="s">
        <v>370</v>
      </c>
      <c r="K9393" t="s">
        <v>703</v>
      </c>
      <c r="L9393" t="s">
        <v>299</v>
      </c>
      <c r="M9393" t="s">
        <v>103</v>
      </c>
      <c r="N9393" t="s">
        <v>103</v>
      </c>
      <c r="O9393" t="s">
        <v>756</v>
      </c>
      <c r="P9393" t="s">
        <v>103</v>
      </c>
      <c r="Q9393" t="s">
        <v>103</v>
      </c>
      <c r="R9393" t="s">
        <v>1048</v>
      </c>
      <c r="S9393" t="s">
        <v>103</v>
      </c>
      <c r="T9393" t="s">
        <v>103</v>
      </c>
      <c r="U9393" t="s">
        <v>103</v>
      </c>
      <c r="V9393" t="s">
        <v>103</v>
      </c>
      <c r="W9393" t="s">
        <v>756</v>
      </c>
      <c r="X9393" t="s">
        <v>459</v>
      </c>
      <c r="Y9393" t="s">
        <v>103</v>
      </c>
      <c r="Z9393" t="s">
        <v>103</v>
      </c>
      <c r="AA9393" t="s">
        <v>103</v>
      </c>
      <c r="AB9393" t="s">
        <v>103</v>
      </c>
      <c r="AC9393" t="s">
        <v>103</v>
      </c>
      <c r="AD9393" t="s">
        <v>103</v>
      </c>
      <c r="AE9393" t="s">
        <v>103</v>
      </c>
      <c r="AF9393" t="s">
        <v>103</v>
      </c>
    </row>
    <row r="9394" spans="1:32" x14ac:dyDescent="0.3">
      <c r="A9394" t="s">
        <v>41</v>
      </c>
      <c r="B9394" t="s">
        <v>1518</v>
      </c>
      <c r="C9394">
        <v>1137</v>
      </c>
      <c r="D9394" t="s">
        <v>124</v>
      </c>
      <c r="E9394" t="s">
        <v>1328</v>
      </c>
      <c r="F9394" t="s">
        <v>112</v>
      </c>
      <c r="G9394" t="s">
        <v>680</v>
      </c>
      <c r="H9394" t="s">
        <v>549</v>
      </c>
      <c r="I9394" t="s">
        <v>125</v>
      </c>
      <c r="J9394" t="s">
        <v>420</v>
      </c>
      <c r="K9394" t="s">
        <v>1058</v>
      </c>
      <c r="L9394" t="s">
        <v>462</v>
      </c>
      <c r="M9394" t="s">
        <v>591</v>
      </c>
      <c r="N9394" t="s">
        <v>269</v>
      </c>
      <c r="O9394" t="s">
        <v>226</v>
      </c>
      <c r="P9394" t="s">
        <v>150</v>
      </c>
      <c r="Q9394" t="s">
        <v>270</v>
      </c>
      <c r="R9394" t="s">
        <v>645</v>
      </c>
      <c r="S9394" t="s">
        <v>150</v>
      </c>
      <c r="T9394" t="s">
        <v>532</v>
      </c>
      <c r="U9394" t="s">
        <v>208</v>
      </c>
      <c r="V9394" t="s">
        <v>103</v>
      </c>
      <c r="W9394" t="s">
        <v>594</v>
      </c>
      <c r="X9394" t="s">
        <v>93</v>
      </c>
      <c r="Y9394" t="s">
        <v>208</v>
      </c>
      <c r="Z9394" t="s">
        <v>468</v>
      </c>
      <c r="AA9394" t="s">
        <v>66</v>
      </c>
      <c r="AB9394" t="s">
        <v>103</v>
      </c>
      <c r="AC9394" t="s">
        <v>216</v>
      </c>
      <c r="AD9394" t="s">
        <v>122</v>
      </c>
      <c r="AE9394" t="s">
        <v>103</v>
      </c>
      <c r="AF9394" t="s">
        <v>239</v>
      </c>
    </row>
    <row r="9395" spans="1:32" x14ac:dyDescent="0.3">
      <c r="A9395" t="s">
        <v>41</v>
      </c>
      <c r="B9395" t="s">
        <v>1519</v>
      </c>
      <c r="C9395">
        <v>875</v>
      </c>
      <c r="D9395" t="s">
        <v>652</v>
      </c>
      <c r="E9395" t="s">
        <v>1215</v>
      </c>
      <c r="F9395" t="s">
        <v>102</v>
      </c>
      <c r="G9395" t="s">
        <v>1198</v>
      </c>
      <c r="H9395" t="s">
        <v>60</v>
      </c>
      <c r="I9395" t="s">
        <v>532</v>
      </c>
      <c r="J9395" t="s">
        <v>650</v>
      </c>
      <c r="K9395" t="s">
        <v>928</v>
      </c>
      <c r="L9395" t="s">
        <v>938</v>
      </c>
      <c r="M9395" t="s">
        <v>467</v>
      </c>
      <c r="N9395" t="s">
        <v>594</v>
      </c>
      <c r="O9395" t="s">
        <v>230</v>
      </c>
      <c r="P9395" t="s">
        <v>92</v>
      </c>
      <c r="Q9395" t="s">
        <v>110</v>
      </c>
      <c r="R9395" t="s">
        <v>672</v>
      </c>
      <c r="S9395" t="s">
        <v>466</v>
      </c>
      <c r="T9395" t="s">
        <v>188</v>
      </c>
      <c r="U9395" t="s">
        <v>68</v>
      </c>
      <c r="V9395" t="s">
        <v>66</v>
      </c>
      <c r="W9395" t="s">
        <v>284</v>
      </c>
      <c r="X9395" t="s">
        <v>120</v>
      </c>
      <c r="Y9395" t="s">
        <v>98</v>
      </c>
      <c r="Z9395" t="s">
        <v>116</v>
      </c>
      <c r="AA9395" t="s">
        <v>66</v>
      </c>
      <c r="AB9395" t="s">
        <v>95</v>
      </c>
      <c r="AC9395" t="s">
        <v>120</v>
      </c>
      <c r="AD9395" t="s">
        <v>116</v>
      </c>
      <c r="AE9395" t="s">
        <v>103</v>
      </c>
      <c r="AF9395" t="s">
        <v>99</v>
      </c>
    </row>
    <row r="9396" spans="1:32" x14ac:dyDescent="0.3">
      <c r="A9396" t="s">
        <v>41</v>
      </c>
      <c r="B9396" t="s">
        <v>308</v>
      </c>
      <c r="C9396">
        <v>25</v>
      </c>
      <c r="D9396" t="s">
        <v>829</v>
      </c>
      <c r="E9396" t="s">
        <v>129</v>
      </c>
      <c r="F9396" t="s">
        <v>90</v>
      </c>
      <c r="G9396" t="s">
        <v>126</v>
      </c>
      <c r="H9396" t="s">
        <v>594</v>
      </c>
      <c r="I9396" t="s">
        <v>543</v>
      </c>
      <c r="J9396" t="s">
        <v>62</v>
      </c>
      <c r="K9396" t="s">
        <v>421</v>
      </c>
      <c r="L9396" t="s">
        <v>54</v>
      </c>
      <c r="M9396" t="s">
        <v>103</v>
      </c>
      <c r="N9396" t="s">
        <v>471</v>
      </c>
      <c r="O9396" t="s">
        <v>807</v>
      </c>
      <c r="P9396" t="s">
        <v>62</v>
      </c>
      <c r="Q9396" t="s">
        <v>103</v>
      </c>
      <c r="R9396" t="s">
        <v>541</v>
      </c>
      <c r="S9396" t="s">
        <v>103</v>
      </c>
      <c r="T9396" t="s">
        <v>103</v>
      </c>
      <c r="U9396" t="s">
        <v>460</v>
      </c>
      <c r="V9396" t="s">
        <v>103</v>
      </c>
      <c r="W9396" t="s">
        <v>112</v>
      </c>
      <c r="X9396" t="s">
        <v>95</v>
      </c>
      <c r="Y9396" t="s">
        <v>103</v>
      </c>
      <c r="Z9396" t="s">
        <v>103</v>
      </c>
      <c r="AA9396" t="s">
        <v>103</v>
      </c>
      <c r="AB9396" t="s">
        <v>103</v>
      </c>
      <c r="AC9396" t="s">
        <v>103</v>
      </c>
      <c r="AD9396" t="s">
        <v>727</v>
      </c>
      <c r="AE9396" t="s">
        <v>224</v>
      </c>
      <c r="AF9396" t="s">
        <v>452</v>
      </c>
    </row>
    <row r="9398" spans="1:32" x14ac:dyDescent="0.3">
      <c r="A9398" t="s">
        <v>2568</v>
      </c>
    </row>
    <row r="9399" spans="1:32" x14ac:dyDescent="0.3">
      <c r="A9399" t="s">
        <v>36</v>
      </c>
      <c r="B9399" t="s">
        <v>210</v>
      </c>
      <c r="C9399" t="s">
        <v>24</v>
      </c>
      <c r="D9399" t="s">
        <v>2538</v>
      </c>
      <c r="E9399" t="s">
        <v>2539</v>
      </c>
      <c r="F9399" t="s">
        <v>2540</v>
      </c>
      <c r="G9399" t="s">
        <v>2541</v>
      </c>
      <c r="H9399" t="s">
        <v>2542</v>
      </c>
      <c r="I9399" t="s">
        <v>2543</v>
      </c>
      <c r="J9399" t="s">
        <v>2544</v>
      </c>
      <c r="K9399" t="s">
        <v>2545</v>
      </c>
      <c r="L9399" t="s">
        <v>2546</v>
      </c>
      <c r="M9399" t="s">
        <v>2547</v>
      </c>
      <c r="N9399" t="s">
        <v>2548</v>
      </c>
      <c r="O9399" t="s">
        <v>2549</v>
      </c>
      <c r="P9399" t="s">
        <v>2550</v>
      </c>
      <c r="Q9399" t="s">
        <v>2551</v>
      </c>
      <c r="R9399" t="s">
        <v>2552</v>
      </c>
      <c r="S9399" t="s">
        <v>2553</v>
      </c>
      <c r="T9399" t="s">
        <v>2554</v>
      </c>
      <c r="U9399" t="s">
        <v>2555</v>
      </c>
      <c r="V9399" t="s">
        <v>2556</v>
      </c>
      <c r="W9399" t="s">
        <v>2557</v>
      </c>
      <c r="X9399" t="s">
        <v>2558</v>
      </c>
      <c r="Y9399" t="s">
        <v>2559</v>
      </c>
      <c r="Z9399" t="s">
        <v>2560</v>
      </c>
      <c r="AA9399" t="s">
        <v>2561</v>
      </c>
      <c r="AB9399" t="s">
        <v>2562</v>
      </c>
      <c r="AC9399" t="s">
        <v>89</v>
      </c>
      <c r="AD9399" t="s">
        <v>87</v>
      </c>
      <c r="AE9399" t="s">
        <v>181</v>
      </c>
      <c r="AF9399" t="s">
        <v>1195</v>
      </c>
    </row>
    <row r="9400" spans="1:32" x14ac:dyDescent="0.3">
      <c r="A9400" t="s">
        <v>25</v>
      </c>
      <c r="B9400" t="s">
        <v>211</v>
      </c>
      <c r="C9400">
        <v>413</v>
      </c>
      <c r="D9400" t="s">
        <v>119</v>
      </c>
      <c r="E9400" t="s">
        <v>782</v>
      </c>
      <c r="F9400" t="s">
        <v>493</v>
      </c>
      <c r="G9400" t="s">
        <v>727</v>
      </c>
      <c r="H9400" t="s">
        <v>99</v>
      </c>
      <c r="I9400" t="s">
        <v>102</v>
      </c>
      <c r="J9400" t="s">
        <v>510</v>
      </c>
      <c r="K9400" t="s">
        <v>593</v>
      </c>
      <c r="L9400" t="s">
        <v>421</v>
      </c>
      <c r="M9400" t="s">
        <v>128</v>
      </c>
      <c r="N9400" t="s">
        <v>104</v>
      </c>
      <c r="O9400" t="s">
        <v>792</v>
      </c>
      <c r="P9400" t="s">
        <v>162</v>
      </c>
      <c r="Q9400" t="s">
        <v>194</v>
      </c>
      <c r="R9400" t="s">
        <v>660</v>
      </c>
      <c r="S9400" t="s">
        <v>32</v>
      </c>
      <c r="T9400" t="s">
        <v>188</v>
      </c>
      <c r="U9400" t="s">
        <v>282</v>
      </c>
      <c r="V9400" t="s">
        <v>103</v>
      </c>
      <c r="W9400" t="s">
        <v>70</v>
      </c>
      <c r="X9400" t="s">
        <v>139</v>
      </c>
      <c r="Y9400" t="s">
        <v>139</v>
      </c>
      <c r="Z9400" t="s">
        <v>97</v>
      </c>
      <c r="AA9400" t="s">
        <v>95</v>
      </c>
      <c r="AB9400" t="s">
        <v>66</v>
      </c>
      <c r="AC9400" t="s">
        <v>97</v>
      </c>
      <c r="AD9400" t="s">
        <v>91</v>
      </c>
      <c r="AE9400" t="s">
        <v>103</v>
      </c>
      <c r="AF9400" t="s">
        <v>133</v>
      </c>
    </row>
    <row r="9401" spans="1:32" x14ac:dyDescent="0.3">
      <c r="A9401" t="s">
        <v>26</v>
      </c>
      <c r="B9401" t="s">
        <v>211</v>
      </c>
      <c r="C9401">
        <v>223</v>
      </c>
      <c r="D9401" t="s">
        <v>468</v>
      </c>
      <c r="E9401" t="s">
        <v>1236</v>
      </c>
      <c r="F9401" t="s">
        <v>95</v>
      </c>
      <c r="G9401" t="s">
        <v>1197</v>
      </c>
      <c r="H9401" t="s">
        <v>33</v>
      </c>
      <c r="I9401" t="s">
        <v>270</v>
      </c>
      <c r="J9401" t="s">
        <v>111</v>
      </c>
      <c r="K9401" t="s">
        <v>530</v>
      </c>
      <c r="L9401" t="s">
        <v>732</v>
      </c>
      <c r="M9401" t="s">
        <v>216</v>
      </c>
      <c r="N9401" t="s">
        <v>493</v>
      </c>
      <c r="O9401" t="s">
        <v>890</v>
      </c>
      <c r="P9401" t="s">
        <v>191</v>
      </c>
      <c r="Q9401" t="s">
        <v>122</v>
      </c>
      <c r="R9401" t="s">
        <v>661</v>
      </c>
      <c r="S9401" t="s">
        <v>100</v>
      </c>
      <c r="T9401" t="s">
        <v>110</v>
      </c>
      <c r="U9401" t="s">
        <v>216</v>
      </c>
      <c r="V9401" t="s">
        <v>139</v>
      </c>
      <c r="W9401" t="s">
        <v>195</v>
      </c>
      <c r="X9401" t="s">
        <v>103</v>
      </c>
      <c r="Y9401" t="s">
        <v>103</v>
      </c>
      <c r="Z9401" t="s">
        <v>103</v>
      </c>
      <c r="AA9401" t="s">
        <v>103</v>
      </c>
      <c r="AB9401" t="s">
        <v>120</v>
      </c>
      <c r="AC9401" t="s">
        <v>282</v>
      </c>
      <c r="AD9401" t="s">
        <v>103</v>
      </c>
      <c r="AE9401" t="s">
        <v>103</v>
      </c>
      <c r="AF9401" t="s">
        <v>190</v>
      </c>
    </row>
    <row r="9402" spans="1:32" x14ac:dyDescent="0.3">
      <c r="A9402" t="s">
        <v>26</v>
      </c>
      <c r="B9402" t="s">
        <v>212</v>
      </c>
      <c r="C9402">
        <v>254</v>
      </c>
      <c r="D9402" t="s">
        <v>518</v>
      </c>
      <c r="E9402" t="s">
        <v>1292</v>
      </c>
      <c r="F9402" t="s">
        <v>242</v>
      </c>
      <c r="G9402" t="s">
        <v>108</v>
      </c>
      <c r="H9402" t="s">
        <v>459</v>
      </c>
      <c r="I9402" t="s">
        <v>247</v>
      </c>
      <c r="J9402" t="s">
        <v>699</v>
      </c>
      <c r="K9402" t="s">
        <v>1172</v>
      </c>
      <c r="L9402" t="s">
        <v>442</v>
      </c>
      <c r="M9402" t="s">
        <v>140</v>
      </c>
      <c r="N9402" t="s">
        <v>46</v>
      </c>
      <c r="O9402" t="s">
        <v>402</v>
      </c>
      <c r="P9402" t="s">
        <v>435</v>
      </c>
      <c r="Q9402" t="s">
        <v>95</v>
      </c>
      <c r="R9402" t="s">
        <v>491</v>
      </c>
      <c r="S9402" t="s">
        <v>688</v>
      </c>
      <c r="T9402" t="s">
        <v>125</v>
      </c>
      <c r="U9402" t="s">
        <v>467</v>
      </c>
      <c r="V9402" t="s">
        <v>103</v>
      </c>
      <c r="W9402" t="s">
        <v>127</v>
      </c>
      <c r="X9402" t="s">
        <v>98</v>
      </c>
      <c r="Y9402" t="s">
        <v>139</v>
      </c>
      <c r="Z9402" t="s">
        <v>103</v>
      </c>
      <c r="AA9402" t="s">
        <v>103</v>
      </c>
      <c r="AB9402" t="s">
        <v>103</v>
      </c>
      <c r="AC9402" t="s">
        <v>345</v>
      </c>
      <c r="AD9402" t="s">
        <v>103</v>
      </c>
      <c r="AE9402" t="s">
        <v>103</v>
      </c>
      <c r="AF9402" t="s">
        <v>128</v>
      </c>
    </row>
    <row r="9403" spans="1:32" x14ac:dyDescent="0.3">
      <c r="A9403" t="s">
        <v>29</v>
      </c>
      <c r="B9403" t="s">
        <v>211</v>
      </c>
      <c r="C9403">
        <v>530</v>
      </c>
      <c r="D9403" t="s">
        <v>190</v>
      </c>
      <c r="E9403" t="s">
        <v>1209</v>
      </c>
      <c r="F9403" t="s">
        <v>133</v>
      </c>
      <c r="G9403" t="s">
        <v>495</v>
      </c>
      <c r="H9403" t="s">
        <v>460</v>
      </c>
      <c r="I9403" t="s">
        <v>239</v>
      </c>
      <c r="J9403" t="s">
        <v>138</v>
      </c>
      <c r="K9403" t="s">
        <v>1002</v>
      </c>
      <c r="L9403" t="s">
        <v>390</v>
      </c>
      <c r="M9403" t="s">
        <v>113</v>
      </c>
      <c r="N9403" t="s">
        <v>190</v>
      </c>
      <c r="O9403" t="s">
        <v>535</v>
      </c>
      <c r="P9403" t="s">
        <v>117</v>
      </c>
      <c r="Q9403" t="s">
        <v>125</v>
      </c>
      <c r="R9403" t="s">
        <v>580</v>
      </c>
      <c r="S9403" t="s">
        <v>482</v>
      </c>
      <c r="T9403" t="s">
        <v>33</v>
      </c>
      <c r="U9403" t="s">
        <v>272</v>
      </c>
      <c r="V9403" t="s">
        <v>103</v>
      </c>
      <c r="W9403" t="s">
        <v>32</v>
      </c>
      <c r="X9403" t="s">
        <v>329</v>
      </c>
      <c r="Y9403" t="s">
        <v>128</v>
      </c>
      <c r="Z9403" t="s">
        <v>239</v>
      </c>
      <c r="AA9403" t="s">
        <v>66</v>
      </c>
      <c r="AB9403" t="s">
        <v>122</v>
      </c>
      <c r="AC9403" t="s">
        <v>245</v>
      </c>
      <c r="AD9403" t="s">
        <v>468</v>
      </c>
      <c r="AE9403" t="s">
        <v>66</v>
      </c>
      <c r="AF9403" t="s">
        <v>32</v>
      </c>
    </row>
    <row r="9404" spans="1:32" x14ac:dyDescent="0.3">
      <c r="A9404" t="s">
        <v>28</v>
      </c>
      <c r="B9404" t="s">
        <v>211</v>
      </c>
      <c r="C9404">
        <v>277</v>
      </c>
      <c r="D9404" t="s">
        <v>476</v>
      </c>
      <c r="E9404" t="s">
        <v>1024</v>
      </c>
      <c r="F9404" t="s">
        <v>466</v>
      </c>
      <c r="G9404" t="s">
        <v>644</v>
      </c>
      <c r="H9404" t="s">
        <v>162</v>
      </c>
      <c r="I9404" t="s">
        <v>94</v>
      </c>
      <c r="J9404" t="s">
        <v>498</v>
      </c>
      <c r="K9404" t="s">
        <v>231</v>
      </c>
      <c r="L9404" t="s">
        <v>568</v>
      </c>
      <c r="M9404" t="s">
        <v>208</v>
      </c>
      <c r="N9404" t="s">
        <v>737</v>
      </c>
      <c r="O9404" t="s">
        <v>660</v>
      </c>
      <c r="P9404" t="s">
        <v>150</v>
      </c>
      <c r="Q9404" t="s">
        <v>195</v>
      </c>
      <c r="R9404" t="s">
        <v>680</v>
      </c>
      <c r="S9404" t="s">
        <v>475</v>
      </c>
      <c r="T9404" t="s">
        <v>112</v>
      </c>
      <c r="U9404" t="s">
        <v>139</v>
      </c>
      <c r="V9404" t="s">
        <v>103</v>
      </c>
      <c r="W9404" t="s">
        <v>242</v>
      </c>
      <c r="X9404" t="s">
        <v>257</v>
      </c>
      <c r="Y9404" t="s">
        <v>64</v>
      </c>
      <c r="Z9404" t="s">
        <v>103</v>
      </c>
      <c r="AA9404" t="s">
        <v>103</v>
      </c>
      <c r="AB9404" t="s">
        <v>66</v>
      </c>
      <c r="AC9404" t="s">
        <v>122</v>
      </c>
      <c r="AD9404" t="s">
        <v>103</v>
      </c>
      <c r="AE9404" t="s">
        <v>103</v>
      </c>
      <c r="AF9404" t="s">
        <v>94</v>
      </c>
    </row>
    <row r="9405" spans="1:32" x14ac:dyDescent="0.3">
      <c r="A9405" t="s">
        <v>28</v>
      </c>
      <c r="B9405" t="s">
        <v>212</v>
      </c>
      <c r="C9405">
        <v>40</v>
      </c>
      <c r="D9405" t="s">
        <v>281</v>
      </c>
      <c r="E9405" t="s">
        <v>814</v>
      </c>
      <c r="F9405" t="s">
        <v>103</v>
      </c>
      <c r="G9405" t="s">
        <v>56</v>
      </c>
      <c r="H9405" t="s">
        <v>581</v>
      </c>
      <c r="I9405" t="s">
        <v>1324</v>
      </c>
      <c r="J9405" t="s">
        <v>686</v>
      </c>
      <c r="K9405" t="s">
        <v>1208</v>
      </c>
      <c r="L9405" t="s">
        <v>1679</v>
      </c>
      <c r="M9405" t="s">
        <v>103</v>
      </c>
      <c r="N9405" t="s">
        <v>126</v>
      </c>
      <c r="O9405" t="s">
        <v>281</v>
      </c>
      <c r="P9405" t="s">
        <v>329</v>
      </c>
      <c r="Q9405" t="s">
        <v>217</v>
      </c>
      <c r="R9405" t="s">
        <v>329</v>
      </c>
      <c r="S9405" t="s">
        <v>103</v>
      </c>
      <c r="T9405" t="s">
        <v>103</v>
      </c>
      <c r="U9405" t="s">
        <v>103</v>
      </c>
      <c r="V9405" t="s">
        <v>103</v>
      </c>
      <c r="W9405" t="s">
        <v>103</v>
      </c>
      <c r="X9405" t="s">
        <v>103</v>
      </c>
      <c r="Y9405" t="s">
        <v>103</v>
      </c>
      <c r="Z9405" t="s">
        <v>103</v>
      </c>
      <c r="AA9405" t="s">
        <v>103</v>
      </c>
      <c r="AB9405" t="s">
        <v>103</v>
      </c>
      <c r="AC9405" t="s">
        <v>103</v>
      </c>
      <c r="AD9405" t="s">
        <v>103</v>
      </c>
      <c r="AE9405" t="s">
        <v>103</v>
      </c>
      <c r="AF9405" t="s">
        <v>570</v>
      </c>
    </row>
    <row r="9406" spans="1:32" x14ac:dyDescent="0.3">
      <c r="A9406" t="s">
        <v>27</v>
      </c>
      <c r="B9406" t="s">
        <v>211</v>
      </c>
      <c r="C9406">
        <v>270</v>
      </c>
      <c r="D9406" t="s">
        <v>232</v>
      </c>
      <c r="E9406" t="s">
        <v>1060</v>
      </c>
      <c r="F9406" t="s">
        <v>68</v>
      </c>
      <c r="G9406" t="s">
        <v>1067</v>
      </c>
      <c r="H9406" t="s">
        <v>186</v>
      </c>
      <c r="I9406" t="s">
        <v>269</v>
      </c>
      <c r="J9406" t="s">
        <v>621</v>
      </c>
      <c r="K9406" t="s">
        <v>1053</v>
      </c>
      <c r="L9406" t="s">
        <v>1196</v>
      </c>
      <c r="M9406" t="s">
        <v>282</v>
      </c>
      <c r="N9406" t="s">
        <v>152</v>
      </c>
      <c r="O9406" t="s">
        <v>562</v>
      </c>
      <c r="P9406" t="s">
        <v>531</v>
      </c>
      <c r="Q9406" t="s">
        <v>116</v>
      </c>
      <c r="R9406" t="s">
        <v>1049</v>
      </c>
      <c r="S9406" t="s">
        <v>281</v>
      </c>
      <c r="T9406" t="s">
        <v>140</v>
      </c>
      <c r="U9406" t="s">
        <v>102</v>
      </c>
      <c r="V9406" t="s">
        <v>103</v>
      </c>
      <c r="W9406" t="s">
        <v>486</v>
      </c>
      <c r="X9406" t="s">
        <v>467</v>
      </c>
      <c r="Y9406" t="s">
        <v>239</v>
      </c>
      <c r="Z9406" t="s">
        <v>122</v>
      </c>
      <c r="AA9406" t="s">
        <v>103</v>
      </c>
      <c r="AB9406" t="s">
        <v>103</v>
      </c>
      <c r="AC9406" t="s">
        <v>66</v>
      </c>
      <c r="AD9406" t="s">
        <v>91</v>
      </c>
      <c r="AE9406" t="s">
        <v>103</v>
      </c>
      <c r="AF9406" t="s">
        <v>468</v>
      </c>
    </row>
    <row r="9407" spans="1:32" s="3" customFormat="1" x14ac:dyDescent="0.3">
      <c r="A9407" s="3" t="s">
        <v>27</v>
      </c>
      <c r="B9407" s="3" t="s">
        <v>212</v>
      </c>
      <c r="C9407" s="3">
        <v>30</v>
      </c>
      <c r="D9407" s="3" t="s">
        <v>103</v>
      </c>
      <c r="E9407" s="3" t="s">
        <v>711</v>
      </c>
      <c r="F9407" s="3" t="s">
        <v>64</v>
      </c>
      <c r="G9407" s="3" t="s">
        <v>127</v>
      </c>
      <c r="H9407" s="3" t="s">
        <v>103</v>
      </c>
      <c r="I9407" s="3" t="s">
        <v>103</v>
      </c>
      <c r="J9407" s="3" t="s">
        <v>150</v>
      </c>
      <c r="K9407" s="3" t="s">
        <v>375</v>
      </c>
      <c r="L9407" s="3" t="s">
        <v>495</v>
      </c>
      <c r="M9407" s="3" t="s">
        <v>52</v>
      </c>
      <c r="N9407" s="3" t="s">
        <v>734</v>
      </c>
      <c r="O9407" s="3" t="s">
        <v>669</v>
      </c>
      <c r="P9407" s="3" t="s">
        <v>64</v>
      </c>
      <c r="Q9407" s="3" t="s">
        <v>164</v>
      </c>
      <c r="R9407" s="3" t="s">
        <v>646</v>
      </c>
      <c r="S9407" s="3" t="s">
        <v>103</v>
      </c>
      <c r="T9407" s="3" t="s">
        <v>103</v>
      </c>
      <c r="U9407" s="3" t="s">
        <v>103</v>
      </c>
      <c r="V9407" s="3" t="s">
        <v>103</v>
      </c>
      <c r="W9407" s="3" t="s">
        <v>110</v>
      </c>
      <c r="X9407" s="3" t="s">
        <v>103</v>
      </c>
      <c r="Y9407" s="3" t="s">
        <v>103</v>
      </c>
      <c r="Z9407" s="3" t="s">
        <v>103</v>
      </c>
      <c r="AA9407" s="3" t="s">
        <v>103</v>
      </c>
      <c r="AB9407" s="3" t="s">
        <v>103</v>
      </c>
      <c r="AC9407" s="3" t="s">
        <v>103</v>
      </c>
      <c r="AD9407" s="3" t="s">
        <v>103</v>
      </c>
      <c r="AE9407" s="3" t="s">
        <v>103</v>
      </c>
      <c r="AF9407" s="3" t="s">
        <v>251</v>
      </c>
    </row>
    <row r="9408" spans="1:32" x14ac:dyDescent="0.3">
      <c r="A9408" t="s">
        <v>41</v>
      </c>
      <c r="B9408" t="s">
        <v>211</v>
      </c>
      <c r="C9408">
        <v>1713</v>
      </c>
      <c r="D9408" t="s">
        <v>127</v>
      </c>
      <c r="E9408" t="s">
        <v>1577</v>
      </c>
      <c r="F9408" t="s">
        <v>113</v>
      </c>
      <c r="G9408" t="s">
        <v>697</v>
      </c>
      <c r="H9408" t="s">
        <v>127</v>
      </c>
      <c r="I9408" t="s">
        <v>270</v>
      </c>
      <c r="J9408" t="s">
        <v>583</v>
      </c>
      <c r="K9408" t="s">
        <v>415</v>
      </c>
      <c r="L9408" t="s">
        <v>420</v>
      </c>
      <c r="M9408" t="s">
        <v>272</v>
      </c>
      <c r="N9408" t="s">
        <v>575</v>
      </c>
      <c r="O9408" t="s">
        <v>666</v>
      </c>
      <c r="P9408" t="s">
        <v>104</v>
      </c>
      <c r="Q9408" t="s">
        <v>257</v>
      </c>
      <c r="R9408" t="s">
        <v>484</v>
      </c>
      <c r="S9408" t="s">
        <v>242</v>
      </c>
      <c r="T9408" t="s">
        <v>113</v>
      </c>
      <c r="U9408" t="s">
        <v>118</v>
      </c>
      <c r="V9408" t="s">
        <v>91</v>
      </c>
      <c r="W9408" t="s">
        <v>112</v>
      </c>
      <c r="X9408" t="s">
        <v>216</v>
      </c>
      <c r="Y9408" t="s">
        <v>216</v>
      </c>
      <c r="Z9408" t="s">
        <v>98</v>
      </c>
      <c r="AA9408" t="s">
        <v>66</v>
      </c>
      <c r="AB9408" t="s">
        <v>116</v>
      </c>
      <c r="AC9408" t="s">
        <v>468</v>
      </c>
      <c r="AD9408" t="s">
        <v>95</v>
      </c>
      <c r="AE9408" t="s">
        <v>91</v>
      </c>
      <c r="AF9408" t="s">
        <v>278</v>
      </c>
    </row>
    <row r="9409" spans="1:32" x14ac:dyDescent="0.3">
      <c r="A9409" t="s">
        <v>41</v>
      </c>
      <c r="B9409" t="s">
        <v>212</v>
      </c>
      <c r="C9409">
        <v>324</v>
      </c>
      <c r="D9409" t="s">
        <v>750</v>
      </c>
      <c r="E9409" t="s">
        <v>410</v>
      </c>
      <c r="F9409" t="s">
        <v>127</v>
      </c>
      <c r="G9409" t="s">
        <v>737</v>
      </c>
      <c r="H9409" t="s">
        <v>62</v>
      </c>
      <c r="I9409" t="s">
        <v>481</v>
      </c>
      <c r="J9409" t="s">
        <v>583</v>
      </c>
      <c r="K9409" t="s">
        <v>1048</v>
      </c>
      <c r="L9409" t="s">
        <v>928</v>
      </c>
      <c r="M9409" t="s">
        <v>190</v>
      </c>
      <c r="N9409" t="s">
        <v>253</v>
      </c>
      <c r="O9409" t="s">
        <v>121</v>
      </c>
      <c r="P9409" t="s">
        <v>230</v>
      </c>
      <c r="Q9409" t="s">
        <v>282</v>
      </c>
      <c r="R9409" t="s">
        <v>705</v>
      </c>
      <c r="S9409" t="s">
        <v>875</v>
      </c>
      <c r="T9409" t="s">
        <v>438</v>
      </c>
      <c r="U9409" t="s">
        <v>68</v>
      </c>
      <c r="V9409" t="s">
        <v>103</v>
      </c>
      <c r="W9409" t="s">
        <v>460</v>
      </c>
      <c r="X9409" t="s">
        <v>98</v>
      </c>
      <c r="Y9409" t="s">
        <v>139</v>
      </c>
      <c r="Z9409" t="s">
        <v>103</v>
      </c>
      <c r="AA9409" t="s">
        <v>103</v>
      </c>
      <c r="AB9409" t="s">
        <v>103</v>
      </c>
      <c r="AC9409" t="s">
        <v>345</v>
      </c>
      <c r="AD9409" t="s">
        <v>103</v>
      </c>
      <c r="AE9409" t="s">
        <v>103</v>
      </c>
      <c r="AF9409" t="s">
        <v>270</v>
      </c>
    </row>
    <row r="9411" spans="1:32" x14ac:dyDescent="0.3">
      <c r="A9411" t="s">
        <v>2569</v>
      </c>
    </row>
    <row r="9412" spans="1:32" x14ac:dyDescent="0.3">
      <c r="A9412" t="s">
        <v>36</v>
      </c>
      <c r="B9412" t="s">
        <v>2570</v>
      </c>
      <c r="C9412" t="s">
        <v>24</v>
      </c>
      <c r="D9412" t="s">
        <v>2538</v>
      </c>
      <c r="E9412" t="s">
        <v>2539</v>
      </c>
      <c r="F9412" t="s">
        <v>2540</v>
      </c>
      <c r="G9412" t="s">
        <v>2541</v>
      </c>
      <c r="H9412" t="s">
        <v>2542</v>
      </c>
      <c r="I9412" t="s">
        <v>2543</v>
      </c>
      <c r="J9412" t="s">
        <v>2544</v>
      </c>
      <c r="K9412" t="s">
        <v>2545</v>
      </c>
      <c r="L9412" t="s">
        <v>2546</v>
      </c>
      <c r="M9412" t="s">
        <v>2547</v>
      </c>
      <c r="N9412" t="s">
        <v>2548</v>
      </c>
      <c r="O9412" t="s">
        <v>2549</v>
      </c>
      <c r="P9412" t="s">
        <v>2550</v>
      </c>
      <c r="Q9412" t="s">
        <v>2551</v>
      </c>
      <c r="R9412" t="s">
        <v>2552</v>
      </c>
      <c r="S9412" t="s">
        <v>2553</v>
      </c>
      <c r="T9412" t="s">
        <v>2554</v>
      </c>
      <c r="U9412" t="s">
        <v>2555</v>
      </c>
      <c r="V9412" t="s">
        <v>2556</v>
      </c>
      <c r="W9412" t="s">
        <v>2557</v>
      </c>
      <c r="X9412" t="s">
        <v>2558</v>
      </c>
      <c r="Y9412" t="s">
        <v>2559</v>
      </c>
      <c r="Z9412" t="s">
        <v>2560</v>
      </c>
      <c r="AA9412" t="s">
        <v>2561</v>
      </c>
      <c r="AB9412" t="s">
        <v>2562</v>
      </c>
      <c r="AC9412" t="s">
        <v>89</v>
      </c>
      <c r="AD9412" t="s">
        <v>87</v>
      </c>
      <c r="AE9412" t="s">
        <v>181</v>
      </c>
      <c r="AF9412" t="s">
        <v>1195</v>
      </c>
    </row>
    <row r="9413" spans="1:32" x14ac:dyDescent="0.3">
      <c r="A9413" t="s">
        <v>25</v>
      </c>
      <c r="B9413" t="s">
        <v>2571</v>
      </c>
      <c r="C9413">
        <v>112</v>
      </c>
      <c r="D9413" t="s">
        <v>532</v>
      </c>
      <c r="E9413" t="s">
        <v>804</v>
      </c>
      <c r="F9413" t="s">
        <v>114</v>
      </c>
      <c r="G9413" t="s">
        <v>479</v>
      </c>
      <c r="H9413" t="s">
        <v>494</v>
      </c>
      <c r="I9413" t="s">
        <v>201</v>
      </c>
      <c r="J9413" t="s">
        <v>390</v>
      </c>
      <c r="K9413" t="s">
        <v>1680</v>
      </c>
      <c r="L9413" t="s">
        <v>929</v>
      </c>
      <c r="M9413" t="s">
        <v>438</v>
      </c>
      <c r="N9413" t="s">
        <v>157</v>
      </c>
      <c r="O9413" t="s">
        <v>562</v>
      </c>
      <c r="P9413" t="s">
        <v>1319</v>
      </c>
      <c r="Q9413" t="s">
        <v>329</v>
      </c>
      <c r="R9413" t="s">
        <v>454</v>
      </c>
      <c r="S9413" t="s">
        <v>133</v>
      </c>
      <c r="T9413" t="s">
        <v>113</v>
      </c>
      <c r="U9413" t="s">
        <v>103</v>
      </c>
      <c r="V9413" t="s">
        <v>103</v>
      </c>
      <c r="W9413" t="s">
        <v>245</v>
      </c>
      <c r="X9413" t="s">
        <v>194</v>
      </c>
      <c r="Y9413" t="s">
        <v>110</v>
      </c>
      <c r="Z9413" t="s">
        <v>91</v>
      </c>
      <c r="AA9413" t="s">
        <v>105</v>
      </c>
      <c r="AB9413" t="s">
        <v>103</v>
      </c>
      <c r="AC9413" t="s">
        <v>239</v>
      </c>
      <c r="AD9413" t="s">
        <v>103</v>
      </c>
      <c r="AE9413" t="s">
        <v>103</v>
      </c>
      <c r="AF9413" t="s">
        <v>266</v>
      </c>
    </row>
    <row r="9414" spans="1:32" s="3" customFormat="1" x14ac:dyDescent="0.3">
      <c r="A9414" s="3" t="s">
        <v>25</v>
      </c>
      <c r="B9414" s="3" t="s">
        <v>2572</v>
      </c>
      <c r="C9414" s="3">
        <v>9</v>
      </c>
      <c r="D9414" s="3" t="s">
        <v>481</v>
      </c>
      <c r="E9414" s="3" t="s">
        <v>1133</v>
      </c>
      <c r="F9414" s="3" t="s">
        <v>112</v>
      </c>
      <c r="G9414" s="3" t="s">
        <v>413</v>
      </c>
      <c r="H9414" s="3" t="s">
        <v>495</v>
      </c>
      <c r="I9414" s="3" t="s">
        <v>629</v>
      </c>
      <c r="J9414" s="3" t="s">
        <v>829</v>
      </c>
      <c r="K9414" s="3" t="s">
        <v>859</v>
      </c>
      <c r="L9414" s="3" t="s">
        <v>560</v>
      </c>
      <c r="M9414" s="3" t="s">
        <v>581</v>
      </c>
      <c r="N9414" s="3" t="s">
        <v>251</v>
      </c>
      <c r="O9414" s="3" t="s">
        <v>789</v>
      </c>
      <c r="P9414" s="3" t="s">
        <v>103</v>
      </c>
      <c r="Q9414" s="3" t="s">
        <v>103</v>
      </c>
      <c r="R9414" s="3" t="s">
        <v>1210</v>
      </c>
      <c r="S9414" s="3" t="s">
        <v>251</v>
      </c>
      <c r="T9414" s="3" t="s">
        <v>629</v>
      </c>
      <c r="U9414" s="3" t="s">
        <v>103</v>
      </c>
      <c r="V9414" s="3" t="s">
        <v>103</v>
      </c>
      <c r="W9414" s="3" t="s">
        <v>975</v>
      </c>
      <c r="X9414" s="3" t="s">
        <v>103</v>
      </c>
      <c r="Y9414" s="3" t="s">
        <v>103</v>
      </c>
      <c r="Z9414" s="3" t="s">
        <v>103</v>
      </c>
      <c r="AA9414" s="3" t="s">
        <v>103</v>
      </c>
      <c r="AB9414" s="3" t="s">
        <v>103</v>
      </c>
      <c r="AC9414" s="3" t="s">
        <v>103</v>
      </c>
      <c r="AD9414" s="3" t="s">
        <v>103</v>
      </c>
      <c r="AE9414" s="3" t="s">
        <v>103</v>
      </c>
      <c r="AF9414" s="3" t="s">
        <v>103</v>
      </c>
    </row>
    <row r="9415" spans="1:32" x14ac:dyDescent="0.3">
      <c r="A9415" t="s">
        <v>25</v>
      </c>
      <c r="B9415" t="s">
        <v>2573</v>
      </c>
      <c r="C9415">
        <v>41</v>
      </c>
      <c r="D9415" t="s">
        <v>103</v>
      </c>
      <c r="E9415" t="s">
        <v>793</v>
      </c>
      <c r="F9415" t="s">
        <v>251</v>
      </c>
      <c r="G9415" t="s">
        <v>693</v>
      </c>
      <c r="H9415" t="s">
        <v>734</v>
      </c>
      <c r="I9415" t="s">
        <v>118</v>
      </c>
      <c r="J9415" t="s">
        <v>674</v>
      </c>
      <c r="K9415" t="s">
        <v>1559</v>
      </c>
      <c r="L9415" t="s">
        <v>1041</v>
      </c>
      <c r="M9415" t="s">
        <v>103</v>
      </c>
      <c r="N9415" t="s">
        <v>686</v>
      </c>
      <c r="O9415" t="s">
        <v>1041</v>
      </c>
      <c r="P9415" t="s">
        <v>1219</v>
      </c>
      <c r="Q9415" t="s">
        <v>208</v>
      </c>
      <c r="R9415" t="s">
        <v>464</v>
      </c>
      <c r="S9415" t="s">
        <v>224</v>
      </c>
      <c r="T9415" t="s">
        <v>571</v>
      </c>
      <c r="U9415" t="s">
        <v>103</v>
      </c>
      <c r="V9415" t="s">
        <v>103</v>
      </c>
      <c r="W9415" t="s">
        <v>188</v>
      </c>
      <c r="X9415" t="s">
        <v>118</v>
      </c>
      <c r="Y9415" t="s">
        <v>103</v>
      </c>
      <c r="Z9415" t="s">
        <v>532</v>
      </c>
      <c r="AA9415" t="s">
        <v>103</v>
      </c>
      <c r="AB9415" t="s">
        <v>103</v>
      </c>
      <c r="AC9415" t="s">
        <v>345</v>
      </c>
      <c r="AD9415" t="s">
        <v>103</v>
      </c>
      <c r="AE9415" t="s">
        <v>103</v>
      </c>
      <c r="AF9415" t="s">
        <v>103</v>
      </c>
    </row>
    <row r="9416" spans="1:32" x14ac:dyDescent="0.3">
      <c r="A9416" t="s">
        <v>25</v>
      </c>
      <c r="B9416" t="s">
        <v>2574</v>
      </c>
      <c r="C9416">
        <v>251</v>
      </c>
      <c r="D9416" t="s">
        <v>160</v>
      </c>
      <c r="E9416" t="s">
        <v>371</v>
      </c>
      <c r="F9416" t="s">
        <v>68</v>
      </c>
      <c r="G9416" t="s">
        <v>756</v>
      </c>
      <c r="H9416" t="s">
        <v>247</v>
      </c>
      <c r="I9416" t="s">
        <v>68</v>
      </c>
      <c r="J9416" t="s">
        <v>529</v>
      </c>
      <c r="K9416" t="s">
        <v>1009</v>
      </c>
      <c r="L9416" t="s">
        <v>1211</v>
      </c>
      <c r="M9416" t="s">
        <v>239</v>
      </c>
      <c r="N9416" t="s">
        <v>254</v>
      </c>
      <c r="O9416" t="s">
        <v>1202</v>
      </c>
      <c r="P9416" t="s">
        <v>115</v>
      </c>
      <c r="Q9416" t="s">
        <v>98</v>
      </c>
      <c r="R9416" t="s">
        <v>470</v>
      </c>
      <c r="S9416" t="s">
        <v>591</v>
      </c>
      <c r="T9416" t="s">
        <v>64</v>
      </c>
      <c r="U9416" t="s">
        <v>245</v>
      </c>
      <c r="V9416" t="s">
        <v>103</v>
      </c>
      <c r="W9416" t="s">
        <v>251</v>
      </c>
      <c r="X9416" t="s">
        <v>122</v>
      </c>
      <c r="Y9416" t="s">
        <v>95</v>
      </c>
      <c r="Z9416" t="s">
        <v>103</v>
      </c>
      <c r="AA9416" t="s">
        <v>116</v>
      </c>
      <c r="AB9416" t="s">
        <v>122</v>
      </c>
      <c r="AC9416" t="s">
        <v>103</v>
      </c>
      <c r="AD9416" t="s">
        <v>91</v>
      </c>
      <c r="AE9416" t="s">
        <v>103</v>
      </c>
      <c r="AF9416" t="s">
        <v>100</v>
      </c>
    </row>
    <row r="9417" spans="1:32" x14ac:dyDescent="0.3">
      <c r="A9417" t="s">
        <v>26</v>
      </c>
      <c r="B9417" t="s">
        <v>2571</v>
      </c>
      <c r="C9417">
        <v>77</v>
      </c>
      <c r="D9417" t="s">
        <v>164</v>
      </c>
      <c r="E9417" t="s">
        <v>1328</v>
      </c>
      <c r="F9417" t="s">
        <v>90</v>
      </c>
      <c r="G9417" t="s">
        <v>475</v>
      </c>
      <c r="H9417" t="s">
        <v>649</v>
      </c>
      <c r="I9417" t="s">
        <v>571</v>
      </c>
      <c r="J9417" t="s">
        <v>416</v>
      </c>
      <c r="K9417" t="s">
        <v>1259</v>
      </c>
      <c r="L9417" t="s">
        <v>424</v>
      </c>
      <c r="M9417" t="s">
        <v>575</v>
      </c>
      <c r="N9417" t="s">
        <v>754</v>
      </c>
      <c r="O9417" t="s">
        <v>815</v>
      </c>
      <c r="P9417" t="s">
        <v>529</v>
      </c>
      <c r="Q9417" t="s">
        <v>103</v>
      </c>
      <c r="R9417" t="s">
        <v>31</v>
      </c>
      <c r="S9417" t="s">
        <v>815</v>
      </c>
      <c r="T9417" t="s">
        <v>532</v>
      </c>
      <c r="U9417" t="s">
        <v>216</v>
      </c>
      <c r="V9417" t="s">
        <v>103</v>
      </c>
      <c r="W9417" t="s">
        <v>284</v>
      </c>
      <c r="X9417" t="s">
        <v>103</v>
      </c>
      <c r="Y9417" t="s">
        <v>103</v>
      </c>
      <c r="Z9417" t="s">
        <v>103</v>
      </c>
      <c r="AA9417" t="s">
        <v>103</v>
      </c>
      <c r="AB9417" t="s">
        <v>103</v>
      </c>
      <c r="AC9417" t="s">
        <v>110</v>
      </c>
      <c r="AD9417" t="s">
        <v>103</v>
      </c>
      <c r="AE9417" t="s">
        <v>103</v>
      </c>
      <c r="AF9417" t="s">
        <v>97</v>
      </c>
    </row>
    <row r="9418" spans="1:32" s="3" customFormat="1" x14ac:dyDescent="0.3">
      <c r="A9418" s="3" t="s">
        <v>26</v>
      </c>
      <c r="B9418" s="3" t="s">
        <v>2572</v>
      </c>
      <c r="C9418" s="3">
        <v>10</v>
      </c>
      <c r="D9418" s="3" t="s">
        <v>539</v>
      </c>
      <c r="E9418" s="3" t="s">
        <v>1219</v>
      </c>
      <c r="F9418" s="3" t="s">
        <v>167</v>
      </c>
      <c r="G9418" s="3" t="s">
        <v>550</v>
      </c>
      <c r="H9418" s="3" t="s">
        <v>686</v>
      </c>
      <c r="I9418" s="3" t="s">
        <v>103</v>
      </c>
      <c r="J9418" s="3" t="s">
        <v>484</v>
      </c>
      <c r="K9418" s="3" t="s">
        <v>895</v>
      </c>
      <c r="L9418" s="3" t="s">
        <v>691</v>
      </c>
      <c r="M9418" s="3" t="s">
        <v>103</v>
      </c>
      <c r="N9418" s="3" t="s">
        <v>376</v>
      </c>
      <c r="O9418" s="3" t="s">
        <v>350</v>
      </c>
      <c r="P9418" s="3" t="s">
        <v>695</v>
      </c>
      <c r="Q9418" s="3" t="s">
        <v>103</v>
      </c>
      <c r="R9418" s="3" t="s">
        <v>693</v>
      </c>
      <c r="S9418" s="3" t="s">
        <v>411</v>
      </c>
      <c r="T9418" s="3" t="s">
        <v>108</v>
      </c>
      <c r="U9418" s="3" t="s">
        <v>247</v>
      </c>
      <c r="V9418" s="3" t="s">
        <v>103</v>
      </c>
      <c r="W9418" s="3" t="s">
        <v>1223</v>
      </c>
      <c r="X9418" s="3" t="s">
        <v>103</v>
      </c>
      <c r="Y9418" s="3" t="s">
        <v>103</v>
      </c>
      <c r="Z9418" s="3" t="s">
        <v>103</v>
      </c>
      <c r="AA9418" s="3" t="s">
        <v>103</v>
      </c>
      <c r="AB9418" s="3" t="s">
        <v>103</v>
      </c>
      <c r="AC9418" s="3" t="s">
        <v>103</v>
      </c>
      <c r="AD9418" s="3" t="s">
        <v>103</v>
      </c>
      <c r="AE9418" s="3" t="s">
        <v>103</v>
      </c>
      <c r="AF9418" s="3" t="s">
        <v>224</v>
      </c>
    </row>
    <row r="9419" spans="1:32" x14ac:dyDescent="0.3">
      <c r="A9419" t="s">
        <v>26</v>
      </c>
      <c r="B9419" t="s">
        <v>2573</v>
      </c>
      <c r="C9419">
        <v>95</v>
      </c>
      <c r="D9419" t="s">
        <v>262</v>
      </c>
      <c r="E9419" t="s">
        <v>1401</v>
      </c>
      <c r="F9419" t="s">
        <v>494</v>
      </c>
      <c r="G9419" t="s">
        <v>1008</v>
      </c>
      <c r="H9419" t="s">
        <v>90</v>
      </c>
      <c r="I9419" t="s">
        <v>135</v>
      </c>
      <c r="J9419" t="s">
        <v>295</v>
      </c>
      <c r="K9419" t="s">
        <v>675</v>
      </c>
      <c r="L9419" t="s">
        <v>577</v>
      </c>
      <c r="M9419" t="s">
        <v>272</v>
      </c>
      <c r="N9419" t="s">
        <v>1319</v>
      </c>
      <c r="O9419" t="s">
        <v>1084</v>
      </c>
      <c r="P9419" t="s">
        <v>671</v>
      </c>
      <c r="Q9419" t="s">
        <v>97</v>
      </c>
      <c r="R9419" t="s">
        <v>1579</v>
      </c>
      <c r="S9419" t="s">
        <v>579</v>
      </c>
      <c r="T9419" t="s">
        <v>531</v>
      </c>
      <c r="U9419" t="s">
        <v>112</v>
      </c>
      <c r="V9419" t="s">
        <v>103</v>
      </c>
      <c r="W9419" t="s">
        <v>629</v>
      </c>
      <c r="X9419" t="s">
        <v>194</v>
      </c>
      <c r="Y9419" t="s">
        <v>194</v>
      </c>
      <c r="Z9419" t="s">
        <v>103</v>
      </c>
      <c r="AA9419" t="s">
        <v>103</v>
      </c>
      <c r="AB9419" t="s">
        <v>103</v>
      </c>
      <c r="AC9419" t="s">
        <v>208</v>
      </c>
      <c r="AD9419" t="s">
        <v>103</v>
      </c>
      <c r="AE9419" t="s">
        <v>103</v>
      </c>
      <c r="AF9419" t="s">
        <v>120</v>
      </c>
    </row>
    <row r="9420" spans="1:32" x14ac:dyDescent="0.3">
      <c r="A9420" t="s">
        <v>26</v>
      </c>
      <c r="B9420" t="s">
        <v>2574</v>
      </c>
      <c r="C9420">
        <v>295</v>
      </c>
      <c r="D9420" t="s">
        <v>251</v>
      </c>
      <c r="E9420" t="s">
        <v>1242</v>
      </c>
      <c r="F9420" t="s">
        <v>118</v>
      </c>
      <c r="G9420" t="s">
        <v>646</v>
      </c>
      <c r="H9420" t="s">
        <v>452</v>
      </c>
      <c r="I9420" t="s">
        <v>32</v>
      </c>
      <c r="J9420" t="s">
        <v>521</v>
      </c>
      <c r="K9420" t="s">
        <v>792</v>
      </c>
      <c r="L9420" t="s">
        <v>1097</v>
      </c>
      <c r="M9420" t="s">
        <v>188</v>
      </c>
      <c r="N9420" t="s">
        <v>70</v>
      </c>
      <c r="O9420" t="s">
        <v>486</v>
      </c>
      <c r="P9420" t="s">
        <v>1319</v>
      </c>
      <c r="Q9420" t="s">
        <v>95</v>
      </c>
      <c r="R9420" t="s">
        <v>373</v>
      </c>
      <c r="S9420" t="s">
        <v>148</v>
      </c>
      <c r="T9420" t="s">
        <v>95</v>
      </c>
      <c r="U9420" t="s">
        <v>216</v>
      </c>
      <c r="V9420" t="s">
        <v>120</v>
      </c>
      <c r="W9420" t="s">
        <v>467</v>
      </c>
      <c r="X9420" t="s">
        <v>122</v>
      </c>
      <c r="Y9420" t="s">
        <v>116</v>
      </c>
      <c r="Z9420" t="s">
        <v>103</v>
      </c>
      <c r="AA9420" t="s">
        <v>103</v>
      </c>
      <c r="AB9420" t="s">
        <v>97</v>
      </c>
      <c r="AC9420" t="s">
        <v>95</v>
      </c>
      <c r="AD9420" t="s">
        <v>103</v>
      </c>
      <c r="AE9420" t="s">
        <v>103</v>
      </c>
      <c r="AF9420" t="s">
        <v>594</v>
      </c>
    </row>
    <row r="9421" spans="1:32" x14ac:dyDescent="0.3">
      <c r="A9421" t="s">
        <v>29</v>
      </c>
      <c r="B9421" t="s">
        <v>2571</v>
      </c>
      <c r="C9421">
        <v>124</v>
      </c>
      <c r="D9421" t="s">
        <v>214</v>
      </c>
      <c r="E9421" t="s">
        <v>1283</v>
      </c>
      <c r="F9421" t="s">
        <v>662</v>
      </c>
      <c r="G9421" t="s">
        <v>160</v>
      </c>
      <c r="H9421" t="s">
        <v>467</v>
      </c>
      <c r="I9421" t="s">
        <v>186</v>
      </c>
      <c r="J9421" t="s">
        <v>510</v>
      </c>
      <c r="K9421" t="s">
        <v>249</v>
      </c>
      <c r="L9421" t="s">
        <v>363</v>
      </c>
      <c r="M9421" t="s">
        <v>571</v>
      </c>
      <c r="N9421" t="s">
        <v>262</v>
      </c>
      <c r="O9421" t="s">
        <v>1091</v>
      </c>
      <c r="P9421" t="s">
        <v>117</v>
      </c>
      <c r="Q9421" t="s">
        <v>107</v>
      </c>
      <c r="R9421" t="s">
        <v>684</v>
      </c>
      <c r="S9421" t="s">
        <v>518</v>
      </c>
      <c r="T9421" t="s">
        <v>133</v>
      </c>
      <c r="U9421" t="s">
        <v>33</v>
      </c>
      <c r="V9421" t="s">
        <v>103</v>
      </c>
      <c r="W9421" t="s">
        <v>94</v>
      </c>
      <c r="X9421" t="s">
        <v>105</v>
      </c>
      <c r="Y9421" t="s">
        <v>94</v>
      </c>
      <c r="Z9421" t="s">
        <v>272</v>
      </c>
      <c r="AA9421" t="s">
        <v>103</v>
      </c>
      <c r="AB9421" t="s">
        <v>103</v>
      </c>
      <c r="AC9421" t="s">
        <v>114</v>
      </c>
      <c r="AD9421" t="s">
        <v>103</v>
      </c>
      <c r="AE9421" t="s">
        <v>103</v>
      </c>
      <c r="AF9421" t="s">
        <v>98</v>
      </c>
    </row>
    <row r="9422" spans="1:32" x14ac:dyDescent="0.3">
      <c r="A9422" t="s">
        <v>29</v>
      </c>
      <c r="B9422" t="s">
        <v>2572</v>
      </c>
      <c r="C9422">
        <v>35</v>
      </c>
      <c r="D9422" t="s">
        <v>125</v>
      </c>
      <c r="E9422" t="s">
        <v>366</v>
      </c>
      <c r="F9422" t="s">
        <v>133</v>
      </c>
      <c r="G9422" t="s">
        <v>261</v>
      </c>
      <c r="H9422" t="s">
        <v>127</v>
      </c>
      <c r="I9422" t="s">
        <v>103</v>
      </c>
      <c r="J9422" t="s">
        <v>530</v>
      </c>
      <c r="K9422" t="s">
        <v>1581</v>
      </c>
      <c r="L9422" t="s">
        <v>1199</v>
      </c>
      <c r="M9422" t="s">
        <v>110</v>
      </c>
      <c r="N9422" t="s">
        <v>284</v>
      </c>
      <c r="O9422" t="s">
        <v>423</v>
      </c>
      <c r="P9422" t="s">
        <v>531</v>
      </c>
      <c r="Q9422" t="s">
        <v>110</v>
      </c>
      <c r="R9422" t="s">
        <v>650</v>
      </c>
      <c r="S9422" t="s">
        <v>581</v>
      </c>
      <c r="T9422" t="s">
        <v>284</v>
      </c>
      <c r="U9422" t="s">
        <v>452</v>
      </c>
      <c r="V9422" t="s">
        <v>103</v>
      </c>
      <c r="W9422" t="s">
        <v>93</v>
      </c>
      <c r="X9422" t="s">
        <v>122</v>
      </c>
      <c r="Y9422" t="s">
        <v>103</v>
      </c>
      <c r="Z9422" t="s">
        <v>103</v>
      </c>
      <c r="AA9422" t="s">
        <v>103</v>
      </c>
      <c r="AB9422" t="s">
        <v>103</v>
      </c>
      <c r="AC9422" t="s">
        <v>467</v>
      </c>
      <c r="AD9422" t="s">
        <v>103</v>
      </c>
      <c r="AE9422" t="s">
        <v>103</v>
      </c>
      <c r="AF9422" t="s">
        <v>103</v>
      </c>
    </row>
    <row r="9423" spans="1:32" x14ac:dyDescent="0.3">
      <c r="A9423" t="s">
        <v>29</v>
      </c>
      <c r="B9423" t="s">
        <v>2573</v>
      </c>
      <c r="C9423">
        <v>108</v>
      </c>
      <c r="D9423" t="s">
        <v>482</v>
      </c>
      <c r="E9423" t="s">
        <v>1283</v>
      </c>
      <c r="F9423" t="s">
        <v>140</v>
      </c>
      <c r="G9423" t="s">
        <v>268</v>
      </c>
      <c r="H9423" t="s">
        <v>111</v>
      </c>
      <c r="I9423" t="s">
        <v>329</v>
      </c>
      <c r="J9423" t="s">
        <v>503</v>
      </c>
      <c r="K9423" t="s">
        <v>410</v>
      </c>
      <c r="L9423" t="s">
        <v>501</v>
      </c>
      <c r="M9423" t="s">
        <v>125</v>
      </c>
      <c r="N9423" t="s">
        <v>108</v>
      </c>
      <c r="O9423" t="s">
        <v>1215</v>
      </c>
      <c r="P9423" t="s">
        <v>115</v>
      </c>
      <c r="Q9423" t="s">
        <v>124</v>
      </c>
      <c r="R9423" t="s">
        <v>805</v>
      </c>
      <c r="S9423" t="s">
        <v>137</v>
      </c>
      <c r="T9423" t="s">
        <v>615</v>
      </c>
      <c r="U9423" t="s">
        <v>216</v>
      </c>
      <c r="V9423" t="s">
        <v>103</v>
      </c>
      <c r="W9423" t="s">
        <v>113</v>
      </c>
      <c r="X9423" t="s">
        <v>452</v>
      </c>
      <c r="Y9423" t="s">
        <v>103</v>
      </c>
      <c r="Z9423" t="s">
        <v>103</v>
      </c>
      <c r="AA9423" t="s">
        <v>103</v>
      </c>
      <c r="AB9423" t="s">
        <v>103</v>
      </c>
      <c r="AC9423" t="s">
        <v>139</v>
      </c>
      <c r="AD9423" t="s">
        <v>139</v>
      </c>
      <c r="AE9423" t="s">
        <v>345</v>
      </c>
      <c r="AF9423" t="s">
        <v>113</v>
      </c>
    </row>
    <row r="9424" spans="1:32" x14ac:dyDescent="0.3">
      <c r="A9424" t="s">
        <v>29</v>
      </c>
      <c r="B9424" t="s">
        <v>2574</v>
      </c>
      <c r="C9424">
        <v>263</v>
      </c>
      <c r="D9424" t="s">
        <v>60</v>
      </c>
      <c r="E9424" t="s">
        <v>1257</v>
      </c>
      <c r="F9424" t="s">
        <v>32</v>
      </c>
      <c r="G9424" t="s">
        <v>104</v>
      </c>
      <c r="H9424" t="s">
        <v>460</v>
      </c>
      <c r="I9424" t="s">
        <v>122</v>
      </c>
      <c r="J9424" t="s">
        <v>1211</v>
      </c>
      <c r="K9424" t="s">
        <v>1096</v>
      </c>
      <c r="L9424" t="s">
        <v>512</v>
      </c>
      <c r="M9424" t="s">
        <v>272</v>
      </c>
      <c r="N9424" t="s">
        <v>662</v>
      </c>
      <c r="O9424" t="s">
        <v>1041</v>
      </c>
      <c r="P9424" t="s">
        <v>269</v>
      </c>
      <c r="Q9424" t="s">
        <v>329</v>
      </c>
      <c r="R9424" t="s">
        <v>469</v>
      </c>
      <c r="S9424" t="s">
        <v>32</v>
      </c>
      <c r="T9424" t="s">
        <v>32</v>
      </c>
      <c r="U9424" t="s">
        <v>64</v>
      </c>
      <c r="V9424" t="s">
        <v>103</v>
      </c>
      <c r="W9424" t="s">
        <v>214</v>
      </c>
      <c r="X9424" t="s">
        <v>98</v>
      </c>
      <c r="Y9424" t="s">
        <v>245</v>
      </c>
      <c r="Z9424" t="s">
        <v>216</v>
      </c>
      <c r="AA9424" t="s">
        <v>122</v>
      </c>
      <c r="AB9424" t="s">
        <v>95</v>
      </c>
      <c r="AC9424" t="s">
        <v>98</v>
      </c>
      <c r="AD9424" t="s">
        <v>329</v>
      </c>
      <c r="AE9424" t="s">
        <v>103</v>
      </c>
      <c r="AF9424" t="s">
        <v>494</v>
      </c>
    </row>
    <row r="9425" spans="1:32" s="3" customFormat="1" x14ac:dyDescent="0.3">
      <c r="A9425" s="3" t="s">
        <v>28</v>
      </c>
      <c r="B9425" s="3" t="s">
        <v>2571</v>
      </c>
      <c r="C9425" s="3">
        <v>22</v>
      </c>
      <c r="D9425" s="3" t="s">
        <v>681</v>
      </c>
      <c r="E9425" s="3" t="s">
        <v>455</v>
      </c>
      <c r="F9425" s="3" t="s">
        <v>269</v>
      </c>
      <c r="G9425" s="3" t="s">
        <v>137</v>
      </c>
      <c r="H9425" s="3" t="s">
        <v>190</v>
      </c>
      <c r="I9425" s="3" t="s">
        <v>54</v>
      </c>
      <c r="J9425" s="3" t="s">
        <v>297</v>
      </c>
      <c r="K9425" s="3" t="s">
        <v>1369</v>
      </c>
      <c r="L9425" s="3" t="s">
        <v>927</v>
      </c>
      <c r="M9425" s="3" t="s">
        <v>33</v>
      </c>
      <c r="N9425" s="3" t="s">
        <v>524</v>
      </c>
      <c r="O9425" s="3" t="s">
        <v>541</v>
      </c>
      <c r="P9425" s="3" t="s">
        <v>435</v>
      </c>
      <c r="Q9425" s="3" t="s">
        <v>103</v>
      </c>
      <c r="R9425" s="3" t="s">
        <v>123</v>
      </c>
      <c r="S9425" s="3" t="s">
        <v>247</v>
      </c>
      <c r="T9425" s="3" t="s">
        <v>918</v>
      </c>
      <c r="U9425" s="3" t="s">
        <v>345</v>
      </c>
      <c r="V9425" s="3" t="s">
        <v>103</v>
      </c>
      <c r="W9425" s="3" t="s">
        <v>488</v>
      </c>
      <c r="X9425" s="3" t="s">
        <v>33</v>
      </c>
      <c r="Y9425" s="3" t="s">
        <v>494</v>
      </c>
      <c r="Z9425" s="3" t="s">
        <v>103</v>
      </c>
      <c r="AA9425" s="3" t="s">
        <v>103</v>
      </c>
      <c r="AB9425" s="3" t="s">
        <v>103</v>
      </c>
      <c r="AC9425" s="3" t="s">
        <v>33</v>
      </c>
      <c r="AD9425" s="3" t="s">
        <v>103</v>
      </c>
      <c r="AE9425" s="3" t="s">
        <v>103</v>
      </c>
      <c r="AF9425" s="3" t="s">
        <v>108</v>
      </c>
    </row>
    <row r="9426" spans="1:32" s="3" customFormat="1" x14ac:dyDescent="0.3">
      <c r="A9426" s="3" t="s">
        <v>28</v>
      </c>
      <c r="B9426" s="3" t="s">
        <v>2572</v>
      </c>
      <c r="C9426" s="3">
        <v>6</v>
      </c>
      <c r="D9426" s="3" t="s">
        <v>890</v>
      </c>
      <c r="E9426" s="3" t="s">
        <v>1016</v>
      </c>
      <c r="F9426" s="3" t="s">
        <v>518</v>
      </c>
      <c r="G9426" s="3" t="s">
        <v>103</v>
      </c>
      <c r="H9426" s="3" t="s">
        <v>103</v>
      </c>
      <c r="I9426" s="3" t="s">
        <v>465</v>
      </c>
      <c r="J9426" s="3" t="s">
        <v>1422</v>
      </c>
      <c r="K9426" s="3" t="s">
        <v>249</v>
      </c>
      <c r="L9426" s="3" t="s">
        <v>565</v>
      </c>
      <c r="M9426" s="3" t="s">
        <v>103</v>
      </c>
      <c r="N9426" s="3" t="s">
        <v>691</v>
      </c>
      <c r="O9426" s="3" t="s">
        <v>664</v>
      </c>
      <c r="P9426" s="3" t="s">
        <v>1211</v>
      </c>
      <c r="Q9426" s="3" t="s">
        <v>103</v>
      </c>
      <c r="R9426" s="3" t="s">
        <v>115</v>
      </c>
      <c r="S9426" s="3" t="s">
        <v>492</v>
      </c>
      <c r="T9426" s="3" t="s">
        <v>115</v>
      </c>
      <c r="U9426" s="3" t="s">
        <v>103</v>
      </c>
      <c r="V9426" s="3" t="s">
        <v>103</v>
      </c>
      <c r="W9426" s="3" t="s">
        <v>103</v>
      </c>
      <c r="X9426" s="3" t="s">
        <v>103</v>
      </c>
      <c r="Y9426" s="3" t="s">
        <v>103</v>
      </c>
      <c r="Z9426" s="3" t="s">
        <v>103</v>
      </c>
      <c r="AA9426" s="3" t="s">
        <v>103</v>
      </c>
      <c r="AB9426" s="3" t="s">
        <v>518</v>
      </c>
      <c r="AC9426" s="3" t="s">
        <v>103</v>
      </c>
      <c r="AD9426" s="3" t="s">
        <v>103</v>
      </c>
      <c r="AE9426" s="3" t="s">
        <v>103</v>
      </c>
      <c r="AF9426" s="3" t="s">
        <v>103</v>
      </c>
    </row>
    <row r="9427" spans="1:32" x14ac:dyDescent="0.3">
      <c r="A9427" t="s">
        <v>28</v>
      </c>
      <c r="B9427" t="s">
        <v>2573</v>
      </c>
      <c r="C9427">
        <v>108</v>
      </c>
      <c r="D9427" t="s">
        <v>746</v>
      </c>
      <c r="E9427" t="s">
        <v>1578</v>
      </c>
      <c r="F9427" t="s">
        <v>262</v>
      </c>
      <c r="G9427" t="s">
        <v>667</v>
      </c>
      <c r="H9427" t="s">
        <v>547</v>
      </c>
      <c r="I9427" t="s">
        <v>679</v>
      </c>
      <c r="J9427" t="s">
        <v>1211</v>
      </c>
      <c r="K9427" t="s">
        <v>1555</v>
      </c>
      <c r="L9427" t="s">
        <v>535</v>
      </c>
      <c r="M9427" t="s">
        <v>122</v>
      </c>
      <c r="N9427" t="s">
        <v>136</v>
      </c>
      <c r="O9427" t="s">
        <v>557</v>
      </c>
      <c r="P9427" t="s">
        <v>102</v>
      </c>
      <c r="Q9427" t="s">
        <v>139</v>
      </c>
      <c r="R9427" t="s">
        <v>164</v>
      </c>
      <c r="S9427" t="s">
        <v>103</v>
      </c>
      <c r="T9427" t="s">
        <v>531</v>
      </c>
      <c r="U9427" t="s">
        <v>103</v>
      </c>
      <c r="V9427" t="s">
        <v>103</v>
      </c>
      <c r="W9427" t="s">
        <v>239</v>
      </c>
      <c r="X9427" t="s">
        <v>103</v>
      </c>
      <c r="Y9427" t="s">
        <v>194</v>
      </c>
      <c r="Z9427" t="s">
        <v>103</v>
      </c>
      <c r="AA9427" t="s">
        <v>103</v>
      </c>
      <c r="AB9427" t="s">
        <v>103</v>
      </c>
      <c r="AC9427" t="s">
        <v>103</v>
      </c>
      <c r="AD9427" t="s">
        <v>103</v>
      </c>
      <c r="AE9427" t="s">
        <v>103</v>
      </c>
      <c r="AF9427" t="s">
        <v>62</v>
      </c>
    </row>
    <row r="9428" spans="1:32" x14ac:dyDescent="0.3">
      <c r="A9428" t="s">
        <v>28</v>
      </c>
      <c r="B9428" t="s">
        <v>2574</v>
      </c>
      <c r="C9428">
        <v>181</v>
      </c>
      <c r="D9428" t="s">
        <v>807</v>
      </c>
      <c r="E9428" t="s">
        <v>390</v>
      </c>
      <c r="F9428" t="s">
        <v>270</v>
      </c>
      <c r="G9428" t="s">
        <v>660</v>
      </c>
      <c r="H9428" t="s">
        <v>544</v>
      </c>
      <c r="I9428" t="s">
        <v>93</v>
      </c>
      <c r="J9428" t="s">
        <v>562</v>
      </c>
      <c r="K9428" t="s">
        <v>415</v>
      </c>
      <c r="L9428" t="s">
        <v>521</v>
      </c>
      <c r="M9428" t="s">
        <v>93</v>
      </c>
      <c r="N9428" t="s">
        <v>662</v>
      </c>
      <c r="O9428" t="s">
        <v>1219</v>
      </c>
      <c r="P9428" t="s">
        <v>131</v>
      </c>
      <c r="Q9428" t="s">
        <v>532</v>
      </c>
      <c r="R9428" t="s">
        <v>256</v>
      </c>
      <c r="S9428" t="s">
        <v>506</v>
      </c>
      <c r="T9428" t="s">
        <v>467</v>
      </c>
      <c r="U9428" t="s">
        <v>282</v>
      </c>
      <c r="V9428" t="s">
        <v>103</v>
      </c>
      <c r="W9428" t="s">
        <v>191</v>
      </c>
      <c r="X9428" t="s">
        <v>68</v>
      </c>
      <c r="Y9428" t="s">
        <v>217</v>
      </c>
      <c r="Z9428" t="s">
        <v>103</v>
      </c>
      <c r="AA9428" t="s">
        <v>103</v>
      </c>
      <c r="AB9428" t="s">
        <v>103</v>
      </c>
      <c r="AC9428" t="s">
        <v>103</v>
      </c>
      <c r="AD9428" t="s">
        <v>103</v>
      </c>
      <c r="AE9428" t="s">
        <v>103</v>
      </c>
      <c r="AF9428" t="s">
        <v>452</v>
      </c>
    </row>
    <row r="9429" spans="1:32" x14ac:dyDescent="0.3">
      <c r="A9429" t="s">
        <v>27</v>
      </c>
      <c r="B9429" t="s">
        <v>2571</v>
      </c>
      <c r="C9429">
        <v>79</v>
      </c>
      <c r="D9429" t="s">
        <v>890</v>
      </c>
      <c r="E9429" t="s">
        <v>1093</v>
      </c>
      <c r="F9429" t="s">
        <v>97</v>
      </c>
      <c r="G9429" t="s">
        <v>392</v>
      </c>
      <c r="H9429" t="s">
        <v>468</v>
      </c>
      <c r="I9429" t="s">
        <v>157</v>
      </c>
      <c r="J9429" t="s">
        <v>1354</v>
      </c>
      <c r="K9429" t="s">
        <v>2263</v>
      </c>
      <c r="L9429" t="s">
        <v>695</v>
      </c>
      <c r="M9429" t="s">
        <v>103</v>
      </c>
      <c r="N9429" t="s">
        <v>511</v>
      </c>
      <c r="O9429" t="s">
        <v>858</v>
      </c>
      <c r="P9429" t="s">
        <v>532</v>
      </c>
      <c r="Q9429" t="s">
        <v>103</v>
      </c>
      <c r="R9429" t="s">
        <v>892</v>
      </c>
      <c r="S9429" t="s">
        <v>111</v>
      </c>
      <c r="T9429" t="s">
        <v>452</v>
      </c>
      <c r="U9429" t="s">
        <v>281</v>
      </c>
      <c r="V9429" t="s">
        <v>103</v>
      </c>
      <c r="W9429" t="s">
        <v>435</v>
      </c>
      <c r="X9429" t="s">
        <v>201</v>
      </c>
      <c r="Y9429" t="s">
        <v>345</v>
      </c>
      <c r="Z9429" t="s">
        <v>103</v>
      </c>
      <c r="AA9429" t="s">
        <v>103</v>
      </c>
      <c r="AB9429" t="s">
        <v>103</v>
      </c>
      <c r="AC9429" t="s">
        <v>103</v>
      </c>
      <c r="AD9429" t="s">
        <v>103</v>
      </c>
      <c r="AE9429" t="s">
        <v>103</v>
      </c>
      <c r="AF9429" t="s">
        <v>103</v>
      </c>
    </row>
    <row r="9430" spans="1:32" s="3" customFormat="1" x14ac:dyDescent="0.3">
      <c r="A9430" s="3" t="s">
        <v>27</v>
      </c>
      <c r="B9430" s="3" t="s">
        <v>2572</v>
      </c>
      <c r="C9430" s="3">
        <v>6</v>
      </c>
      <c r="D9430" s="3" t="s">
        <v>103</v>
      </c>
      <c r="E9430" s="3" t="s">
        <v>495</v>
      </c>
      <c r="F9430" s="3" t="s">
        <v>495</v>
      </c>
      <c r="G9430" s="3" t="s">
        <v>1142</v>
      </c>
      <c r="H9430" s="3" t="s">
        <v>103</v>
      </c>
      <c r="I9430" s="3" t="s">
        <v>103</v>
      </c>
      <c r="J9430" s="3" t="s">
        <v>1358</v>
      </c>
      <c r="K9430" s="3" t="s">
        <v>391</v>
      </c>
      <c r="L9430" s="3" t="s">
        <v>495</v>
      </c>
      <c r="M9430" s="3" t="s">
        <v>103</v>
      </c>
      <c r="N9430" s="3" t="s">
        <v>495</v>
      </c>
      <c r="O9430" s="3" t="s">
        <v>429</v>
      </c>
      <c r="P9430" s="3" t="s">
        <v>103</v>
      </c>
      <c r="Q9430" s="3" t="s">
        <v>103</v>
      </c>
      <c r="R9430" s="3" t="s">
        <v>428</v>
      </c>
      <c r="S9430" s="3" t="s">
        <v>1229</v>
      </c>
      <c r="T9430" s="3" t="s">
        <v>103</v>
      </c>
      <c r="U9430" s="3" t="s">
        <v>103</v>
      </c>
      <c r="V9430" s="3" t="s">
        <v>103</v>
      </c>
      <c r="W9430" s="3" t="s">
        <v>226</v>
      </c>
      <c r="X9430" s="3" t="s">
        <v>456</v>
      </c>
      <c r="Y9430" s="3" t="s">
        <v>103</v>
      </c>
      <c r="Z9430" s="3" t="s">
        <v>103</v>
      </c>
      <c r="AA9430" s="3" t="s">
        <v>103</v>
      </c>
      <c r="AB9430" s="3" t="s">
        <v>103</v>
      </c>
      <c r="AC9430" s="3" t="s">
        <v>103</v>
      </c>
      <c r="AD9430" s="3" t="s">
        <v>103</v>
      </c>
      <c r="AE9430" s="3" t="s">
        <v>103</v>
      </c>
      <c r="AF9430" s="3" t="s">
        <v>103</v>
      </c>
    </row>
    <row r="9431" spans="1:32" s="3" customFormat="1" x14ac:dyDescent="0.3">
      <c r="A9431" s="3" t="s">
        <v>27</v>
      </c>
      <c r="B9431" s="3" t="s">
        <v>2573</v>
      </c>
      <c r="C9431" s="3">
        <v>22</v>
      </c>
      <c r="D9431" s="3" t="s">
        <v>188</v>
      </c>
      <c r="E9431" s="3" t="s">
        <v>1556</v>
      </c>
      <c r="F9431" s="3" t="s">
        <v>469</v>
      </c>
      <c r="G9431" s="3" t="s">
        <v>358</v>
      </c>
      <c r="H9431" s="3" t="s">
        <v>700</v>
      </c>
      <c r="I9431" s="3" t="s">
        <v>518</v>
      </c>
      <c r="J9431" s="3" t="s">
        <v>226</v>
      </c>
      <c r="K9431" s="3" t="s">
        <v>400</v>
      </c>
      <c r="L9431" s="3" t="s">
        <v>415</v>
      </c>
      <c r="M9431" s="3" t="s">
        <v>113</v>
      </c>
      <c r="N9431" s="3" t="s">
        <v>60</v>
      </c>
      <c r="O9431" s="3" t="s">
        <v>686</v>
      </c>
      <c r="P9431" s="3" t="s">
        <v>146</v>
      </c>
      <c r="Q9431" s="3" t="s">
        <v>103</v>
      </c>
      <c r="R9431" s="3" t="s">
        <v>921</v>
      </c>
      <c r="S9431" s="3" t="s">
        <v>103</v>
      </c>
      <c r="T9431" s="3" t="s">
        <v>48</v>
      </c>
      <c r="U9431" s="3" t="s">
        <v>99</v>
      </c>
      <c r="V9431" s="3" t="s">
        <v>103</v>
      </c>
      <c r="W9431" s="3" t="s">
        <v>104</v>
      </c>
      <c r="X9431" s="3" t="s">
        <v>113</v>
      </c>
      <c r="Y9431" s="3" t="s">
        <v>103</v>
      </c>
      <c r="Z9431" s="3" t="s">
        <v>103</v>
      </c>
      <c r="AA9431" s="3" t="s">
        <v>103</v>
      </c>
      <c r="AB9431" s="3" t="s">
        <v>103</v>
      </c>
      <c r="AC9431" s="3" t="s">
        <v>103</v>
      </c>
      <c r="AD9431" s="3" t="s">
        <v>103</v>
      </c>
      <c r="AE9431" s="3" t="s">
        <v>103</v>
      </c>
      <c r="AF9431" s="3" t="s">
        <v>103</v>
      </c>
    </row>
    <row r="9432" spans="1:32" x14ac:dyDescent="0.3">
      <c r="A9432" t="s">
        <v>27</v>
      </c>
      <c r="B9432" t="s">
        <v>2574</v>
      </c>
      <c r="C9432">
        <v>193</v>
      </c>
      <c r="D9432" t="s">
        <v>102</v>
      </c>
      <c r="E9432" t="s">
        <v>1257</v>
      </c>
      <c r="F9432" t="s">
        <v>217</v>
      </c>
      <c r="G9432" t="s">
        <v>929</v>
      </c>
      <c r="H9432" t="s">
        <v>201</v>
      </c>
      <c r="I9432" t="s">
        <v>137</v>
      </c>
      <c r="J9432" t="s">
        <v>1067</v>
      </c>
      <c r="K9432" t="s">
        <v>527</v>
      </c>
      <c r="L9432" t="s">
        <v>537</v>
      </c>
      <c r="M9432" t="s">
        <v>467</v>
      </c>
      <c r="N9432" t="s">
        <v>470</v>
      </c>
      <c r="O9432" t="s">
        <v>932</v>
      </c>
      <c r="P9432" t="s">
        <v>94</v>
      </c>
      <c r="Q9432" t="s">
        <v>239</v>
      </c>
      <c r="R9432" t="s">
        <v>357</v>
      </c>
      <c r="S9432" t="s">
        <v>468</v>
      </c>
      <c r="T9432" t="s">
        <v>281</v>
      </c>
      <c r="U9432" t="s">
        <v>341</v>
      </c>
      <c r="V9432" t="s">
        <v>103</v>
      </c>
      <c r="W9432" t="s">
        <v>517</v>
      </c>
      <c r="X9432" t="s">
        <v>194</v>
      </c>
      <c r="Y9432" t="s">
        <v>245</v>
      </c>
      <c r="Z9432" t="s">
        <v>97</v>
      </c>
      <c r="AA9432" t="s">
        <v>103</v>
      </c>
      <c r="AB9432" t="s">
        <v>103</v>
      </c>
      <c r="AC9432" t="s">
        <v>122</v>
      </c>
      <c r="AD9432" t="s">
        <v>91</v>
      </c>
      <c r="AE9432" t="s">
        <v>103</v>
      </c>
      <c r="AF9432" t="s">
        <v>118</v>
      </c>
    </row>
    <row r="9433" spans="1:32" x14ac:dyDescent="0.3">
      <c r="A9433" t="s">
        <v>41</v>
      </c>
      <c r="B9433" t="s">
        <v>2571</v>
      </c>
      <c r="C9433">
        <v>414</v>
      </c>
      <c r="D9433" t="s">
        <v>190</v>
      </c>
      <c r="E9433" t="s">
        <v>395</v>
      </c>
      <c r="F9433" t="s">
        <v>133</v>
      </c>
      <c r="G9433" t="s">
        <v>555</v>
      </c>
      <c r="H9433" t="s">
        <v>133</v>
      </c>
      <c r="I9433" t="s">
        <v>662</v>
      </c>
      <c r="J9433" t="s">
        <v>404</v>
      </c>
      <c r="K9433" t="s">
        <v>1420</v>
      </c>
      <c r="L9433" t="s">
        <v>362</v>
      </c>
      <c r="M9433" t="s">
        <v>94</v>
      </c>
      <c r="N9433" t="s">
        <v>544</v>
      </c>
      <c r="O9433" t="s">
        <v>1576</v>
      </c>
      <c r="P9433" t="s">
        <v>515</v>
      </c>
      <c r="Q9433" t="s">
        <v>217</v>
      </c>
      <c r="R9433" t="s">
        <v>1207</v>
      </c>
      <c r="S9433" t="s">
        <v>518</v>
      </c>
      <c r="T9433" t="s">
        <v>278</v>
      </c>
      <c r="U9433" t="s">
        <v>195</v>
      </c>
      <c r="V9433" t="s">
        <v>103</v>
      </c>
      <c r="W9433" t="s">
        <v>190</v>
      </c>
      <c r="X9433" t="s">
        <v>216</v>
      </c>
      <c r="Y9433" t="s">
        <v>493</v>
      </c>
      <c r="Z9433" t="s">
        <v>216</v>
      </c>
      <c r="AA9433" t="s">
        <v>122</v>
      </c>
      <c r="AB9433" t="s">
        <v>103</v>
      </c>
      <c r="AC9433" t="s">
        <v>217</v>
      </c>
      <c r="AD9433" t="s">
        <v>103</v>
      </c>
      <c r="AE9433" t="s">
        <v>103</v>
      </c>
      <c r="AF9433" t="s">
        <v>194</v>
      </c>
    </row>
    <row r="9434" spans="1:32" x14ac:dyDescent="0.3">
      <c r="A9434" t="s">
        <v>41</v>
      </c>
      <c r="B9434" t="s">
        <v>2572</v>
      </c>
      <c r="C9434">
        <v>66</v>
      </c>
      <c r="D9434" t="s">
        <v>124</v>
      </c>
      <c r="E9434" t="s">
        <v>392</v>
      </c>
      <c r="F9434" t="s">
        <v>511</v>
      </c>
      <c r="G9434" t="s">
        <v>920</v>
      </c>
      <c r="H9434" t="s">
        <v>269</v>
      </c>
      <c r="I9434" t="s">
        <v>110</v>
      </c>
      <c r="J9434" t="s">
        <v>699</v>
      </c>
      <c r="K9434" t="s">
        <v>1436</v>
      </c>
      <c r="L9434" t="s">
        <v>443</v>
      </c>
      <c r="M9434" t="s">
        <v>195</v>
      </c>
      <c r="N9434" t="s">
        <v>135</v>
      </c>
      <c r="O9434" t="s">
        <v>1065</v>
      </c>
      <c r="P9434" t="s">
        <v>242</v>
      </c>
      <c r="Q9434" t="s">
        <v>282</v>
      </c>
      <c r="R9434" t="s">
        <v>461</v>
      </c>
      <c r="S9434" t="s">
        <v>651</v>
      </c>
      <c r="T9434" t="s">
        <v>232</v>
      </c>
      <c r="U9434" t="s">
        <v>558</v>
      </c>
      <c r="V9434" t="s">
        <v>103</v>
      </c>
      <c r="W9434" t="s">
        <v>601</v>
      </c>
      <c r="X9434" t="s">
        <v>282</v>
      </c>
      <c r="Y9434" t="s">
        <v>103</v>
      </c>
      <c r="Z9434" t="s">
        <v>103</v>
      </c>
      <c r="AA9434" t="s">
        <v>103</v>
      </c>
      <c r="AB9434" t="s">
        <v>66</v>
      </c>
      <c r="AC9434" t="s">
        <v>118</v>
      </c>
      <c r="AD9434" t="s">
        <v>103</v>
      </c>
      <c r="AE9434" t="s">
        <v>103</v>
      </c>
      <c r="AF9434" t="s">
        <v>468</v>
      </c>
    </row>
    <row r="9435" spans="1:32" x14ac:dyDescent="0.3">
      <c r="A9435" t="s">
        <v>41</v>
      </c>
      <c r="B9435" t="s">
        <v>2573</v>
      </c>
      <c r="C9435">
        <v>374</v>
      </c>
      <c r="D9435" t="s">
        <v>629</v>
      </c>
      <c r="E9435" t="s">
        <v>406</v>
      </c>
      <c r="F9435" t="s">
        <v>460</v>
      </c>
      <c r="G9435" t="s">
        <v>526</v>
      </c>
      <c r="H9435" t="s">
        <v>918</v>
      </c>
      <c r="I9435" t="s">
        <v>60</v>
      </c>
      <c r="J9435" t="s">
        <v>523</v>
      </c>
      <c r="K9435" t="s">
        <v>2185</v>
      </c>
      <c r="L9435" t="s">
        <v>1200</v>
      </c>
      <c r="M9435" t="s">
        <v>270</v>
      </c>
      <c r="N9435" t="s">
        <v>918</v>
      </c>
      <c r="O9435" t="s">
        <v>490</v>
      </c>
      <c r="P9435" t="s">
        <v>515</v>
      </c>
      <c r="Q9435" t="s">
        <v>113</v>
      </c>
      <c r="R9435" t="s">
        <v>1090</v>
      </c>
      <c r="S9435" t="s">
        <v>890</v>
      </c>
      <c r="T9435" t="s">
        <v>232</v>
      </c>
      <c r="U9435" t="s">
        <v>257</v>
      </c>
      <c r="V9435" t="s">
        <v>103</v>
      </c>
      <c r="W9435" t="s">
        <v>133</v>
      </c>
      <c r="X9435" t="s">
        <v>188</v>
      </c>
      <c r="Y9435" t="s">
        <v>97</v>
      </c>
      <c r="Z9435" t="s">
        <v>97</v>
      </c>
      <c r="AA9435" t="s">
        <v>103</v>
      </c>
      <c r="AB9435" t="s">
        <v>103</v>
      </c>
      <c r="AC9435" t="s">
        <v>282</v>
      </c>
      <c r="AD9435" t="s">
        <v>122</v>
      </c>
      <c r="AE9435" t="s">
        <v>120</v>
      </c>
      <c r="AF9435" t="s">
        <v>467</v>
      </c>
    </row>
    <row r="9436" spans="1:32" x14ac:dyDescent="0.3">
      <c r="A9436" t="s">
        <v>41</v>
      </c>
      <c r="B9436" t="s">
        <v>2574</v>
      </c>
      <c r="C9436">
        <v>1183</v>
      </c>
      <c r="D9436" t="s">
        <v>137</v>
      </c>
      <c r="E9436" t="s">
        <v>1096</v>
      </c>
      <c r="F9436" t="s">
        <v>125</v>
      </c>
      <c r="G9436" t="s">
        <v>48</v>
      </c>
      <c r="H9436" t="s">
        <v>494</v>
      </c>
      <c r="I9436" t="s">
        <v>266</v>
      </c>
      <c r="J9436" t="s">
        <v>129</v>
      </c>
      <c r="K9436" t="s">
        <v>1087</v>
      </c>
      <c r="L9436" t="s">
        <v>564</v>
      </c>
      <c r="M9436" t="s">
        <v>195</v>
      </c>
      <c r="N9436" t="s">
        <v>190</v>
      </c>
      <c r="O9436" t="s">
        <v>679</v>
      </c>
      <c r="P9436" t="s">
        <v>700</v>
      </c>
      <c r="Q9436" t="s">
        <v>216</v>
      </c>
      <c r="R9436" t="s">
        <v>644</v>
      </c>
      <c r="S9436" t="s">
        <v>494</v>
      </c>
      <c r="T9436" t="s">
        <v>272</v>
      </c>
      <c r="U9436" t="s">
        <v>329</v>
      </c>
      <c r="V9436" t="s">
        <v>66</v>
      </c>
      <c r="W9436" t="s">
        <v>70</v>
      </c>
      <c r="X9436" t="s">
        <v>139</v>
      </c>
      <c r="Y9436" t="s">
        <v>468</v>
      </c>
      <c r="Z9436" t="s">
        <v>95</v>
      </c>
      <c r="AA9436" t="s">
        <v>66</v>
      </c>
      <c r="AB9436" t="s">
        <v>97</v>
      </c>
      <c r="AC9436" t="s">
        <v>120</v>
      </c>
      <c r="AD9436" t="s">
        <v>98</v>
      </c>
      <c r="AE9436" t="s">
        <v>103</v>
      </c>
      <c r="AF9436" t="s">
        <v>607</v>
      </c>
    </row>
    <row r="9438" spans="1:32" x14ac:dyDescent="0.3">
      <c r="A9438" t="s">
        <v>2575</v>
      </c>
    </row>
    <row r="9439" spans="1:32" x14ac:dyDescent="0.3">
      <c r="A9439" t="s">
        <v>36</v>
      </c>
      <c r="B9439" t="s">
        <v>24</v>
      </c>
      <c r="C9439" t="s">
        <v>2576</v>
      </c>
      <c r="D9439" t="s">
        <v>2577</v>
      </c>
      <c r="E9439" t="s">
        <v>2578</v>
      </c>
      <c r="F9439" t="s">
        <v>2579</v>
      </c>
      <c r="G9439" t="s">
        <v>183</v>
      </c>
      <c r="H9439" t="s">
        <v>87</v>
      </c>
      <c r="I9439" t="s">
        <v>181</v>
      </c>
    </row>
    <row r="9440" spans="1:32" x14ac:dyDescent="0.3">
      <c r="A9440" t="s">
        <v>25</v>
      </c>
      <c r="B9440">
        <v>414</v>
      </c>
      <c r="C9440" t="s">
        <v>120</v>
      </c>
      <c r="D9440" t="s">
        <v>1397</v>
      </c>
      <c r="E9440" t="s">
        <v>336</v>
      </c>
      <c r="F9440" t="s">
        <v>1049</v>
      </c>
      <c r="G9440" t="s">
        <v>103</v>
      </c>
      <c r="H9440" t="s">
        <v>91</v>
      </c>
      <c r="I9440" t="s">
        <v>103</v>
      </c>
    </row>
    <row r="9441" spans="1:10" x14ac:dyDescent="0.3">
      <c r="A9441" t="s">
        <v>26</v>
      </c>
      <c r="B9441">
        <v>477</v>
      </c>
      <c r="C9441" t="s">
        <v>122</v>
      </c>
      <c r="D9441" t="s">
        <v>1397</v>
      </c>
      <c r="E9441" t="s">
        <v>867</v>
      </c>
      <c r="F9441" t="s">
        <v>572</v>
      </c>
      <c r="G9441" t="s">
        <v>103</v>
      </c>
      <c r="H9441" t="s">
        <v>66</v>
      </c>
      <c r="I9441" t="s">
        <v>103</v>
      </c>
    </row>
    <row r="9442" spans="1:10" x14ac:dyDescent="0.3">
      <c r="A9442" t="s">
        <v>29</v>
      </c>
      <c r="B9442">
        <v>530</v>
      </c>
      <c r="C9442" t="s">
        <v>120</v>
      </c>
      <c r="D9442" t="s">
        <v>1321</v>
      </c>
      <c r="E9442" t="s">
        <v>867</v>
      </c>
      <c r="F9442" t="s">
        <v>1215</v>
      </c>
      <c r="G9442" t="s">
        <v>103</v>
      </c>
      <c r="H9442" t="s">
        <v>122</v>
      </c>
      <c r="I9442" t="s">
        <v>103</v>
      </c>
    </row>
    <row r="9443" spans="1:10" x14ac:dyDescent="0.3">
      <c r="A9443" t="s">
        <v>28</v>
      </c>
      <c r="B9443">
        <v>317</v>
      </c>
      <c r="C9443" t="s">
        <v>122</v>
      </c>
      <c r="D9443" t="s">
        <v>1239</v>
      </c>
      <c r="E9443" t="s">
        <v>342</v>
      </c>
      <c r="F9443" t="s">
        <v>784</v>
      </c>
      <c r="G9443" t="s">
        <v>103</v>
      </c>
      <c r="H9443" t="s">
        <v>103</v>
      </c>
      <c r="I9443" t="s">
        <v>103</v>
      </c>
    </row>
    <row r="9444" spans="1:10" x14ac:dyDescent="0.3">
      <c r="A9444" t="s">
        <v>27</v>
      </c>
      <c r="B9444">
        <v>300</v>
      </c>
      <c r="C9444" t="s">
        <v>116</v>
      </c>
      <c r="D9444" t="s">
        <v>802</v>
      </c>
      <c r="E9444" t="s">
        <v>611</v>
      </c>
      <c r="F9444" t="s">
        <v>431</v>
      </c>
      <c r="G9444" t="s">
        <v>116</v>
      </c>
      <c r="H9444" t="s">
        <v>103</v>
      </c>
      <c r="I9444" t="s">
        <v>116</v>
      </c>
    </row>
    <row r="9445" spans="1:10" x14ac:dyDescent="0.3">
      <c r="A9445" t="s">
        <v>41</v>
      </c>
      <c r="B9445">
        <v>2038</v>
      </c>
      <c r="C9445" t="s">
        <v>97</v>
      </c>
      <c r="D9445" t="s">
        <v>826</v>
      </c>
      <c r="E9445" t="s">
        <v>840</v>
      </c>
      <c r="F9445" t="s">
        <v>1236</v>
      </c>
      <c r="G9445" t="s">
        <v>103</v>
      </c>
      <c r="H9445" t="s">
        <v>66</v>
      </c>
      <c r="I9445" t="s">
        <v>103</v>
      </c>
    </row>
    <row r="9447" spans="1:10" x14ac:dyDescent="0.3">
      <c r="A9447" t="s">
        <v>2580</v>
      </c>
    </row>
    <row r="9448" spans="1:10" x14ac:dyDescent="0.3">
      <c r="A9448" t="s">
        <v>36</v>
      </c>
      <c r="B9448" t="s">
        <v>307</v>
      </c>
      <c r="C9448" t="s">
        <v>24</v>
      </c>
      <c r="D9448" t="s">
        <v>2576</v>
      </c>
      <c r="E9448" t="s">
        <v>2577</v>
      </c>
      <c r="F9448" t="s">
        <v>2578</v>
      </c>
      <c r="G9448" t="s">
        <v>2579</v>
      </c>
      <c r="H9448" t="s">
        <v>183</v>
      </c>
      <c r="I9448" t="s">
        <v>87</v>
      </c>
      <c r="J9448" t="s">
        <v>181</v>
      </c>
    </row>
    <row r="9449" spans="1:10" x14ac:dyDescent="0.3">
      <c r="A9449" t="s">
        <v>25</v>
      </c>
      <c r="B9449" t="s">
        <v>291</v>
      </c>
      <c r="C9449">
        <v>156</v>
      </c>
      <c r="D9449" t="s">
        <v>91</v>
      </c>
      <c r="E9449" t="s">
        <v>1462</v>
      </c>
      <c r="F9449" t="s">
        <v>332</v>
      </c>
      <c r="G9449" t="s">
        <v>665</v>
      </c>
      <c r="H9449" t="s">
        <v>103</v>
      </c>
      <c r="I9449" t="s">
        <v>103</v>
      </c>
      <c r="J9449" t="s">
        <v>103</v>
      </c>
    </row>
    <row r="9450" spans="1:10" x14ac:dyDescent="0.3">
      <c r="A9450" t="s">
        <v>25</v>
      </c>
      <c r="B9450" t="s">
        <v>292</v>
      </c>
      <c r="C9450">
        <v>254</v>
      </c>
      <c r="D9450" t="s">
        <v>98</v>
      </c>
      <c r="E9450" t="s">
        <v>866</v>
      </c>
      <c r="F9450" t="s">
        <v>840</v>
      </c>
      <c r="G9450" t="s">
        <v>1007</v>
      </c>
      <c r="H9450" t="s">
        <v>103</v>
      </c>
      <c r="I9450" t="s">
        <v>91</v>
      </c>
      <c r="J9450" t="s">
        <v>103</v>
      </c>
    </row>
    <row r="9451" spans="1:10" x14ac:dyDescent="0.3">
      <c r="A9451" t="s">
        <v>25</v>
      </c>
      <c r="B9451" t="s">
        <v>308</v>
      </c>
      <c r="C9451">
        <v>4</v>
      </c>
      <c r="D9451" t="s">
        <v>103</v>
      </c>
      <c r="E9451" t="s">
        <v>240</v>
      </c>
      <c r="F9451" t="s">
        <v>192</v>
      </c>
      <c r="G9451" t="s">
        <v>298</v>
      </c>
      <c r="H9451" t="s">
        <v>103</v>
      </c>
      <c r="I9451" t="s">
        <v>103</v>
      </c>
      <c r="J9451" t="s">
        <v>103</v>
      </c>
    </row>
    <row r="9452" spans="1:10" x14ac:dyDescent="0.3">
      <c r="A9452" t="s">
        <v>26</v>
      </c>
      <c r="B9452" t="s">
        <v>291</v>
      </c>
      <c r="C9452">
        <v>122</v>
      </c>
      <c r="D9452" t="s">
        <v>103</v>
      </c>
      <c r="E9452" t="s">
        <v>381</v>
      </c>
      <c r="F9452" t="s">
        <v>803</v>
      </c>
      <c r="G9452" t="s">
        <v>1133</v>
      </c>
      <c r="H9452" t="s">
        <v>103</v>
      </c>
      <c r="I9452" t="s">
        <v>103</v>
      </c>
      <c r="J9452" t="s">
        <v>103</v>
      </c>
    </row>
    <row r="9453" spans="1:10" x14ac:dyDescent="0.3">
      <c r="A9453" t="s">
        <v>26</v>
      </c>
      <c r="B9453" t="s">
        <v>292</v>
      </c>
      <c r="C9453">
        <v>352</v>
      </c>
      <c r="D9453" t="s">
        <v>97</v>
      </c>
      <c r="E9453" t="s">
        <v>294</v>
      </c>
      <c r="F9453" t="s">
        <v>840</v>
      </c>
      <c r="G9453" t="s">
        <v>1425</v>
      </c>
      <c r="H9453" t="s">
        <v>103</v>
      </c>
      <c r="I9453" t="s">
        <v>116</v>
      </c>
      <c r="J9453" t="s">
        <v>103</v>
      </c>
    </row>
    <row r="9454" spans="1:10" x14ac:dyDescent="0.3">
      <c r="A9454" t="s">
        <v>26</v>
      </c>
      <c r="B9454" t="s">
        <v>308</v>
      </c>
      <c r="C9454">
        <v>3</v>
      </c>
      <c r="D9454" t="s">
        <v>103</v>
      </c>
      <c r="E9454" t="s">
        <v>192</v>
      </c>
      <c r="F9454" t="s">
        <v>192</v>
      </c>
      <c r="G9454" t="s">
        <v>784</v>
      </c>
      <c r="H9454" t="s">
        <v>103</v>
      </c>
      <c r="I9454" t="s">
        <v>103</v>
      </c>
      <c r="J9454" t="s">
        <v>103</v>
      </c>
    </row>
    <row r="9455" spans="1:10" x14ac:dyDescent="0.3">
      <c r="A9455" t="s">
        <v>29</v>
      </c>
      <c r="B9455" t="s">
        <v>291</v>
      </c>
      <c r="C9455">
        <v>205</v>
      </c>
      <c r="D9455" t="s">
        <v>103</v>
      </c>
      <c r="E9455" t="s">
        <v>235</v>
      </c>
      <c r="F9455" t="s">
        <v>880</v>
      </c>
      <c r="G9455" t="s">
        <v>442</v>
      </c>
      <c r="H9455" t="s">
        <v>103</v>
      </c>
      <c r="I9455" t="s">
        <v>103</v>
      </c>
      <c r="J9455" t="s">
        <v>103</v>
      </c>
    </row>
    <row r="9456" spans="1:10" x14ac:dyDescent="0.3">
      <c r="A9456" t="s">
        <v>29</v>
      </c>
      <c r="B9456" t="s">
        <v>292</v>
      </c>
      <c r="C9456">
        <v>325</v>
      </c>
      <c r="D9456" t="s">
        <v>282</v>
      </c>
      <c r="E9456" t="s">
        <v>1375</v>
      </c>
      <c r="F9456" t="s">
        <v>185</v>
      </c>
      <c r="G9456" t="s">
        <v>1284</v>
      </c>
      <c r="H9456" t="s">
        <v>103</v>
      </c>
      <c r="I9456" t="s">
        <v>120</v>
      </c>
      <c r="J9456" t="s">
        <v>103</v>
      </c>
    </row>
    <row r="9457" spans="1:10" x14ac:dyDescent="0.3">
      <c r="A9457" t="s">
        <v>28</v>
      </c>
      <c r="B9457" t="s">
        <v>291</v>
      </c>
      <c r="C9457">
        <v>114</v>
      </c>
      <c r="D9457" t="s">
        <v>345</v>
      </c>
      <c r="E9457" t="s">
        <v>2108</v>
      </c>
      <c r="F9457" t="s">
        <v>1633</v>
      </c>
      <c r="G9457" t="s">
        <v>1016</v>
      </c>
      <c r="H9457" t="s">
        <v>103</v>
      </c>
      <c r="I9457" t="s">
        <v>103</v>
      </c>
      <c r="J9457" t="s">
        <v>103</v>
      </c>
    </row>
    <row r="9458" spans="1:10" x14ac:dyDescent="0.3">
      <c r="A9458" t="s">
        <v>28</v>
      </c>
      <c r="B9458" t="s">
        <v>292</v>
      </c>
      <c r="C9458">
        <v>191</v>
      </c>
      <c r="D9458" t="s">
        <v>103</v>
      </c>
      <c r="E9458" t="s">
        <v>976</v>
      </c>
      <c r="F9458" t="s">
        <v>323</v>
      </c>
      <c r="G9458" t="s">
        <v>430</v>
      </c>
      <c r="H9458" t="s">
        <v>103</v>
      </c>
      <c r="I9458" t="s">
        <v>103</v>
      </c>
      <c r="J9458" t="s">
        <v>103</v>
      </c>
    </row>
    <row r="9459" spans="1:10" x14ac:dyDescent="0.3">
      <c r="A9459" t="s">
        <v>28</v>
      </c>
      <c r="B9459" t="s">
        <v>308</v>
      </c>
      <c r="C9459">
        <v>12</v>
      </c>
      <c r="D9459" t="s">
        <v>103</v>
      </c>
      <c r="E9459" t="s">
        <v>600</v>
      </c>
      <c r="F9459" t="s">
        <v>1134</v>
      </c>
      <c r="G9459" t="s">
        <v>757</v>
      </c>
      <c r="H9459" t="s">
        <v>103</v>
      </c>
      <c r="I9459" t="s">
        <v>103</v>
      </c>
      <c r="J9459" t="s">
        <v>103</v>
      </c>
    </row>
    <row r="9460" spans="1:10" x14ac:dyDescent="0.3">
      <c r="A9460" t="s">
        <v>27</v>
      </c>
      <c r="B9460" t="s">
        <v>291</v>
      </c>
      <c r="C9460">
        <v>95</v>
      </c>
      <c r="D9460" t="s">
        <v>468</v>
      </c>
      <c r="E9460" t="s">
        <v>1390</v>
      </c>
      <c r="F9460" t="s">
        <v>1167</v>
      </c>
      <c r="G9460" t="s">
        <v>430</v>
      </c>
      <c r="H9460" t="s">
        <v>103</v>
      </c>
      <c r="I9460" t="s">
        <v>103</v>
      </c>
      <c r="J9460" t="s">
        <v>103</v>
      </c>
    </row>
    <row r="9461" spans="1:10" x14ac:dyDescent="0.3">
      <c r="A9461" t="s">
        <v>27</v>
      </c>
      <c r="B9461" t="s">
        <v>292</v>
      </c>
      <c r="C9461">
        <v>198</v>
      </c>
      <c r="D9461" t="s">
        <v>103</v>
      </c>
      <c r="E9461" t="s">
        <v>1426</v>
      </c>
      <c r="F9461" t="s">
        <v>279</v>
      </c>
      <c r="G9461" t="s">
        <v>358</v>
      </c>
      <c r="H9461" t="s">
        <v>97</v>
      </c>
      <c r="I9461" t="s">
        <v>103</v>
      </c>
      <c r="J9461" t="s">
        <v>97</v>
      </c>
    </row>
    <row r="9462" spans="1:10" x14ac:dyDescent="0.3">
      <c r="A9462" t="s">
        <v>27</v>
      </c>
      <c r="B9462" t="s">
        <v>308</v>
      </c>
      <c r="C9462">
        <v>7</v>
      </c>
      <c r="D9462" t="s">
        <v>103</v>
      </c>
      <c r="E9462" t="s">
        <v>192</v>
      </c>
      <c r="F9462" t="s">
        <v>151</v>
      </c>
      <c r="G9462" t="s">
        <v>811</v>
      </c>
      <c r="H9462" t="s">
        <v>103</v>
      </c>
      <c r="I9462" t="s">
        <v>103</v>
      </c>
      <c r="J9462" t="s">
        <v>103</v>
      </c>
    </row>
    <row r="9463" spans="1:10" x14ac:dyDescent="0.3">
      <c r="A9463" t="s">
        <v>41</v>
      </c>
      <c r="B9463" t="s">
        <v>291</v>
      </c>
      <c r="C9463">
        <v>692</v>
      </c>
      <c r="D9463" t="s">
        <v>91</v>
      </c>
      <c r="E9463" t="s">
        <v>379</v>
      </c>
      <c r="F9463" t="s">
        <v>837</v>
      </c>
      <c r="G9463" t="s">
        <v>810</v>
      </c>
      <c r="H9463" t="s">
        <v>103</v>
      </c>
      <c r="I9463" t="s">
        <v>103</v>
      </c>
      <c r="J9463" t="s">
        <v>103</v>
      </c>
    </row>
    <row r="9464" spans="1:10" x14ac:dyDescent="0.3">
      <c r="A9464" t="s">
        <v>41</v>
      </c>
      <c r="B9464" t="s">
        <v>292</v>
      </c>
      <c r="C9464">
        <v>1320</v>
      </c>
      <c r="D9464" t="s">
        <v>95</v>
      </c>
      <c r="E9464" t="s">
        <v>229</v>
      </c>
      <c r="F9464" t="s">
        <v>1633</v>
      </c>
      <c r="G9464" t="s">
        <v>359</v>
      </c>
      <c r="H9464" t="s">
        <v>103</v>
      </c>
      <c r="I9464" t="s">
        <v>122</v>
      </c>
      <c r="J9464" t="s">
        <v>103</v>
      </c>
    </row>
    <row r="9465" spans="1:10" x14ac:dyDescent="0.3">
      <c r="A9465" t="s">
        <v>41</v>
      </c>
      <c r="B9465" t="s">
        <v>308</v>
      </c>
      <c r="C9465">
        <v>26</v>
      </c>
      <c r="D9465" t="s">
        <v>103</v>
      </c>
      <c r="E9465" t="s">
        <v>1167</v>
      </c>
      <c r="F9465" t="s">
        <v>597</v>
      </c>
      <c r="G9465" t="s">
        <v>434</v>
      </c>
      <c r="H9465" t="s">
        <v>103</v>
      </c>
      <c r="I9465" t="s">
        <v>103</v>
      </c>
      <c r="J9465" t="s">
        <v>103</v>
      </c>
    </row>
    <row r="9467" spans="1:10" x14ac:dyDescent="0.3">
      <c r="A9467" t="s">
        <v>2581</v>
      </c>
    </row>
    <row r="9468" spans="1:10" x14ac:dyDescent="0.3">
      <c r="A9468" t="s">
        <v>36</v>
      </c>
      <c r="B9468" t="s">
        <v>310</v>
      </c>
      <c r="C9468" t="s">
        <v>24</v>
      </c>
      <c r="D9468" t="s">
        <v>2576</v>
      </c>
      <c r="E9468" t="s">
        <v>2577</v>
      </c>
      <c r="F9468" t="s">
        <v>2578</v>
      </c>
      <c r="G9468" t="s">
        <v>2579</v>
      </c>
      <c r="H9468" t="s">
        <v>183</v>
      </c>
      <c r="I9468" t="s">
        <v>87</v>
      </c>
      <c r="J9468" t="s">
        <v>181</v>
      </c>
    </row>
    <row r="9469" spans="1:10" x14ac:dyDescent="0.3">
      <c r="A9469" t="s">
        <v>25</v>
      </c>
      <c r="B9469" t="s">
        <v>311</v>
      </c>
      <c r="C9469">
        <v>324</v>
      </c>
      <c r="D9469" t="s">
        <v>95</v>
      </c>
      <c r="E9469" t="s">
        <v>817</v>
      </c>
      <c r="F9469" t="s">
        <v>65</v>
      </c>
      <c r="G9469" t="s">
        <v>432</v>
      </c>
      <c r="H9469" t="s">
        <v>103</v>
      </c>
      <c r="I9469" t="s">
        <v>91</v>
      </c>
      <c r="J9469" t="s">
        <v>103</v>
      </c>
    </row>
    <row r="9470" spans="1:10" x14ac:dyDescent="0.3">
      <c r="A9470" t="s">
        <v>25</v>
      </c>
      <c r="B9470" t="s">
        <v>312</v>
      </c>
      <c r="C9470">
        <v>80</v>
      </c>
      <c r="D9470" t="s">
        <v>103</v>
      </c>
      <c r="E9470" t="s">
        <v>1462</v>
      </c>
      <c r="F9470" t="s">
        <v>289</v>
      </c>
      <c r="G9470" t="s">
        <v>943</v>
      </c>
      <c r="H9470" t="s">
        <v>103</v>
      </c>
      <c r="I9470" t="s">
        <v>103</v>
      </c>
      <c r="J9470" t="s">
        <v>103</v>
      </c>
    </row>
    <row r="9471" spans="1:10" x14ac:dyDescent="0.3">
      <c r="A9471" t="s">
        <v>25</v>
      </c>
      <c r="B9471" t="s">
        <v>308</v>
      </c>
      <c r="C9471">
        <v>10</v>
      </c>
      <c r="D9471" t="s">
        <v>103</v>
      </c>
      <c r="E9471" t="s">
        <v>1373</v>
      </c>
      <c r="F9471" t="s">
        <v>192</v>
      </c>
      <c r="G9471" t="s">
        <v>1082</v>
      </c>
      <c r="H9471" t="s">
        <v>103</v>
      </c>
      <c r="I9471" t="s">
        <v>103</v>
      </c>
      <c r="J9471" t="s">
        <v>103</v>
      </c>
    </row>
    <row r="9472" spans="1:10" x14ac:dyDescent="0.3">
      <c r="A9472" t="s">
        <v>26</v>
      </c>
      <c r="B9472" t="s">
        <v>311</v>
      </c>
      <c r="C9472">
        <v>343</v>
      </c>
      <c r="D9472" t="s">
        <v>103</v>
      </c>
      <c r="E9472" t="s">
        <v>937</v>
      </c>
      <c r="F9472" t="s">
        <v>332</v>
      </c>
      <c r="G9472" t="s">
        <v>1404</v>
      </c>
      <c r="H9472" t="s">
        <v>103</v>
      </c>
      <c r="I9472" t="s">
        <v>116</v>
      </c>
      <c r="J9472" t="s">
        <v>103</v>
      </c>
    </row>
    <row r="9473" spans="1:10" x14ac:dyDescent="0.3">
      <c r="A9473" t="s">
        <v>26</v>
      </c>
      <c r="B9473" t="s">
        <v>312</v>
      </c>
      <c r="C9473">
        <v>96</v>
      </c>
      <c r="D9473" t="s">
        <v>329</v>
      </c>
      <c r="E9473" t="s">
        <v>387</v>
      </c>
      <c r="F9473" t="s">
        <v>203</v>
      </c>
      <c r="G9473" t="s">
        <v>432</v>
      </c>
      <c r="H9473" t="s">
        <v>103</v>
      </c>
      <c r="I9473" t="s">
        <v>103</v>
      </c>
      <c r="J9473" t="s">
        <v>103</v>
      </c>
    </row>
    <row r="9474" spans="1:10" x14ac:dyDescent="0.3">
      <c r="A9474" t="s">
        <v>26</v>
      </c>
      <c r="B9474" t="s">
        <v>308</v>
      </c>
      <c r="C9474">
        <v>38</v>
      </c>
      <c r="D9474" t="s">
        <v>103</v>
      </c>
      <c r="E9474" t="s">
        <v>939</v>
      </c>
      <c r="F9474" t="s">
        <v>192</v>
      </c>
      <c r="G9474" t="s">
        <v>367</v>
      </c>
      <c r="H9474" t="s">
        <v>103</v>
      </c>
      <c r="I9474" t="s">
        <v>103</v>
      </c>
      <c r="J9474" t="s">
        <v>103</v>
      </c>
    </row>
    <row r="9475" spans="1:10" x14ac:dyDescent="0.3">
      <c r="A9475" t="s">
        <v>29</v>
      </c>
      <c r="B9475" t="s">
        <v>311</v>
      </c>
      <c r="C9475">
        <v>414</v>
      </c>
      <c r="D9475" t="s">
        <v>91</v>
      </c>
      <c r="E9475" t="s">
        <v>924</v>
      </c>
      <c r="F9475" t="s">
        <v>322</v>
      </c>
      <c r="G9475" t="s">
        <v>442</v>
      </c>
      <c r="H9475" t="s">
        <v>103</v>
      </c>
      <c r="I9475" t="s">
        <v>103</v>
      </c>
      <c r="J9475" t="s">
        <v>103</v>
      </c>
    </row>
    <row r="9476" spans="1:10" x14ac:dyDescent="0.3">
      <c r="A9476" t="s">
        <v>29</v>
      </c>
      <c r="B9476" t="s">
        <v>312</v>
      </c>
      <c r="C9476">
        <v>103</v>
      </c>
      <c r="D9476" t="s">
        <v>217</v>
      </c>
      <c r="E9476" t="s">
        <v>784</v>
      </c>
      <c r="F9476" t="s">
        <v>616</v>
      </c>
      <c r="G9476" t="s">
        <v>804</v>
      </c>
      <c r="H9476" t="s">
        <v>103</v>
      </c>
      <c r="I9476" t="s">
        <v>208</v>
      </c>
      <c r="J9476" t="s">
        <v>103</v>
      </c>
    </row>
    <row r="9477" spans="1:10" x14ac:dyDescent="0.3">
      <c r="A9477" t="s">
        <v>29</v>
      </c>
      <c r="B9477" t="s">
        <v>308</v>
      </c>
      <c r="C9477">
        <v>13</v>
      </c>
      <c r="D9477" t="s">
        <v>103</v>
      </c>
      <c r="E9477" t="s">
        <v>397</v>
      </c>
      <c r="F9477" t="s">
        <v>192</v>
      </c>
      <c r="G9477" t="s">
        <v>1579</v>
      </c>
      <c r="H9477" t="s">
        <v>103</v>
      </c>
      <c r="I9477" t="s">
        <v>103</v>
      </c>
      <c r="J9477" t="s">
        <v>103</v>
      </c>
    </row>
    <row r="9478" spans="1:10" x14ac:dyDescent="0.3">
      <c r="A9478" t="s">
        <v>28</v>
      </c>
      <c r="B9478" t="s">
        <v>311</v>
      </c>
      <c r="C9478">
        <v>223</v>
      </c>
      <c r="D9478" t="s">
        <v>120</v>
      </c>
      <c r="E9478" t="s">
        <v>1012</v>
      </c>
      <c r="F9478" t="s">
        <v>1481</v>
      </c>
      <c r="G9478" t="s">
        <v>1392</v>
      </c>
      <c r="H9478" t="s">
        <v>103</v>
      </c>
      <c r="I9478" t="s">
        <v>103</v>
      </c>
      <c r="J9478" t="s">
        <v>103</v>
      </c>
    </row>
    <row r="9479" spans="1:10" x14ac:dyDescent="0.3">
      <c r="A9479" t="s">
        <v>28</v>
      </c>
      <c r="B9479" t="s">
        <v>312</v>
      </c>
      <c r="C9479">
        <v>93</v>
      </c>
      <c r="D9479" t="s">
        <v>103</v>
      </c>
      <c r="E9479" t="s">
        <v>618</v>
      </c>
      <c r="F9479" t="s">
        <v>340</v>
      </c>
      <c r="G9479" t="s">
        <v>1279</v>
      </c>
      <c r="H9479" t="s">
        <v>103</v>
      </c>
      <c r="I9479" t="s">
        <v>103</v>
      </c>
      <c r="J9479" t="s">
        <v>103</v>
      </c>
    </row>
    <row r="9480" spans="1:10" x14ac:dyDescent="0.3">
      <c r="A9480" t="s">
        <v>28</v>
      </c>
      <c r="B9480" t="s">
        <v>308</v>
      </c>
      <c r="C9480">
        <v>1</v>
      </c>
      <c r="D9480" t="s">
        <v>103</v>
      </c>
      <c r="E9480" t="s">
        <v>192</v>
      </c>
      <c r="F9480" t="s">
        <v>192</v>
      </c>
      <c r="G9480" t="s">
        <v>103</v>
      </c>
      <c r="H9480" t="s">
        <v>103</v>
      </c>
      <c r="I9480" t="s">
        <v>103</v>
      </c>
      <c r="J9480" t="s">
        <v>103</v>
      </c>
    </row>
    <row r="9481" spans="1:10" x14ac:dyDescent="0.3">
      <c r="A9481" t="s">
        <v>27</v>
      </c>
      <c r="B9481" t="s">
        <v>311</v>
      </c>
      <c r="C9481">
        <v>237</v>
      </c>
      <c r="D9481" t="s">
        <v>103</v>
      </c>
      <c r="E9481" t="s">
        <v>395</v>
      </c>
      <c r="F9481" t="s">
        <v>185</v>
      </c>
      <c r="G9481" t="s">
        <v>748</v>
      </c>
      <c r="H9481" t="s">
        <v>122</v>
      </c>
      <c r="I9481" t="s">
        <v>103</v>
      </c>
      <c r="J9481" t="s">
        <v>103</v>
      </c>
    </row>
    <row r="9482" spans="1:10" x14ac:dyDescent="0.3">
      <c r="A9482" t="s">
        <v>27</v>
      </c>
      <c r="B9482" t="s">
        <v>312</v>
      </c>
      <c r="C9482">
        <v>60</v>
      </c>
      <c r="D9482" t="s">
        <v>208</v>
      </c>
      <c r="E9482" t="s">
        <v>368</v>
      </c>
      <c r="F9482" t="s">
        <v>1019</v>
      </c>
      <c r="G9482" t="s">
        <v>362</v>
      </c>
      <c r="H9482" t="s">
        <v>103</v>
      </c>
      <c r="I9482" t="s">
        <v>103</v>
      </c>
      <c r="J9482" t="s">
        <v>208</v>
      </c>
    </row>
    <row r="9483" spans="1:10" x14ac:dyDescent="0.3">
      <c r="A9483" t="s">
        <v>27</v>
      </c>
      <c r="B9483" t="s">
        <v>308</v>
      </c>
      <c r="C9483">
        <v>3</v>
      </c>
      <c r="D9483" t="s">
        <v>103</v>
      </c>
      <c r="E9483" t="s">
        <v>406</v>
      </c>
      <c r="F9483" t="s">
        <v>192</v>
      </c>
      <c r="G9483" t="s">
        <v>103</v>
      </c>
      <c r="H9483" t="s">
        <v>103</v>
      </c>
      <c r="I9483" t="s">
        <v>103</v>
      </c>
      <c r="J9483" t="s">
        <v>103</v>
      </c>
    </row>
    <row r="9484" spans="1:10" x14ac:dyDescent="0.3">
      <c r="A9484" t="s">
        <v>41</v>
      </c>
      <c r="B9484" t="s">
        <v>311</v>
      </c>
      <c r="C9484">
        <v>1541</v>
      </c>
      <c r="D9484" t="s">
        <v>66</v>
      </c>
      <c r="E9484" t="s">
        <v>726</v>
      </c>
      <c r="F9484" t="s">
        <v>339</v>
      </c>
      <c r="G9484" t="s">
        <v>401</v>
      </c>
      <c r="H9484" t="s">
        <v>103</v>
      </c>
      <c r="I9484" t="s">
        <v>91</v>
      </c>
      <c r="J9484" t="s">
        <v>103</v>
      </c>
    </row>
    <row r="9485" spans="1:10" x14ac:dyDescent="0.3">
      <c r="A9485" t="s">
        <v>41</v>
      </c>
      <c r="B9485" t="s">
        <v>312</v>
      </c>
      <c r="C9485">
        <v>432</v>
      </c>
      <c r="D9485" t="s">
        <v>105</v>
      </c>
      <c r="E9485" t="s">
        <v>1252</v>
      </c>
      <c r="F9485" t="s">
        <v>871</v>
      </c>
      <c r="G9485" t="s">
        <v>225</v>
      </c>
      <c r="H9485" t="s">
        <v>103</v>
      </c>
      <c r="I9485" t="s">
        <v>98</v>
      </c>
      <c r="J9485" t="s">
        <v>91</v>
      </c>
    </row>
    <row r="9486" spans="1:10" x14ac:dyDescent="0.3">
      <c r="A9486" t="s">
        <v>41</v>
      </c>
      <c r="B9486" t="s">
        <v>308</v>
      </c>
      <c r="C9486">
        <v>65</v>
      </c>
      <c r="D9486" t="s">
        <v>103</v>
      </c>
      <c r="E9486" t="s">
        <v>1245</v>
      </c>
      <c r="F9486" t="s">
        <v>192</v>
      </c>
      <c r="G9486" t="s">
        <v>367</v>
      </c>
      <c r="H9486" t="s">
        <v>103</v>
      </c>
      <c r="I9486" t="s">
        <v>103</v>
      </c>
      <c r="J9486" t="s">
        <v>103</v>
      </c>
    </row>
    <row r="9488" spans="1:10" x14ac:dyDescent="0.3">
      <c r="A9488" t="s">
        <v>2582</v>
      </c>
    </row>
    <row r="9489" spans="1:10" x14ac:dyDescent="0.3">
      <c r="A9489" t="s">
        <v>36</v>
      </c>
      <c r="B9489" t="s">
        <v>197</v>
      </c>
      <c r="C9489" t="s">
        <v>24</v>
      </c>
      <c r="D9489" t="s">
        <v>2576</v>
      </c>
      <c r="E9489" t="s">
        <v>2577</v>
      </c>
      <c r="F9489" t="s">
        <v>2578</v>
      </c>
      <c r="G9489" t="s">
        <v>2579</v>
      </c>
      <c r="H9489" t="s">
        <v>183</v>
      </c>
      <c r="I9489" t="s">
        <v>87</v>
      </c>
      <c r="J9489" t="s">
        <v>181</v>
      </c>
    </row>
    <row r="9490" spans="1:10" x14ac:dyDescent="0.3">
      <c r="A9490" t="s">
        <v>25</v>
      </c>
      <c r="B9490" t="s">
        <v>198</v>
      </c>
      <c r="C9490">
        <v>104</v>
      </c>
      <c r="D9490" t="s">
        <v>66</v>
      </c>
      <c r="E9490" t="s">
        <v>1322</v>
      </c>
      <c r="F9490" t="s">
        <v>321</v>
      </c>
      <c r="G9490" t="s">
        <v>424</v>
      </c>
      <c r="H9490" t="s">
        <v>103</v>
      </c>
      <c r="I9490" t="s">
        <v>116</v>
      </c>
      <c r="J9490" t="s">
        <v>103</v>
      </c>
    </row>
    <row r="9491" spans="1:10" x14ac:dyDescent="0.3">
      <c r="A9491" t="s">
        <v>25</v>
      </c>
      <c r="B9491" t="s">
        <v>199</v>
      </c>
      <c r="C9491">
        <v>310</v>
      </c>
      <c r="D9491" t="s">
        <v>95</v>
      </c>
      <c r="E9491" t="s">
        <v>1221</v>
      </c>
      <c r="F9491" t="s">
        <v>803</v>
      </c>
      <c r="G9491" t="s">
        <v>462</v>
      </c>
      <c r="H9491" t="s">
        <v>103</v>
      </c>
      <c r="I9491" t="s">
        <v>103</v>
      </c>
      <c r="J9491" t="s">
        <v>103</v>
      </c>
    </row>
    <row r="9492" spans="1:10" x14ac:dyDescent="0.3">
      <c r="A9492" t="s">
        <v>26</v>
      </c>
      <c r="B9492" t="s">
        <v>198</v>
      </c>
      <c r="C9492">
        <v>41</v>
      </c>
      <c r="D9492" t="s">
        <v>103</v>
      </c>
      <c r="E9492" t="s">
        <v>2109</v>
      </c>
      <c r="F9492" t="s">
        <v>611</v>
      </c>
      <c r="G9492" t="s">
        <v>784</v>
      </c>
      <c r="H9492" t="s">
        <v>103</v>
      </c>
      <c r="I9492" t="s">
        <v>103</v>
      </c>
      <c r="J9492" t="s">
        <v>103</v>
      </c>
    </row>
    <row r="9493" spans="1:10" x14ac:dyDescent="0.3">
      <c r="A9493" t="s">
        <v>26</v>
      </c>
      <c r="B9493" t="s">
        <v>199</v>
      </c>
      <c r="C9493">
        <v>436</v>
      </c>
      <c r="D9493" t="s">
        <v>122</v>
      </c>
      <c r="E9493" t="s">
        <v>406</v>
      </c>
      <c r="F9493" t="s">
        <v>840</v>
      </c>
      <c r="G9493" t="s">
        <v>423</v>
      </c>
      <c r="H9493" t="s">
        <v>103</v>
      </c>
      <c r="I9493" t="s">
        <v>66</v>
      </c>
      <c r="J9493" t="s">
        <v>103</v>
      </c>
    </row>
    <row r="9494" spans="1:10" x14ac:dyDescent="0.3">
      <c r="A9494" t="s">
        <v>29</v>
      </c>
      <c r="B9494" t="s">
        <v>198</v>
      </c>
      <c r="C9494">
        <v>170</v>
      </c>
      <c r="D9494" t="s">
        <v>345</v>
      </c>
      <c r="E9494" t="s">
        <v>834</v>
      </c>
      <c r="F9494" t="s">
        <v>611</v>
      </c>
      <c r="G9494" t="s">
        <v>770</v>
      </c>
      <c r="H9494" t="s">
        <v>103</v>
      </c>
      <c r="I9494" t="s">
        <v>468</v>
      </c>
      <c r="J9494" t="s">
        <v>103</v>
      </c>
    </row>
    <row r="9495" spans="1:10" x14ac:dyDescent="0.3">
      <c r="A9495" t="s">
        <v>29</v>
      </c>
      <c r="B9495" t="s">
        <v>199</v>
      </c>
      <c r="C9495">
        <v>360</v>
      </c>
      <c r="D9495" t="s">
        <v>122</v>
      </c>
      <c r="E9495" t="s">
        <v>1462</v>
      </c>
      <c r="F9495" t="s">
        <v>880</v>
      </c>
      <c r="G9495" t="s">
        <v>993</v>
      </c>
      <c r="H9495" t="s">
        <v>103</v>
      </c>
      <c r="I9495" t="s">
        <v>103</v>
      </c>
      <c r="J9495" t="s">
        <v>103</v>
      </c>
    </row>
    <row r="9496" spans="1:10" x14ac:dyDescent="0.3">
      <c r="A9496" t="s">
        <v>28</v>
      </c>
      <c r="B9496" t="s">
        <v>198</v>
      </c>
      <c r="C9496">
        <v>70</v>
      </c>
      <c r="D9496" t="s">
        <v>103</v>
      </c>
      <c r="E9496" t="s">
        <v>1317</v>
      </c>
      <c r="F9496" t="s">
        <v>69</v>
      </c>
      <c r="G9496" t="s">
        <v>593</v>
      </c>
      <c r="H9496" t="s">
        <v>103</v>
      </c>
      <c r="I9496" t="s">
        <v>103</v>
      </c>
      <c r="J9496" t="s">
        <v>103</v>
      </c>
    </row>
    <row r="9497" spans="1:10" x14ac:dyDescent="0.3">
      <c r="A9497" t="s">
        <v>28</v>
      </c>
      <c r="B9497" t="s">
        <v>199</v>
      </c>
      <c r="C9497">
        <v>247</v>
      </c>
      <c r="D9497" t="s">
        <v>97</v>
      </c>
      <c r="E9497" t="s">
        <v>899</v>
      </c>
      <c r="F9497" t="s">
        <v>335</v>
      </c>
      <c r="G9497" t="s">
        <v>403</v>
      </c>
      <c r="H9497" t="s">
        <v>103</v>
      </c>
      <c r="I9497" t="s">
        <v>103</v>
      </c>
      <c r="J9497" t="s">
        <v>103</v>
      </c>
    </row>
    <row r="9498" spans="1:10" x14ac:dyDescent="0.3">
      <c r="A9498" t="s">
        <v>27</v>
      </c>
      <c r="B9498" t="s">
        <v>198</v>
      </c>
      <c r="C9498">
        <v>136</v>
      </c>
      <c r="D9498" t="s">
        <v>103</v>
      </c>
      <c r="E9498" t="s">
        <v>1461</v>
      </c>
      <c r="F9498" t="s">
        <v>624</v>
      </c>
      <c r="G9498" t="s">
        <v>1215</v>
      </c>
      <c r="H9498" t="s">
        <v>103</v>
      </c>
      <c r="I9498" t="s">
        <v>103</v>
      </c>
      <c r="J9498" t="s">
        <v>103</v>
      </c>
    </row>
    <row r="9499" spans="1:10" x14ac:dyDescent="0.3">
      <c r="A9499" t="s">
        <v>27</v>
      </c>
      <c r="B9499" t="s">
        <v>199</v>
      </c>
      <c r="C9499">
        <v>164</v>
      </c>
      <c r="D9499" t="s">
        <v>120</v>
      </c>
      <c r="E9499" t="s">
        <v>979</v>
      </c>
      <c r="F9499" t="s">
        <v>833</v>
      </c>
      <c r="G9499" t="s">
        <v>508</v>
      </c>
      <c r="H9499" t="s">
        <v>95</v>
      </c>
      <c r="I9499" t="s">
        <v>103</v>
      </c>
      <c r="J9499" t="s">
        <v>120</v>
      </c>
    </row>
    <row r="9500" spans="1:10" x14ac:dyDescent="0.3">
      <c r="A9500" t="s">
        <v>41</v>
      </c>
      <c r="B9500" t="s">
        <v>198</v>
      </c>
      <c r="C9500">
        <v>521</v>
      </c>
      <c r="D9500" t="s">
        <v>95</v>
      </c>
      <c r="E9500" t="s">
        <v>1362</v>
      </c>
      <c r="F9500" t="s">
        <v>213</v>
      </c>
      <c r="G9500" t="s">
        <v>2010</v>
      </c>
      <c r="H9500" t="s">
        <v>103</v>
      </c>
      <c r="I9500" t="s">
        <v>139</v>
      </c>
      <c r="J9500" t="s">
        <v>103</v>
      </c>
    </row>
    <row r="9501" spans="1:10" x14ac:dyDescent="0.3">
      <c r="A9501" t="s">
        <v>41</v>
      </c>
      <c r="B9501" t="s">
        <v>199</v>
      </c>
      <c r="C9501">
        <v>1517</v>
      </c>
      <c r="D9501" t="s">
        <v>97</v>
      </c>
      <c r="E9501" t="s">
        <v>835</v>
      </c>
      <c r="F9501" t="s">
        <v>837</v>
      </c>
      <c r="G9501" t="s">
        <v>425</v>
      </c>
      <c r="H9501" t="s">
        <v>103</v>
      </c>
      <c r="I9501" t="s">
        <v>91</v>
      </c>
      <c r="J9501" t="s">
        <v>103</v>
      </c>
    </row>
    <row r="9503" spans="1:10" x14ac:dyDescent="0.3">
      <c r="A9503" t="s">
        <v>2583</v>
      </c>
    </row>
    <row r="9504" spans="1:10" x14ac:dyDescent="0.3">
      <c r="A9504" t="s">
        <v>36</v>
      </c>
      <c r="B9504" t="s">
        <v>1683</v>
      </c>
      <c r="C9504" t="s">
        <v>24</v>
      </c>
      <c r="D9504" t="s">
        <v>2576</v>
      </c>
      <c r="E9504" t="s">
        <v>2577</v>
      </c>
      <c r="F9504" t="s">
        <v>2578</v>
      </c>
      <c r="G9504" t="s">
        <v>2579</v>
      </c>
      <c r="H9504" t="s">
        <v>183</v>
      </c>
      <c r="I9504" t="s">
        <v>87</v>
      </c>
      <c r="J9504" t="s">
        <v>181</v>
      </c>
    </row>
    <row r="9505" spans="1:10" x14ac:dyDescent="0.3">
      <c r="A9505" t="s">
        <v>25</v>
      </c>
      <c r="B9505" t="s">
        <v>1684</v>
      </c>
      <c r="C9505">
        <v>74</v>
      </c>
      <c r="D9505" t="s">
        <v>216</v>
      </c>
      <c r="E9505" t="s">
        <v>717</v>
      </c>
      <c r="F9505" t="s">
        <v>207</v>
      </c>
      <c r="G9505" t="s">
        <v>1006</v>
      </c>
      <c r="H9505" t="s">
        <v>103</v>
      </c>
      <c r="I9505" t="s">
        <v>103</v>
      </c>
      <c r="J9505" t="s">
        <v>103</v>
      </c>
    </row>
    <row r="9506" spans="1:10" x14ac:dyDescent="0.3">
      <c r="A9506" t="s">
        <v>25</v>
      </c>
      <c r="B9506" t="s">
        <v>1685</v>
      </c>
      <c r="C9506">
        <v>340</v>
      </c>
      <c r="D9506" t="s">
        <v>116</v>
      </c>
      <c r="E9506" t="s">
        <v>1328</v>
      </c>
      <c r="F9506" t="s">
        <v>852</v>
      </c>
      <c r="G9506" t="s">
        <v>1396</v>
      </c>
      <c r="H9506" t="s">
        <v>103</v>
      </c>
      <c r="I9506" t="s">
        <v>91</v>
      </c>
      <c r="J9506" t="s">
        <v>103</v>
      </c>
    </row>
    <row r="9507" spans="1:10" x14ac:dyDescent="0.3">
      <c r="A9507" t="s">
        <v>26</v>
      </c>
      <c r="B9507" t="s">
        <v>1684</v>
      </c>
      <c r="C9507">
        <v>72</v>
      </c>
      <c r="D9507" t="s">
        <v>103</v>
      </c>
      <c r="E9507" t="s">
        <v>225</v>
      </c>
      <c r="F9507" t="s">
        <v>279</v>
      </c>
      <c r="G9507" t="s">
        <v>893</v>
      </c>
      <c r="H9507" t="s">
        <v>103</v>
      </c>
      <c r="I9507" t="s">
        <v>103</v>
      </c>
      <c r="J9507" t="s">
        <v>103</v>
      </c>
    </row>
    <row r="9508" spans="1:10" x14ac:dyDescent="0.3">
      <c r="A9508" t="s">
        <v>26</v>
      </c>
      <c r="B9508" t="s">
        <v>1685</v>
      </c>
      <c r="C9508">
        <v>405</v>
      </c>
      <c r="D9508" t="s">
        <v>122</v>
      </c>
      <c r="E9508" t="s">
        <v>1375</v>
      </c>
      <c r="F9508" t="s">
        <v>988</v>
      </c>
      <c r="G9508" t="s">
        <v>810</v>
      </c>
      <c r="H9508" t="s">
        <v>103</v>
      </c>
      <c r="I9508" t="s">
        <v>66</v>
      </c>
      <c r="J9508" t="s">
        <v>103</v>
      </c>
    </row>
    <row r="9509" spans="1:10" x14ac:dyDescent="0.3">
      <c r="A9509" t="s">
        <v>29</v>
      </c>
      <c r="B9509" t="s">
        <v>1684</v>
      </c>
      <c r="C9509">
        <v>133</v>
      </c>
      <c r="D9509" t="s">
        <v>282</v>
      </c>
      <c r="E9509" t="s">
        <v>387</v>
      </c>
      <c r="F9509" t="s">
        <v>336</v>
      </c>
      <c r="G9509" t="s">
        <v>465</v>
      </c>
      <c r="H9509" t="s">
        <v>103</v>
      </c>
      <c r="I9509" t="s">
        <v>103</v>
      </c>
      <c r="J9509" t="s">
        <v>103</v>
      </c>
    </row>
    <row r="9510" spans="1:10" x14ac:dyDescent="0.3">
      <c r="A9510" t="s">
        <v>29</v>
      </c>
      <c r="B9510" t="s">
        <v>1685</v>
      </c>
      <c r="C9510">
        <v>390</v>
      </c>
      <c r="D9510" t="s">
        <v>66</v>
      </c>
      <c r="E9510" t="s">
        <v>1354</v>
      </c>
      <c r="F9510" t="s">
        <v>69</v>
      </c>
      <c r="G9510" t="s">
        <v>1257</v>
      </c>
      <c r="H9510" t="s">
        <v>103</v>
      </c>
      <c r="I9510" t="s">
        <v>97</v>
      </c>
      <c r="J9510" t="s">
        <v>103</v>
      </c>
    </row>
    <row r="9511" spans="1:10" x14ac:dyDescent="0.3">
      <c r="A9511" t="s">
        <v>29</v>
      </c>
      <c r="B9511" t="s">
        <v>308</v>
      </c>
      <c r="C9511">
        <v>7</v>
      </c>
      <c r="D9511" t="s">
        <v>256</v>
      </c>
      <c r="E9511" t="s">
        <v>918</v>
      </c>
      <c r="F9511" t="s">
        <v>787</v>
      </c>
      <c r="G9511" t="s">
        <v>208</v>
      </c>
      <c r="H9511" t="s">
        <v>103</v>
      </c>
      <c r="I9511" t="s">
        <v>103</v>
      </c>
      <c r="J9511" t="s">
        <v>103</v>
      </c>
    </row>
    <row r="9512" spans="1:10" x14ac:dyDescent="0.3">
      <c r="A9512" t="s">
        <v>28</v>
      </c>
      <c r="B9512" t="s">
        <v>1684</v>
      </c>
      <c r="C9512">
        <v>32</v>
      </c>
      <c r="D9512" t="s">
        <v>103</v>
      </c>
      <c r="E9512" t="s">
        <v>1251</v>
      </c>
      <c r="F9512" t="s">
        <v>841</v>
      </c>
      <c r="G9512" t="s">
        <v>1049</v>
      </c>
      <c r="H9512" t="s">
        <v>103</v>
      </c>
      <c r="I9512" t="s">
        <v>103</v>
      </c>
      <c r="J9512" t="s">
        <v>103</v>
      </c>
    </row>
    <row r="9513" spans="1:10" x14ac:dyDescent="0.3">
      <c r="A9513" t="s">
        <v>28</v>
      </c>
      <c r="B9513" t="s">
        <v>1685</v>
      </c>
      <c r="C9513">
        <v>285</v>
      </c>
      <c r="D9513" t="s">
        <v>122</v>
      </c>
      <c r="E9513" t="s">
        <v>1675</v>
      </c>
      <c r="F9513" t="s">
        <v>1471</v>
      </c>
      <c r="G9513" t="s">
        <v>263</v>
      </c>
      <c r="H9513" t="s">
        <v>103</v>
      </c>
      <c r="I9513" t="s">
        <v>103</v>
      </c>
      <c r="J9513" t="s">
        <v>103</v>
      </c>
    </row>
    <row r="9514" spans="1:10" x14ac:dyDescent="0.3">
      <c r="A9514" t="s">
        <v>27</v>
      </c>
      <c r="B9514" t="s">
        <v>1684</v>
      </c>
      <c r="C9514">
        <v>88</v>
      </c>
      <c r="D9514" t="s">
        <v>103</v>
      </c>
      <c r="E9514" t="s">
        <v>751</v>
      </c>
      <c r="F9514" t="s">
        <v>827</v>
      </c>
      <c r="G9514" t="s">
        <v>1012</v>
      </c>
      <c r="H9514" t="s">
        <v>194</v>
      </c>
      <c r="I9514" t="s">
        <v>103</v>
      </c>
      <c r="J9514" t="s">
        <v>103</v>
      </c>
    </row>
    <row r="9515" spans="1:10" x14ac:dyDescent="0.3">
      <c r="A9515" t="s">
        <v>27</v>
      </c>
      <c r="B9515" t="s">
        <v>1685</v>
      </c>
      <c r="C9515">
        <v>211</v>
      </c>
      <c r="D9515" t="s">
        <v>122</v>
      </c>
      <c r="E9515" t="s">
        <v>1215</v>
      </c>
      <c r="F9515" t="s">
        <v>981</v>
      </c>
      <c r="G9515" t="s">
        <v>405</v>
      </c>
      <c r="H9515" t="s">
        <v>103</v>
      </c>
      <c r="I9515" t="s">
        <v>103</v>
      </c>
      <c r="J9515" t="s">
        <v>122</v>
      </c>
    </row>
    <row r="9516" spans="1:10" x14ac:dyDescent="0.3">
      <c r="A9516" t="s">
        <v>27</v>
      </c>
      <c r="B9516" t="s">
        <v>308</v>
      </c>
      <c r="C9516">
        <v>1</v>
      </c>
      <c r="D9516" t="s">
        <v>103</v>
      </c>
      <c r="E9516" t="s">
        <v>192</v>
      </c>
      <c r="F9516" t="s">
        <v>192</v>
      </c>
      <c r="G9516" t="s">
        <v>192</v>
      </c>
      <c r="H9516" t="s">
        <v>103</v>
      </c>
      <c r="I9516" t="s">
        <v>103</v>
      </c>
      <c r="J9516" t="s">
        <v>103</v>
      </c>
    </row>
    <row r="9517" spans="1:10" x14ac:dyDescent="0.3">
      <c r="A9517" t="s">
        <v>41</v>
      </c>
      <c r="B9517" t="s">
        <v>1684</v>
      </c>
      <c r="C9517">
        <v>399</v>
      </c>
      <c r="D9517" t="s">
        <v>139</v>
      </c>
      <c r="E9517" t="s">
        <v>389</v>
      </c>
      <c r="F9517" t="s">
        <v>981</v>
      </c>
      <c r="G9517" t="s">
        <v>509</v>
      </c>
      <c r="H9517" t="s">
        <v>91</v>
      </c>
      <c r="I9517" t="s">
        <v>103</v>
      </c>
      <c r="J9517" t="s">
        <v>103</v>
      </c>
    </row>
    <row r="9518" spans="1:10" x14ac:dyDescent="0.3">
      <c r="A9518" t="s">
        <v>41</v>
      </c>
      <c r="B9518" t="s">
        <v>1685</v>
      </c>
      <c r="C9518">
        <v>1631</v>
      </c>
      <c r="D9518" t="s">
        <v>116</v>
      </c>
      <c r="E9518" t="s">
        <v>1047</v>
      </c>
      <c r="F9518" t="s">
        <v>837</v>
      </c>
      <c r="G9518" t="s">
        <v>363</v>
      </c>
      <c r="H9518" t="s">
        <v>103</v>
      </c>
      <c r="I9518" t="s">
        <v>116</v>
      </c>
      <c r="J9518" t="s">
        <v>103</v>
      </c>
    </row>
    <row r="9519" spans="1:10" x14ac:dyDescent="0.3">
      <c r="A9519" t="s">
        <v>41</v>
      </c>
      <c r="B9519" t="s">
        <v>308</v>
      </c>
      <c r="C9519">
        <v>8</v>
      </c>
      <c r="D9519" t="s">
        <v>471</v>
      </c>
      <c r="E9519" t="s">
        <v>515</v>
      </c>
      <c r="F9519" t="s">
        <v>1373</v>
      </c>
      <c r="G9519" t="s">
        <v>466</v>
      </c>
      <c r="H9519" t="s">
        <v>103</v>
      </c>
      <c r="I9519" t="s">
        <v>103</v>
      </c>
      <c r="J9519" t="s">
        <v>103</v>
      </c>
    </row>
    <row r="9521" spans="1:10" x14ac:dyDescent="0.3">
      <c r="A9521" t="s">
        <v>2584</v>
      </c>
    </row>
    <row r="9522" spans="1:10" x14ac:dyDescent="0.3">
      <c r="A9522" t="s">
        <v>36</v>
      </c>
      <c r="B9522" t="s">
        <v>1517</v>
      </c>
      <c r="C9522" t="s">
        <v>24</v>
      </c>
      <c r="D9522" t="s">
        <v>2576</v>
      </c>
      <c r="E9522" t="s">
        <v>2577</v>
      </c>
      <c r="F9522" t="s">
        <v>2578</v>
      </c>
      <c r="G9522" t="s">
        <v>2579</v>
      </c>
      <c r="H9522" t="s">
        <v>183</v>
      </c>
      <c r="I9522" t="s">
        <v>87</v>
      </c>
      <c r="J9522" t="s">
        <v>181</v>
      </c>
    </row>
    <row r="9523" spans="1:10" x14ac:dyDescent="0.3">
      <c r="A9523" t="s">
        <v>25</v>
      </c>
      <c r="B9523" t="s">
        <v>1518</v>
      </c>
      <c r="C9523">
        <v>217</v>
      </c>
      <c r="D9523" t="s">
        <v>103</v>
      </c>
      <c r="E9523" t="s">
        <v>406</v>
      </c>
      <c r="F9523" t="s">
        <v>950</v>
      </c>
      <c r="G9523" t="s">
        <v>413</v>
      </c>
      <c r="H9523" t="s">
        <v>103</v>
      </c>
      <c r="I9523" t="s">
        <v>91</v>
      </c>
      <c r="J9523" t="s">
        <v>103</v>
      </c>
    </row>
    <row r="9524" spans="1:10" x14ac:dyDescent="0.3">
      <c r="A9524" t="s">
        <v>25</v>
      </c>
      <c r="B9524" t="s">
        <v>1519</v>
      </c>
      <c r="C9524">
        <v>197</v>
      </c>
      <c r="D9524" t="s">
        <v>468</v>
      </c>
      <c r="E9524" t="s">
        <v>229</v>
      </c>
      <c r="F9524" t="s">
        <v>864</v>
      </c>
      <c r="G9524" t="s">
        <v>1559</v>
      </c>
      <c r="H9524" t="s">
        <v>103</v>
      </c>
      <c r="I9524" t="s">
        <v>103</v>
      </c>
      <c r="J9524" t="s">
        <v>103</v>
      </c>
    </row>
    <row r="9525" spans="1:10" x14ac:dyDescent="0.3">
      <c r="A9525" t="s">
        <v>26</v>
      </c>
      <c r="B9525" t="s">
        <v>1518</v>
      </c>
      <c r="C9525">
        <v>237</v>
      </c>
      <c r="D9525" t="s">
        <v>103</v>
      </c>
      <c r="E9525" t="s">
        <v>989</v>
      </c>
      <c r="F9525" t="s">
        <v>339</v>
      </c>
      <c r="G9525" t="s">
        <v>1209</v>
      </c>
      <c r="H9525" t="s">
        <v>103</v>
      </c>
      <c r="I9525" t="s">
        <v>103</v>
      </c>
      <c r="J9525" t="s">
        <v>103</v>
      </c>
    </row>
    <row r="9526" spans="1:10" x14ac:dyDescent="0.3">
      <c r="A9526" t="s">
        <v>26</v>
      </c>
      <c r="B9526" t="s">
        <v>1519</v>
      </c>
      <c r="C9526">
        <v>235</v>
      </c>
      <c r="D9526" t="s">
        <v>139</v>
      </c>
      <c r="E9526" t="s">
        <v>1260</v>
      </c>
      <c r="F9526" t="s">
        <v>841</v>
      </c>
      <c r="G9526" t="s">
        <v>1060</v>
      </c>
      <c r="H9526" t="s">
        <v>103</v>
      </c>
      <c r="I9526" t="s">
        <v>122</v>
      </c>
      <c r="J9526" t="s">
        <v>103</v>
      </c>
    </row>
    <row r="9527" spans="1:10" x14ac:dyDescent="0.3">
      <c r="A9527" t="s">
        <v>26</v>
      </c>
      <c r="B9527" t="s">
        <v>308</v>
      </c>
      <c r="C9527">
        <v>5</v>
      </c>
      <c r="D9527" t="s">
        <v>103</v>
      </c>
      <c r="E9527" t="s">
        <v>192</v>
      </c>
      <c r="F9527" t="s">
        <v>192</v>
      </c>
      <c r="G9527" t="s">
        <v>1012</v>
      </c>
      <c r="H9527" t="s">
        <v>103</v>
      </c>
      <c r="I9527" t="s">
        <v>103</v>
      </c>
      <c r="J9527" t="s">
        <v>103</v>
      </c>
    </row>
    <row r="9528" spans="1:10" x14ac:dyDescent="0.3">
      <c r="A9528" t="s">
        <v>29</v>
      </c>
      <c r="B9528" t="s">
        <v>1518</v>
      </c>
      <c r="C9528">
        <v>343</v>
      </c>
      <c r="D9528" t="s">
        <v>103</v>
      </c>
      <c r="E9528" t="s">
        <v>1581</v>
      </c>
      <c r="F9528" t="s">
        <v>1481</v>
      </c>
      <c r="G9528" t="s">
        <v>374</v>
      </c>
      <c r="H9528" t="s">
        <v>103</v>
      </c>
      <c r="I9528" t="s">
        <v>66</v>
      </c>
      <c r="J9528" t="s">
        <v>103</v>
      </c>
    </row>
    <row r="9529" spans="1:10" x14ac:dyDescent="0.3">
      <c r="A9529" t="s">
        <v>29</v>
      </c>
      <c r="B9529" t="s">
        <v>1519</v>
      </c>
      <c r="C9529">
        <v>177</v>
      </c>
      <c r="D9529" t="s">
        <v>341</v>
      </c>
      <c r="E9529" t="s">
        <v>1426</v>
      </c>
      <c r="F9529" t="s">
        <v>633</v>
      </c>
      <c r="G9529" t="s">
        <v>893</v>
      </c>
      <c r="H9529" t="s">
        <v>103</v>
      </c>
      <c r="I9529" t="s">
        <v>95</v>
      </c>
      <c r="J9529" t="s">
        <v>103</v>
      </c>
    </row>
    <row r="9530" spans="1:10" x14ac:dyDescent="0.3">
      <c r="A9530" t="s">
        <v>29</v>
      </c>
      <c r="B9530" t="s">
        <v>308</v>
      </c>
      <c r="C9530">
        <v>10</v>
      </c>
      <c r="D9530" t="s">
        <v>103</v>
      </c>
      <c r="E9530" t="s">
        <v>675</v>
      </c>
      <c r="F9530" t="s">
        <v>598</v>
      </c>
      <c r="G9530" t="s">
        <v>546</v>
      </c>
      <c r="H9530" t="s">
        <v>103</v>
      </c>
      <c r="I9530" t="s">
        <v>103</v>
      </c>
      <c r="J9530" t="s">
        <v>103</v>
      </c>
    </row>
    <row r="9531" spans="1:10" x14ac:dyDescent="0.3">
      <c r="A9531" t="s">
        <v>28</v>
      </c>
      <c r="B9531" t="s">
        <v>1518</v>
      </c>
      <c r="C9531">
        <v>172</v>
      </c>
      <c r="D9531" t="s">
        <v>103</v>
      </c>
      <c r="E9531" t="s">
        <v>156</v>
      </c>
      <c r="F9531" t="s">
        <v>343</v>
      </c>
      <c r="G9531" t="s">
        <v>1398</v>
      </c>
      <c r="H9531" t="s">
        <v>103</v>
      </c>
      <c r="I9531" t="s">
        <v>103</v>
      </c>
      <c r="J9531" t="s">
        <v>103</v>
      </c>
    </row>
    <row r="9532" spans="1:10" x14ac:dyDescent="0.3">
      <c r="A9532" t="s">
        <v>28</v>
      </c>
      <c r="B9532" t="s">
        <v>1519</v>
      </c>
      <c r="C9532">
        <v>143</v>
      </c>
      <c r="D9532" t="s">
        <v>282</v>
      </c>
      <c r="E9532" t="s">
        <v>823</v>
      </c>
      <c r="F9532" t="s">
        <v>833</v>
      </c>
      <c r="G9532" t="s">
        <v>1240</v>
      </c>
      <c r="H9532" t="s">
        <v>103</v>
      </c>
      <c r="I9532" t="s">
        <v>103</v>
      </c>
      <c r="J9532" t="s">
        <v>103</v>
      </c>
    </row>
    <row r="9533" spans="1:10" x14ac:dyDescent="0.3">
      <c r="A9533" t="s">
        <v>28</v>
      </c>
      <c r="B9533" t="s">
        <v>308</v>
      </c>
      <c r="C9533">
        <v>2</v>
      </c>
      <c r="D9533" t="s">
        <v>103</v>
      </c>
      <c r="E9533" t="s">
        <v>643</v>
      </c>
      <c r="F9533" t="s">
        <v>192</v>
      </c>
      <c r="G9533" t="s">
        <v>643</v>
      </c>
      <c r="H9533" t="s">
        <v>103</v>
      </c>
      <c r="I9533" t="s">
        <v>103</v>
      </c>
      <c r="J9533" t="s">
        <v>103</v>
      </c>
    </row>
    <row r="9534" spans="1:10" x14ac:dyDescent="0.3">
      <c r="A9534" t="s">
        <v>27</v>
      </c>
      <c r="B9534" t="s">
        <v>1518</v>
      </c>
      <c r="C9534">
        <v>168</v>
      </c>
      <c r="D9534" t="s">
        <v>103</v>
      </c>
      <c r="E9534" t="s">
        <v>379</v>
      </c>
      <c r="F9534" t="s">
        <v>65</v>
      </c>
      <c r="G9534" t="s">
        <v>1251</v>
      </c>
      <c r="H9534" t="s">
        <v>103</v>
      </c>
      <c r="I9534" t="s">
        <v>103</v>
      </c>
      <c r="J9534" t="s">
        <v>103</v>
      </c>
    </row>
    <row r="9535" spans="1:10" x14ac:dyDescent="0.3">
      <c r="A9535" t="s">
        <v>27</v>
      </c>
      <c r="B9535" t="s">
        <v>1519</v>
      </c>
      <c r="C9535">
        <v>124</v>
      </c>
      <c r="D9535" t="s">
        <v>139</v>
      </c>
      <c r="E9535" t="s">
        <v>362</v>
      </c>
      <c r="F9535" t="s">
        <v>147</v>
      </c>
      <c r="G9535" t="s">
        <v>804</v>
      </c>
      <c r="H9535" t="s">
        <v>98</v>
      </c>
      <c r="I9535" t="s">
        <v>103</v>
      </c>
      <c r="J9535" t="s">
        <v>139</v>
      </c>
    </row>
    <row r="9536" spans="1:10" x14ac:dyDescent="0.3">
      <c r="A9536" t="s">
        <v>27</v>
      </c>
      <c r="B9536" t="s">
        <v>308</v>
      </c>
      <c r="C9536">
        <v>8</v>
      </c>
      <c r="D9536" t="s">
        <v>103</v>
      </c>
      <c r="E9536" t="s">
        <v>1320</v>
      </c>
      <c r="F9536" t="s">
        <v>192</v>
      </c>
      <c r="G9536" t="s">
        <v>370</v>
      </c>
      <c r="H9536" t="s">
        <v>103</v>
      </c>
      <c r="I9536" t="s">
        <v>103</v>
      </c>
      <c r="J9536" t="s">
        <v>103</v>
      </c>
    </row>
    <row r="9537" spans="1:10" x14ac:dyDescent="0.3">
      <c r="A9537" t="s">
        <v>41</v>
      </c>
      <c r="B9537" t="s">
        <v>1518</v>
      </c>
      <c r="C9537">
        <v>1137</v>
      </c>
      <c r="D9537" t="s">
        <v>103</v>
      </c>
      <c r="E9537" t="s">
        <v>703</v>
      </c>
      <c r="F9537" t="s">
        <v>322</v>
      </c>
      <c r="G9537" t="s">
        <v>431</v>
      </c>
      <c r="H9537" t="s">
        <v>103</v>
      </c>
      <c r="I9537" t="s">
        <v>91</v>
      </c>
      <c r="J9537" t="s">
        <v>103</v>
      </c>
    </row>
    <row r="9538" spans="1:10" x14ac:dyDescent="0.3">
      <c r="A9538" t="s">
        <v>41</v>
      </c>
      <c r="B9538" t="s">
        <v>1519</v>
      </c>
      <c r="C9538">
        <v>876</v>
      </c>
      <c r="D9538" t="s">
        <v>194</v>
      </c>
      <c r="E9538" t="s">
        <v>1053</v>
      </c>
      <c r="F9538" t="s">
        <v>752</v>
      </c>
      <c r="G9538" t="s">
        <v>1205</v>
      </c>
      <c r="H9538" t="s">
        <v>103</v>
      </c>
      <c r="I9538" t="s">
        <v>122</v>
      </c>
      <c r="J9538" t="s">
        <v>103</v>
      </c>
    </row>
    <row r="9539" spans="1:10" x14ac:dyDescent="0.3">
      <c r="A9539" t="s">
        <v>41</v>
      </c>
      <c r="B9539" t="s">
        <v>308</v>
      </c>
      <c r="C9539">
        <v>25</v>
      </c>
      <c r="D9539" t="s">
        <v>103</v>
      </c>
      <c r="E9539" t="s">
        <v>1133</v>
      </c>
      <c r="F9539" t="s">
        <v>636</v>
      </c>
      <c r="G9539" t="s">
        <v>487</v>
      </c>
      <c r="H9539" t="s">
        <v>103</v>
      </c>
      <c r="I9539" t="s">
        <v>103</v>
      </c>
      <c r="J9539" t="s">
        <v>103</v>
      </c>
    </row>
    <row r="9541" spans="1:10" x14ac:dyDescent="0.3">
      <c r="A9541" t="s">
        <v>2585</v>
      </c>
    </row>
    <row r="9542" spans="1:10" x14ac:dyDescent="0.3">
      <c r="A9542" t="s">
        <v>36</v>
      </c>
      <c r="B9542" t="s">
        <v>210</v>
      </c>
      <c r="C9542" t="s">
        <v>24</v>
      </c>
      <c r="D9542" t="s">
        <v>2576</v>
      </c>
      <c r="E9542" t="s">
        <v>2577</v>
      </c>
      <c r="F9542" t="s">
        <v>2578</v>
      </c>
      <c r="G9542" t="s">
        <v>2579</v>
      </c>
      <c r="H9542" t="s">
        <v>183</v>
      </c>
      <c r="I9542" t="s">
        <v>87</v>
      </c>
      <c r="J9542" t="s">
        <v>181</v>
      </c>
    </row>
    <row r="9543" spans="1:10" x14ac:dyDescent="0.3">
      <c r="A9543" t="s">
        <v>25</v>
      </c>
      <c r="B9543" t="s">
        <v>211</v>
      </c>
      <c r="C9543">
        <v>414</v>
      </c>
      <c r="D9543" t="s">
        <v>120</v>
      </c>
      <c r="E9543" t="s">
        <v>1397</v>
      </c>
      <c r="F9543" t="s">
        <v>336</v>
      </c>
      <c r="G9543" t="s">
        <v>1049</v>
      </c>
      <c r="H9543" t="s">
        <v>103</v>
      </c>
      <c r="I9543" t="s">
        <v>91</v>
      </c>
      <c r="J9543" t="s">
        <v>103</v>
      </c>
    </row>
    <row r="9544" spans="1:10" x14ac:dyDescent="0.3">
      <c r="A9544" t="s">
        <v>26</v>
      </c>
      <c r="B9544" t="s">
        <v>211</v>
      </c>
      <c r="C9544">
        <v>223</v>
      </c>
      <c r="D9544" t="s">
        <v>139</v>
      </c>
      <c r="E9544" t="s">
        <v>673</v>
      </c>
      <c r="F9544" t="s">
        <v>289</v>
      </c>
      <c r="G9544" t="s">
        <v>1218</v>
      </c>
      <c r="H9544" t="s">
        <v>103</v>
      </c>
      <c r="I9544" t="s">
        <v>103</v>
      </c>
      <c r="J9544" t="s">
        <v>103</v>
      </c>
    </row>
    <row r="9545" spans="1:10" x14ac:dyDescent="0.3">
      <c r="A9545" t="s">
        <v>26</v>
      </c>
      <c r="B9545" t="s">
        <v>212</v>
      </c>
      <c r="C9545">
        <v>254</v>
      </c>
      <c r="D9545" t="s">
        <v>103</v>
      </c>
      <c r="E9545" t="s">
        <v>1325</v>
      </c>
      <c r="F9545" t="s">
        <v>1481</v>
      </c>
      <c r="G9545" t="s">
        <v>796</v>
      </c>
      <c r="H9545" t="s">
        <v>103</v>
      </c>
      <c r="I9545" t="s">
        <v>122</v>
      </c>
      <c r="J9545" t="s">
        <v>103</v>
      </c>
    </row>
    <row r="9546" spans="1:10" x14ac:dyDescent="0.3">
      <c r="A9546" t="s">
        <v>29</v>
      </c>
      <c r="B9546" t="s">
        <v>211</v>
      </c>
      <c r="C9546">
        <v>530</v>
      </c>
      <c r="D9546" t="s">
        <v>120</v>
      </c>
      <c r="E9546" t="s">
        <v>1321</v>
      </c>
      <c r="F9546" t="s">
        <v>867</v>
      </c>
      <c r="G9546" t="s">
        <v>1215</v>
      </c>
      <c r="H9546" t="s">
        <v>103</v>
      </c>
      <c r="I9546" t="s">
        <v>122</v>
      </c>
      <c r="J9546" t="s">
        <v>103</v>
      </c>
    </row>
    <row r="9547" spans="1:10" x14ac:dyDescent="0.3">
      <c r="A9547" t="s">
        <v>28</v>
      </c>
      <c r="B9547" t="s">
        <v>211</v>
      </c>
      <c r="C9547">
        <v>277</v>
      </c>
      <c r="D9547" t="s">
        <v>97</v>
      </c>
      <c r="E9547" t="s">
        <v>397</v>
      </c>
      <c r="F9547" t="s">
        <v>328</v>
      </c>
      <c r="G9547" t="s">
        <v>1175</v>
      </c>
      <c r="H9547" t="s">
        <v>103</v>
      </c>
      <c r="I9547" t="s">
        <v>103</v>
      </c>
      <c r="J9547" t="s">
        <v>103</v>
      </c>
    </row>
    <row r="9548" spans="1:10" x14ac:dyDescent="0.3">
      <c r="A9548" t="s">
        <v>28</v>
      </c>
      <c r="B9548" t="s">
        <v>212</v>
      </c>
      <c r="C9548">
        <v>40</v>
      </c>
      <c r="D9548" t="s">
        <v>103</v>
      </c>
      <c r="E9548" t="s">
        <v>897</v>
      </c>
      <c r="F9548" t="s">
        <v>192</v>
      </c>
      <c r="G9548" t="s">
        <v>1680</v>
      </c>
      <c r="H9548" t="s">
        <v>103</v>
      </c>
      <c r="I9548" t="s">
        <v>103</v>
      </c>
      <c r="J9548" t="s">
        <v>103</v>
      </c>
    </row>
    <row r="9549" spans="1:10" x14ac:dyDescent="0.3">
      <c r="A9549" t="s">
        <v>27</v>
      </c>
      <c r="B9549" t="s">
        <v>211</v>
      </c>
      <c r="C9549">
        <v>270</v>
      </c>
      <c r="D9549" t="s">
        <v>116</v>
      </c>
      <c r="E9549" t="s">
        <v>793</v>
      </c>
      <c r="F9549" t="s">
        <v>896</v>
      </c>
      <c r="G9549" t="s">
        <v>1002</v>
      </c>
      <c r="H9549" t="s">
        <v>122</v>
      </c>
      <c r="I9549" t="s">
        <v>103</v>
      </c>
      <c r="J9549" t="s">
        <v>116</v>
      </c>
    </row>
    <row r="9550" spans="1:10" s="3" customFormat="1" x14ac:dyDescent="0.3">
      <c r="A9550" s="3" t="s">
        <v>27</v>
      </c>
      <c r="B9550" s="3" t="s">
        <v>212</v>
      </c>
      <c r="C9550" s="3">
        <v>30</v>
      </c>
      <c r="D9550" s="3" t="s">
        <v>103</v>
      </c>
      <c r="E9550" s="3" t="s">
        <v>730</v>
      </c>
      <c r="F9550" s="3" t="s">
        <v>851</v>
      </c>
      <c r="G9550" s="3" t="s">
        <v>478</v>
      </c>
      <c r="H9550" s="3" t="s">
        <v>103</v>
      </c>
      <c r="I9550" s="3" t="s">
        <v>103</v>
      </c>
      <c r="J9550" s="3" t="s">
        <v>103</v>
      </c>
    </row>
    <row r="9551" spans="1:10" x14ac:dyDescent="0.3">
      <c r="A9551" t="s">
        <v>41</v>
      </c>
      <c r="B9551" t="s">
        <v>211</v>
      </c>
      <c r="C9551">
        <v>1714</v>
      </c>
      <c r="D9551" t="s">
        <v>120</v>
      </c>
      <c r="E9551" t="s">
        <v>1379</v>
      </c>
      <c r="F9551" t="s">
        <v>286</v>
      </c>
      <c r="G9551" t="s">
        <v>873</v>
      </c>
      <c r="H9551" t="s">
        <v>103</v>
      </c>
      <c r="I9551" t="s">
        <v>66</v>
      </c>
      <c r="J9551" t="s">
        <v>103</v>
      </c>
    </row>
    <row r="9552" spans="1:10" x14ac:dyDescent="0.3">
      <c r="A9552" t="s">
        <v>41</v>
      </c>
      <c r="B9552" t="s">
        <v>212</v>
      </c>
      <c r="C9552">
        <v>324</v>
      </c>
      <c r="D9552" t="s">
        <v>103</v>
      </c>
      <c r="E9552" t="s">
        <v>1259</v>
      </c>
      <c r="F9552" t="s">
        <v>1481</v>
      </c>
      <c r="G9552" t="s">
        <v>831</v>
      </c>
      <c r="H9552" t="s">
        <v>103</v>
      </c>
      <c r="I9552" t="s">
        <v>122</v>
      </c>
      <c r="J9552" t="s">
        <v>103</v>
      </c>
    </row>
    <row r="9554" spans="1:7" x14ac:dyDescent="0.3">
      <c r="A9554" t="s">
        <v>2586</v>
      </c>
    </row>
    <row r="9555" spans="1:7" x14ac:dyDescent="0.3">
      <c r="A9555" t="s">
        <v>36</v>
      </c>
      <c r="B9555" t="s">
        <v>24</v>
      </c>
      <c r="C9555" t="s">
        <v>58</v>
      </c>
      <c r="D9555" t="s">
        <v>59</v>
      </c>
      <c r="E9555" t="s">
        <v>348</v>
      </c>
      <c r="F9555" t="s">
        <v>181</v>
      </c>
    </row>
    <row r="9556" spans="1:7" x14ac:dyDescent="0.3">
      <c r="A9556" t="s">
        <v>25</v>
      </c>
      <c r="B9556">
        <v>414</v>
      </c>
      <c r="C9556" t="s">
        <v>46</v>
      </c>
      <c r="D9556" t="s">
        <v>45</v>
      </c>
      <c r="E9556" t="s">
        <v>103</v>
      </c>
      <c r="F9556" t="s">
        <v>103</v>
      </c>
    </row>
    <row r="9557" spans="1:7" x14ac:dyDescent="0.3">
      <c r="A9557" t="s">
        <v>26</v>
      </c>
      <c r="B9557">
        <v>477</v>
      </c>
      <c r="C9557" t="s">
        <v>813</v>
      </c>
      <c r="D9557" t="s">
        <v>1019</v>
      </c>
      <c r="E9557" t="s">
        <v>103</v>
      </c>
      <c r="F9557" t="s">
        <v>103</v>
      </c>
    </row>
    <row r="9558" spans="1:7" x14ac:dyDescent="0.3">
      <c r="A9558" t="s">
        <v>29</v>
      </c>
      <c r="B9558">
        <v>530</v>
      </c>
      <c r="C9558" t="s">
        <v>398</v>
      </c>
      <c r="D9558" t="s">
        <v>1325</v>
      </c>
      <c r="E9558" t="s">
        <v>120</v>
      </c>
      <c r="F9558" t="s">
        <v>95</v>
      </c>
    </row>
    <row r="9559" spans="1:7" x14ac:dyDescent="0.3">
      <c r="A9559" t="s">
        <v>28</v>
      </c>
      <c r="B9559">
        <v>317</v>
      </c>
      <c r="C9559" t="s">
        <v>601</v>
      </c>
      <c r="D9559" t="s">
        <v>280</v>
      </c>
      <c r="E9559" t="s">
        <v>103</v>
      </c>
      <c r="F9559" t="s">
        <v>103</v>
      </c>
    </row>
    <row r="9560" spans="1:7" x14ac:dyDescent="0.3">
      <c r="A9560" t="s">
        <v>27</v>
      </c>
      <c r="B9560">
        <v>300</v>
      </c>
      <c r="C9560" t="s">
        <v>461</v>
      </c>
      <c r="D9560" t="s">
        <v>51</v>
      </c>
      <c r="E9560" t="s">
        <v>120</v>
      </c>
      <c r="F9560" t="s">
        <v>103</v>
      </c>
    </row>
    <row r="9561" spans="1:7" x14ac:dyDescent="0.3">
      <c r="A9561" t="s">
        <v>41</v>
      </c>
      <c r="B9561">
        <v>2038</v>
      </c>
      <c r="C9561" t="s">
        <v>580</v>
      </c>
      <c r="D9561" t="s">
        <v>603</v>
      </c>
      <c r="E9561" t="s">
        <v>116</v>
      </c>
      <c r="F9561" t="s">
        <v>116</v>
      </c>
    </row>
    <row r="9563" spans="1:7" x14ac:dyDescent="0.3">
      <c r="A9563" t="s">
        <v>2587</v>
      </c>
    </row>
    <row r="9564" spans="1:7" x14ac:dyDescent="0.3">
      <c r="A9564" t="s">
        <v>36</v>
      </c>
      <c r="B9564" t="s">
        <v>307</v>
      </c>
      <c r="C9564" t="s">
        <v>24</v>
      </c>
      <c r="D9564" t="s">
        <v>58</v>
      </c>
      <c r="E9564" t="s">
        <v>59</v>
      </c>
      <c r="F9564" t="s">
        <v>348</v>
      </c>
      <c r="G9564" t="s">
        <v>181</v>
      </c>
    </row>
    <row r="9565" spans="1:7" x14ac:dyDescent="0.3">
      <c r="A9565" t="s">
        <v>25</v>
      </c>
      <c r="B9565" t="s">
        <v>291</v>
      </c>
      <c r="C9565">
        <v>156</v>
      </c>
      <c r="D9565" t="s">
        <v>521</v>
      </c>
      <c r="E9565" t="s">
        <v>775</v>
      </c>
      <c r="F9565" t="s">
        <v>103</v>
      </c>
      <c r="G9565" t="s">
        <v>103</v>
      </c>
    </row>
    <row r="9566" spans="1:7" x14ac:dyDescent="0.3">
      <c r="A9566" t="s">
        <v>25</v>
      </c>
      <c r="B9566" t="s">
        <v>292</v>
      </c>
      <c r="C9566">
        <v>254</v>
      </c>
      <c r="D9566" t="s">
        <v>142</v>
      </c>
      <c r="E9566" t="s">
        <v>143</v>
      </c>
      <c r="F9566" t="s">
        <v>103</v>
      </c>
      <c r="G9566" t="s">
        <v>103</v>
      </c>
    </row>
    <row r="9567" spans="1:7" x14ac:dyDescent="0.3">
      <c r="A9567" t="s">
        <v>25</v>
      </c>
      <c r="B9567" t="s">
        <v>308</v>
      </c>
      <c r="C9567">
        <v>4</v>
      </c>
      <c r="D9567" t="s">
        <v>103</v>
      </c>
      <c r="E9567" t="s">
        <v>192</v>
      </c>
      <c r="F9567" t="s">
        <v>103</v>
      </c>
      <c r="G9567" t="s">
        <v>103</v>
      </c>
    </row>
    <row r="9568" spans="1:7" x14ac:dyDescent="0.3">
      <c r="A9568" t="s">
        <v>26</v>
      </c>
      <c r="B9568" t="s">
        <v>291</v>
      </c>
      <c r="C9568">
        <v>122</v>
      </c>
      <c r="D9568" t="s">
        <v>743</v>
      </c>
      <c r="E9568" t="s">
        <v>744</v>
      </c>
      <c r="F9568" t="s">
        <v>103</v>
      </c>
      <c r="G9568" t="s">
        <v>103</v>
      </c>
    </row>
    <row r="9569" spans="1:7" x14ac:dyDescent="0.3">
      <c r="A9569" t="s">
        <v>26</v>
      </c>
      <c r="B9569" t="s">
        <v>292</v>
      </c>
      <c r="C9569">
        <v>352</v>
      </c>
      <c r="D9569" t="s">
        <v>164</v>
      </c>
      <c r="E9569" t="s">
        <v>165</v>
      </c>
      <c r="F9569" t="s">
        <v>103</v>
      </c>
      <c r="G9569" t="s">
        <v>103</v>
      </c>
    </row>
    <row r="9570" spans="1:7" x14ac:dyDescent="0.3">
      <c r="A9570" t="s">
        <v>26</v>
      </c>
      <c r="B9570" t="s">
        <v>308</v>
      </c>
      <c r="C9570">
        <v>3</v>
      </c>
      <c r="D9570" t="s">
        <v>699</v>
      </c>
      <c r="E9570" t="s">
        <v>784</v>
      </c>
      <c r="F9570" t="s">
        <v>103</v>
      </c>
      <c r="G9570" t="s">
        <v>103</v>
      </c>
    </row>
    <row r="9571" spans="1:7" x14ac:dyDescent="0.3">
      <c r="A9571" t="s">
        <v>29</v>
      </c>
      <c r="B9571" t="s">
        <v>291</v>
      </c>
      <c r="C9571">
        <v>205</v>
      </c>
      <c r="D9571" t="s">
        <v>568</v>
      </c>
      <c r="E9571" t="s">
        <v>437</v>
      </c>
      <c r="F9571" t="s">
        <v>239</v>
      </c>
      <c r="G9571" t="s">
        <v>103</v>
      </c>
    </row>
    <row r="9572" spans="1:7" x14ac:dyDescent="0.3">
      <c r="A9572" t="s">
        <v>29</v>
      </c>
      <c r="B9572" t="s">
        <v>292</v>
      </c>
      <c r="C9572">
        <v>325</v>
      </c>
      <c r="D9572" t="s">
        <v>234</v>
      </c>
      <c r="E9572" t="s">
        <v>1354</v>
      </c>
      <c r="F9572" t="s">
        <v>103</v>
      </c>
      <c r="G9572" t="s">
        <v>468</v>
      </c>
    </row>
    <row r="9573" spans="1:7" x14ac:dyDescent="0.3">
      <c r="A9573" t="s">
        <v>28</v>
      </c>
      <c r="B9573" t="s">
        <v>291</v>
      </c>
      <c r="C9573">
        <v>114</v>
      </c>
      <c r="D9573" t="s">
        <v>601</v>
      </c>
      <c r="E9573" t="s">
        <v>280</v>
      </c>
      <c r="F9573" t="s">
        <v>103</v>
      </c>
      <c r="G9573" t="s">
        <v>103</v>
      </c>
    </row>
    <row r="9574" spans="1:7" x14ac:dyDescent="0.3">
      <c r="A9574" t="s">
        <v>28</v>
      </c>
      <c r="B9574" t="s">
        <v>292</v>
      </c>
      <c r="C9574">
        <v>191</v>
      </c>
      <c r="D9574" t="s">
        <v>693</v>
      </c>
      <c r="E9574" t="s">
        <v>240</v>
      </c>
      <c r="F9574" t="s">
        <v>103</v>
      </c>
      <c r="G9574" t="s">
        <v>103</v>
      </c>
    </row>
    <row r="9575" spans="1:7" x14ac:dyDescent="0.3">
      <c r="A9575" t="s">
        <v>28</v>
      </c>
      <c r="B9575" t="s">
        <v>308</v>
      </c>
      <c r="C9575">
        <v>12</v>
      </c>
      <c r="D9575" t="s">
        <v>103</v>
      </c>
      <c r="E9575" t="s">
        <v>192</v>
      </c>
      <c r="F9575" t="s">
        <v>103</v>
      </c>
      <c r="G9575" t="s">
        <v>103</v>
      </c>
    </row>
    <row r="9576" spans="1:7" x14ac:dyDescent="0.3">
      <c r="A9576" t="s">
        <v>27</v>
      </c>
      <c r="B9576" t="s">
        <v>291</v>
      </c>
      <c r="C9576">
        <v>95</v>
      </c>
      <c r="D9576" t="s">
        <v>121</v>
      </c>
      <c r="E9576" t="s">
        <v>784</v>
      </c>
      <c r="F9576" t="s">
        <v>208</v>
      </c>
      <c r="G9576" t="s">
        <v>103</v>
      </c>
    </row>
    <row r="9577" spans="1:7" x14ac:dyDescent="0.3">
      <c r="A9577" t="s">
        <v>27</v>
      </c>
      <c r="B9577" t="s">
        <v>292</v>
      </c>
      <c r="C9577">
        <v>198</v>
      </c>
      <c r="D9577" t="s">
        <v>754</v>
      </c>
      <c r="E9577" t="s">
        <v>755</v>
      </c>
      <c r="F9577" t="s">
        <v>103</v>
      </c>
      <c r="G9577" t="s">
        <v>103</v>
      </c>
    </row>
    <row r="9578" spans="1:7" x14ac:dyDescent="0.3">
      <c r="A9578" t="s">
        <v>27</v>
      </c>
      <c r="B9578" t="s">
        <v>308</v>
      </c>
      <c r="C9578">
        <v>7</v>
      </c>
      <c r="D9578" t="s">
        <v>645</v>
      </c>
      <c r="E9578" t="s">
        <v>703</v>
      </c>
      <c r="F9578" t="s">
        <v>103</v>
      </c>
      <c r="G9578" t="s">
        <v>103</v>
      </c>
    </row>
    <row r="9579" spans="1:7" x14ac:dyDescent="0.3">
      <c r="A9579" t="s">
        <v>41</v>
      </c>
      <c r="B9579" t="s">
        <v>291</v>
      </c>
      <c r="C9579">
        <v>692</v>
      </c>
      <c r="D9579" t="s">
        <v>483</v>
      </c>
      <c r="E9579" t="s">
        <v>55</v>
      </c>
      <c r="F9579" t="s">
        <v>139</v>
      </c>
      <c r="G9579" t="s">
        <v>103</v>
      </c>
    </row>
    <row r="9580" spans="1:7" x14ac:dyDescent="0.3">
      <c r="A9580" t="s">
        <v>41</v>
      </c>
      <c r="B9580" t="s">
        <v>292</v>
      </c>
      <c r="C9580">
        <v>1320</v>
      </c>
      <c r="D9580" t="s">
        <v>264</v>
      </c>
      <c r="E9580" t="s">
        <v>602</v>
      </c>
      <c r="F9580" t="s">
        <v>103</v>
      </c>
      <c r="G9580" t="s">
        <v>97</v>
      </c>
    </row>
    <row r="9581" spans="1:7" x14ac:dyDescent="0.3">
      <c r="A9581" t="s">
        <v>41</v>
      </c>
      <c r="B9581" t="s">
        <v>308</v>
      </c>
      <c r="C9581">
        <v>26</v>
      </c>
      <c r="D9581" t="s">
        <v>131</v>
      </c>
      <c r="E9581" t="s">
        <v>984</v>
      </c>
      <c r="F9581" t="s">
        <v>103</v>
      </c>
      <c r="G9581" t="s">
        <v>103</v>
      </c>
    </row>
    <row r="9583" spans="1:7" x14ac:dyDescent="0.3">
      <c r="A9583" t="s">
        <v>2588</v>
      </c>
    </row>
    <row r="9584" spans="1:7" x14ac:dyDescent="0.3">
      <c r="A9584" t="s">
        <v>36</v>
      </c>
      <c r="B9584" t="s">
        <v>310</v>
      </c>
      <c r="C9584" t="s">
        <v>24</v>
      </c>
      <c r="D9584" t="s">
        <v>58</v>
      </c>
      <c r="E9584" t="s">
        <v>59</v>
      </c>
      <c r="F9584" t="s">
        <v>348</v>
      </c>
      <c r="G9584" t="s">
        <v>181</v>
      </c>
    </row>
    <row r="9585" spans="1:7" x14ac:dyDescent="0.3">
      <c r="A9585" t="s">
        <v>25</v>
      </c>
      <c r="B9585" t="s">
        <v>311</v>
      </c>
      <c r="C9585">
        <v>324</v>
      </c>
      <c r="D9585" t="s">
        <v>474</v>
      </c>
      <c r="E9585" t="s">
        <v>274</v>
      </c>
      <c r="F9585" t="s">
        <v>103</v>
      </c>
      <c r="G9585" t="s">
        <v>103</v>
      </c>
    </row>
    <row r="9586" spans="1:7" x14ac:dyDescent="0.3">
      <c r="A9586" t="s">
        <v>25</v>
      </c>
      <c r="B9586" t="s">
        <v>312</v>
      </c>
      <c r="C9586">
        <v>80</v>
      </c>
      <c r="D9586" t="s">
        <v>46</v>
      </c>
      <c r="E9586" t="s">
        <v>45</v>
      </c>
      <c r="F9586" t="s">
        <v>103</v>
      </c>
      <c r="G9586" t="s">
        <v>103</v>
      </c>
    </row>
    <row r="9587" spans="1:7" x14ac:dyDescent="0.3">
      <c r="A9587" t="s">
        <v>25</v>
      </c>
      <c r="B9587" t="s">
        <v>308</v>
      </c>
      <c r="C9587">
        <v>10</v>
      </c>
      <c r="D9587" t="s">
        <v>517</v>
      </c>
      <c r="E9587" t="s">
        <v>776</v>
      </c>
      <c r="F9587" t="s">
        <v>103</v>
      </c>
      <c r="G9587" t="s">
        <v>103</v>
      </c>
    </row>
    <row r="9588" spans="1:7" x14ac:dyDescent="0.3">
      <c r="A9588" t="s">
        <v>26</v>
      </c>
      <c r="B9588" t="s">
        <v>311</v>
      </c>
      <c r="C9588">
        <v>343</v>
      </c>
      <c r="D9588" t="s">
        <v>244</v>
      </c>
      <c r="E9588" t="s">
        <v>712</v>
      </c>
      <c r="F9588" t="s">
        <v>103</v>
      </c>
      <c r="G9588" t="s">
        <v>103</v>
      </c>
    </row>
    <row r="9589" spans="1:7" x14ac:dyDescent="0.3">
      <c r="A9589" t="s">
        <v>26</v>
      </c>
      <c r="B9589" t="s">
        <v>312</v>
      </c>
      <c r="C9589">
        <v>96</v>
      </c>
      <c r="D9589" t="s">
        <v>155</v>
      </c>
      <c r="E9589" t="s">
        <v>156</v>
      </c>
      <c r="F9589" t="s">
        <v>103</v>
      </c>
      <c r="G9589" t="s">
        <v>103</v>
      </c>
    </row>
    <row r="9590" spans="1:7" x14ac:dyDescent="0.3">
      <c r="A9590" t="s">
        <v>26</v>
      </c>
      <c r="B9590" t="s">
        <v>308</v>
      </c>
      <c r="C9590">
        <v>38</v>
      </c>
      <c r="D9590" t="s">
        <v>90</v>
      </c>
      <c r="E9590" t="s">
        <v>1177</v>
      </c>
      <c r="F9590" t="s">
        <v>103</v>
      </c>
      <c r="G9590" t="s">
        <v>103</v>
      </c>
    </row>
    <row r="9591" spans="1:7" x14ac:dyDescent="0.3">
      <c r="A9591" t="s">
        <v>29</v>
      </c>
      <c r="B9591" t="s">
        <v>311</v>
      </c>
      <c r="C9591">
        <v>414</v>
      </c>
      <c r="D9591" t="s">
        <v>1143</v>
      </c>
      <c r="E9591" t="s">
        <v>1325</v>
      </c>
      <c r="F9591" t="s">
        <v>66</v>
      </c>
      <c r="G9591" t="s">
        <v>120</v>
      </c>
    </row>
    <row r="9592" spans="1:7" x14ac:dyDescent="0.3">
      <c r="A9592" t="s">
        <v>29</v>
      </c>
      <c r="B9592" t="s">
        <v>312</v>
      </c>
      <c r="C9592">
        <v>103</v>
      </c>
      <c r="D9592" t="s">
        <v>557</v>
      </c>
      <c r="E9592" t="s">
        <v>1325</v>
      </c>
      <c r="F9592" t="s">
        <v>208</v>
      </c>
      <c r="G9592" t="s">
        <v>110</v>
      </c>
    </row>
    <row r="9593" spans="1:7" x14ac:dyDescent="0.3">
      <c r="A9593" t="s">
        <v>29</v>
      </c>
      <c r="B9593" t="s">
        <v>308</v>
      </c>
      <c r="C9593">
        <v>13</v>
      </c>
      <c r="D9593" t="s">
        <v>457</v>
      </c>
      <c r="E9593" t="s">
        <v>1398</v>
      </c>
      <c r="F9593" t="s">
        <v>103</v>
      </c>
      <c r="G9593" t="s">
        <v>103</v>
      </c>
    </row>
    <row r="9594" spans="1:7" x14ac:dyDescent="0.3">
      <c r="A9594" t="s">
        <v>28</v>
      </c>
      <c r="B9594" t="s">
        <v>311</v>
      </c>
      <c r="C9594">
        <v>223</v>
      </c>
      <c r="D9594" t="s">
        <v>133</v>
      </c>
      <c r="E9594" t="s">
        <v>896</v>
      </c>
      <c r="F9594" t="s">
        <v>103</v>
      </c>
      <c r="G9594" t="s">
        <v>103</v>
      </c>
    </row>
    <row r="9595" spans="1:7" x14ac:dyDescent="0.3">
      <c r="A9595" t="s">
        <v>28</v>
      </c>
      <c r="B9595" t="s">
        <v>312</v>
      </c>
      <c r="C9595">
        <v>93</v>
      </c>
      <c r="D9595" t="s">
        <v>56</v>
      </c>
      <c r="E9595" t="s">
        <v>55</v>
      </c>
      <c r="F9595" t="s">
        <v>103</v>
      </c>
      <c r="G9595" t="s">
        <v>103</v>
      </c>
    </row>
    <row r="9596" spans="1:7" x14ac:dyDescent="0.3">
      <c r="A9596" t="s">
        <v>28</v>
      </c>
      <c r="B9596" t="s">
        <v>308</v>
      </c>
      <c r="C9596">
        <v>1</v>
      </c>
      <c r="D9596" t="s">
        <v>103</v>
      </c>
      <c r="E9596" t="s">
        <v>192</v>
      </c>
      <c r="F9596" t="s">
        <v>103</v>
      </c>
      <c r="G9596" t="s">
        <v>103</v>
      </c>
    </row>
    <row r="9597" spans="1:7" x14ac:dyDescent="0.3">
      <c r="A9597" t="s">
        <v>27</v>
      </c>
      <c r="B9597" t="s">
        <v>311</v>
      </c>
      <c r="C9597">
        <v>237</v>
      </c>
      <c r="D9597" t="s">
        <v>746</v>
      </c>
      <c r="E9597" t="s">
        <v>747</v>
      </c>
      <c r="F9597" t="s">
        <v>103</v>
      </c>
      <c r="G9597" t="s">
        <v>103</v>
      </c>
    </row>
    <row r="9598" spans="1:7" x14ac:dyDescent="0.3">
      <c r="A9598" t="s">
        <v>27</v>
      </c>
      <c r="B9598" t="s">
        <v>312</v>
      </c>
      <c r="C9598">
        <v>60</v>
      </c>
      <c r="D9598" t="s">
        <v>674</v>
      </c>
      <c r="E9598" t="s">
        <v>377</v>
      </c>
      <c r="F9598" t="s">
        <v>467</v>
      </c>
      <c r="G9598" t="s">
        <v>103</v>
      </c>
    </row>
    <row r="9599" spans="1:7" x14ac:dyDescent="0.3">
      <c r="A9599" t="s">
        <v>27</v>
      </c>
      <c r="B9599" t="s">
        <v>308</v>
      </c>
      <c r="C9599">
        <v>3</v>
      </c>
      <c r="D9599" t="s">
        <v>943</v>
      </c>
      <c r="E9599" t="s">
        <v>527</v>
      </c>
      <c r="F9599" t="s">
        <v>103</v>
      </c>
      <c r="G9599" t="s">
        <v>103</v>
      </c>
    </row>
    <row r="9600" spans="1:7" x14ac:dyDescent="0.3">
      <c r="A9600" t="s">
        <v>41</v>
      </c>
      <c r="B9600" t="s">
        <v>311</v>
      </c>
      <c r="C9600">
        <v>1541</v>
      </c>
      <c r="D9600" t="s">
        <v>580</v>
      </c>
      <c r="E9600" t="s">
        <v>757</v>
      </c>
      <c r="F9600" t="s">
        <v>91</v>
      </c>
      <c r="G9600" t="s">
        <v>116</v>
      </c>
    </row>
    <row r="9601" spans="1:7" x14ac:dyDescent="0.3">
      <c r="A9601" t="s">
        <v>41</v>
      </c>
      <c r="B9601" t="s">
        <v>312</v>
      </c>
      <c r="C9601">
        <v>432</v>
      </c>
      <c r="D9601" t="s">
        <v>1198</v>
      </c>
      <c r="E9601" t="s">
        <v>724</v>
      </c>
      <c r="F9601" t="s">
        <v>345</v>
      </c>
      <c r="G9601" t="s">
        <v>120</v>
      </c>
    </row>
    <row r="9602" spans="1:7" x14ac:dyDescent="0.3">
      <c r="A9602" t="s">
        <v>41</v>
      </c>
      <c r="B9602" t="s">
        <v>308</v>
      </c>
      <c r="C9602">
        <v>65</v>
      </c>
      <c r="D9602" t="s">
        <v>162</v>
      </c>
      <c r="E9602" t="s">
        <v>163</v>
      </c>
      <c r="F9602" t="s">
        <v>103</v>
      </c>
      <c r="G9602" t="s">
        <v>103</v>
      </c>
    </row>
    <row r="9604" spans="1:7" x14ac:dyDescent="0.3">
      <c r="A9604" t="s">
        <v>2589</v>
      </c>
    </row>
    <row r="9605" spans="1:7" x14ac:dyDescent="0.3">
      <c r="A9605" t="s">
        <v>36</v>
      </c>
      <c r="B9605" t="s">
        <v>197</v>
      </c>
      <c r="C9605" t="s">
        <v>24</v>
      </c>
      <c r="D9605" t="s">
        <v>58</v>
      </c>
      <c r="E9605" t="s">
        <v>59</v>
      </c>
      <c r="F9605" t="s">
        <v>348</v>
      </c>
      <c r="G9605" t="s">
        <v>181</v>
      </c>
    </row>
    <row r="9606" spans="1:7" x14ac:dyDescent="0.3">
      <c r="A9606" t="s">
        <v>25</v>
      </c>
      <c r="B9606" t="s">
        <v>198</v>
      </c>
      <c r="C9606">
        <v>104</v>
      </c>
      <c r="D9606" t="s">
        <v>264</v>
      </c>
      <c r="E9606" t="s">
        <v>753</v>
      </c>
      <c r="F9606" t="s">
        <v>103</v>
      </c>
      <c r="G9606" t="s">
        <v>103</v>
      </c>
    </row>
    <row r="9607" spans="1:7" x14ac:dyDescent="0.3">
      <c r="A9607" t="s">
        <v>25</v>
      </c>
      <c r="B9607" t="s">
        <v>199</v>
      </c>
      <c r="C9607">
        <v>310</v>
      </c>
      <c r="D9607" t="s">
        <v>570</v>
      </c>
      <c r="E9607" t="s">
        <v>711</v>
      </c>
      <c r="F9607" t="s">
        <v>103</v>
      </c>
      <c r="G9607" t="s">
        <v>103</v>
      </c>
    </row>
    <row r="9608" spans="1:7" x14ac:dyDescent="0.3">
      <c r="A9608" t="s">
        <v>26</v>
      </c>
      <c r="B9608" t="s">
        <v>198</v>
      </c>
      <c r="C9608">
        <v>41</v>
      </c>
      <c r="D9608" t="s">
        <v>54</v>
      </c>
      <c r="E9608" t="s">
        <v>53</v>
      </c>
      <c r="F9608" t="s">
        <v>103</v>
      </c>
      <c r="G9608" t="s">
        <v>103</v>
      </c>
    </row>
    <row r="9609" spans="1:7" x14ac:dyDescent="0.3">
      <c r="A9609" t="s">
        <v>26</v>
      </c>
      <c r="B9609" t="s">
        <v>199</v>
      </c>
      <c r="C9609">
        <v>436</v>
      </c>
      <c r="D9609" t="s">
        <v>115</v>
      </c>
      <c r="E9609" t="s">
        <v>740</v>
      </c>
      <c r="F9609" t="s">
        <v>103</v>
      </c>
      <c r="G9609" t="s">
        <v>103</v>
      </c>
    </row>
    <row r="9610" spans="1:7" x14ac:dyDescent="0.3">
      <c r="A9610" t="s">
        <v>29</v>
      </c>
      <c r="B9610" t="s">
        <v>198</v>
      </c>
      <c r="C9610">
        <v>170</v>
      </c>
      <c r="D9610" t="s">
        <v>580</v>
      </c>
      <c r="E9610" t="s">
        <v>757</v>
      </c>
      <c r="F9610" t="s">
        <v>122</v>
      </c>
      <c r="G9610" t="s">
        <v>103</v>
      </c>
    </row>
    <row r="9611" spans="1:7" x14ac:dyDescent="0.3">
      <c r="A9611" t="s">
        <v>29</v>
      </c>
      <c r="B9611" t="s">
        <v>199</v>
      </c>
      <c r="C9611">
        <v>360</v>
      </c>
      <c r="D9611" t="s">
        <v>261</v>
      </c>
      <c r="E9611" t="s">
        <v>1392</v>
      </c>
      <c r="F9611" t="s">
        <v>120</v>
      </c>
      <c r="G9611" t="s">
        <v>282</v>
      </c>
    </row>
    <row r="9612" spans="1:7" x14ac:dyDescent="0.3">
      <c r="A9612" t="s">
        <v>28</v>
      </c>
      <c r="B9612" t="s">
        <v>198</v>
      </c>
      <c r="C9612">
        <v>70</v>
      </c>
      <c r="D9612" t="s">
        <v>272</v>
      </c>
      <c r="E9612" t="s">
        <v>336</v>
      </c>
      <c r="F9612" t="s">
        <v>103</v>
      </c>
      <c r="G9612" t="s">
        <v>103</v>
      </c>
    </row>
    <row r="9613" spans="1:7" x14ac:dyDescent="0.3">
      <c r="A9613" t="s">
        <v>28</v>
      </c>
      <c r="B9613" t="s">
        <v>199</v>
      </c>
      <c r="C9613">
        <v>247</v>
      </c>
      <c r="D9613" t="s">
        <v>117</v>
      </c>
      <c r="E9613" t="s">
        <v>159</v>
      </c>
      <c r="F9613" t="s">
        <v>103</v>
      </c>
      <c r="G9613" t="s">
        <v>103</v>
      </c>
    </row>
    <row r="9614" spans="1:7" x14ac:dyDescent="0.3">
      <c r="A9614" t="s">
        <v>27</v>
      </c>
      <c r="B9614" t="s">
        <v>198</v>
      </c>
      <c r="C9614">
        <v>136</v>
      </c>
      <c r="D9614" t="s">
        <v>658</v>
      </c>
      <c r="E9614" t="s">
        <v>204</v>
      </c>
      <c r="F9614" t="s">
        <v>103</v>
      </c>
      <c r="G9614" t="s">
        <v>103</v>
      </c>
    </row>
    <row r="9615" spans="1:7" x14ac:dyDescent="0.3">
      <c r="A9615" t="s">
        <v>27</v>
      </c>
      <c r="B9615" t="s">
        <v>199</v>
      </c>
      <c r="C9615">
        <v>164</v>
      </c>
      <c r="D9615" t="s">
        <v>788</v>
      </c>
      <c r="E9615" t="s">
        <v>905</v>
      </c>
      <c r="F9615" t="s">
        <v>345</v>
      </c>
      <c r="G9615" t="s">
        <v>103</v>
      </c>
    </row>
    <row r="9616" spans="1:7" x14ac:dyDescent="0.3">
      <c r="A9616" t="s">
        <v>41</v>
      </c>
      <c r="B9616" t="s">
        <v>198</v>
      </c>
      <c r="C9616">
        <v>521</v>
      </c>
      <c r="D9616" t="s">
        <v>50</v>
      </c>
      <c r="E9616" t="s">
        <v>806</v>
      </c>
      <c r="F9616" t="s">
        <v>116</v>
      </c>
      <c r="G9616" t="s">
        <v>103</v>
      </c>
    </row>
    <row r="9617" spans="1:7" x14ac:dyDescent="0.3">
      <c r="A9617" t="s">
        <v>41</v>
      </c>
      <c r="B9617" t="s">
        <v>199</v>
      </c>
      <c r="C9617">
        <v>1517</v>
      </c>
      <c r="D9617" t="s">
        <v>526</v>
      </c>
      <c r="E9617" t="s">
        <v>978</v>
      </c>
      <c r="F9617" t="s">
        <v>116</v>
      </c>
      <c r="G9617" t="s">
        <v>122</v>
      </c>
    </row>
    <row r="9619" spans="1:7" x14ac:dyDescent="0.3">
      <c r="A9619" t="s">
        <v>2590</v>
      </c>
    </row>
    <row r="9620" spans="1:7" x14ac:dyDescent="0.3">
      <c r="A9620" t="s">
        <v>36</v>
      </c>
      <c r="B9620" t="s">
        <v>210</v>
      </c>
      <c r="C9620" t="s">
        <v>24</v>
      </c>
      <c r="D9620" t="s">
        <v>58</v>
      </c>
      <c r="E9620" t="s">
        <v>59</v>
      </c>
      <c r="F9620" t="s">
        <v>348</v>
      </c>
      <c r="G9620" t="s">
        <v>181</v>
      </c>
    </row>
    <row r="9621" spans="1:7" x14ac:dyDescent="0.3">
      <c r="A9621" t="s">
        <v>25</v>
      </c>
      <c r="B9621" t="s">
        <v>211</v>
      </c>
      <c r="C9621">
        <v>414</v>
      </c>
      <c r="D9621" t="s">
        <v>46</v>
      </c>
      <c r="E9621" t="s">
        <v>45</v>
      </c>
      <c r="F9621" t="s">
        <v>103</v>
      </c>
      <c r="G9621" t="s">
        <v>103</v>
      </c>
    </row>
    <row r="9622" spans="1:7" x14ac:dyDescent="0.3">
      <c r="A9622" t="s">
        <v>26</v>
      </c>
      <c r="B9622" t="s">
        <v>211</v>
      </c>
      <c r="C9622">
        <v>223</v>
      </c>
      <c r="D9622" t="s">
        <v>732</v>
      </c>
      <c r="E9622" t="s">
        <v>733</v>
      </c>
      <c r="F9622" t="s">
        <v>103</v>
      </c>
      <c r="G9622" t="s">
        <v>103</v>
      </c>
    </row>
    <row r="9623" spans="1:7" x14ac:dyDescent="0.3">
      <c r="A9623" t="s">
        <v>26</v>
      </c>
      <c r="B9623" t="s">
        <v>212</v>
      </c>
      <c r="C9623">
        <v>254</v>
      </c>
      <c r="D9623" t="s">
        <v>531</v>
      </c>
      <c r="E9623" t="s">
        <v>862</v>
      </c>
      <c r="F9623" t="s">
        <v>103</v>
      </c>
      <c r="G9623" t="s">
        <v>103</v>
      </c>
    </row>
    <row r="9624" spans="1:7" x14ac:dyDescent="0.3">
      <c r="A9624" t="s">
        <v>29</v>
      </c>
      <c r="B9624" t="s">
        <v>211</v>
      </c>
      <c r="C9624">
        <v>530</v>
      </c>
      <c r="D9624" t="s">
        <v>398</v>
      </c>
      <c r="E9624" t="s">
        <v>1325</v>
      </c>
      <c r="F9624" t="s">
        <v>120</v>
      </c>
      <c r="G9624" t="s">
        <v>95</v>
      </c>
    </row>
    <row r="9625" spans="1:7" x14ac:dyDescent="0.3">
      <c r="A9625" t="s">
        <v>28</v>
      </c>
      <c r="B9625" t="s">
        <v>211</v>
      </c>
      <c r="C9625">
        <v>277</v>
      </c>
      <c r="D9625" t="s">
        <v>459</v>
      </c>
      <c r="E9625" t="s">
        <v>818</v>
      </c>
      <c r="F9625" t="s">
        <v>103</v>
      </c>
      <c r="G9625" t="s">
        <v>103</v>
      </c>
    </row>
    <row r="9626" spans="1:7" x14ac:dyDescent="0.3">
      <c r="A9626" t="s">
        <v>28</v>
      </c>
      <c r="B9626" t="s">
        <v>212</v>
      </c>
      <c r="C9626">
        <v>40</v>
      </c>
      <c r="D9626" t="s">
        <v>103</v>
      </c>
      <c r="E9626" t="s">
        <v>192</v>
      </c>
      <c r="F9626" t="s">
        <v>103</v>
      </c>
      <c r="G9626" t="s">
        <v>103</v>
      </c>
    </row>
    <row r="9627" spans="1:7" x14ac:dyDescent="0.3">
      <c r="A9627" t="s">
        <v>27</v>
      </c>
      <c r="B9627" t="s">
        <v>211</v>
      </c>
      <c r="C9627">
        <v>270</v>
      </c>
      <c r="D9627" t="s">
        <v>1143</v>
      </c>
      <c r="E9627" t="s">
        <v>1259</v>
      </c>
      <c r="F9627" t="s">
        <v>120</v>
      </c>
      <c r="G9627" t="s">
        <v>103</v>
      </c>
    </row>
    <row r="9628" spans="1:7" s="3" customFormat="1" x14ac:dyDescent="0.3">
      <c r="A9628" s="3" t="s">
        <v>27</v>
      </c>
      <c r="B9628" s="3" t="s">
        <v>212</v>
      </c>
      <c r="C9628" s="3">
        <v>30</v>
      </c>
      <c r="D9628" s="3" t="s">
        <v>491</v>
      </c>
      <c r="E9628" s="3" t="s">
        <v>937</v>
      </c>
      <c r="F9628" s="3" t="s">
        <v>103</v>
      </c>
      <c r="G9628" s="3" t="s">
        <v>103</v>
      </c>
    </row>
    <row r="9629" spans="1:7" x14ac:dyDescent="0.3">
      <c r="A9629" t="s">
        <v>41</v>
      </c>
      <c r="B9629" t="s">
        <v>211</v>
      </c>
      <c r="C9629">
        <v>1714</v>
      </c>
      <c r="D9629" t="s">
        <v>554</v>
      </c>
      <c r="E9629" t="s">
        <v>1348</v>
      </c>
      <c r="F9629" t="s">
        <v>116</v>
      </c>
      <c r="G9629" t="s">
        <v>122</v>
      </c>
    </row>
    <row r="9630" spans="1:7" x14ac:dyDescent="0.3">
      <c r="A9630" t="s">
        <v>41</v>
      </c>
      <c r="B9630" t="s">
        <v>212</v>
      </c>
      <c r="C9630">
        <v>324</v>
      </c>
      <c r="D9630" t="s">
        <v>594</v>
      </c>
      <c r="E9630" t="s">
        <v>633</v>
      </c>
      <c r="F9630" t="s">
        <v>103</v>
      </c>
      <c r="G9630" t="s">
        <v>103</v>
      </c>
    </row>
    <row r="9632" spans="1:7" x14ac:dyDescent="0.3">
      <c r="A9632" t="s">
        <v>2591</v>
      </c>
    </row>
    <row r="9633" spans="1:13" x14ac:dyDescent="0.3">
      <c r="A9633" t="s">
        <v>36</v>
      </c>
      <c r="B9633" t="s">
        <v>24</v>
      </c>
      <c r="C9633" t="s">
        <v>2592</v>
      </c>
      <c r="D9633" t="s">
        <v>2593</v>
      </c>
      <c r="E9633" t="s">
        <v>2594</v>
      </c>
      <c r="F9633" t="s">
        <v>2595</v>
      </c>
      <c r="G9633" t="s">
        <v>2596</v>
      </c>
      <c r="H9633" t="s">
        <v>2597</v>
      </c>
      <c r="I9633" t="s">
        <v>89</v>
      </c>
      <c r="J9633" t="s">
        <v>2598</v>
      </c>
      <c r="K9633" t="s">
        <v>87</v>
      </c>
      <c r="L9633" t="s">
        <v>181</v>
      </c>
    </row>
    <row r="9634" spans="1:13" x14ac:dyDescent="0.3">
      <c r="A9634" t="s">
        <v>25</v>
      </c>
      <c r="B9634">
        <v>414</v>
      </c>
      <c r="C9634" t="s">
        <v>191</v>
      </c>
      <c r="D9634" t="s">
        <v>167</v>
      </c>
      <c r="E9634" t="s">
        <v>95</v>
      </c>
      <c r="F9634" t="s">
        <v>101</v>
      </c>
      <c r="G9634" t="s">
        <v>93</v>
      </c>
      <c r="H9634" t="s">
        <v>116</v>
      </c>
      <c r="I9634" t="s">
        <v>116</v>
      </c>
      <c r="J9634" t="s">
        <v>769</v>
      </c>
      <c r="K9634" t="s">
        <v>116</v>
      </c>
      <c r="L9634" t="s">
        <v>103</v>
      </c>
    </row>
    <row r="9635" spans="1:13" x14ac:dyDescent="0.3">
      <c r="A9635" t="s">
        <v>26</v>
      </c>
      <c r="B9635">
        <v>477</v>
      </c>
      <c r="C9635" t="s">
        <v>131</v>
      </c>
      <c r="D9635" t="s">
        <v>565</v>
      </c>
      <c r="E9635" t="s">
        <v>116</v>
      </c>
      <c r="F9635" t="s">
        <v>135</v>
      </c>
      <c r="G9635" t="s">
        <v>607</v>
      </c>
      <c r="H9635" t="s">
        <v>245</v>
      </c>
      <c r="I9635" t="s">
        <v>116</v>
      </c>
      <c r="J9635" t="s">
        <v>690</v>
      </c>
      <c r="K9635" t="s">
        <v>122</v>
      </c>
      <c r="L9635" t="s">
        <v>66</v>
      </c>
    </row>
    <row r="9636" spans="1:13" x14ac:dyDescent="0.3">
      <c r="A9636" t="s">
        <v>29</v>
      </c>
      <c r="B9636">
        <v>530</v>
      </c>
      <c r="C9636" t="s">
        <v>485</v>
      </c>
      <c r="D9636" t="s">
        <v>754</v>
      </c>
      <c r="E9636" t="s">
        <v>98</v>
      </c>
      <c r="F9636" t="s">
        <v>70</v>
      </c>
      <c r="G9636" t="s">
        <v>217</v>
      </c>
      <c r="H9636" t="s">
        <v>543</v>
      </c>
      <c r="I9636" t="s">
        <v>103</v>
      </c>
      <c r="J9636" t="s">
        <v>1252</v>
      </c>
      <c r="K9636" t="s">
        <v>270</v>
      </c>
      <c r="L9636" t="s">
        <v>91</v>
      </c>
    </row>
    <row r="9637" spans="1:13" x14ac:dyDescent="0.3">
      <c r="A9637" t="s">
        <v>28</v>
      </c>
      <c r="B9637">
        <v>317</v>
      </c>
      <c r="C9637" t="s">
        <v>122</v>
      </c>
      <c r="D9637" t="s">
        <v>33</v>
      </c>
      <c r="E9637" t="s">
        <v>120</v>
      </c>
      <c r="F9637" t="s">
        <v>438</v>
      </c>
      <c r="G9637" t="s">
        <v>467</v>
      </c>
      <c r="H9637" t="s">
        <v>66</v>
      </c>
      <c r="I9637" t="s">
        <v>103</v>
      </c>
      <c r="J9637" t="s">
        <v>168</v>
      </c>
      <c r="K9637" t="s">
        <v>110</v>
      </c>
      <c r="L9637" t="s">
        <v>120</v>
      </c>
    </row>
    <row r="9638" spans="1:13" x14ac:dyDescent="0.3">
      <c r="A9638" t="s">
        <v>27</v>
      </c>
      <c r="B9638">
        <v>300</v>
      </c>
      <c r="C9638" t="s">
        <v>106</v>
      </c>
      <c r="D9638" t="s">
        <v>470</v>
      </c>
      <c r="E9638" t="s">
        <v>120</v>
      </c>
      <c r="F9638" t="s">
        <v>102</v>
      </c>
      <c r="G9638" t="s">
        <v>110</v>
      </c>
      <c r="H9638" t="s">
        <v>188</v>
      </c>
      <c r="I9638" t="s">
        <v>103</v>
      </c>
      <c r="J9638" t="s">
        <v>1549</v>
      </c>
      <c r="K9638" t="s">
        <v>544</v>
      </c>
      <c r="L9638" t="s">
        <v>329</v>
      </c>
    </row>
    <row r="9639" spans="1:13" x14ac:dyDescent="0.3">
      <c r="A9639" t="s">
        <v>41</v>
      </c>
      <c r="B9639">
        <v>2038</v>
      </c>
      <c r="C9639" t="s">
        <v>516</v>
      </c>
      <c r="D9639" t="s">
        <v>695</v>
      </c>
      <c r="E9639" t="s">
        <v>95</v>
      </c>
      <c r="F9639" t="s">
        <v>140</v>
      </c>
      <c r="G9639" t="s">
        <v>102</v>
      </c>
      <c r="H9639" t="s">
        <v>112</v>
      </c>
      <c r="I9639" t="s">
        <v>91</v>
      </c>
      <c r="J9639" t="s">
        <v>439</v>
      </c>
      <c r="K9639" t="s">
        <v>93</v>
      </c>
      <c r="L9639" t="s">
        <v>66</v>
      </c>
    </row>
    <row r="9641" spans="1:13" x14ac:dyDescent="0.3">
      <c r="A9641" t="s">
        <v>2599</v>
      </c>
    </row>
    <row r="9642" spans="1:13" x14ac:dyDescent="0.3">
      <c r="A9642" t="s">
        <v>36</v>
      </c>
      <c r="B9642" t="s">
        <v>307</v>
      </c>
      <c r="C9642" t="s">
        <v>24</v>
      </c>
      <c r="D9642" t="s">
        <v>2592</v>
      </c>
      <c r="E9642" t="s">
        <v>2593</v>
      </c>
      <c r="F9642" t="s">
        <v>2594</v>
      </c>
      <c r="G9642" t="s">
        <v>2595</v>
      </c>
      <c r="H9642" t="s">
        <v>2596</v>
      </c>
      <c r="I9642" t="s">
        <v>2597</v>
      </c>
      <c r="J9642" t="s">
        <v>89</v>
      </c>
      <c r="K9642" t="s">
        <v>2598</v>
      </c>
      <c r="L9642" t="s">
        <v>87</v>
      </c>
      <c r="M9642" t="s">
        <v>181</v>
      </c>
    </row>
    <row r="9643" spans="1:13" x14ac:dyDescent="0.3">
      <c r="A9643" t="s">
        <v>25</v>
      </c>
      <c r="B9643" t="s">
        <v>291</v>
      </c>
      <c r="C9643">
        <v>156</v>
      </c>
      <c r="D9643" t="s">
        <v>100</v>
      </c>
      <c r="E9643" t="s">
        <v>737</v>
      </c>
      <c r="F9643" t="s">
        <v>139</v>
      </c>
      <c r="G9643" t="s">
        <v>127</v>
      </c>
      <c r="H9643" t="s">
        <v>345</v>
      </c>
      <c r="I9643" t="s">
        <v>139</v>
      </c>
      <c r="J9643" t="s">
        <v>103</v>
      </c>
      <c r="K9643" t="s">
        <v>709</v>
      </c>
      <c r="L9643" t="s">
        <v>103</v>
      </c>
      <c r="M9643" t="s">
        <v>103</v>
      </c>
    </row>
    <row r="9644" spans="1:13" x14ac:dyDescent="0.3">
      <c r="A9644" t="s">
        <v>25</v>
      </c>
      <c r="B9644" t="s">
        <v>292</v>
      </c>
      <c r="C9644">
        <v>254</v>
      </c>
      <c r="D9644" t="s">
        <v>119</v>
      </c>
      <c r="E9644" t="s">
        <v>807</v>
      </c>
      <c r="F9644" t="s">
        <v>95</v>
      </c>
      <c r="G9644" t="s">
        <v>607</v>
      </c>
      <c r="H9644" t="s">
        <v>64</v>
      </c>
      <c r="I9644" t="s">
        <v>103</v>
      </c>
      <c r="J9644" t="s">
        <v>122</v>
      </c>
      <c r="K9644" t="s">
        <v>989</v>
      </c>
      <c r="L9644" t="s">
        <v>97</v>
      </c>
      <c r="M9644" t="s">
        <v>103</v>
      </c>
    </row>
    <row r="9645" spans="1:13" x14ac:dyDescent="0.3">
      <c r="A9645" t="s">
        <v>25</v>
      </c>
      <c r="B9645" t="s">
        <v>308</v>
      </c>
      <c r="C9645">
        <v>4</v>
      </c>
      <c r="D9645" t="s">
        <v>103</v>
      </c>
      <c r="E9645" t="s">
        <v>103</v>
      </c>
      <c r="F9645" t="s">
        <v>103</v>
      </c>
      <c r="G9645" t="s">
        <v>103</v>
      </c>
      <c r="H9645" t="s">
        <v>103</v>
      </c>
      <c r="I9645" t="s">
        <v>103</v>
      </c>
      <c r="J9645" t="s">
        <v>103</v>
      </c>
      <c r="K9645" t="s">
        <v>192</v>
      </c>
      <c r="L9645" t="s">
        <v>103</v>
      </c>
      <c r="M9645" t="s">
        <v>103</v>
      </c>
    </row>
    <row r="9646" spans="1:13" x14ac:dyDescent="0.3">
      <c r="A9646" t="s">
        <v>26</v>
      </c>
      <c r="B9646" t="s">
        <v>291</v>
      </c>
      <c r="C9646">
        <v>122</v>
      </c>
      <c r="D9646" t="s">
        <v>167</v>
      </c>
      <c r="E9646" t="s">
        <v>547</v>
      </c>
      <c r="F9646" t="s">
        <v>97</v>
      </c>
      <c r="G9646" t="s">
        <v>111</v>
      </c>
      <c r="H9646" t="s">
        <v>108</v>
      </c>
      <c r="I9646" t="s">
        <v>467</v>
      </c>
      <c r="J9646" t="s">
        <v>103</v>
      </c>
      <c r="K9646" t="s">
        <v>364</v>
      </c>
      <c r="L9646" t="s">
        <v>103</v>
      </c>
      <c r="M9646" t="s">
        <v>103</v>
      </c>
    </row>
    <row r="9647" spans="1:13" x14ac:dyDescent="0.3">
      <c r="A9647" t="s">
        <v>26</v>
      </c>
      <c r="B9647" t="s">
        <v>292</v>
      </c>
      <c r="C9647">
        <v>352</v>
      </c>
      <c r="D9647" t="s">
        <v>495</v>
      </c>
      <c r="E9647" t="s">
        <v>921</v>
      </c>
      <c r="F9647" t="s">
        <v>66</v>
      </c>
      <c r="G9647" t="s">
        <v>693</v>
      </c>
      <c r="H9647" t="s">
        <v>251</v>
      </c>
      <c r="I9647" t="s">
        <v>468</v>
      </c>
      <c r="J9647" t="s">
        <v>122</v>
      </c>
      <c r="K9647" t="s">
        <v>1221</v>
      </c>
      <c r="L9647" t="s">
        <v>120</v>
      </c>
      <c r="M9647" t="s">
        <v>66</v>
      </c>
    </row>
    <row r="9648" spans="1:13" x14ac:dyDescent="0.3">
      <c r="A9648" t="s">
        <v>26</v>
      </c>
      <c r="B9648" t="s">
        <v>308</v>
      </c>
      <c r="C9648">
        <v>3</v>
      </c>
      <c r="D9648" t="s">
        <v>103</v>
      </c>
      <c r="E9648" t="s">
        <v>103</v>
      </c>
      <c r="F9648" t="s">
        <v>103</v>
      </c>
      <c r="G9648" t="s">
        <v>103</v>
      </c>
      <c r="H9648" t="s">
        <v>103</v>
      </c>
      <c r="I9648" t="s">
        <v>103</v>
      </c>
      <c r="J9648" t="s">
        <v>103</v>
      </c>
      <c r="K9648" t="s">
        <v>192</v>
      </c>
      <c r="L9648" t="s">
        <v>103</v>
      </c>
      <c r="M9648" t="s">
        <v>103</v>
      </c>
    </row>
    <row r="9649" spans="1:13" x14ac:dyDescent="0.3">
      <c r="A9649" t="s">
        <v>29</v>
      </c>
      <c r="B9649" t="s">
        <v>291</v>
      </c>
      <c r="C9649">
        <v>205</v>
      </c>
      <c r="D9649" t="s">
        <v>518</v>
      </c>
      <c r="E9649" t="s">
        <v>256</v>
      </c>
      <c r="F9649" t="s">
        <v>282</v>
      </c>
      <c r="G9649" t="s">
        <v>531</v>
      </c>
      <c r="H9649" t="s">
        <v>257</v>
      </c>
      <c r="I9649" t="s">
        <v>649</v>
      </c>
      <c r="J9649" t="s">
        <v>103</v>
      </c>
      <c r="K9649" t="s">
        <v>730</v>
      </c>
      <c r="L9649" t="s">
        <v>64</v>
      </c>
      <c r="M9649" t="s">
        <v>66</v>
      </c>
    </row>
    <row r="9650" spans="1:13" x14ac:dyDescent="0.3">
      <c r="A9650" t="s">
        <v>29</v>
      </c>
      <c r="B9650" t="s">
        <v>292</v>
      </c>
      <c r="C9650">
        <v>325</v>
      </c>
      <c r="D9650" t="s">
        <v>727</v>
      </c>
      <c r="E9650" t="s">
        <v>684</v>
      </c>
      <c r="F9650" t="s">
        <v>139</v>
      </c>
      <c r="G9650" t="s">
        <v>32</v>
      </c>
      <c r="H9650" t="s">
        <v>217</v>
      </c>
      <c r="I9650" t="s">
        <v>117</v>
      </c>
      <c r="J9650" t="s">
        <v>103</v>
      </c>
      <c r="K9650" t="s">
        <v>1221</v>
      </c>
      <c r="L9650" t="s">
        <v>195</v>
      </c>
      <c r="M9650" t="s">
        <v>91</v>
      </c>
    </row>
    <row r="9651" spans="1:13" x14ac:dyDescent="0.3">
      <c r="A9651" t="s">
        <v>28</v>
      </c>
      <c r="B9651" t="s">
        <v>291</v>
      </c>
      <c r="C9651">
        <v>114</v>
      </c>
      <c r="D9651" t="s">
        <v>95</v>
      </c>
      <c r="E9651" t="s">
        <v>575</v>
      </c>
      <c r="F9651" t="s">
        <v>98</v>
      </c>
      <c r="G9651" t="s">
        <v>124</v>
      </c>
      <c r="H9651" t="s">
        <v>607</v>
      </c>
      <c r="I9651" t="s">
        <v>97</v>
      </c>
      <c r="J9651" t="s">
        <v>103</v>
      </c>
      <c r="K9651" t="s">
        <v>437</v>
      </c>
      <c r="L9651" t="s">
        <v>216</v>
      </c>
      <c r="M9651" t="s">
        <v>103</v>
      </c>
    </row>
    <row r="9652" spans="1:13" x14ac:dyDescent="0.3">
      <c r="A9652" t="s">
        <v>28</v>
      </c>
      <c r="B9652" t="s">
        <v>292</v>
      </c>
      <c r="C9652">
        <v>191</v>
      </c>
      <c r="D9652" t="s">
        <v>116</v>
      </c>
      <c r="E9652" t="s">
        <v>438</v>
      </c>
      <c r="F9652" t="s">
        <v>97</v>
      </c>
      <c r="G9652" t="s">
        <v>120</v>
      </c>
      <c r="H9652" t="s">
        <v>468</v>
      </c>
      <c r="I9652" t="s">
        <v>103</v>
      </c>
      <c r="J9652" t="s">
        <v>103</v>
      </c>
      <c r="K9652" t="s">
        <v>203</v>
      </c>
      <c r="L9652" t="s">
        <v>194</v>
      </c>
      <c r="M9652" t="s">
        <v>282</v>
      </c>
    </row>
    <row r="9653" spans="1:13" x14ac:dyDescent="0.3">
      <c r="A9653" t="s">
        <v>28</v>
      </c>
      <c r="B9653" t="s">
        <v>308</v>
      </c>
      <c r="C9653">
        <v>12</v>
      </c>
      <c r="D9653" t="s">
        <v>103</v>
      </c>
      <c r="E9653" t="s">
        <v>103</v>
      </c>
      <c r="F9653" t="s">
        <v>103</v>
      </c>
      <c r="G9653" t="s">
        <v>575</v>
      </c>
      <c r="H9653" t="s">
        <v>103</v>
      </c>
      <c r="I9653" t="s">
        <v>103</v>
      </c>
      <c r="J9653" t="s">
        <v>103</v>
      </c>
      <c r="K9653" t="s">
        <v>625</v>
      </c>
      <c r="L9653" t="s">
        <v>103</v>
      </c>
      <c r="M9653" t="s">
        <v>103</v>
      </c>
    </row>
    <row r="9654" spans="1:13" x14ac:dyDescent="0.3">
      <c r="A9654" t="s">
        <v>27</v>
      </c>
      <c r="B9654" t="s">
        <v>291</v>
      </c>
      <c r="C9654">
        <v>95</v>
      </c>
      <c r="D9654" t="s">
        <v>671</v>
      </c>
      <c r="E9654" t="s">
        <v>829</v>
      </c>
      <c r="F9654" t="s">
        <v>98</v>
      </c>
      <c r="G9654" t="s">
        <v>549</v>
      </c>
      <c r="H9654" t="s">
        <v>245</v>
      </c>
      <c r="I9654" t="s">
        <v>217</v>
      </c>
      <c r="J9654" t="s">
        <v>103</v>
      </c>
      <c r="K9654" t="s">
        <v>929</v>
      </c>
      <c r="L9654" t="s">
        <v>271</v>
      </c>
      <c r="M9654" t="s">
        <v>103</v>
      </c>
    </row>
    <row r="9655" spans="1:13" x14ac:dyDescent="0.3">
      <c r="A9655" t="s">
        <v>27</v>
      </c>
      <c r="B9655" t="s">
        <v>292</v>
      </c>
      <c r="C9655">
        <v>198</v>
      </c>
      <c r="D9655" t="s">
        <v>517</v>
      </c>
      <c r="E9655" t="s">
        <v>682</v>
      </c>
      <c r="F9655" t="s">
        <v>97</v>
      </c>
      <c r="G9655" t="s">
        <v>282</v>
      </c>
      <c r="H9655" t="s">
        <v>110</v>
      </c>
      <c r="I9655" t="s">
        <v>467</v>
      </c>
      <c r="J9655" t="s">
        <v>103</v>
      </c>
      <c r="K9655" t="s">
        <v>628</v>
      </c>
      <c r="L9655" t="s">
        <v>700</v>
      </c>
      <c r="M9655" t="s">
        <v>68</v>
      </c>
    </row>
    <row r="9656" spans="1:13" x14ac:dyDescent="0.3">
      <c r="A9656" t="s">
        <v>27</v>
      </c>
      <c r="B9656" t="s">
        <v>308</v>
      </c>
      <c r="C9656">
        <v>7</v>
      </c>
      <c r="D9656" t="s">
        <v>477</v>
      </c>
      <c r="E9656" t="s">
        <v>488</v>
      </c>
      <c r="F9656" t="s">
        <v>103</v>
      </c>
      <c r="G9656" t="s">
        <v>488</v>
      </c>
      <c r="H9656" t="s">
        <v>103</v>
      </c>
      <c r="I9656" t="s">
        <v>129</v>
      </c>
      <c r="J9656" t="s">
        <v>103</v>
      </c>
      <c r="K9656" t="s">
        <v>226</v>
      </c>
      <c r="L9656" t="s">
        <v>103</v>
      </c>
      <c r="M9656" t="s">
        <v>103</v>
      </c>
    </row>
    <row r="9657" spans="1:13" x14ac:dyDescent="0.3">
      <c r="A9657" t="s">
        <v>41</v>
      </c>
      <c r="B9657" t="s">
        <v>291</v>
      </c>
      <c r="C9657">
        <v>692</v>
      </c>
      <c r="D9657" t="s">
        <v>130</v>
      </c>
      <c r="E9657" t="s">
        <v>268</v>
      </c>
      <c r="F9657" t="s">
        <v>98</v>
      </c>
      <c r="G9657" t="s">
        <v>100</v>
      </c>
      <c r="H9657" t="s">
        <v>438</v>
      </c>
      <c r="I9657" t="s">
        <v>206</v>
      </c>
      <c r="J9657" t="s">
        <v>103</v>
      </c>
      <c r="K9657" t="s">
        <v>381</v>
      </c>
      <c r="L9657" t="s">
        <v>208</v>
      </c>
      <c r="M9657" t="s">
        <v>91</v>
      </c>
    </row>
    <row r="9658" spans="1:13" x14ac:dyDescent="0.3">
      <c r="A9658" t="s">
        <v>41</v>
      </c>
      <c r="B9658" t="s">
        <v>292</v>
      </c>
      <c r="C9658">
        <v>1320</v>
      </c>
      <c r="D9658" t="s">
        <v>273</v>
      </c>
      <c r="E9658" t="s">
        <v>646</v>
      </c>
      <c r="F9658" t="s">
        <v>120</v>
      </c>
      <c r="G9658" t="s">
        <v>531</v>
      </c>
      <c r="H9658" t="s">
        <v>125</v>
      </c>
      <c r="I9658" t="s">
        <v>70</v>
      </c>
      <c r="J9658" t="s">
        <v>66</v>
      </c>
      <c r="K9658" t="s">
        <v>304</v>
      </c>
      <c r="L9658" t="s">
        <v>128</v>
      </c>
      <c r="M9658" t="s">
        <v>116</v>
      </c>
    </row>
    <row r="9659" spans="1:13" x14ac:dyDescent="0.3">
      <c r="A9659" t="s">
        <v>41</v>
      </c>
      <c r="B9659" t="s">
        <v>308</v>
      </c>
      <c r="C9659">
        <v>26</v>
      </c>
      <c r="D9659" t="s">
        <v>281</v>
      </c>
      <c r="E9659" t="s">
        <v>217</v>
      </c>
      <c r="F9659" t="s">
        <v>103</v>
      </c>
      <c r="G9659" t="s">
        <v>32</v>
      </c>
      <c r="H9659" t="s">
        <v>103</v>
      </c>
      <c r="I9659" t="s">
        <v>232</v>
      </c>
      <c r="J9659" t="s">
        <v>103</v>
      </c>
      <c r="K9659" t="s">
        <v>151</v>
      </c>
      <c r="L9659" t="s">
        <v>103</v>
      </c>
      <c r="M9659" t="s">
        <v>103</v>
      </c>
    </row>
    <row r="9661" spans="1:13" x14ac:dyDescent="0.3">
      <c r="A9661" t="s">
        <v>2600</v>
      </c>
    </row>
    <row r="9662" spans="1:13" x14ac:dyDescent="0.3">
      <c r="A9662" t="s">
        <v>36</v>
      </c>
      <c r="B9662" t="s">
        <v>310</v>
      </c>
      <c r="C9662" t="s">
        <v>24</v>
      </c>
      <c r="D9662" t="s">
        <v>2592</v>
      </c>
      <c r="E9662" t="s">
        <v>2593</v>
      </c>
      <c r="F9662" t="s">
        <v>2594</v>
      </c>
      <c r="G9662" t="s">
        <v>2595</v>
      </c>
      <c r="H9662" t="s">
        <v>2596</v>
      </c>
      <c r="I9662" t="s">
        <v>2597</v>
      </c>
      <c r="J9662" t="s">
        <v>89</v>
      </c>
      <c r="K9662" t="s">
        <v>2598</v>
      </c>
      <c r="L9662" t="s">
        <v>87</v>
      </c>
      <c r="M9662" t="s">
        <v>181</v>
      </c>
    </row>
    <row r="9663" spans="1:13" x14ac:dyDescent="0.3">
      <c r="A9663" t="s">
        <v>25</v>
      </c>
      <c r="B9663" t="s">
        <v>311</v>
      </c>
      <c r="C9663">
        <v>324</v>
      </c>
      <c r="D9663" t="s">
        <v>549</v>
      </c>
      <c r="E9663" t="s">
        <v>516</v>
      </c>
      <c r="F9663" t="s">
        <v>122</v>
      </c>
      <c r="G9663" t="s">
        <v>206</v>
      </c>
      <c r="H9663" t="s">
        <v>257</v>
      </c>
      <c r="I9663" t="s">
        <v>122</v>
      </c>
      <c r="J9663" t="s">
        <v>103</v>
      </c>
      <c r="K9663" t="s">
        <v>1305</v>
      </c>
      <c r="L9663" t="s">
        <v>122</v>
      </c>
      <c r="M9663" t="s">
        <v>103</v>
      </c>
    </row>
    <row r="9664" spans="1:13" x14ac:dyDescent="0.3">
      <c r="A9664" t="s">
        <v>25</v>
      </c>
      <c r="B9664" t="s">
        <v>312</v>
      </c>
      <c r="C9664">
        <v>80</v>
      </c>
      <c r="D9664" t="s">
        <v>481</v>
      </c>
      <c r="E9664" t="s">
        <v>146</v>
      </c>
      <c r="F9664" t="s">
        <v>128</v>
      </c>
      <c r="G9664" t="s">
        <v>262</v>
      </c>
      <c r="H9664" t="s">
        <v>345</v>
      </c>
      <c r="I9664" t="s">
        <v>103</v>
      </c>
      <c r="J9664" t="s">
        <v>239</v>
      </c>
      <c r="K9664" t="s">
        <v>1004</v>
      </c>
      <c r="L9664" t="s">
        <v>103</v>
      </c>
      <c r="M9664" t="s">
        <v>103</v>
      </c>
    </row>
    <row r="9665" spans="1:13" x14ac:dyDescent="0.3">
      <c r="A9665" t="s">
        <v>25</v>
      </c>
      <c r="B9665" t="s">
        <v>308</v>
      </c>
      <c r="C9665">
        <v>10</v>
      </c>
      <c r="D9665" t="s">
        <v>409</v>
      </c>
      <c r="E9665" t="s">
        <v>103</v>
      </c>
      <c r="F9665" t="s">
        <v>103</v>
      </c>
      <c r="G9665" t="s">
        <v>553</v>
      </c>
      <c r="H9665" t="s">
        <v>103</v>
      </c>
      <c r="I9665" t="s">
        <v>103</v>
      </c>
      <c r="J9665" t="s">
        <v>103</v>
      </c>
      <c r="K9665" t="s">
        <v>1322</v>
      </c>
      <c r="L9665" t="s">
        <v>103</v>
      </c>
      <c r="M9665" t="s">
        <v>103</v>
      </c>
    </row>
    <row r="9666" spans="1:13" x14ac:dyDescent="0.3">
      <c r="A9666" t="s">
        <v>26</v>
      </c>
      <c r="B9666" t="s">
        <v>311</v>
      </c>
      <c r="C9666">
        <v>343</v>
      </c>
      <c r="D9666" t="s">
        <v>54</v>
      </c>
      <c r="E9666" t="s">
        <v>820</v>
      </c>
      <c r="F9666" t="s">
        <v>122</v>
      </c>
      <c r="G9666" t="s">
        <v>104</v>
      </c>
      <c r="H9666" t="s">
        <v>126</v>
      </c>
      <c r="I9666" t="s">
        <v>329</v>
      </c>
      <c r="J9666" t="s">
        <v>122</v>
      </c>
      <c r="K9666" t="s">
        <v>620</v>
      </c>
      <c r="L9666" t="s">
        <v>103</v>
      </c>
      <c r="M9666" t="s">
        <v>66</v>
      </c>
    </row>
    <row r="9667" spans="1:13" x14ac:dyDescent="0.3">
      <c r="A9667" t="s">
        <v>26</v>
      </c>
      <c r="B9667" t="s">
        <v>312</v>
      </c>
      <c r="C9667">
        <v>96</v>
      </c>
      <c r="D9667" t="s">
        <v>629</v>
      </c>
      <c r="E9667" t="s">
        <v>456</v>
      </c>
      <c r="F9667" t="s">
        <v>103</v>
      </c>
      <c r="G9667" t="s">
        <v>126</v>
      </c>
      <c r="H9667" t="s">
        <v>466</v>
      </c>
      <c r="I9667" t="s">
        <v>468</v>
      </c>
      <c r="J9667" t="s">
        <v>103</v>
      </c>
      <c r="K9667" t="s">
        <v>1029</v>
      </c>
      <c r="L9667" t="s">
        <v>128</v>
      </c>
      <c r="M9667" t="s">
        <v>103</v>
      </c>
    </row>
    <row r="9668" spans="1:13" x14ac:dyDescent="0.3">
      <c r="A9668" t="s">
        <v>26</v>
      </c>
      <c r="B9668" t="s">
        <v>308</v>
      </c>
      <c r="C9668">
        <v>38</v>
      </c>
      <c r="D9668" t="s">
        <v>275</v>
      </c>
      <c r="E9668" t="s">
        <v>503</v>
      </c>
      <c r="F9668" t="s">
        <v>103</v>
      </c>
      <c r="G9668" t="s">
        <v>118</v>
      </c>
      <c r="H9668" t="s">
        <v>103</v>
      </c>
      <c r="I9668" t="s">
        <v>103</v>
      </c>
      <c r="J9668" t="s">
        <v>103</v>
      </c>
      <c r="K9668" t="s">
        <v>430</v>
      </c>
      <c r="L9668" t="s">
        <v>103</v>
      </c>
      <c r="M9668" t="s">
        <v>103</v>
      </c>
    </row>
    <row r="9669" spans="1:13" x14ac:dyDescent="0.3">
      <c r="A9669" t="s">
        <v>29</v>
      </c>
      <c r="B9669" t="s">
        <v>311</v>
      </c>
      <c r="C9669">
        <v>414</v>
      </c>
      <c r="D9669" t="s">
        <v>155</v>
      </c>
      <c r="E9669" t="s">
        <v>1084</v>
      </c>
      <c r="F9669" t="s">
        <v>139</v>
      </c>
      <c r="G9669" t="s">
        <v>281</v>
      </c>
      <c r="H9669" t="s">
        <v>329</v>
      </c>
      <c r="I9669" t="s">
        <v>104</v>
      </c>
      <c r="J9669" t="s">
        <v>103</v>
      </c>
      <c r="K9669" t="s">
        <v>1058</v>
      </c>
      <c r="L9669" t="s">
        <v>257</v>
      </c>
      <c r="M9669" t="s">
        <v>66</v>
      </c>
    </row>
    <row r="9670" spans="1:13" x14ac:dyDescent="0.3">
      <c r="A9670" t="s">
        <v>29</v>
      </c>
      <c r="B9670" t="s">
        <v>312</v>
      </c>
      <c r="C9670">
        <v>103</v>
      </c>
      <c r="D9670" t="s">
        <v>119</v>
      </c>
      <c r="E9670" t="s">
        <v>697</v>
      </c>
      <c r="F9670" t="s">
        <v>468</v>
      </c>
      <c r="G9670" t="s">
        <v>133</v>
      </c>
      <c r="H9670" t="s">
        <v>32</v>
      </c>
      <c r="I9670" t="s">
        <v>242</v>
      </c>
      <c r="J9670" t="s">
        <v>103</v>
      </c>
      <c r="K9670" t="s">
        <v>817</v>
      </c>
      <c r="L9670" t="s">
        <v>201</v>
      </c>
      <c r="M9670" t="s">
        <v>103</v>
      </c>
    </row>
    <row r="9671" spans="1:13" x14ac:dyDescent="0.3">
      <c r="A9671" t="s">
        <v>29</v>
      </c>
      <c r="B9671" t="s">
        <v>308</v>
      </c>
      <c r="C9671">
        <v>13</v>
      </c>
      <c r="D9671" t="s">
        <v>463</v>
      </c>
      <c r="E9671" t="s">
        <v>770</v>
      </c>
      <c r="F9671" t="s">
        <v>103</v>
      </c>
      <c r="G9671" t="s">
        <v>594</v>
      </c>
      <c r="H9671" t="s">
        <v>103</v>
      </c>
      <c r="I9671" t="s">
        <v>103</v>
      </c>
      <c r="J9671" t="s">
        <v>103</v>
      </c>
      <c r="K9671" t="s">
        <v>797</v>
      </c>
      <c r="L9671" t="s">
        <v>108</v>
      </c>
      <c r="M9671" t="s">
        <v>103</v>
      </c>
    </row>
    <row r="9672" spans="1:13" x14ac:dyDescent="0.3">
      <c r="A9672" t="s">
        <v>28</v>
      </c>
      <c r="B9672" t="s">
        <v>311</v>
      </c>
      <c r="C9672">
        <v>223</v>
      </c>
      <c r="D9672" t="s">
        <v>120</v>
      </c>
      <c r="E9672" t="s">
        <v>594</v>
      </c>
      <c r="F9672" t="s">
        <v>98</v>
      </c>
      <c r="G9672" t="s">
        <v>102</v>
      </c>
      <c r="H9672" t="s">
        <v>217</v>
      </c>
      <c r="I9672" t="s">
        <v>116</v>
      </c>
      <c r="J9672" t="s">
        <v>103</v>
      </c>
      <c r="K9672" t="s">
        <v>994</v>
      </c>
      <c r="L9672" t="s">
        <v>139</v>
      </c>
      <c r="M9672" t="s">
        <v>103</v>
      </c>
    </row>
    <row r="9673" spans="1:13" x14ac:dyDescent="0.3">
      <c r="A9673" t="s">
        <v>28</v>
      </c>
      <c r="B9673" t="s">
        <v>312</v>
      </c>
      <c r="C9673">
        <v>93</v>
      </c>
      <c r="D9673" t="s">
        <v>103</v>
      </c>
      <c r="E9673" t="s">
        <v>282</v>
      </c>
      <c r="F9673" t="s">
        <v>103</v>
      </c>
      <c r="G9673" t="s">
        <v>272</v>
      </c>
      <c r="H9673" t="s">
        <v>70</v>
      </c>
      <c r="I9673" t="s">
        <v>103</v>
      </c>
      <c r="J9673" t="s">
        <v>103</v>
      </c>
      <c r="K9673" t="s">
        <v>744</v>
      </c>
      <c r="L9673" t="s">
        <v>64</v>
      </c>
      <c r="M9673" t="s">
        <v>93</v>
      </c>
    </row>
    <row r="9674" spans="1:13" x14ac:dyDescent="0.3">
      <c r="A9674" t="s">
        <v>28</v>
      </c>
      <c r="B9674" t="s">
        <v>308</v>
      </c>
      <c r="C9674">
        <v>1</v>
      </c>
      <c r="D9674" t="s">
        <v>103</v>
      </c>
      <c r="E9674" t="s">
        <v>103</v>
      </c>
      <c r="F9674" t="s">
        <v>103</v>
      </c>
      <c r="G9674" t="s">
        <v>103</v>
      </c>
      <c r="H9674" t="s">
        <v>103</v>
      </c>
      <c r="I9674" t="s">
        <v>103</v>
      </c>
      <c r="J9674" t="s">
        <v>103</v>
      </c>
      <c r="K9674" t="s">
        <v>192</v>
      </c>
      <c r="L9674" t="s">
        <v>103</v>
      </c>
      <c r="M9674" t="s">
        <v>103</v>
      </c>
    </row>
    <row r="9675" spans="1:13" x14ac:dyDescent="0.3">
      <c r="A9675" t="s">
        <v>27</v>
      </c>
      <c r="B9675" t="s">
        <v>311</v>
      </c>
      <c r="C9675">
        <v>237</v>
      </c>
      <c r="D9675" t="s">
        <v>275</v>
      </c>
      <c r="E9675" t="s">
        <v>253</v>
      </c>
      <c r="F9675" t="s">
        <v>139</v>
      </c>
      <c r="G9675" t="s">
        <v>270</v>
      </c>
      <c r="H9675" t="s">
        <v>245</v>
      </c>
      <c r="I9675" t="s">
        <v>107</v>
      </c>
      <c r="J9675" t="s">
        <v>103</v>
      </c>
      <c r="K9675" t="s">
        <v>1426</v>
      </c>
      <c r="L9675" t="s">
        <v>104</v>
      </c>
      <c r="M9675" t="s">
        <v>93</v>
      </c>
    </row>
    <row r="9676" spans="1:13" x14ac:dyDescent="0.3">
      <c r="A9676" t="s">
        <v>27</v>
      </c>
      <c r="B9676" t="s">
        <v>312</v>
      </c>
      <c r="C9676">
        <v>60</v>
      </c>
      <c r="D9676" t="s">
        <v>809</v>
      </c>
      <c r="E9676" t="s">
        <v>813</v>
      </c>
      <c r="F9676" t="s">
        <v>103</v>
      </c>
      <c r="G9676" t="s">
        <v>594</v>
      </c>
      <c r="H9676" t="s">
        <v>103</v>
      </c>
      <c r="I9676" t="s">
        <v>329</v>
      </c>
      <c r="J9676" t="s">
        <v>103</v>
      </c>
      <c r="K9676" t="s">
        <v>1358</v>
      </c>
      <c r="L9676" t="s">
        <v>570</v>
      </c>
      <c r="M9676" t="s">
        <v>329</v>
      </c>
    </row>
    <row r="9677" spans="1:13" x14ac:dyDescent="0.3">
      <c r="A9677" t="s">
        <v>27</v>
      </c>
      <c r="B9677" t="s">
        <v>308</v>
      </c>
      <c r="C9677">
        <v>3</v>
      </c>
      <c r="D9677" t="s">
        <v>407</v>
      </c>
      <c r="E9677" t="s">
        <v>103</v>
      </c>
      <c r="F9677" t="s">
        <v>103</v>
      </c>
      <c r="G9677" t="s">
        <v>103</v>
      </c>
      <c r="H9677" t="s">
        <v>103</v>
      </c>
      <c r="I9677" t="s">
        <v>103</v>
      </c>
      <c r="J9677" t="s">
        <v>103</v>
      </c>
      <c r="K9677" t="s">
        <v>406</v>
      </c>
      <c r="L9677" t="s">
        <v>103</v>
      </c>
      <c r="M9677" t="s">
        <v>103</v>
      </c>
    </row>
    <row r="9678" spans="1:13" x14ac:dyDescent="0.3">
      <c r="A9678" t="s">
        <v>41</v>
      </c>
      <c r="B9678" t="s">
        <v>311</v>
      </c>
      <c r="C9678">
        <v>1541</v>
      </c>
      <c r="D9678" t="s">
        <v>106</v>
      </c>
      <c r="E9678" t="s">
        <v>695</v>
      </c>
      <c r="F9678" t="s">
        <v>120</v>
      </c>
      <c r="G9678" t="s">
        <v>251</v>
      </c>
      <c r="H9678" t="s">
        <v>102</v>
      </c>
      <c r="I9678" t="s">
        <v>531</v>
      </c>
      <c r="J9678" t="s">
        <v>91</v>
      </c>
      <c r="K9678" t="s">
        <v>2263</v>
      </c>
      <c r="L9678" t="s">
        <v>341</v>
      </c>
      <c r="M9678" t="s">
        <v>66</v>
      </c>
    </row>
    <row r="9679" spans="1:13" x14ac:dyDescent="0.3">
      <c r="A9679" t="s">
        <v>41</v>
      </c>
      <c r="B9679" t="s">
        <v>312</v>
      </c>
      <c r="C9679">
        <v>432</v>
      </c>
      <c r="D9679" t="s">
        <v>146</v>
      </c>
      <c r="E9679" t="s">
        <v>548</v>
      </c>
      <c r="F9679" t="s">
        <v>282</v>
      </c>
      <c r="G9679" t="s">
        <v>251</v>
      </c>
      <c r="H9679" t="s">
        <v>113</v>
      </c>
      <c r="I9679" t="s">
        <v>186</v>
      </c>
      <c r="J9679" t="s">
        <v>116</v>
      </c>
      <c r="K9679" t="s">
        <v>377</v>
      </c>
      <c r="L9679" t="s">
        <v>102</v>
      </c>
      <c r="M9679" t="s">
        <v>66</v>
      </c>
    </row>
    <row r="9680" spans="1:13" x14ac:dyDescent="0.3">
      <c r="A9680" t="s">
        <v>41</v>
      </c>
      <c r="B9680" t="s">
        <v>308</v>
      </c>
      <c r="C9680">
        <v>65</v>
      </c>
      <c r="D9680" t="s">
        <v>515</v>
      </c>
      <c r="E9680" t="s">
        <v>477</v>
      </c>
      <c r="F9680" t="s">
        <v>103</v>
      </c>
      <c r="G9680" t="s">
        <v>100</v>
      </c>
      <c r="H9680" t="s">
        <v>103</v>
      </c>
      <c r="I9680" t="s">
        <v>103</v>
      </c>
      <c r="J9680" t="s">
        <v>103</v>
      </c>
      <c r="K9680" t="s">
        <v>748</v>
      </c>
      <c r="L9680" t="s">
        <v>329</v>
      </c>
      <c r="M9680" t="s">
        <v>103</v>
      </c>
    </row>
    <row r="9682" spans="1:13" x14ac:dyDescent="0.3">
      <c r="A9682" t="s">
        <v>2601</v>
      </c>
    </row>
    <row r="9683" spans="1:13" x14ac:dyDescent="0.3">
      <c r="A9683" t="s">
        <v>36</v>
      </c>
      <c r="B9683" t="s">
        <v>197</v>
      </c>
      <c r="C9683" t="s">
        <v>24</v>
      </c>
      <c r="D9683" t="s">
        <v>2592</v>
      </c>
      <c r="E9683" t="s">
        <v>2593</v>
      </c>
      <c r="F9683" t="s">
        <v>2594</v>
      </c>
      <c r="G9683" t="s">
        <v>2595</v>
      </c>
      <c r="H9683" t="s">
        <v>2596</v>
      </c>
      <c r="I9683" t="s">
        <v>2597</v>
      </c>
      <c r="J9683" t="s">
        <v>89</v>
      </c>
      <c r="K9683" t="s">
        <v>2598</v>
      </c>
      <c r="L9683" t="s">
        <v>87</v>
      </c>
      <c r="M9683" t="s">
        <v>181</v>
      </c>
    </row>
    <row r="9684" spans="1:13" x14ac:dyDescent="0.3">
      <c r="A9684" t="s">
        <v>25</v>
      </c>
      <c r="B9684" t="s">
        <v>198</v>
      </c>
      <c r="C9684">
        <v>104</v>
      </c>
      <c r="D9684" t="s">
        <v>150</v>
      </c>
      <c r="E9684" t="s">
        <v>117</v>
      </c>
      <c r="F9684" t="s">
        <v>122</v>
      </c>
      <c r="G9684" t="s">
        <v>459</v>
      </c>
      <c r="H9684" t="s">
        <v>110</v>
      </c>
      <c r="I9684" t="s">
        <v>103</v>
      </c>
      <c r="J9684" t="s">
        <v>103</v>
      </c>
      <c r="K9684" t="s">
        <v>1052</v>
      </c>
      <c r="L9684" t="s">
        <v>216</v>
      </c>
      <c r="M9684" t="s">
        <v>103</v>
      </c>
    </row>
    <row r="9685" spans="1:13" x14ac:dyDescent="0.3">
      <c r="A9685" t="s">
        <v>25</v>
      </c>
      <c r="B9685" t="s">
        <v>199</v>
      </c>
      <c r="C9685">
        <v>310</v>
      </c>
      <c r="D9685" t="s">
        <v>549</v>
      </c>
      <c r="E9685" t="s">
        <v>488</v>
      </c>
      <c r="F9685" t="s">
        <v>139</v>
      </c>
      <c r="G9685" t="s">
        <v>594</v>
      </c>
      <c r="H9685" t="s">
        <v>118</v>
      </c>
      <c r="I9685" t="s">
        <v>122</v>
      </c>
      <c r="J9685" t="s">
        <v>116</v>
      </c>
      <c r="K9685" t="s">
        <v>1361</v>
      </c>
      <c r="L9685" t="s">
        <v>103</v>
      </c>
      <c r="M9685" t="s">
        <v>103</v>
      </c>
    </row>
    <row r="9686" spans="1:13" x14ac:dyDescent="0.3">
      <c r="A9686" t="s">
        <v>26</v>
      </c>
      <c r="B9686" t="s">
        <v>198</v>
      </c>
      <c r="C9686">
        <v>41</v>
      </c>
      <c r="D9686" t="s">
        <v>693</v>
      </c>
      <c r="E9686" t="s">
        <v>256</v>
      </c>
      <c r="F9686" t="s">
        <v>103</v>
      </c>
      <c r="G9686" t="s">
        <v>734</v>
      </c>
      <c r="H9686" t="s">
        <v>607</v>
      </c>
      <c r="I9686" t="s">
        <v>118</v>
      </c>
      <c r="J9686" t="s">
        <v>103</v>
      </c>
      <c r="K9686" t="s">
        <v>1175</v>
      </c>
      <c r="L9686" t="s">
        <v>103</v>
      </c>
      <c r="M9686" t="s">
        <v>103</v>
      </c>
    </row>
    <row r="9687" spans="1:13" x14ac:dyDescent="0.3">
      <c r="A9687" t="s">
        <v>26</v>
      </c>
      <c r="B9687" t="s">
        <v>199</v>
      </c>
      <c r="C9687">
        <v>436</v>
      </c>
      <c r="D9687" t="s">
        <v>516</v>
      </c>
      <c r="E9687" t="s">
        <v>1143</v>
      </c>
      <c r="F9687" t="s">
        <v>116</v>
      </c>
      <c r="G9687" t="s">
        <v>99</v>
      </c>
      <c r="H9687" t="s">
        <v>607</v>
      </c>
      <c r="I9687" t="s">
        <v>245</v>
      </c>
      <c r="J9687" t="s">
        <v>116</v>
      </c>
      <c r="K9687" t="s">
        <v>351</v>
      </c>
      <c r="L9687" t="s">
        <v>122</v>
      </c>
      <c r="M9687" t="s">
        <v>66</v>
      </c>
    </row>
    <row r="9688" spans="1:13" x14ac:dyDescent="0.3">
      <c r="A9688" t="s">
        <v>29</v>
      </c>
      <c r="B9688" t="s">
        <v>198</v>
      </c>
      <c r="C9688">
        <v>170</v>
      </c>
      <c r="D9688" t="s">
        <v>486</v>
      </c>
      <c r="E9688" t="s">
        <v>507</v>
      </c>
      <c r="F9688" t="s">
        <v>95</v>
      </c>
      <c r="G9688" t="s">
        <v>591</v>
      </c>
      <c r="H9688" t="s">
        <v>139</v>
      </c>
      <c r="I9688" t="s">
        <v>191</v>
      </c>
      <c r="J9688" t="s">
        <v>103</v>
      </c>
      <c r="K9688" t="s">
        <v>722</v>
      </c>
      <c r="L9688" t="s">
        <v>493</v>
      </c>
      <c r="M9688" t="s">
        <v>103</v>
      </c>
    </row>
    <row r="9689" spans="1:13" x14ac:dyDescent="0.3">
      <c r="A9689" t="s">
        <v>29</v>
      </c>
      <c r="B9689" t="s">
        <v>199</v>
      </c>
      <c r="C9689">
        <v>360</v>
      </c>
      <c r="D9689" t="s">
        <v>228</v>
      </c>
      <c r="E9689" t="s">
        <v>697</v>
      </c>
      <c r="F9689" t="s">
        <v>98</v>
      </c>
      <c r="G9689" t="s">
        <v>206</v>
      </c>
      <c r="H9689" t="s">
        <v>438</v>
      </c>
      <c r="I9689" t="s">
        <v>117</v>
      </c>
      <c r="J9689" t="s">
        <v>103</v>
      </c>
      <c r="K9689" t="s">
        <v>406</v>
      </c>
      <c r="L9689" t="s">
        <v>217</v>
      </c>
      <c r="M9689" t="s">
        <v>66</v>
      </c>
    </row>
    <row r="9690" spans="1:13" x14ac:dyDescent="0.3">
      <c r="A9690" t="s">
        <v>28</v>
      </c>
      <c r="B9690" t="s">
        <v>198</v>
      </c>
      <c r="C9690">
        <v>70</v>
      </c>
      <c r="D9690" t="s">
        <v>103</v>
      </c>
      <c r="E9690" t="s">
        <v>133</v>
      </c>
      <c r="F9690" t="s">
        <v>103</v>
      </c>
      <c r="G9690" t="s">
        <v>103</v>
      </c>
      <c r="H9690" t="s">
        <v>103</v>
      </c>
      <c r="I9690" t="s">
        <v>139</v>
      </c>
      <c r="J9690" t="s">
        <v>103</v>
      </c>
      <c r="K9690" t="s">
        <v>159</v>
      </c>
      <c r="L9690" t="s">
        <v>329</v>
      </c>
      <c r="M9690" t="s">
        <v>128</v>
      </c>
    </row>
    <row r="9691" spans="1:13" x14ac:dyDescent="0.3">
      <c r="A9691" t="s">
        <v>28</v>
      </c>
      <c r="B9691" t="s">
        <v>199</v>
      </c>
      <c r="C9691">
        <v>247</v>
      </c>
      <c r="D9691" t="s">
        <v>120</v>
      </c>
      <c r="E9691" t="s">
        <v>214</v>
      </c>
      <c r="F9691" t="s">
        <v>139</v>
      </c>
      <c r="G9691" t="s">
        <v>615</v>
      </c>
      <c r="H9691" t="s">
        <v>201</v>
      </c>
      <c r="I9691" t="s">
        <v>103</v>
      </c>
      <c r="J9691" t="s">
        <v>103</v>
      </c>
      <c r="K9691" t="s">
        <v>617</v>
      </c>
      <c r="L9691" t="s">
        <v>345</v>
      </c>
      <c r="M9691" t="s">
        <v>103</v>
      </c>
    </row>
    <row r="9692" spans="1:13" x14ac:dyDescent="0.3">
      <c r="A9692" t="s">
        <v>27</v>
      </c>
      <c r="B9692" t="s">
        <v>198</v>
      </c>
      <c r="C9692">
        <v>136</v>
      </c>
      <c r="D9692" t="s">
        <v>700</v>
      </c>
      <c r="E9692" t="s">
        <v>514</v>
      </c>
      <c r="F9692" t="s">
        <v>194</v>
      </c>
      <c r="G9692" t="s">
        <v>107</v>
      </c>
      <c r="H9692" t="s">
        <v>93</v>
      </c>
      <c r="I9692" t="s">
        <v>68</v>
      </c>
      <c r="J9692" t="s">
        <v>103</v>
      </c>
      <c r="K9692" t="s">
        <v>371</v>
      </c>
      <c r="L9692" t="s">
        <v>191</v>
      </c>
      <c r="M9692" t="s">
        <v>195</v>
      </c>
    </row>
    <row r="9693" spans="1:13" x14ac:dyDescent="0.3">
      <c r="A9693" t="s">
        <v>27</v>
      </c>
      <c r="B9693" t="s">
        <v>199</v>
      </c>
      <c r="C9693">
        <v>164</v>
      </c>
      <c r="D9693" t="s">
        <v>483</v>
      </c>
      <c r="E9693" t="s">
        <v>92</v>
      </c>
      <c r="F9693" t="s">
        <v>103</v>
      </c>
      <c r="G9693" t="s">
        <v>64</v>
      </c>
      <c r="H9693" t="s">
        <v>95</v>
      </c>
      <c r="I9693" t="s">
        <v>532</v>
      </c>
      <c r="J9693" t="s">
        <v>103</v>
      </c>
      <c r="K9693" t="s">
        <v>363</v>
      </c>
      <c r="L9693" t="s">
        <v>750</v>
      </c>
      <c r="M9693" t="s">
        <v>194</v>
      </c>
    </row>
    <row r="9694" spans="1:13" x14ac:dyDescent="0.3">
      <c r="A9694" t="s">
        <v>41</v>
      </c>
      <c r="B9694" t="s">
        <v>198</v>
      </c>
      <c r="C9694">
        <v>521</v>
      </c>
      <c r="D9694" t="s">
        <v>273</v>
      </c>
      <c r="E9694" t="s">
        <v>646</v>
      </c>
      <c r="F9694" t="s">
        <v>95</v>
      </c>
      <c r="G9694" t="s">
        <v>662</v>
      </c>
      <c r="H9694" t="s">
        <v>194</v>
      </c>
      <c r="I9694" t="s">
        <v>94</v>
      </c>
      <c r="J9694" t="s">
        <v>103</v>
      </c>
      <c r="K9694" t="s">
        <v>379</v>
      </c>
      <c r="L9694" t="s">
        <v>125</v>
      </c>
      <c r="M9694" t="s">
        <v>122</v>
      </c>
    </row>
    <row r="9695" spans="1:13" x14ac:dyDescent="0.3">
      <c r="A9695" t="s">
        <v>41</v>
      </c>
      <c r="B9695" t="s">
        <v>199</v>
      </c>
      <c r="C9695">
        <v>1517</v>
      </c>
      <c r="D9695" t="s">
        <v>162</v>
      </c>
      <c r="E9695" t="s">
        <v>672</v>
      </c>
      <c r="F9695" t="s">
        <v>95</v>
      </c>
      <c r="G9695" t="s">
        <v>511</v>
      </c>
      <c r="H9695" t="s">
        <v>107</v>
      </c>
      <c r="I9695" t="s">
        <v>281</v>
      </c>
      <c r="J9695" t="s">
        <v>66</v>
      </c>
      <c r="K9695" t="s">
        <v>814</v>
      </c>
      <c r="L9695" t="s">
        <v>245</v>
      </c>
      <c r="M9695" t="s">
        <v>66</v>
      </c>
    </row>
    <row r="9697" spans="1:22" x14ac:dyDescent="0.3">
      <c r="A9697" t="s">
        <v>2602</v>
      </c>
    </row>
    <row r="9698" spans="1:22" x14ac:dyDescent="0.3">
      <c r="A9698" t="s">
        <v>36</v>
      </c>
      <c r="B9698" t="s">
        <v>210</v>
      </c>
      <c r="C9698" t="s">
        <v>24</v>
      </c>
      <c r="D9698" t="s">
        <v>2592</v>
      </c>
      <c r="E9698" t="s">
        <v>2593</v>
      </c>
      <c r="F9698" t="s">
        <v>2594</v>
      </c>
      <c r="G9698" t="s">
        <v>2595</v>
      </c>
      <c r="H9698" t="s">
        <v>2596</v>
      </c>
      <c r="I9698" t="s">
        <v>2597</v>
      </c>
      <c r="J9698" t="s">
        <v>89</v>
      </c>
      <c r="K9698" t="s">
        <v>2598</v>
      </c>
      <c r="L9698" t="s">
        <v>87</v>
      </c>
      <c r="M9698" t="s">
        <v>181</v>
      </c>
    </row>
    <row r="9699" spans="1:22" x14ac:dyDescent="0.3">
      <c r="A9699" t="s">
        <v>25</v>
      </c>
      <c r="B9699" t="s">
        <v>211</v>
      </c>
      <c r="C9699">
        <v>414</v>
      </c>
      <c r="D9699" t="s">
        <v>191</v>
      </c>
      <c r="E9699" t="s">
        <v>167</v>
      </c>
      <c r="F9699" t="s">
        <v>95</v>
      </c>
      <c r="G9699" t="s">
        <v>101</v>
      </c>
      <c r="H9699" t="s">
        <v>93</v>
      </c>
      <c r="I9699" t="s">
        <v>116</v>
      </c>
      <c r="J9699" t="s">
        <v>116</v>
      </c>
      <c r="K9699" t="s">
        <v>769</v>
      </c>
      <c r="L9699" t="s">
        <v>116</v>
      </c>
      <c r="M9699" t="s">
        <v>103</v>
      </c>
    </row>
    <row r="9700" spans="1:22" x14ac:dyDescent="0.3">
      <c r="A9700" t="s">
        <v>26</v>
      </c>
      <c r="B9700" t="s">
        <v>211</v>
      </c>
      <c r="C9700">
        <v>223</v>
      </c>
      <c r="D9700" t="s">
        <v>473</v>
      </c>
      <c r="E9700" t="s">
        <v>635</v>
      </c>
      <c r="F9700" t="s">
        <v>66</v>
      </c>
      <c r="G9700" t="s">
        <v>232</v>
      </c>
      <c r="H9700" t="s">
        <v>531</v>
      </c>
      <c r="I9700" t="s">
        <v>95</v>
      </c>
      <c r="J9700" t="s">
        <v>103</v>
      </c>
      <c r="K9700" t="s">
        <v>387</v>
      </c>
      <c r="L9700" t="s">
        <v>98</v>
      </c>
      <c r="M9700" t="s">
        <v>103</v>
      </c>
    </row>
    <row r="9701" spans="1:22" x14ac:dyDescent="0.3">
      <c r="A9701" t="s">
        <v>26</v>
      </c>
      <c r="B9701" t="s">
        <v>212</v>
      </c>
      <c r="C9701">
        <v>254</v>
      </c>
      <c r="D9701" t="s">
        <v>517</v>
      </c>
      <c r="E9701" t="s">
        <v>92</v>
      </c>
      <c r="F9701" t="s">
        <v>122</v>
      </c>
      <c r="G9701" t="s">
        <v>925</v>
      </c>
      <c r="H9701" t="s">
        <v>494</v>
      </c>
      <c r="I9701" t="s">
        <v>266</v>
      </c>
      <c r="J9701" t="s">
        <v>120</v>
      </c>
      <c r="K9701" t="s">
        <v>821</v>
      </c>
      <c r="L9701" t="s">
        <v>103</v>
      </c>
      <c r="M9701" t="s">
        <v>116</v>
      </c>
    </row>
    <row r="9702" spans="1:22" x14ac:dyDescent="0.3">
      <c r="A9702" t="s">
        <v>29</v>
      </c>
      <c r="B9702" t="s">
        <v>211</v>
      </c>
      <c r="C9702">
        <v>530</v>
      </c>
      <c r="D9702" t="s">
        <v>485</v>
      </c>
      <c r="E9702" t="s">
        <v>754</v>
      </c>
      <c r="F9702" t="s">
        <v>98</v>
      </c>
      <c r="G9702" t="s">
        <v>70</v>
      </c>
      <c r="H9702" t="s">
        <v>217</v>
      </c>
      <c r="I9702" t="s">
        <v>543</v>
      </c>
      <c r="J9702" t="s">
        <v>103</v>
      </c>
      <c r="K9702" t="s">
        <v>1252</v>
      </c>
      <c r="L9702" t="s">
        <v>270</v>
      </c>
      <c r="M9702" t="s">
        <v>91</v>
      </c>
    </row>
    <row r="9703" spans="1:22" x14ac:dyDescent="0.3">
      <c r="A9703" t="s">
        <v>28</v>
      </c>
      <c r="B9703" t="s">
        <v>211</v>
      </c>
      <c r="C9703">
        <v>277</v>
      </c>
      <c r="D9703" t="s">
        <v>97</v>
      </c>
      <c r="E9703" t="s">
        <v>281</v>
      </c>
      <c r="F9703" t="s">
        <v>95</v>
      </c>
      <c r="G9703" t="s">
        <v>188</v>
      </c>
      <c r="H9703" t="s">
        <v>493</v>
      </c>
      <c r="I9703" t="s">
        <v>66</v>
      </c>
      <c r="J9703" t="s">
        <v>103</v>
      </c>
      <c r="K9703" t="s">
        <v>994</v>
      </c>
      <c r="L9703" t="s">
        <v>139</v>
      </c>
      <c r="M9703" t="s">
        <v>120</v>
      </c>
    </row>
    <row r="9704" spans="1:22" x14ac:dyDescent="0.3">
      <c r="A9704" t="s">
        <v>28</v>
      </c>
      <c r="B9704" t="s">
        <v>212</v>
      </c>
      <c r="C9704">
        <v>40</v>
      </c>
      <c r="D9704" t="s">
        <v>103</v>
      </c>
      <c r="E9704" t="s">
        <v>217</v>
      </c>
      <c r="F9704" t="s">
        <v>103</v>
      </c>
      <c r="G9704" t="s">
        <v>103</v>
      </c>
      <c r="H9704" t="s">
        <v>103</v>
      </c>
      <c r="I9704" t="s">
        <v>103</v>
      </c>
      <c r="J9704" t="s">
        <v>103</v>
      </c>
      <c r="K9704" t="s">
        <v>1307</v>
      </c>
      <c r="L9704" t="s">
        <v>452</v>
      </c>
      <c r="M9704" t="s">
        <v>103</v>
      </c>
    </row>
    <row r="9705" spans="1:22" x14ac:dyDescent="0.3">
      <c r="A9705" t="s">
        <v>27</v>
      </c>
      <c r="B9705" t="s">
        <v>211</v>
      </c>
      <c r="C9705">
        <v>270</v>
      </c>
      <c r="D9705" t="s">
        <v>682</v>
      </c>
      <c r="E9705" t="s">
        <v>268</v>
      </c>
      <c r="F9705" t="s">
        <v>95</v>
      </c>
      <c r="G9705" t="s">
        <v>493</v>
      </c>
      <c r="H9705" t="s">
        <v>110</v>
      </c>
      <c r="I9705" t="s">
        <v>591</v>
      </c>
      <c r="J9705" t="s">
        <v>103</v>
      </c>
      <c r="K9705" t="s">
        <v>1257</v>
      </c>
      <c r="L9705" t="s">
        <v>130</v>
      </c>
      <c r="M9705" t="s">
        <v>93</v>
      </c>
    </row>
    <row r="9706" spans="1:22" s="3" customFormat="1" x14ac:dyDescent="0.3">
      <c r="A9706" s="3" t="s">
        <v>27</v>
      </c>
      <c r="B9706" s="3" t="s">
        <v>212</v>
      </c>
      <c r="C9706" s="3">
        <v>30</v>
      </c>
      <c r="D9706" s="3" t="s">
        <v>110</v>
      </c>
      <c r="E9706" s="3" t="s">
        <v>103</v>
      </c>
      <c r="F9706" s="3" t="s">
        <v>103</v>
      </c>
      <c r="G9706" s="3" t="s">
        <v>103</v>
      </c>
      <c r="H9706" s="3" t="s">
        <v>110</v>
      </c>
      <c r="I9706" s="3" t="s">
        <v>103</v>
      </c>
      <c r="J9706" s="3" t="s">
        <v>103</v>
      </c>
      <c r="K9706" s="3" t="s">
        <v>988</v>
      </c>
      <c r="L9706" s="3" t="s">
        <v>97</v>
      </c>
      <c r="M9706" s="3" t="s">
        <v>103</v>
      </c>
    </row>
    <row r="9707" spans="1:22" x14ac:dyDescent="0.3">
      <c r="A9707" t="s">
        <v>41</v>
      </c>
      <c r="B9707" t="s">
        <v>211</v>
      </c>
      <c r="C9707">
        <v>1714</v>
      </c>
      <c r="D9707" t="s">
        <v>528</v>
      </c>
      <c r="E9707" t="s">
        <v>658</v>
      </c>
      <c r="F9707" t="s">
        <v>95</v>
      </c>
      <c r="G9707" t="s">
        <v>662</v>
      </c>
      <c r="H9707" t="s">
        <v>195</v>
      </c>
      <c r="I9707" t="s">
        <v>206</v>
      </c>
      <c r="J9707" t="s">
        <v>91</v>
      </c>
      <c r="K9707" t="s">
        <v>379</v>
      </c>
      <c r="L9707" t="s">
        <v>257</v>
      </c>
      <c r="M9707" t="s">
        <v>66</v>
      </c>
    </row>
    <row r="9708" spans="1:22" x14ac:dyDescent="0.3">
      <c r="A9708" t="s">
        <v>41</v>
      </c>
      <c r="B9708" t="s">
        <v>212</v>
      </c>
      <c r="C9708">
        <v>324</v>
      </c>
      <c r="D9708" t="s">
        <v>890</v>
      </c>
      <c r="E9708" t="s">
        <v>175</v>
      </c>
      <c r="F9708" t="s">
        <v>122</v>
      </c>
      <c r="G9708" t="s">
        <v>148</v>
      </c>
      <c r="H9708" t="s">
        <v>60</v>
      </c>
      <c r="I9708" t="s">
        <v>257</v>
      </c>
      <c r="J9708" t="s">
        <v>97</v>
      </c>
      <c r="K9708" t="s">
        <v>1325</v>
      </c>
      <c r="L9708" t="s">
        <v>66</v>
      </c>
      <c r="M9708" t="s">
        <v>116</v>
      </c>
    </row>
    <row r="9710" spans="1:22" x14ac:dyDescent="0.3">
      <c r="A9710" t="s">
        <v>2603</v>
      </c>
    </row>
    <row r="9711" spans="1:22" x14ac:dyDescent="0.3">
      <c r="A9711" t="s">
        <v>36</v>
      </c>
      <c r="B9711" t="s">
        <v>24</v>
      </c>
      <c r="C9711" t="s">
        <v>1195</v>
      </c>
      <c r="D9711" t="s">
        <v>2604</v>
      </c>
      <c r="E9711" t="s">
        <v>2605</v>
      </c>
      <c r="F9711" t="s">
        <v>2606</v>
      </c>
      <c r="G9711" t="s">
        <v>2607</v>
      </c>
      <c r="H9711" t="s">
        <v>2608</v>
      </c>
      <c r="I9711" t="s">
        <v>2609</v>
      </c>
      <c r="J9711" t="s">
        <v>2610</v>
      </c>
      <c r="K9711" t="s">
        <v>2611</v>
      </c>
      <c r="L9711" t="s">
        <v>2612</v>
      </c>
      <c r="M9711" t="s">
        <v>2613</v>
      </c>
      <c r="N9711" t="s">
        <v>2614</v>
      </c>
      <c r="O9711" t="s">
        <v>2615</v>
      </c>
      <c r="P9711" t="s">
        <v>2616</v>
      </c>
      <c r="Q9711" t="s">
        <v>2617</v>
      </c>
      <c r="R9711" t="s">
        <v>2618</v>
      </c>
      <c r="S9711" t="s">
        <v>2619</v>
      </c>
      <c r="T9711" t="s">
        <v>2620</v>
      </c>
      <c r="U9711" t="s">
        <v>89</v>
      </c>
      <c r="V9711" t="s">
        <v>181</v>
      </c>
    </row>
    <row r="9712" spans="1:22" x14ac:dyDescent="0.3">
      <c r="A9712" t="s">
        <v>25</v>
      </c>
      <c r="B9712">
        <v>414</v>
      </c>
      <c r="C9712" t="s">
        <v>476</v>
      </c>
      <c r="D9712" t="s">
        <v>615</v>
      </c>
      <c r="E9712" t="s">
        <v>1319</v>
      </c>
      <c r="F9712" t="s">
        <v>103</v>
      </c>
      <c r="G9712" t="s">
        <v>120</v>
      </c>
      <c r="H9712" t="s">
        <v>301</v>
      </c>
      <c r="I9712" t="s">
        <v>105</v>
      </c>
      <c r="J9712" t="s">
        <v>705</v>
      </c>
      <c r="K9712" t="s">
        <v>575</v>
      </c>
      <c r="L9712" t="s">
        <v>565</v>
      </c>
      <c r="M9712" t="s">
        <v>101</v>
      </c>
      <c r="N9712" t="s">
        <v>266</v>
      </c>
      <c r="O9712" t="s">
        <v>1021</v>
      </c>
      <c r="P9712" t="s">
        <v>493</v>
      </c>
      <c r="Q9712" t="s">
        <v>116</v>
      </c>
      <c r="R9712" t="s">
        <v>242</v>
      </c>
      <c r="S9712" t="s">
        <v>103</v>
      </c>
      <c r="T9712" t="s">
        <v>103</v>
      </c>
      <c r="U9712" t="s">
        <v>103</v>
      </c>
      <c r="V9712" t="s">
        <v>103</v>
      </c>
    </row>
    <row r="9713" spans="1:23" x14ac:dyDescent="0.3">
      <c r="A9713" t="s">
        <v>26</v>
      </c>
      <c r="B9713">
        <v>477</v>
      </c>
      <c r="C9713" t="s">
        <v>173</v>
      </c>
      <c r="D9713" t="s">
        <v>217</v>
      </c>
      <c r="E9713" t="s">
        <v>345</v>
      </c>
      <c r="F9713" t="s">
        <v>97</v>
      </c>
      <c r="G9713" t="s">
        <v>68</v>
      </c>
      <c r="H9713" t="s">
        <v>138</v>
      </c>
      <c r="I9713" t="s">
        <v>195</v>
      </c>
      <c r="J9713" t="s">
        <v>1213</v>
      </c>
      <c r="K9713" t="s">
        <v>232</v>
      </c>
      <c r="L9713" t="s">
        <v>1050</v>
      </c>
      <c r="M9713" t="s">
        <v>135</v>
      </c>
      <c r="N9713" t="s">
        <v>341</v>
      </c>
      <c r="O9713" t="s">
        <v>1034</v>
      </c>
      <c r="P9713" t="s">
        <v>272</v>
      </c>
      <c r="Q9713" t="s">
        <v>266</v>
      </c>
      <c r="R9713" t="s">
        <v>282</v>
      </c>
      <c r="S9713" t="s">
        <v>122</v>
      </c>
      <c r="T9713" t="s">
        <v>66</v>
      </c>
      <c r="U9713" t="s">
        <v>103</v>
      </c>
      <c r="V9713" t="s">
        <v>122</v>
      </c>
    </row>
    <row r="9714" spans="1:23" x14ac:dyDescent="0.3">
      <c r="A9714" t="s">
        <v>29</v>
      </c>
      <c r="B9714">
        <v>530</v>
      </c>
      <c r="C9714" t="s">
        <v>469</v>
      </c>
      <c r="D9714" t="s">
        <v>652</v>
      </c>
      <c r="E9714" t="s">
        <v>543</v>
      </c>
      <c r="F9714" t="s">
        <v>125</v>
      </c>
      <c r="G9714" t="s">
        <v>186</v>
      </c>
      <c r="H9714" t="s">
        <v>651</v>
      </c>
      <c r="I9714" t="s">
        <v>270</v>
      </c>
      <c r="J9714" t="s">
        <v>574</v>
      </c>
      <c r="K9714" t="s">
        <v>452</v>
      </c>
      <c r="L9714" t="s">
        <v>699</v>
      </c>
      <c r="M9714" t="s">
        <v>146</v>
      </c>
      <c r="N9714" t="s">
        <v>32</v>
      </c>
      <c r="O9714" t="s">
        <v>422</v>
      </c>
      <c r="P9714" t="s">
        <v>102</v>
      </c>
      <c r="Q9714" t="s">
        <v>120</v>
      </c>
      <c r="R9714" t="s">
        <v>188</v>
      </c>
      <c r="S9714" t="s">
        <v>97</v>
      </c>
      <c r="T9714" t="s">
        <v>103</v>
      </c>
      <c r="U9714" t="s">
        <v>66</v>
      </c>
      <c r="V9714" t="s">
        <v>282</v>
      </c>
    </row>
    <row r="9715" spans="1:23" x14ac:dyDescent="0.3">
      <c r="A9715" t="s">
        <v>28</v>
      </c>
      <c r="B9715">
        <v>317</v>
      </c>
      <c r="C9715" t="s">
        <v>104</v>
      </c>
      <c r="D9715" t="s">
        <v>242</v>
      </c>
      <c r="E9715" t="s">
        <v>278</v>
      </c>
      <c r="F9715" t="s">
        <v>66</v>
      </c>
      <c r="G9715" t="s">
        <v>345</v>
      </c>
      <c r="H9715" t="s">
        <v>506</v>
      </c>
      <c r="I9715" t="s">
        <v>98</v>
      </c>
      <c r="J9715" t="s">
        <v>268</v>
      </c>
      <c r="K9715" t="s">
        <v>30</v>
      </c>
      <c r="L9715" t="s">
        <v>669</v>
      </c>
      <c r="M9715" t="s">
        <v>124</v>
      </c>
      <c r="N9715" t="s">
        <v>60</v>
      </c>
      <c r="O9715" t="s">
        <v>791</v>
      </c>
      <c r="P9715" t="s">
        <v>123</v>
      </c>
      <c r="Q9715" t="s">
        <v>110</v>
      </c>
      <c r="R9715" t="s">
        <v>532</v>
      </c>
      <c r="S9715" t="s">
        <v>116</v>
      </c>
      <c r="T9715" t="s">
        <v>103</v>
      </c>
      <c r="U9715" t="s">
        <v>103</v>
      </c>
      <c r="V9715" t="s">
        <v>103</v>
      </c>
    </row>
    <row r="9716" spans="1:23" x14ac:dyDescent="0.3">
      <c r="A9716" t="s">
        <v>27</v>
      </c>
      <c r="B9716">
        <v>300</v>
      </c>
      <c r="C9716" t="s">
        <v>275</v>
      </c>
      <c r="D9716" t="s">
        <v>345</v>
      </c>
      <c r="E9716" t="s">
        <v>467</v>
      </c>
      <c r="F9716" t="s">
        <v>103</v>
      </c>
      <c r="G9716" t="s">
        <v>116</v>
      </c>
      <c r="H9716" t="s">
        <v>644</v>
      </c>
      <c r="I9716" t="s">
        <v>282</v>
      </c>
      <c r="J9716" t="s">
        <v>705</v>
      </c>
      <c r="K9716" t="s">
        <v>440</v>
      </c>
      <c r="L9716" t="s">
        <v>418</v>
      </c>
      <c r="M9716" t="s">
        <v>108</v>
      </c>
      <c r="N9716" t="s">
        <v>101</v>
      </c>
      <c r="O9716" t="s">
        <v>1032</v>
      </c>
      <c r="P9716" t="s">
        <v>101</v>
      </c>
      <c r="Q9716" t="s">
        <v>116</v>
      </c>
      <c r="R9716" t="s">
        <v>195</v>
      </c>
      <c r="S9716" t="s">
        <v>103</v>
      </c>
      <c r="T9716" t="s">
        <v>103</v>
      </c>
      <c r="U9716" t="s">
        <v>103</v>
      </c>
      <c r="V9716" t="s">
        <v>102</v>
      </c>
    </row>
    <row r="9717" spans="1:23" x14ac:dyDescent="0.3">
      <c r="A9717" t="s">
        <v>41</v>
      </c>
      <c r="B9717">
        <v>2038</v>
      </c>
      <c r="C9717" t="s">
        <v>470</v>
      </c>
      <c r="D9717" t="s">
        <v>140</v>
      </c>
      <c r="E9717" t="s">
        <v>549</v>
      </c>
      <c r="F9717" t="s">
        <v>105</v>
      </c>
      <c r="G9717" t="s">
        <v>64</v>
      </c>
      <c r="H9717" t="s">
        <v>477</v>
      </c>
      <c r="I9717" t="s">
        <v>257</v>
      </c>
      <c r="J9717" t="s">
        <v>685</v>
      </c>
      <c r="K9717" t="s">
        <v>737</v>
      </c>
      <c r="L9717" t="s">
        <v>382</v>
      </c>
      <c r="M9717" t="s">
        <v>247</v>
      </c>
      <c r="N9717" t="s">
        <v>114</v>
      </c>
      <c r="O9717" t="s">
        <v>804</v>
      </c>
      <c r="P9717" t="s">
        <v>591</v>
      </c>
      <c r="Q9717" t="s">
        <v>345</v>
      </c>
      <c r="R9717" t="s">
        <v>114</v>
      </c>
      <c r="S9717" t="s">
        <v>116</v>
      </c>
      <c r="T9717" t="s">
        <v>91</v>
      </c>
      <c r="U9717" t="s">
        <v>91</v>
      </c>
      <c r="V9717" t="s">
        <v>95</v>
      </c>
    </row>
    <row r="9719" spans="1:23" x14ac:dyDescent="0.3">
      <c r="A9719" t="s">
        <v>2621</v>
      </c>
    </row>
    <row r="9720" spans="1:23" x14ac:dyDescent="0.3">
      <c r="A9720" t="s">
        <v>36</v>
      </c>
      <c r="B9720" t="s">
        <v>307</v>
      </c>
      <c r="C9720" t="s">
        <v>24</v>
      </c>
      <c r="D9720" t="s">
        <v>1195</v>
      </c>
      <c r="E9720" t="s">
        <v>2604</v>
      </c>
      <c r="F9720" t="s">
        <v>2605</v>
      </c>
      <c r="G9720" t="s">
        <v>2606</v>
      </c>
      <c r="H9720" t="s">
        <v>2607</v>
      </c>
      <c r="I9720" t="s">
        <v>2608</v>
      </c>
      <c r="J9720" t="s">
        <v>2609</v>
      </c>
      <c r="K9720" t="s">
        <v>2610</v>
      </c>
      <c r="L9720" t="s">
        <v>2611</v>
      </c>
      <c r="M9720" t="s">
        <v>2612</v>
      </c>
      <c r="N9720" t="s">
        <v>2613</v>
      </c>
      <c r="O9720" t="s">
        <v>2614</v>
      </c>
      <c r="P9720" t="s">
        <v>2615</v>
      </c>
      <c r="Q9720" t="s">
        <v>2616</v>
      </c>
      <c r="R9720" t="s">
        <v>2617</v>
      </c>
      <c r="S9720" t="s">
        <v>2618</v>
      </c>
      <c r="T9720" t="s">
        <v>2619</v>
      </c>
      <c r="U9720" t="s">
        <v>2620</v>
      </c>
      <c r="V9720" t="s">
        <v>89</v>
      </c>
      <c r="W9720" t="s">
        <v>181</v>
      </c>
    </row>
    <row r="9721" spans="1:23" x14ac:dyDescent="0.3">
      <c r="A9721" t="s">
        <v>25</v>
      </c>
      <c r="B9721" t="s">
        <v>291</v>
      </c>
      <c r="C9721">
        <v>156</v>
      </c>
      <c r="D9721" t="s">
        <v>548</v>
      </c>
      <c r="E9721" t="s">
        <v>32</v>
      </c>
      <c r="F9721" t="s">
        <v>925</v>
      </c>
      <c r="G9721" t="s">
        <v>103</v>
      </c>
      <c r="H9721" t="s">
        <v>103</v>
      </c>
      <c r="I9721" t="s">
        <v>684</v>
      </c>
      <c r="J9721" t="s">
        <v>341</v>
      </c>
      <c r="K9721" t="s">
        <v>561</v>
      </c>
      <c r="L9721" t="s">
        <v>278</v>
      </c>
      <c r="M9721" t="s">
        <v>619</v>
      </c>
      <c r="N9721" t="s">
        <v>254</v>
      </c>
      <c r="O9721" t="s">
        <v>270</v>
      </c>
      <c r="P9721" t="s">
        <v>1556</v>
      </c>
      <c r="Q9721" t="s">
        <v>125</v>
      </c>
      <c r="R9721" t="s">
        <v>103</v>
      </c>
      <c r="S9721" t="s">
        <v>452</v>
      </c>
      <c r="T9721" t="s">
        <v>103</v>
      </c>
      <c r="U9721" t="s">
        <v>103</v>
      </c>
      <c r="V9721" t="s">
        <v>103</v>
      </c>
      <c r="W9721" t="s">
        <v>103</v>
      </c>
    </row>
    <row r="9722" spans="1:23" x14ac:dyDescent="0.3">
      <c r="A9722" t="s">
        <v>25</v>
      </c>
      <c r="B9722" t="s">
        <v>292</v>
      </c>
      <c r="C9722">
        <v>254</v>
      </c>
      <c r="D9722" t="s">
        <v>789</v>
      </c>
      <c r="E9722" t="s">
        <v>615</v>
      </c>
      <c r="F9722" t="s">
        <v>331</v>
      </c>
      <c r="G9722" t="s">
        <v>103</v>
      </c>
      <c r="H9722" t="s">
        <v>98</v>
      </c>
      <c r="I9722" t="s">
        <v>698</v>
      </c>
      <c r="J9722" t="s">
        <v>105</v>
      </c>
      <c r="K9722" t="s">
        <v>1090</v>
      </c>
      <c r="L9722" t="s">
        <v>99</v>
      </c>
      <c r="M9722" t="s">
        <v>56</v>
      </c>
      <c r="N9722" t="s">
        <v>452</v>
      </c>
      <c r="O9722" t="s">
        <v>257</v>
      </c>
      <c r="P9722" t="s">
        <v>1208</v>
      </c>
      <c r="Q9722" t="s">
        <v>188</v>
      </c>
      <c r="R9722" t="s">
        <v>122</v>
      </c>
      <c r="S9722" t="s">
        <v>693</v>
      </c>
      <c r="T9722" t="s">
        <v>103</v>
      </c>
      <c r="U9722" t="s">
        <v>103</v>
      </c>
      <c r="V9722" t="s">
        <v>103</v>
      </c>
      <c r="W9722" t="s">
        <v>103</v>
      </c>
    </row>
    <row r="9723" spans="1:23" x14ac:dyDescent="0.3">
      <c r="A9723" t="s">
        <v>25</v>
      </c>
      <c r="B9723" t="s">
        <v>308</v>
      </c>
      <c r="C9723">
        <v>4</v>
      </c>
      <c r="D9723" t="s">
        <v>421</v>
      </c>
      <c r="E9723" t="s">
        <v>103</v>
      </c>
      <c r="F9723" t="s">
        <v>103</v>
      </c>
      <c r="G9723" t="s">
        <v>103</v>
      </c>
      <c r="H9723" t="s">
        <v>103</v>
      </c>
      <c r="I9723" t="s">
        <v>103</v>
      </c>
      <c r="J9723" t="s">
        <v>103</v>
      </c>
      <c r="K9723" t="s">
        <v>351</v>
      </c>
      <c r="L9723" t="s">
        <v>103</v>
      </c>
      <c r="M9723" t="s">
        <v>455</v>
      </c>
      <c r="N9723" t="s">
        <v>103</v>
      </c>
      <c r="O9723" t="s">
        <v>103</v>
      </c>
      <c r="P9723" t="s">
        <v>351</v>
      </c>
      <c r="Q9723" t="s">
        <v>103</v>
      </c>
      <c r="R9723" t="s">
        <v>103</v>
      </c>
      <c r="S9723" t="s">
        <v>103</v>
      </c>
      <c r="T9723" t="s">
        <v>103</v>
      </c>
      <c r="U9723" t="s">
        <v>103</v>
      </c>
      <c r="V9723" t="s">
        <v>103</v>
      </c>
      <c r="W9723" t="s">
        <v>103</v>
      </c>
    </row>
    <row r="9724" spans="1:23" x14ac:dyDescent="0.3">
      <c r="A9724" t="s">
        <v>26</v>
      </c>
      <c r="B9724" t="s">
        <v>291</v>
      </c>
      <c r="C9724">
        <v>122</v>
      </c>
      <c r="D9724" t="s">
        <v>228</v>
      </c>
      <c r="E9724" t="s">
        <v>66</v>
      </c>
      <c r="F9724" t="s">
        <v>95</v>
      </c>
      <c r="G9724" t="s">
        <v>282</v>
      </c>
      <c r="H9724" t="s">
        <v>64</v>
      </c>
      <c r="I9724" t="s">
        <v>1213</v>
      </c>
      <c r="J9724" t="s">
        <v>68</v>
      </c>
      <c r="K9724" t="s">
        <v>1038</v>
      </c>
      <c r="L9724" t="s">
        <v>112</v>
      </c>
      <c r="M9724" t="s">
        <v>1556</v>
      </c>
      <c r="N9724" t="s">
        <v>99</v>
      </c>
      <c r="O9724" t="s">
        <v>615</v>
      </c>
      <c r="P9724" t="s">
        <v>1039</v>
      </c>
      <c r="Q9724" t="s">
        <v>32</v>
      </c>
      <c r="R9724" t="s">
        <v>345</v>
      </c>
      <c r="S9724" t="s">
        <v>239</v>
      </c>
      <c r="T9724" t="s">
        <v>239</v>
      </c>
      <c r="U9724" t="s">
        <v>103</v>
      </c>
      <c r="V9724" t="s">
        <v>103</v>
      </c>
      <c r="W9724" t="s">
        <v>103</v>
      </c>
    </row>
    <row r="9725" spans="1:23" x14ac:dyDescent="0.3">
      <c r="A9725" t="s">
        <v>26</v>
      </c>
      <c r="B9725" t="s">
        <v>292</v>
      </c>
      <c r="C9725">
        <v>352</v>
      </c>
      <c r="D9725" t="s">
        <v>171</v>
      </c>
      <c r="E9725" t="s">
        <v>438</v>
      </c>
      <c r="F9725" t="s">
        <v>194</v>
      </c>
      <c r="G9725" t="s">
        <v>116</v>
      </c>
      <c r="H9725" t="s">
        <v>272</v>
      </c>
      <c r="I9725" t="s">
        <v>380</v>
      </c>
      <c r="J9725" t="s">
        <v>195</v>
      </c>
      <c r="K9725" t="s">
        <v>301</v>
      </c>
      <c r="L9725" t="s">
        <v>452</v>
      </c>
      <c r="M9725" t="s">
        <v>250</v>
      </c>
      <c r="N9725" t="s">
        <v>146</v>
      </c>
      <c r="O9725" t="s">
        <v>282</v>
      </c>
      <c r="P9725" t="s">
        <v>948</v>
      </c>
      <c r="Q9725" t="s">
        <v>217</v>
      </c>
      <c r="R9725" t="s">
        <v>272</v>
      </c>
      <c r="S9725" t="s">
        <v>98</v>
      </c>
      <c r="T9725" t="s">
        <v>103</v>
      </c>
      <c r="U9725" t="s">
        <v>103</v>
      </c>
      <c r="V9725" t="s">
        <v>103</v>
      </c>
      <c r="W9725" t="s">
        <v>120</v>
      </c>
    </row>
    <row r="9726" spans="1:23" x14ac:dyDescent="0.3">
      <c r="A9726" t="s">
        <v>26</v>
      </c>
      <c r="B9726" t="s">
        <v>308</v>
      </c>
      <c r="C9726">
        <v>3</v>
      </c>
      <c r="D9726" t="s">
        <v>921</v>
      </c>
      <c r="E9726" t="s">
        <v>103</v>
      </c>
      <c r="F9726" t="s">
        <v>103</v>
      </c>
      <c r="G9726" t="s">
        <v>103</v>
      </c>
      <c r="H9726" t="s">
        <v>103</v>
      </c>
      <c r="I9726" t="s">
        <v>103</v>
      </c>
      <c r="J9726" t="s">
        <v>103</v>
      </c>
      <c r="K9726" t="s">
        <v>103</v>
      </c>
      <c r="L9726" t="s">
        <v>103</v>
      </c>
      <c r="M9726" t="s">
        <v>103</v>
      </c>
      <c r="N9726" t="s">
        <v>103</v>
      </c>
      <c r="O9726" t="s">
        <v>103</v>
      </c>
      <c r="P9726" t="s">
        <v>1202</v>
      </c>
      <c r="Q9726" t="s">
        <v>103</v>
      </c>
      <c r="R9726" t="s">
        <v>103</v>
      </c>
      <c r="S9726" t="s">
        <v>103</v>
      </c>
      <c r="T9726" t="s">
        <v>103</v>
      </c>
      <c r="U9726" t="s">
        <v>699</v>
      </c>
      <c r="V9726" t="s">
        <v>103</v>
      </c>
      <c r="W9726" t="s">
        <v>103</v>
      </c>
    </row>
    <row r="9727" spans="1:23" x14ac:dyDescent="0.3">
      <c r="A9727" t="s">
        <v>29</v>
      </c>
      <c r="B9727" t="s">
        <v>291</v>
      </c>
      <c r="C9727">
        <v>205</v>
      </c>
      <c r="D9727" t="s">
        <v>488</v>
      </c>
      <c r="E9727" t="s">
        <v>629</v>
      </c>
      <c r="F9727" t="s">
        <v>244</v>
      </c>
      <c r="G9727" t="s">
        <v>345</v>
      </c>
      <c r="H9727" t="s">
        <v>113</v>
      </c>
      <c r="I9727" t="s">
        <v>702</v>
      </c>
      <c r="J9727" t="s">
        <v>64</v>
      </c>
      <c r="K9727" t="s">
        <v>250</v>
      </c>
      <c r="L9727" t="s">
        <v>133</v>
      </c>
      <c r="M9727" t="s">
        <v>1060</v>
      </c>
      <c r="N9727" t="s">
        <v>169</v>
      </c>
      <c r="O9727" t="s">
        <v>94</v>
      </c>
      <c r="P9727" t="s">
        <v>943</v>
      </c>
      <c r="Q9727" t="s">
        <v>201</v>
      </c>
      <c r="R9727" t="s">
        <v>122</v>
      </c>
      <c r="S9727" t="s">
        <v>208</v>
      </c>
      <c r="T9727" t="s">
        <v>103</v>
      </c>
      <c r="U9727" t="s">
        <v>91</v>
      </c>
      <c r="V9727" t="s">
        <v>122</v>
      </c>
      <c r="W9727" t="s">
        <v>139</v>
      </c>
    </row>
    <row r="9728" spans="1:23" x14ac:dyDescent="0.3">
      <c r="A9728" t="s">
        <v>29</v>
      </c>
      <c r="B9728" t="s">
        <v>292</v>
      </c>
      <c r="C9728">
        <v>325</v>
      </c>
      <c r="D9728" t="s">
        <v>521</v>
      </c>
      <c r="E9728" t="s">
        <v>890</v>
      </c>
      <c r="F9728" t="s">
        <v>693</v>
      </c>
      <c r="G9728" t="s">
        <v>278</v>
      </c>
      <c r="H9728" t="s">
        <v>114</v>
      </c>
      <c r="I9728" t="s">
        <v>52</v>
      </c>
      <c r="J9728" t="s">
        <v>270</v>
      </c>
      <c r="K9728" t="s">
        <v>1213</v>
      </c>
      <c r="L9728" t="s">
        <v>94</v>
      </c>
      <c r="M9728" t="s">
        <v>250</v>
      </c>
      <c r="N9728" t="s">
        <v>649</v>
      </c>
      <c r="O9728" t="s">
        <v>188</v>
      </c>
      <c r="P9728" t="s">
        <v>993</v>
      </c>
      <c r="Q9728" t="s">
        <v>195</v>
      </c>
      <c r="R9728" t="s">
        <v>95</v>
      </c>
      <c r="S9728" t="s">
        <v>33</v>
      </c>
      <c r="T9728" t="s">
        <v>95</v>
      </c>
      <c r="U9728" t="s">
        <v>103</v>
      </c>
      <c r="V9728" t="s">
        <v>103</v>
      </c>
      <c r="W9728" t="s">
        <v>345</v>
      </c>
    </row>
    <row r="9729" spans="1:23" x14ac:dyDescent="0.3">
      <c r="A9729" t="s">
        <v>28</v>
      </c>
      <c r="B9729" t="s">
        <v>291</v>
      </c>
      <c r="C9729">
        <v>114</v>
      </c>
      <c r="D9729" t="s">
        <v>162</v>
      </c>
      <c r="E9729" t="s">
        <v>224</v>
      </c>
      <c r="F9729" t="s">
        <v>601</v>
      </c>
      <c r="G9729" t="s">
        <v>103</v>
      </c>
      <c r="H9729" t="s">
        <v>128</v>
      </c>
      <c r="I9729" t="s">
        <v>132</v>
      </c>
      <c r="J9729" t="s">
        <v>118</v>
      </c>
      <c r="K9729" t="s">
        <v>269</v>
      </c>
      <c r="L9729" t="s">
        <v>48</v>
      </c>
      <c r="M9729" t="s">
        <v>933</v>
      </c>
      <c r="N9729" t="s">
        <v>70</v>
      </c>
      <c r="O9729" t="s">
        <v>33</v>
      </c>
      <c r="P9729" t="s">
        <v>512</v>
      </c>
      <c r="Q9729" t="s">
        <v>662</v>
      </c>
      <c r="R9729" t="s">
        <v>118</v>
      </c>
      <c r="S9729" t="s">
        <v>125</v>
      </c>
      <c r="T9729" t="s">
        <v>103</v>
      </c>
      <c r="U9729" t="s">
        <v>103</v>
      </c>
      <c r="V9729" t="s">
        <v>103</v>
      </c>
      <c r="W9729" t="s">
        <v>103</v>
      </c>
    </row>
    <row r="9730" spans="1:23" x14ac:dyDescent="0.3">
      <c r="A9730" t="s">
        <v>28</v>
      </c>
      <c r="B9730" t="s">
        <v>292</v>
      </c>
      <c r="C9730">
        <v>191</v>
      </c>
      <c r="D9730" t="s">
        <v>601</v>
      </c>
      <c r="E9730" t="s">
        <v>60</v>
      </c>
      <c r="F9730" t="s">
        <v>257</v>
      </c>
      <c r="G9730" t="s">
        <v>116</v>
      </c>
      <c r="H9730" t="s">
        <v>122</v>
      </c>
      <c r="I9730" t="s">
        <v>706</v>
      </c>
      <c r="J9730" t="s">
        <v>103</v>
      </c>
      <c r="K9730" t="s">
        <v>264</v>
      </c>
      <c r="L9730" t="s">
        <v>1198</v>
      </c>
      <c r="M9730" t="s">
        <v>537</v>
      </c>
      <c r="N9730" t="s">
        <v>224</v>
      </c>
      <c r="O9730" t="s">
        <v>224</v>
      </c>
      <c r="P9730" t="s">
        <v>395</v>
      </c>
      <c r="Q9730" t="s">
        <v>528</v>
      </c>
      <c r="R9730" t="s">
        <v>139</v>
      </c>
      <c r="S9730" t="s">
        <v>133</v>
      </c>
      <c r="T9730" t="s">
        <v>97</v>
      </c>
      <c r="U9730" t="s">
        <v>103</v>
      </c>
      <c r="V9730" t="s">
        <v>103</v>
      </c>
      <c r="W9730" t="s">
        <v>103</v>
      </c>
    </row>
    <row r="9731" spans="1:23" x14ac:dyDescent="0.3">
      <c r="A9731" t="s">
        <v>28</v>
      </c>
      <c r="B9731" t="s">
        <v>308</v>
      </c>
      <c r="C9731">
        <v>12</v>
      </c>
      <c r="D9731" t="s">
        <v>555</v>
      </c>
      <c r="E9731" t="s">
        <v>474</v>
      </c>
      <c r="F9731" t="s">
        <v>124</v>
      </c>
      <c r="G9731" t="s">
        <v>103</v>
      </c>
      <c r="H9731" t="s">
        <v>103</v>
      </c>
      <c r="I9731" t="s">
        <v>256</v>
      </c>
      <c r="J9731" t="s">
        <v>103</v>
      </c>
      <c r="K9731" t="s">
        <v>525</v>
      </c>
      <c r="L9731" t="s">
        <v>466</v>
      </c>
      <c r="M9731" t="s">
        <v>173</v>
      </c>
      <c r="N9731" t="s">
        <v>459</v>
      </c>
      <c r="O9731" t="s">
        <v>482</v>
      </c>
      <c r="P9731" t="s">
        <v>931</v>
      </c>
      <c r="Q9731" t="s">
        <v>103</v>
      </c>
      <c r="R9731" t="s">
        <v>103</v>
      </c>
      <c r="S9731" t="s">
        <v>103</v>
      </c>
      <c r="T9731" t="s">
        <v>103</v>
      </c>
      <c r="U9731" t="s">
        <v>103</v>
      </c>
      <c r="V9731" t="s">
        <v>103</v>
      </c>
      <c r="W9731" t="s">
        <v>103</v>
      </c>
    </row>
    <row r="9732" spans="1:23" x14ac:dyDescent="0.3">
      <c r="A9732" t="s">
        <v>27</v>
      </c>
      <c r="B9732" t="s">
        <v>291</v>
      </c>
      <c r="C9732">
        <v>95</v>
      </c>
      <c r="D9732" t="s">
        <v>732</v>
      </c>
      <c r="E9732" t="s">
        <v>468</v>
      </c>
      <c r="F9732" t="s">
        <v>116</v>
      </c>
      <c r="G9732" t="s">
        <v>103</v>
      </c>
      <c r="H9732" t="s">
        <v>103</v>
      </c>
      <c r="I9732" t="s">
        <v>672</v>
      </c>
      <c r="J9732" t="s">
        <v>468</v>
      </c>
      <c r="K9732" t="s">
        <v>820</v>
      </c>
      <c r="L9732" t="s">
        <v>542</v>
      </c>
      <c r="M9732" t="s">
        <v>386</v>
      </c>
      <c r="N9732" t="s">
        <v>693</v>
      </c>
      <c r="O9732" t="s">
        <v>124</v>
      </c>
      <c r="P9732" t="s">
        <v>1041</v>
      </c>
      <c r="Q9732" t="s">
        <v>92</v>
      </c>
      <c r="R9732" t="s">
        <v>103</v>
      </c>
      <c r="S9732" t="s">
        <v>139</v>
      </c>
      <c r="T9732" t="s">
        <v>103</v>
      </c>
      <c r="U9732" t="s">
        <v>103</v>
      </c>
      <c r="V9732" t="s">
        <v>103</v>
      </c>
      <c r="W9732" t="s">
        <v>493</v>
      </c>
    </row>
    <row r="9733" spans="1:23" x14ac:dyDescent="0.3">
      <c r="A9733" t="s">
        <v>27</v>
      </c>
      <c r="B9733" t="s">
        <v>292</v>
      </c>
      <c r="C9733">
        <v>198</v>
      </c>
      <c r="D9733" t="s">
        <v>813</v>
      </c>
      <c r="E9733" t="s">
        <v>345</v>
      </c>
      <c r="F9733" t="s">
        <v>214</v>
      </c>
      <c r="G9733" t="s">
        <v>103</v>
      </c>
      <c r="H9733" t="s">
        <v>97</v>
      </c>
      <c r="I9733" t="s">
        <v>754</v>
      </c>
      <c r="J9733" t="s">
        <v>282</v>
      </c>
      <c r="K9733" t="s">
        <v>561</v>
      </c>
      <c r="L9733" t="s">
        <v>365</v>
      </c>
      <c r="M9733" t="s">
        <v>541</v>
      </c>
      <c r="N9733" t="s">
        <v>100</v>
      </c>
      <c r="O9733" t="s">
        <v>140</v>
      </c>
      <c r="P9733" t="s">
        <v>722</v>
      </c>
      <c r="Q9733" t="s">
        <v>186</v>
      </c>
      <c r="R9733" t="s">
        <v>97</v>
      </c>
      <c r="S9733" t="s">
        <v>591</v>
      </c>
      <c r="T9733" t="s">
        <v>103</v>
      </c>
      <c r="U9733" t="s">
        <v>103</v>
      </c>
      <c r="V9733" t="s">
        <v>103</v>
      </c>
      <c r="W9733" t="s">
        <v>102</v>
      </c>
    </row>
    <row r="9734" spans="1:23" x14ac:dyDescent="0.3">
      <c r="A9734" t="s">
        <v>27</v>
      </c>
      <c r="B9734" t="s">
        <v>308</v>
      </c>
      <c r="C9734">
        <v>7</v>
      </c>
      <c r="D9734" t="s">
        <v>534</v>
      </c>
      <c r="E9734" t="s">
        <v>103</v>
      </c>
      <c r="F9734" t="s">
        <v>103</v>
      </c>
      <c r="G9734" t="s">
        <v>103</v>
      </c>
      <c r="H9734" t="s">
        <v>103</v>
      </c>
      <c r="I9734" t="s">
        <v>540</v>
      </c>
      <c r="J9734" t="s">
        <v>103</v>
      </c>
      <c r="K9734" t="s">
        <v>231</v>
      </c>
      <c r="L9734" t="s">
        <v>1090</v>
      </c>
      <c r="M9734" t="s">
        <v>103</v>
      </c>
      <c r="N9734" t="s">
        <v>103</v>
      </c>
      <c r="O9734" t="s">
        <v>54</v>
      </c>
      <c r="P9734" t="s">
        <v>1205</v>
      </c>
      <c r="Q9734" t="s">
        <v>488</v>
      </c>
      <c r="R9734" t="s">
        <v>103</v>
      </c>
      <c r="S9734" t="s">
        <v>103</v>
      </c>
      <c r="T9734" t="s">
        <v>103</v>
      </c>
      <c r="U9734" t="s">
        <v>103</v>
      </c>
      <c r="V9734" t="s">
        <v>103</v>
      </c>
      <c r="W9734" t="s">
        <v>103</v>
      </c>
    </row>
    <row r="9735" spans="1:23" x14ac:dyDescent="0.3">
      <c r="A9735" t="s">
        <v>41</v>
      </c>
      <c r="B9735" t="s">
        <v>291</v>
      </c>
      <c r="C9735">
        <v>692</v>
      </c>
      <c r="D9735" t="s">
        <v>515</v>
      </c>
      <c r="E9735" t="s">
        <v>94</v>
      </c>
      <c r="F9735" t="s">
        <v>191</v>
      </c>
      <c r="G9735" t="s">
        <v>95</v>
      </c>
      <c r="H9735" t="s">
        <v>270</v>
      </c>
      <c r="I9735" t="s">
        <v>520</v>
      </c>
      <c r="J9735" t="s">
        <v>217</v>
      </c>
      <c r="K9735" t="s">
        <v>234</v>
      </c>
      <c r="L9735" t="s">
        <v>101</v>
      </c>
      <c r="M9735" t="s">
        <v>676</v>
      </c>
      <c r="N9735" t="s">
        <v>649</v>
      </c>
      <c r="O9735" t="s">
        <v>70</v>
      </c>
      <c r="P9735" t="s">
        <v>385</v>
      </c>
      <c r="Q9735" t="s">
        <v>214</v>
      </c>
      <c r="R9735" t="s">
        <v>97</v>
      </c>
      <c r="S9735" t="s">
        <v>64</v>
      </c>
      <c r="T9735" t="s">
        <v>116</v>
      </c>
      <c r="U9735" t="s">
        <v>103</v>
      </c>
      <c r="V9735" t="s">
        <v>66</v>
      </c>
      <c r="W9735" t="s">
        <v>97</v>
      </c>
    </row>
    <row r="9736" spans="1:23" x14ac:dyDescent="0.3">
      <c r="A9736" t="s">
        <v>41</v>
      </c>
      <c r="B9736" t="s">
        <v>292</v>
      </c>
      <c r="C9736">
        <v>1320</v>
      </c>
      <c r="D9736" t="s">
        <v>550</v>
      </c>
      <c r="E9736" t="s">
        <v>607</v>
      </c>
      <c r="F9736" t="s">
        <v>242</v>
      </c>
      <c r="G9736" t="s">
        <v>118</v>
      </c>
      <c r="H9736" t="s">
        <v>64</v>
      </c>
      <c r="I9736" t="s">
        <v>935</v>
      </c>
      <c r="J9736" t="s">
        <v>257</v>
      </c>
      <c r="K9736" t="s">
        <v>429</v>
      </c>
      <c r="L9736" t="s">
        <v>137</v>
      </c>
      <c r="M9736" t="s">
        <v>577</v>
      </c>
      <c r="N9736" t="s">
        <v>137</v>
      </c>
      <c r="O9736" t="s">
        <v>68</v>
      </c>
      <c r="P9736" t="s">
        <v>1546</v>
      </c>
      <c r="Q9736" t="s">
        <v>125</v>
      </c>
      <c r="R9736" t="s">
        <v>194</v>
      </c>
      <c r="S9736" t="s">
        <v>615</v>
      </c>
      <c r="T9736" t="s">
        <v>122</v>
      </c>
      <c r="U9736" t="s">
        <v>103</v>
      </c>
      <c r="V9736" t="s">
        <v>103</v>
      </c>
      <c r="W9736" t="s">
        <v>139</v>
      </c>
    </row>
    <row r="9737" spans="1:23" x14ac:dyDescent="0.3">
      <c r="A9737" t="s">
        <v>41</v>
      </c>
      <c r="B9737" t="s">
        <v>308</v>
      </c>
      <c r="C9737">
        <v>26</v>
      </c>
      <c r="D9737" t="s">
        <v>234</v>
      </c>
      <c r="E9737" t="s">
        <v>284</v>
      </c>
      <c r="F9737" t="s">
        <v>329</v>
      </c>
      <c r="G9737" t="s">
        <v>103</v>
      </c>
      <c r="H9737" t="s">
        <v>103</v>
      </c>
      <c r="I9737" t="s">
        <v>488</v>
      </c>
      <c r="J9737" t="s">
        <v>103</v>
      </c>
      <c r="K9737" t="s">
        <v>376</v>
      </c>
      <c r="L9737" t="s">
        <v>124</v>
      </c>
      <c r="M9737" t="s">
        <v>167</v>
      </c>
      <c r="N9737" t="s">
        <v>64</v>
      </c>
      <c r="O9737" t="s">
        <v>112</v>
      </c>
      <c r="P9737" t="s">
        <v>1220</v>
      </c>
      <c r="Q9737" t="s">
        <v>217</v>
      </c>
      <c r="R9737" t="s">
        <v>103</v>
      </c>
      <c r="S9737" t="s">
        <v>103</v>
      </c>
      <c r="T9737" t="s">
        <v>103</v>
      </c>
      <c r="U9737" t="s">
        <v>737</v>
      </c>
      <c r="V9737" t="s">
        <v>103</v>
      </c>
      <c r="W9737" t="s">
        <v>103</v>
      </c>
    </row>
    <row r="9739" spans="1:23" x14ac:dyDescent="0.3">
      <c r="A9739" t="s">
        <v>2622</v>
      </c>
    </row>
    <row r="9740" spans="1:23" x14ac:dyDescent="0.3">
      <c r="A9740" t="s">
        <v>36</v>
      </c>
      <c r="B9740" t="s">
        <v>310</v>
      </c>
      <c r="C9740" t="s">
        <v>24</v>
      </c>
      <c r="D9740" t="s">
        <v>1195</v>
      </c>
      <c r="E9740" t="s">
        <v>2604</v>
      </c>
      <c r="F9740" t="s">
        <v>2605</v>
      </c>
      <c r="G9740" t="s">
        <v>2606</v>
      </c>
      <c r="H9740" t="s">
        <v>2607</v>
      </c>
      <c r="I9740" t="s">
        <v>2608</v>
      </c>
      <c r="J9740" t="s">
        <v>2609</v>
      </c>
      <c r="K9740" t="s">
        <v>2610</v>
      </c>
      <c r="L9740" t="s">
        <v>2611</v>
      </c>
      <c r="M9740" t="s">
        <v>2612</v>
      </c>
      <c r="N9740" t="s">
        <v>2613</v>
      </c>
      <c r="O9740" t="s">
        <v>2614</v>
      </c>
      <c r="P9740" t="s">
        <v>2615</v>
      </c>
      <c r="Q9740" t="s">
        <v>2616</v>
      </c>
      <c r="R9740" t="s">
        <v>2617</v>
      </c>
      <c r="S9740" t="s">
        <v>2618</v>
      </c>
      <c r="T9740" t="s">
        <v>2619</v>
      </c>
      <c r="U9740" t="s">
        <v>2620</v>
      </c>
      <c r="V9740" t="s">
        <v>89</v>
      </c>
      <c r="W9740" t="s">
        <v>181</v>
      </c>
    </row>
    <row r="9741" spans="1:23" x14ac:dyDescent="0.3">
      <c r="A9741" t="s">
        <v>25</v>
      </c>
      <c r="B9741" t="s">
        <v>311</v>
      </c>
      <c r="C9741">
        <v>324</v>
      </c>
      <c r="D9741" t="s">
        <v>525</v>
      </c>
      <c r="E9741" t="s">
        <v>188</v>
      </c>
      <c r="F9741" t="s">
        <v>687</v>
      </c>
      <c r="G9741" t="s">
        <v>103</v>
      </c>
      <c r="H9741" t="s">
        <v>95</v>
      </c>
      <c r="I9741" t="s">
        <v>815</v>
      </c>
      <c r="J9741" t="s">
        <v>329</v>
      </c>
      <c r="K9741" t="s">
        <v>1038</v>
      </c>
      <c r="L9741" t="s">
        <v>511</v>
      </c>
      <c r="M9741" t="s">
        <v>569</v>
      </c>
      <c r="N9741" t="s">
        <v>575</v>
      </c>
      <c r="O9741" t="s">
        <v>110</v>
      </c>
      <c r="P9741" t="s">
        <v>1284</v>
      </c>
      <c r="Q9741" t="s">
        <v>188</v>
      </c>
      <c r="R9741" t="s">
        <v>116</v>
      </c>
      <c r="S9741" t="s">
        <v>90</v>
      </c>
      <c r="T9741" t="s">
        <v>103</v>
      </c>
      <c r="U9741" t="s">
        <v>103</v>
      </c>
      <c r="V9741" t="s">
        <v>103</v>
      </c>
      <c r="W9741" t="s">
        <v>103</v>
      </c>
    </row>
    <row r="9742" spans="1:23" x14ac:dyDescent="0.3">
      <c r="A9742" t="s">
        <v>25</v>
      </c>
      <c r="B9742" t="s">
        <v>312</v>
      </c>
      <c r="C9742">
        <v>80</v>
      </c>
      <c r="D9742" t="s">
        <v>54</v>
      </c>
      <c r="E9742" t="s">
        <v>247</v>
      </c>
      <c r="F9742" t="s">
        <v>682</v>
      </c>
      <c r="G9742" t="s">
        <v>103</v>
      </c>
      <c r="H9742" t="s">
        <v>103</v>
      </c>
      <c r="I9742" t="s">
        <v>702</v>
      </c>
      <c r="J9742" t="s">
        <v>282</v>
      </c>
      <c r="K9742" t="s">
        <v>1093</v>
      </c>
      <c r="L9742" t="s">
        <v>115</v>
      </c>
      <c r="M9742" t="s">
        <v>484</v>
      </c>
      <c r="N9742" t="s">
        <v>493</v>
      </c>
      <c r="O9742" t="s">
        <v>531</v>
      </c>
      <c r="P9742" t="s">
        <v>770</v>
      </c>
      <c r="Q9742" t="s">
        <v>188</v>
      </c>
      <c r="R9742" t="s">
        <v>103</v>
      </c>
      <c r="S9742" t="s">
        <v>224</v>
      </c>
      <c r="T9742" t="s">
        <v>103</v>
      </c>
      <c r="U9742" t="s">
        <v>103</v>
      </c>
      <c r="V9742" t="s">
        <v>103</v>
      </c>
      <c r="W9742" t="s">
        <v>103</v>
      </c>
    </row>
    <row r="9743" spans="1:23" x14ac:dyDescent="0.3">
      <c r="A9743" t="s">
        <v>25</v>
      </c>
      <c r="B9743" t="s">
        <v>308</v>
      </c>
      <c r="C9743">
        <v>10</v>
      </c>
      <c r="D9743" t="s">
        <v>135</v>
      </c>
      <c r="E9743" t="s">
        <v>103</v>
      </c>
      <c r="F9743" t="s">
        <v>101</v>
      </c>
      <c r="G9743" t="s">
        <v>103</v>
      </c>
      <c r="H9743" t="s">
        <v>103</v>
      </c>
      <c r="I9743" t="s">
        <v>1196</v>
      </c>
      <c r="J9743" t="s">
        <v>103</v>
      </c>
      <c r="K9743" t="s">
        <v>669</v>
      </c>
      <c r="L9743" t="s">
        <v>103</v>
      </c>
      <c r="M9743" t="s">
        <v>943</v>
      </c>
      <c r="N9743" t="s">
        <v>247</v>
      </c>
      <c r="O9743" t="s">
        <v>524</v>
      </c>
      <c r="P9743" t="s">
        <v>430</v>
      </c>
      <c r="Q9743" t="s">
        <v>103</v>
      </c>
      <c r="R9743" t="s">
        <v>103</v>
      </c>
      <c r="S9743" t="s">
        <v>103</v>
      </c>
      <c r="T9743" t="s">
        <v>103</v>
      </c>
      <c r="U9743" t="s">
        <v>103</v>
      </c>
      <c r="V9743" t="s">
        <v>103</v>
      </c>
      <c r="W9743" t="s">
        <v>103</v>
      </c>
    </row>
    <row r="9744" spans="1:23" x14ac:dyDescent="0.3">
      <c r="A9744" t="s">
        <v>26</v>
      </c>
      <c r="B9744" t="s">
        <v>311</v>
      </c>
      <c r="C9744">
        <v>343</v>
      </c>
      <c r="D9744" t="s">
        <v>519</v>
      </c>
      <c r="E9744" t="s">
        <v>266</v>
      </c>
      <c r="F9744" t="s">
        <v>239</v>
      </c>
      <c r="G9744" t="s">
        <v>116</v>
      </c>
      <c r="H9744" t="s">
        <v>68</v>
      </c>
      <c r="I9744" t="s">
        <v>138</v>
      </c>
      <c r="J9744" t="s">
        <v>64</v>
      </c>
      <c r="K9744" t="s">
        <v>480</v>
      </c>
      <c r="L9744" t="s">
        <v>594</v>
      </c>
      <c r="M9744" t="s">
        <v>464</v>
      </c>
      <c r="N9744" t="s">
        <v>136</v>
      </c>
      <c r="O9744" t="s">
        <v>208</v>
      </c>
      <c r="P9744" t="s">
        <v>395</v>
      </c>
      <c r="Q9744" t="s">
        <v>272</v>
      </c>
      <c r="R9744" t="s">
        <v>239</v>
      </c>
      <c r="S9744" t="s">
        <v>345</v>
      </c>
      <c r="T9744" t="s">
        <v>97</v>
      </c>
      <c r="U9744" t="s">
        <v>116</v>
      </c>
      <c r="V9744" t="s">
        <v>103</v>
      </c>
      <c r="W9744" t="s">
        <v>120</v>
      </c>
    </row>
    <row r="9745" spans="1:23" x14ac:dyDescent="0.3">
      <c r="A9745" t="s">
        <v>26</v>
      </c>
      <c r="B9745" t="s">
        <v>312</v>
      </c>
      <c r="C9745">
        <v>96</v>
      </c>
      <c r="D9745" t="s">
        <v>273</v>
      </c>
      <c r="E9745" t="s">
        <v>122</v>
      </c>
      <c r="F9745" t="s">
        <v>66</v>
      </c>
      <c r="G9745" t="s">
        <v>345</v>
      </c>
      <c r="H9745" t="s">
        <v>66</v>
      </c>
      <c r="I9745" t="s">
        <v>1224</v>
      </c>
      <c r="J9745" t="s">
        <v>195</v>
      </c>
      <c r="K9745" t="s">
        <v>672</v>
      </c>
      <c r="L9745" t="s">
        <v>232</v>
      </c>
      <c r="M9745" t="s">
        <v>644</v>
      </c>
      <c r="N9745" t="s">
        <v>127</v>
      </c>
      <c r="O9745" t="s">
        <v>118</v>
      </c>
      <c r="P9745" t="s">
        <v>933</v>
      </c>
      <c r="Q9745" t="s">
        <v>102</v>
      </c>
      <c r="R9745" t="s">
        <v>594</v>
      </c>
      <c r="S9745" t="s">
        <v>345</v>
      </c>
      <c r="T9745" t="s">
        <v>103</v>
      </c>
      <c r="U9745" t="s">
        <v>103</v>
      </c>
      <c r="V9745" t="s">
        <v>103</v>
      </c>
      <c r="W9745" t="s">
        <v>103</v>
      </c>
    </row>
    <row r="9746" spans="1:23" x14ac:dyDescent="0.3">
      <c r="A9746" t="s">
        <v>26</v>
      </c>
      <c r="B9746" t="s">
        <v>308</v>
      </c>
      <c r="C9746">
        <v>38</v>
      </c>
      <c r="D9746" t="s">
        <v>244</v>
      </c>
      <c r="E9746" t="s">
        <v>251</v>
      </c>
      <c r="F9746" t="s">
        <v>103</v>
      </c>
      <c r="G9746" t="s">
        <v>103</v>
      </c>
      <c r="H9746" t="s">
        <v>629</v>
      </c>
      <c r="I9746" t="s">
        <v>674</v>
      </c>
      <c r="J9746" t="s">
        <v>133</v>
      </c>
      <c r="K9746" t="s">
        <v>1229</v>
      </c>
      <c r="L9746" t="s">
        <v>208</v>
      </c>
      <c r="M9746" t="s">
        <v>906</v>
      </c>
      <c r="N9746" t="s">
        <v>133</v>
      </c>
      <c r="O9746" t="s">
        <v>103</v>
      </c>
      <c r="P9746" t="s">
        <v>1044</v>
      </c>
      <c r="Q9746" t="s">
        <v>208</v>
      </c>
      <c r="R9746" t="s">
        <v>615</v>
      </c>
      <c r="S9746" t="s">
        <v>103</v>
      </c>
      <c r="T9746" t="s">
        <v>103</v>
      </c>
      <c r="U9746" t="s">
        <v>103</v>
      </c>
      <c r="V9746" t="s">
        <v>103</v>
      </c>
      <c r="W9746" t="s">
        <v>103</v>
      </c>
    </row>
    <row r="9747" spans="1:23" x14ac:dyDescent="0.3">
      <c r="A9747" t="s">
        <v>29</v>
      </c>
      <c r="B9747" t="s">
        <v>311</v>
      </c>
      <c r="C9747">
        <v>414</v>
      </c>
      <c r="D9747" t="s">
        <v>54</v>
      </c>
      <c r="E9747" t="s">
        <v>601</v>
      </c>
      <c r="F9747" t="s">
        <v>463</v>
      </c>
      <c r="G9747" t="s">
        <v>493</v>
      </c>
      <c r="H9747" t="s">
        <v>188</v>
      </c>
      <c r="I9747" t="s">
        <v>398</v>
      </c>
      <c r="J9747" t="s">
        <v>272</v>
      </c>
      <c r="K9747" t="s">
        <v>507</v>
      </c>
      <c r="L9747" t="s">
        <v>140</v>
      </c>
      <c r="M9747" t="s">
        <v>604</v>
      </c>
      <c r="N9747" t="s">
        <v>157</v>
      </c>
      <c r="O9747" t="s">
        <v>70</v>
      </c>
      <c r="P9747" t="s">
        <v>838</v>
      </c>
      <c r="Q9747" t="s">
        <v>102</v>
      </c>
      <c r="R9747" t="s">
        <v>95</v>
      </c>
      <c r="S9747" t="s">
        <v>615</v>
      </c>
      <c r="T9747" t="s">
        <v>116</v>
      </c>
      <c r="U9747" t="s">
        <v>103</v>
      </c>
      <c r="V9747" t="s">
        <v>103</v>
      </c>
      <c r="W9747" t="s">
        <v>139</v>
      </c>
    </row>
    <row r="9748" spans="1:23" x14ac:dyDescent="0.3">
      <c r="A9748" t="s">
        <v>29</v>
      </c>
      <c r="B9748" t="s">
        <v>312</v>
      </c>
      <c r="C9748">
        <v>103</v>
      </c>
      <c r="D9748" t="s">
        <v>253</v>
      </c>
      <c r="E9748" t="s">
        <v>516</v>
      </c>
      <c r="F9748" t="s">
        <v>615</v>
      </c>
      <c r="G9748" t="s">
        <v>128</v>
      </c>
      <c r="H9748" t="s">
        <v>532</v>
      </c>
      <c r="I9748" t="s">
        <v>503</v>
      </c>
      <c r="J9748" t="s">
        <v>468</v>
      </c>
      <c r="K9748" t="s">
        <v>648</v>
      </c>
      <c r="L9748" t="s">
        <v>195</v>
      </c>
      <c r="M9748" t="s">
        <v>674</v>
      </c>
      <c r="N9748" t="s">
        <v>278</v>
      </c>
      <c r="O9748" t="s">
        <v>68</v>
      </c>
      <c r="P9748" t="s">
        <v>385</v>
      </c>
      <c r="Q9748" t="s">
        <v>113</v>
      </c>
      <c r="R9748" t="s">
        <v>66</v>
      </c>
      <c r="S9748" t="s">
        <v>91</v>
      </c>
      <c r="T9748" t="s">
        <v>345</v>
      </c>
      <c r="U9748" t="s">
        <v>91</v>
      </c>
      <c r="V9748" t="s">
        <v>139</v>
      </c>
      <c r="W9748" t="s">
        <v>245</v>
      </c>
    </row>
    <row r="9749" spans="1:23" x14ac:dyDescent="0.3">
      <c r="A9749" t="s">
        <v>29</v>
      </c>
      <c r="B9749" t="s">
        <v>308</v>
      </c>
      <c r="C9749">
        <v>13</v>
      </c>
      <c r="D9749" t="s">
        <v>526</v>
      </c>
      <c r="E9749" t="s">
        <v>148</v>
      </c>
      <c r="F9749" t="s">
        <v>295</v>
      </c>
      <c r="G9749" t="s">
        <v>254</v>
      </c>
      <c r="H9749" t="s">
        <v>126</v>
      </c>
      <c r="I9749" t="s">
        <v>463</v>
      </c>
      <c r="J9749" t="s">
        <v>278</v>
      </c>
      <c r="K9749" t="s">
        <v>129</v>
      </c>
      <c r="L9749" t="s">
        <v>254</v>
      </c>
      <c r="M9749" t="s">
        <v>1200</v>
      </c>
      <c r="N9749" t="s">
        <v>103</v>
      </c>
      <c r="O9749" t="s">
        <v>103</v>
      </c>
      <c r="P9749" t="s">
        <v>462</v>
      </c>
      <c r="Q9749" t="s">
        <v>103</v>
      </c>
      <c r="R9749" t="s">
        <v>103</v>
      </c>
      <c r="S9749" t="s">
        <v>278</v>
      </c>
      <c r="T9749" t="s">
        <v>103</v>
      </c>
      <c r="U9749" t="s">
        <v>103</v>
      </c>
      <c r="V9749" t="s">
        <v>103</v>
      </c>
      <c r="W9749" t="s">
        <v>103</v>
      </c>
    </row>
    <row r="9750" spans="1:23" x14ac:dyDescent="0.3">
      <c r="A9750" t="s">
        <v>28</v>
      </c>
      <c r="B9750" t="s">
        <v>311</v>
      </c>
      <c r="C9750">
        <v>223</v>
      </c>
      <c r="D9750" t="s">
        <v>482</v>
      </c>
      <c r="E9750" t="s">
        <v>575</v>
      </c>
      <c r="F9750" t="s">
        <v>101</v>
      </c>
      <c r="G9750" t="s">
        <v>116</v>
      </c>
      <c r="H9750" t="s">
        <v>345</v>
      </c>
      <c r="I9750" t="s">
        <v>525</v>
      </c>
      <c r="J9750" t="s">
        <v>116</v>
      </c>
      <c r="K9750" t="s">
        <v>1319</v>
      </c>
      <c r="L9750" t="s">
        <v>514</v>
      </c>
      <c r="M9750" t="s">
        <v>1215</v>
      </c>
      <c r="N9750" t="s">
        <v>60</v>
      </c>
      <c r="O9750" t="s">
        <v>460</v>
      </c>
      <c r="P9750" t="s">
        <v>363</v>
      </c>
      <c r="Q9750" t="s">
        <v>169</v>
      </c>
      <c r="R9750" t="s">
        <v>239</v>
      </c>
      <c r="S9750" t="s">
        <v>532</v>
      </c>
      <c r="T9750" t="s">
        <v>122</v>
      </c>
      <c r="U9750" t="s">
        <v>103</v>
      </c>
      <c r="V9750" t="s">
        <v>103</v>
      </c>
      <c r="W9750" t="s">
        <v>103</v>
      </c>
    </row>
    <row r="9751" spans="1:23" x14ac:dyDescent="0.3">
      <c r="A9751" t="s">
        <v>28</v>
      </c>
      <c r="B9751" t="s">
        <v>312</v>
      </c>
      <c r="C9751">
        <v>93</v>
      </c>
      <c r="D9751" t="s">
        <v>228</v>
      </c>
      <c r="E9751" t="s">
        <v>482</v>
      </c>
      <c r="F9751" t="s">
        <v>103</v>
      </c>
      <c r="G9751" t="s">
        <v>103</v>
      </c>
      <c r="H9751" t="s">
        <v>194</v>
      </c>
      <c r="I9751" t="s">
        <v>275</v>
      </c>
      <c r="J9751" t="s">
        <v>217</v>
      </c>
      <c r="K9751" t="s">
        <v>476</v>
      </c>
      <c r="L9751" t="s">
        <v>1084</v>
      </c>
      <c r="M9751" t="s">
        <v>805</v>
      </c>
      <c r="N9751" t="s">
        <v>205</v>
      </c>
      <c r="O9751" t="s">
        <v>60</v>
      </c>
      <c r="P9751" t="s">
        <v>810</v>
      </c>
      <c r="Q9751" t="s">
        <v>157</v>
      </c>
      <c r="R9751" t="s">
        <v>139</v>
      </c>
      <c r="S9751" t="s">
        <v>532</v>
      </c>
      <c r="T9751" t="s">
        <v>103</v>
      </c>
      <c r="U9751" t="s">
        <v>103</v>
      </c>
      <c r="V9751" t="s">
        <v>103</v>
      </c>
      <c r="W9751" t="s">
        <v>103</v>
      </c>
    </row>
    <row r="9752" spans="1:23" x14ac:dyDescent="0.3">
      <c r="A9752" t="s">
        <v>28</v>
      </c>
      <c r="B9752" t="s">
        <v>308</v>
      </c>
      <c r="C9752">
        <v>1</v>
      </c>
      <c r="D9752" t="s">
        <v>103</v>
      </c>
      <c r="E9752" t="s">
        <v>103</v>
      </c>
      <c r="F9752" t="s">
        <v>103</v>
      </c>
      <c r="G9752" t="s">
        <v>103</v>
      </c>
      <c r="H9752" t="s">
        <v>103</v>
      </c>
      <c r="I9752" t="s">
        <v>103</v>
      </c>
      <c r="J9752" t="s">
        <v>103</v>
      </c>
      <c r="K9752" t="s">
        <v>103</v>
      </c>
      <c r="L9752" t="s">
        <v>103</v>
      </c>
      <c r="M9752" t="s">
        <v>103</v>
      </c>
      <c r="N9752" t="s">
        <v>103</v>
      </c>
      <c r="O9752" t="s">
        <v>103</v>
      </c>
      <c r="P9752" t="s">
        <v>192</v>
      </c>
      <c r="Q9752" t="s">
        <v>103</v>
      </c>
      <c r="R9752" t="s">
        <v>103</v>
      </c>
      <c r="S9752" t="s">
        <v>103</v>
      </c>
      <c r="T9752" t="s">
        <v>103</v>
      </c>
      <c r="U9752" t="s">
        <v>103</v>
      </c>
      <c r="V9752" t="s">
        <v>103</v>
      </c>
      <c r="W9752" t="s">
        <v>103</v>
      </c>
    </row>
    <row r="9753" spans="1:23" x14ac:dyDescent="0.3">
      <c r="A9753" t="s">
        <v>27</v>
      </c>
      <c r="B9753" t="s">
        <v>311</v>
      </c>
      <c r="C9753">
        <v>237</v>
      </c>
      <c r="D9753" t="s">
        <v>488</v>
      </c>
      <c r="E9753" t="s">
        <v>110</v>
      </c>
      <c r="F9753" t="s">
        <v>591</v>
      </c>
      <c r="G9753" t="s">
        <v>103</v>
      </c>
      <c r="H9753" t="s">
        <v>103</v>
      </c>
      <c r="I9753" t="s">
        <v>820</v>
      </c>
      <c r="J9753" t="s">
        <v>468</v>
      </c>
      <c r="K9753" t="s">
        <v>1206</v>
      </c>
      <c r="L9753" t="s">
        <v>1218</v>
      </c>
      <c r="M9753" t="s">
        <v>352</v>
      </c>
      <c r="N9753" t="s">
        <v>262</v>
      </c>
      <c r="O9753" t="s">
        <v>100</v>
      </c>
      <c r="P9753" t="s">
        <v>354</v>
      </c>
      <c r="Q9753" t="s">
        <v>575</v>
      </c>
      <c r="R9753" t="s">
        <v>122</v>
      </c>
      <c r="S9753" t="s">
        <v>102</v>
      </c>
      <c r="T9753" t="s">
        <v>103</v>
      </c>
      <c r="U9753" t="s">
        <v>103</v>
      </c>
      <c r="V9753" t="s">
        <v>103</v>
      </c>
      <c r="W9753" t="s">
        <v>188</v>
      </c>
    </row>
    <row r="9754" spans="1:23" x14ac:dyDescent="0.3">
      <c r="A9754" t="s">
        <v>27</v>
      </c>
      <c r="B9754" t="s">
        <v>312</v>
      </c>
      <c r="C9754">
        <v>60</v>
      </c>
      <c r="D9754" t="s">
        <v>746</v>
      </c>
      <c r="E9754" t="s">
        <v>103</v>
      </c>
      <c r="F9754" t="s">
        <v>116</v>
      </c>
      <c r="G9754" t="s">
        <v>103</v>
      </c>
      <c r="H9754" t="s">
        <v>208</v>
      </c>
      <c r="I9754" t="s">
        <v>555</v>
      </c>
      <c r="J9754" t="s">
        <v>103</v>
      </c>
      <c r="K9754" t="s">
        <v>686</v>
      </c>
      <c r="L9754" t="s">
        <v>529</v>
      </c>
      <c r="M9754" t="s">
        <v>858</v>
      </c>
      <c r="N9754" t="s">
        <v>113</v>
      </c>
      <c r="O9754" t="s">
        <v>281</v>
      </c>
      <c r="P9754" t="s">
        <v>441</v>
      </c>
      <c r="Q9754" t="s">
        <v>208</v>
      </c>
      <c r="R9754" t="s">
        <v>103</v>
      </c>
      <c r="S9754" t="s">
        <v>98</v>
      </c>
      <c r="T9754" t="s">
        <v>103</v>
      </c>
      <c r="U9754" t="s">
        <v>103</v>
      </c>
      <c r="V9754" t="s">
        <v>103</v>
      </c>
      <c r="W9754" t="s">
        <v>208</v>
      </c>
    </row>
    <row r="9755" spans="1:23" x14ac:dyDescent="0.3">
      <c r="A9755" t="s">
        <v>27</v>
      </c>
      <c r="B9755" t="s">
        <v>308</v>
      </c>
      <c r="C9755">
        <v>3</v>
      </c>
      <c r="D9755" t="s">
        <v>103</v>
      </c>
      <c r="E9755" t="s">
        <v>103</v>
      </c>
      <c r="F9755" t="s">
        <v>103</v>
      </c>
      <c r="G9755" t="s">
        <v>103</v>
      </c>
      <c r="H9755" t="s">
        <v>103</v>
      </c>
      <c r="I9755" t="s">
        <v>103</v>
      </c>
      <c r="J9755" t="s">
        <v>103</v>
      </c>
      <c r="K9755" t="s">
        <v>527</v>
      </c>
      <c r="L9755" t="s">
        <v>103</v>
      </c>
      <c r="M9755" t="s">
        <v>103</v>
      </c>
      <c r="N9755" t="s">
        <v>103</v>
      </c>
      <c r="O9755" t="s">
        <v>103</v>
      </c>
      <c r="P9755" t="s">
        <v>192</v>
      </c>
      <c r="Q9755" t="s">
        <v>527</v>
      </c>
      <c r="R9755" t="s">
        <v>103</v>
      </c>
      <c r="S9755" t="s">
        <v>103</v>
      </c>
      <c r="T9755" t="s">
        <v>103</v>
      </c>
      <c r="U9755" t="s">
        <v>103</v>
      </c>
      <c r="V9755" t="s">
        <v>103</v>
      </c>
      <c r="W9755" t="s">
        <v>103</v>
      </c>
    </row>
    <row r="9756" spans="1:23" x14ac:dyDescent="0.3">
      <c r="A9756" t="s">
        <v>41</v>
      </c>
      <c r="B9756" t="s">
        <v>311</v>
      </c>
      <c r="C9756">
        <v>1541</v>
      </c>
      <c r="D9756" t="s">
        <v>470</v>
      </c>
      <c r="E9756" t="s">
        <v>452</v>
      </c>
      <c r="F9756" t="s">
        <v>693</v>
      </c>
      <c r="G9756" t="s">
        <v>341</v>
      </c>
      <c r="H9756" t="s">
        <v>266</v>
      </c>
      <c r="I9756" t="s">
        <v>553</v>
      </c>
      <c r="J9756" t="s">
        <v>266</v>
      </c>
      <c r="K9756" t="s">
        <v>1227</v>
      </c>
      <c r="L9756" t="s">
        <v>224</v>
      </c>
      <c r="M9756" t="s">
        <v>1050</v>
      </c>
      <c r="N9756" t="s">
        <v>543</v>
      </c>
      <c r="O9756" t="s">
        <v>591</v>
      </c>
      <c r="P9756" t="s">
        <v>804</v>
      </c>
      <c r="Q9756" t="s">
        <v>591</v>
      </c>
      <c r="R9756" t="s">
        <v>139</v>
      </c>
      <c r="S9756" t="s">
        <v>532</v>
      </c>
      <c r="T9756" t="s">
        <v>116</v>
      </c>
      <c r="U9756" t="s">
        <v>91</v>
      </c>
      <c r="V9756" t="s">
        <v>103</v>
      </c>
      <c r="W9756" t="s">
        <v>95</v>
      </c>
    </row>
    <row r="9757" spans="1:23" x14ac:dyDescent="0.3">
      <c r="A9757" t="s">
        <v>41</v>
      </c>
      <c r="B9757" t="s">
        <v>312</v>
      </c>
      <c r="C9757">
        <v>432</v>
      </c>
      <c r="D9757" t="s">
        <v>829</v>
      </c>
      <c r="E9757" t="s">
        <v>482</v>
      </c>
      <c r="F9757" t="s">
        <v>281</v>
      </c>
      <c r="G9757" t="s">
        <v>110</v>
      </c>
      <c r="H9757" t="s">
        <v>128</v>
      </c>
      <c r="I9757" t="s">
        <v>457</v>
      </c>
      <c r="J9757" t="s">
        <v>216</v>
      </c>
      <c r="K9757" t="s">
        <v>565</v>
      </c>
      <c r="L9757" t="s">
        <v>205</v>
      </c>
      <c r="M9757" t="s">
        <v>261</v>
      </c>
      <c r="N9757" t="s">
        <v>662</v>
      </c>
      <c r="O9757" t="s">
        <v>114</v>
      </c>
      <c r="P9757" t="s">
        <v>401</v>
      </c>
      <c r="Q9757" t="s">
        <v>201</v>
      </c>
      <c r="R9757" t="s">
        <v>216</v>
      </c>
      <c r="S9757" t="s">
        <v>128</v>
      </c>
      <c r="T9757" t="s">
        <v>97</v>
      </c>
      <c r="U9757" t="s">
        <v>91</v>
      </c>
      <c r="V9757" t="s">
        <v>122</v>
      </c>
      <c r="W9757" t="s">
        <v>98</v>
      </c>
    </row>
    <row r="9758" spans="1:23" x14ac:dyDescent="0.3">
      <c r="A9758" t="s">
        <v>41</v>
      </c>
      <c r="B9758" t="s">
        <v>308</v>
      </c>
      <c r="C9758">
        <v>65</v>
      </c>
      <c r="D9758" t="s">
        <v>171</v>
      </c>
      <c r="E9758" t="s">
        <v>60</v>
      </c>
      <c r="F9758" t="s">
        <v>108</v>
      </c>
      <c r="G9758" t="s">
        <v>118</v>
      </c>
      <c r="H9758" t="s">
        <v>124</v>
      </c>
      <c r="I9758" t="s">
        <v>1143</v>
      </c>
      <c r="J9758" t="s">
        <v>201</v>
      </c>
      <c r="K9758" t="s">
        <v>1057</v>
      </c>
      <c r="L9758" t="s">
        <v>102</v>
      </c>
      <c r="M9758" t="s">
        <v>1211</v>
      </c>
      <c r="N9758" t="s">
        <v>532</v>
      </c>
      <c r="O9758" t="s">
        <v>128</v>
      </c>
      <c r="P9758" t="s">
        <v>1068</v>
      </c>
      <c r="Q9758" t="s">
        <v>216</v>
      </c>
      <c r="R9758" t="s">
        <v>217</v>
      </c>
      <c r="S9758" t="s">
        <v>110</v>
      </c>
      <c r="T9758" t="s">
        <v>103</v>
      </c>
      <c r="U9758" t="s">
        <v>103</v>
      </c>
      <c r="V9758" t="s">
        <v>103</v>
      </c>
      <c r="W9758" t="s">
        <v>103</v>
      </c>
    </row>
    <row r="9760" spans="1:23" x14ac:dyDescent="0.3">
      <c r="A9760" t="s">
        <v>2623</v>
      </c>
    </row>
    <row r="9761" spans="1:23" x14ac:dyDescent="0.3">
      <c r="A9761" t="s">
        <v>36</v>
      </c>
      <c r="B9761" t="s">
        <v>197</v>
      </c>
      <c r="C9761" t="s">
        <v>24</v>
      </c>
      <c r="D9761" t="s">
        <v>1195</v>
      </c>
      <c r="E9761" t="s">
        <v>2604</v>
      </c>
      <c r="F9761" t="s">
        <v>2605</v>
      </c>
      <c r="G9761" t="s">
        <v>2606</v>
      </c>
      <c r="H9761" t="s">
        <v>2607</v>
      </c>
      <c r="I9761" t="s">
        <v>2608</v>
      </c>
      <c r="J9761" t="s">
        <v>2609</v>
      </c>
      <c r="K9761" t="s">
        <v>2610</v>
      </c>
      <c r="L9761" t="s">
        <v>2611</v>
      </c>
      <c r="M9761" t="s">
        <v>2612</v>
      </c>
      <c r="N9761" t="s">
        <v>2613</v>
      </c>
      <c r="O9761" t="s">
        <v>2614</v>
      </c>
      <c r="P9761" t="s">
        <v>2615</v>
      </c>
      <c r="Q9761" t="s">
        <v>2616</v>
      </c>
      <c r="R9761" t="s">
        <v>2617</v>
      </c>
      <c r="S9761" t="s">
        <v>2618</v>
      </c>
      <c r="T9761" t="s">
        <v>2619</v>
      </c>
      <c r="U9761" t="s">
        <v>2620</v>
      </c>
      <c r="V9761" t="s">
        <v>89</v>
      </c>
      <c r="W9761" t="s">
        <v>181</v>
      </c>
    </row>
    <row r="9762" spans="1:23" x14ac:dyDescent="0.3">
      <c r="A9762" t="s">
        <v>25</v>
      </c>
      <c r="B9762" t="s">
        <v>198</v>
      </c>
      <c r="C9762">
        <v>104</v>
      </c>
      <c r="D9762" t="s">
        <v>275</v>
      </c>
      <c r="E9762" t="s">
        <v>188</v>
      </c>
      <c r="F9762" t="s">
        <v>275</v>
      </c>
      <c r="G9762" t="s">
        <v>103</v>
      </c>
      <c r="H9762" t="s">
        <v>110</v>
      </c>
      <c r="I9762" t="s">
        <v>1014</v>
      </c>
      <c r="J9762" t="s">
        <v>139</v>
      </c>
      <c r="K9762" t="s">
        <v>893</v>
      </c>
      <c r="L9762" t="s">
        <v>125</v>
      </c>
      <c r="M9762" t="s">
        <v>900</v>
      </c>
      <c r="N9762" t="s">
        <v>99</v>
      </c>
      <c r="O9762" t="s">
        <v>32</v>
      </c>
      <c r="P9762" t="s">
        <v>527</v>
      </c>
      <c r="Q9762" t="s">
        <v>272</v>
      </c>
      <c r="R9762" t="s">
        <v>103</v>
      </c>
      <c r="S9762" t="s">
        <v>99</v>
      </c>
      <c r="T9762" t="s">
        <v>103</v>
      </c>
      <c r="U9762" t="s">
        <v>103</v>
      </c>
      <c r="V9762" t="s">
        <v>103</v>
      </c>
      <c r="W9762" t="s">
        <v>103</v>
      </c>
    </row>
    <row r="9763" spans="1:23" x14ac:dyDescent="0.3">
      <c r="A9763" t="s">
        <v>25</v>
      </c>
      <c r="B9763" t="s">
        <v>199</v>
      </c>
      <c r="C9763">
        <v>310</v>
      </c>
      <c r="D9763" t="s">
        <v>667</v>
      </c>
      <c r="E9763" t="s">
        <v>33</v>
      </c>
      <c r="F9763" t="s">
        <v>1319</v>
      </c>
      <c r="G9763" t="s">
        <v>103</v>
      </c>
      <c r="H9763" t="s">
        <v>122</v>
      </c>
      <c r="I9763" t="s">
        <v>261</v>
      </c>
      <c r="J9763" t="s">
        <v>329</v>
      </c>
      <c r="K9763" t="s">
        <v>788</v>
      </c>
      <c r="L9763" t="s">
        <v>601</v>
      </c>
      <c r="M9763" t="s">
        <v>577</v>
      </c>
      <c r="N9763" t="s">
        <v>94</v>
      </c>
      <c r="O9763" t="s">
        <v>329</v>
      </c>
      <c r="P9763" t="s">
        <v>930</v>
      </c>
      <c r="Q9763" t="s">
        <v>188</v>
      </c>
      <c r="R9763" t="s">
        <v>116</v>
      </c>
      <c r="S9763" t="s">
        <v>127</v>
      </c>
      <c r="T9763" t="s">
        <v>103</v>
      </c>
      <c r="U9763" t="s">
        <v>103</v>
      </c>
      <c r="V9763" t="s">
        <v>103</v>
      </c>
      <c r="W9763" t="s">
        <v>103</v>
      </c>
    </row>
    <row r="9764" spans="1:23" x14ac:dyDescent="0.3">
      <c r="A9764" t="s">
        <v>26</v>
      </c>
      <c r="B9764" t="s">
        <v>198</v>
      </c>
      <c r="C9764">
        <v>41</v>
      </c>
      <c r="D9764" t="s">
        <v>150</v>
      </c>
      <c r="E9764" t="s">
        <v>32</v>
      </c>
      <c r="F9764" t="s">
        <v>186</v>
      </c>
      <c r="G9764" t="s">
        <v>103</v>
      </c>
      <c r="H9764" t="s">
        <v>95</v>
      </c>
      <c r="I9764" t="s">
        <v>259</v>
      </c>
      <c r="J9764" t="s">
        <v>438</v>
      </c>
      <c r="K9764" t="s">
        <v>390</v>
      </c>
      <c r="L9764" t="s">
        <v>460</v>
      </c>
      <c r="M9764" t="s">
        <v>659</v>
      </c>
      <c r="N9764" t="s">
        <v>142</v>
      </c>
      <c r="O9764" t="s">
        <v>103</v>
      </c>
      <c r="P9764" t="s">
        <v>1379</v>
      </c>
      <c r="Q9764" t="s">
        <v>201</v>
      </c>
      <c r="R9764" t="s">
        <v>95</v>
      </c>
      <c r="S9764" t="s">
        <v>103</v>
      </c>
      <c r="T9764" t="s">
        <v>103</v>
      </c>
      <c r="U9764" t="s">
        <v>103</v>
      </c>
      <c r="V9764" t="s">
        <v>103</v>
      </c>
      <c r="W9764" t="s">
        <v>103</v>
      </c>
    </row>
    <row r="9765" spans="1:23" x14ac:dyDescent="0.3">
      <c r="A9765" t="s">
        <v>26</v>
      </c>
      <c r="B9765" t="s">
        <v>199</v>
      </c>
      <c r="C9765">
        <v>436</v>
      </c>
      <c r="D9765" t="s">
        <v>173</v>
      </c>
      <c r="E9765" t="s">
        <v>257</v>
      </c>
      <c r="F9765" t="s">
        <v>98</v>
      </c>
      <c r="G9765" t="s">
        <v>97</v>
      </c>
      <c r="H9765" t="s">
        <v>467</v>
      </c>
      <c r="I9765" t="s">
        <v>440</v>
      </c>
      <c r="J9765" t="s">
        <v>195</v>
      </c>
      <c r="K9765" t="s">
        <v>230</v>
      </c>
      <c r="L9765" t="s">
        <v>558</v>
      </c>
      <c r="M9765" t="s">
        <v>1196</v>
      </c>
      <c r="N9765" t="s">
        <v>693</v>
      </c>
      <c r="O9765" t="s">
        <v>208</v>
      </c>
      <c r="P9765" t="s">
        <v>426</v>
      </c>
      <c r="Q9765" t="s">
        <v>68</v>
      </c>
      <c r="R9765" t="s">
        <v>64</v>
      </c>
      <c r="S9765" t="s">
        <v>345</v>
      </c>
      <c r="T9765" t="s">
        <v>122</v>
      </c>
      <c r="U9765" t="s">
        <v>66</v>
      </c>
      <c r="V9765" t="s">
        <v>103</v>
      </c>
      <c r="W9765" t="s">
        <v>97</v>
      </c>
    </row>
    <row r="9766" spans="1:23" x14ac:dyDescent="0.3">
      <c r="A9766" t="s">
        <v>29</v>
      </c>
      <c r="B9766" t="s">
        <v>198</v>
      </c>
      <c r="C9766">
        <v>170</v>
      </c>
      <c r="D9766" t="s">
        <v>474</v>
      </c>
      <c r="E9766" t="s">
        <v>115</v>
      </c>
      <c r="F9766" t="s">
        <v>135</v>
      </c>
      <c r="G9766" t="s">
        <v>113</v>
      </c>
      <c r="H9766" t="s">
        <v>281</v>
      </c>
      <c r="I9766" t="s">
        <v>707</v>
      </c>
      <c r="J9766" t="s">
        <v>194</v>
      </c>
      <c r="K9766" t="s">
        <v>455</v>
      </c>
      <c r="L9766" t="s">
        <v>493</v>
      </c>
      <c r="M9766" t="s">
        <v>1050</v>
      </c>
      <c r="N9766" t="s">
        <v>160</v>
      </c>
      <c r="O9766" t="s">
        <v>216</v>
      </c>
      <c r="P9766" t="s">
        <v>1215</v>
      </c>
      <c r="Q9766" t="s">
        <v>468</v>
      </c>
      <c r="R9766" t="s">
        <v>122</v>
      </c>
      <c r="S9766" t="s">
        <v>32</v>
      </c>
      <c r="T9766" t="s">
        <v>95</v>
      </c>
      <c r="U9766" t="s">
        <v>103</v>
      </c>
      <c r="V9766" t="s">
        <v>97</v>
      </c>
      <c r="W9766" t="s">
        <v>103</v>
      </c>
    </row>
    <row r="9767" spans="1:23" x14ac:dyDescent="0.3">
      <c r="A9767" t="s">
        <v>29</v>
      </c>
      <c r="B9767" t="s">
        <v>199</v>
      </c>
      <c r="C9767">
        <v>360</v>
      </c>
      <c r="D9767" t="s">
        <v>173</v>
      </c>
      <c r="E9767" t="s">
        <v>262</v>
      </c>
      <c r="F9767" t="s">
        <v>269</v>
      </c>
      <c r="G9767" t="s">
        <v>467</v>
      </c>
      <c r="H9767" t="s">
        <v>102</v>
      </c>
      <c r="I9767" t="s">
        <v>250</v>
      </c>
      <c r="J9767" t="s">
        <v>125</v>
      </c>
      <c r="K9767" t="s">
        <v>688</v>
      </c>
      <c r="L9767" t="s">
        <v>101</v>
      </c>
      <c r="M9767" t="s">
        <v>529</v>
      </c>
      <c r="N9767" t="s">
        <v>100</v>
      </c>
      <c r="O9767" t="s">
        <v>594</v>
      </c>
      <c r="P9767" t="s">
        <v>225</v>
      </c>
      <c r="Q9767" t="s">
        <v>615</v>
      </c>
      <c r="R9767" t="s">
        <v>95</v>
      </c>
      <c r="S9767" t="s">
        <v>467</v>
      </c>
      <c r="T9767" t="s">
        <v>122</v>
      </c>
      <c r="U9767" t="s">
        <v>103</v>
      </c>
      <c r="V9767" t="s">
        <v>103</v>
      </c>
      <c r="W9767" t="s">
        <v>110</v>
      </c>
    </row>
    <row r="9768" spans="1:23" x14ac:dyDescent="0.3">
      <c r="A9768" t="s">
        <v>28</v>
      </c>
      <c r="B9768" t="s">
        <v>198</v>
      </c>
      <c r="C9768">
        <v>70</v>
      </c>
      <c r="D9768" t="s">
        <v>131</v>
      </c>
      <c r="E9768" t="s">
        <v>191</v>
      </c>
      <c r="F9768" t="s">
        <v>575</v>
      </c>
      <c r="G9768" t="s">
        <v>139</v>
      </c>
      <c r="H9768" t="s">
        <v>103</v>
      </c>
      <c r="I9768" t="s">
        <v>925</v>
      </c>
      <c r="J9768" t="s">
        <v>103</v>
      </c>
      <c r="K9768" t="s">
        <v>173</v>
      </c>
      <c r="L9768" t="s">
        <v>167</v>
      </c>
      <c r="M9768" t="s">
        <v>540</v>
      </c>
      <c r="N9768" t="s">
        <v>152</v>
      </c>
      <c r="O9768" t="s">
        <v>743</v>
      </c>
      <c r="P9768" t="s">
        <v>371</v>
      </c>
      <c r="Q9768" t="s">
        <v>438</v>
      </c>
      <c r="R9768" t="s">
        <v>103</v>
      </c>
      <c r="S9768" t="s">
        <v>103</v>
      </c>
      <c r="T9768" t="s">
        <v>103</v>
      </c>
      <c r="U9768" t="s">
        <v>103</v>
      </c>
      <c r="V9768" t="s">
        <v>103</v>
      </c>
      <c r="W9768" t="s">
        <v>103</v>
      </c>
    </row>
    <row r="9769" spans="1:23" x14ac:dyDescent="0.3">
      <c r="A9769" t="s">
        <v>28</v>
      </c>
      <c r="B9769" t="s">
        <v>199</v>
      </c>
      <c r="C9769">
        <v>247</v>
      </c>
      <c r="D9769" t="s">
        <v>543</v>
      </c>
      <c r="E9769" t="s">
        <v>100</v>
      </c>
      <c r="F9769" t="s">
        <v>113</v>
      </c>
      <c r="G9769" t="s">
        <v>103</v>
      </c>
      <c r="H9769" t="s">
        <v>239</v>
      </c>
      <c r="I9769" t="s">
        <v>644</v>
      </c>
      <c r="J9769" t="s">
        <v>468</v>
      </c>
      <c r="K9769" t="s">
        <v>819</v>
      </c>
      <c r="L9769" t="s">
        <v>478</v>
      </c>
      <c r="M9769" t="s">
        <v>427</v>
      </c>
      <c r="N9769" t="s">
        <v>662</v>
      </c>
      <c r="O9769" t="s">
        <v>662</v>
      </c>
      <c r="P9769" t="s">
        <v>423</v>
      </c>
      <c r="Q9769" t="s">
        <v>175</v>
      </c>
      <c r="R9769" t="s">
        <v>105</v>
      </c>
      <c r="S9769" t="s">
        <v>206</v>
      </c>
      <c r="T9769" t="s">
        <v>122</v>
      </c>
      <c r="U9769" t="s">
        <v>103</v>
      </c>
      <c r="V9769" t="s">
        <v>103</v>
      </c>
      <c r="W9769" t="s">
        <v>103</v>
      </c>
    </row>
    <row r="9770" spans="1:23" x14ac:dyDescent="0.3">
      <c r="A9770" t="s">
        <v>27</v>
      </c>
      <c r="B9770" t="s">
        <v>198</v>
      </c>
      <c r="C9770">
        <v>136</v>
      </c>
      <c r="D9770" t="s">
        <v>511</v>
      </c>
      <c r="E9770" t="s">
        <v>139</v>
      </c>
      <c r="F9770" t="s">
        <v>139</v>
      </c>
      <c r="G9770" t="s">
        <v>103</v>
      </c>
      <c r="H9770" t="s">
        <v>95</v>
      </c>
      <c r="I9770" t="s">
        <v>160</v>
      </c>
      <c r="J9770" t="s">
        <v>95</v>
      </c>
      <c r="K9770" t="s">
        <v>465</v>
      </c>
      <c r="L9770" t="s">
        <v>134</v>
      </c>
      <c r="M9770" t="s">
        <v>496</v>
      </c>
      <c r="N9770" t="s">
        <v>517</v>
      </c>
      <c r="O9770" t="s">
        <v>137</v>
      </c>
      <c r="P9770" t="s">
        <v>2106</v>
      </c>
      <c r="Q9770" t="s">
        <v>169</v>
      </c>
      <c r="R9770" t="s">
        <v>103</v>
      </c>
      <c r="S9770" t="s">
        <v>125</v>
      </c>
      <c r="T9770" t="s">
        <v>103</v>
      </c>
      <c r="U9770" t="s">
        <v>103</v>
      </c>
      <c r="V9770" t="s">
        <v>103</v>
      </c>
      <c r="W9770" t="s">
        <v>125</v>
      </c>
    </row>
    <row r="9771" spans="1:23" x14ac:dyDescent="0.3">
      <c r="A9771" t="s">
        <v>27</v>
      </c>
      <c r="B9771" t="s">
        <v>199</v>
      </c>
      <c r="C9771">
        <v>164</v>
      </c>
      <c r="D9771" t="s">
        <v>754</v>
      </c>
      <c r="E9771" t="s">
        <v>239</v>
      </c>
      <c r="F9771" t="s">
        <v>558</v>
      </c>
      <c r="G9771" t="s">
        <v>103</v>
      </c>
      <c r="H9771" t="s">
        <v>103</v>
      </c>
      <c r="I9771" t="s">
        <v>683</v>
      </c>
      <c r="J9771" t="s">
        <v>194</v>
      </c>
      <c r="K9771" t="s">
        <v>650</v>
      </c>
      <c r="L9771" t="s">
        <v>457</v>
      </c>
      <c r="M9771" t="s">
        <v>129</v>
      </c>
      <c r="N9771" t="s">
        <v>33</v>
      </c>
      <c r="O9771" t="s">
        <v>281</v>
      </c>
      <c r="P9771" t="s">
        <v>770</v>
      </c>
      <c r="Q9771" t="s">
        <v>493</v>
      </c>
      <c r="R9771" t="s">
        <v>120</v>
      </c>
      <c r="S9771" t="s">
        <v>257</v>
      </c>
      <c r="T9771" t="s">
        <v>103</v>
      </c>
      <c r="U9771" t="s">
        <v>103</v>
      </c>
      <c r="V9771" t="s">
        <v>103</v>
      </c>
      <c r="W9771" t="s">
        <v>467</v>
      </c>
    </row>
    <row r="9772" spans="1:23" x14ac:dyDescent="0.3">
      <c r="A9772" t="s">
        <v>41</v>
      </c>
      <c r="B9772" t="s">
        <v>198</v>
      </c>
      <c r="C9772">
        <v>521</v>
      </c>
      <c r="D9772" t="s">
        <v>1319</v>
      </c>
      <c r="E9772" t="s">
        <v>693</v>
      </c>
      <c r="F9772" t="s">
        <v>99</v>
      </c>
      <c r="G9772" t="s">
        <v>266</v>
      </c>
      <c r="H9772" t="s">
        <v>102</v>
      </c>
      <c r="I9772" t="s">
        <v>644</v>
      </c>
      <c r="J9772" t="s">
        <v>468</v>
      </c>
      <c r="K9772" t="s">
        <v>138</v>
      </c>
      <c r="L9772" t="s">
        <v>242</v>
      </c>
      <c r="M9772" t="s">
        <v>699</v>
      </c>
      <c r="N9772" t="s">
        <v>162</v>
      </c>
      <c r="O9772" t="s">
        <v>467</v>
      </c>
      <c r="P9772" t="s">
        <v>804</v>
      </c>
      <c r="Q9772" t="s">
        <v>64</v>
      </c>
      <c r="R9772" t="s">
        <v>116</v>
      </c>
      <c r="S9772" t="s">
        <v>284</v>
      </c>
      <c r="T9772" t="s">
        <v>122</v>
      </c>
      <c r="U9772" t="s">
        <v>103</v>
      </c>
      <c r="V9772" t="s">
        <v>116</v>
      </c>
      <c r="W9772" t="s">
        <v>122</v>
      </c>
    </row>
    <row r="9773" spans="1:23" x14ac:dyDescent="0.3">
      <c r="A9773" t="s">
        <v>41</v>
      </c>
      <c r="B9773" t="s">
        <v>199</v>
      </c>
      <c r="C9773">
        <v>1517</v>
      </c>
      <c r="D9773" t="s">
        <v>550</v>
      </c>
      <c r="E9773" t="s">
        <v>232</v>
      </c>
      <c r="F9773" t="s">
        <v>737</v>
      </c>
      <c r="G9773" t="s">
        <v>239</v>
      </c>
      <c r="H9773" t="s">
        <v>217</v>
      </c>
      <c r="I9773" t="s">
        <v>429</v>
      </c>
      <c r="J9773" t="s">
        <v>270</v>
      </c>
      <c r="K9773" t="s">
        <v>457</v>
      </c>
      <c r="L9773" t="s">
        <v>571</v>
      </c>
      <c r="M9773" t="s">
        <v>109</v>
      </c>
      <c r="N9773" t="s">
        <v>575</v>
      </c>
      <c r="O9773" t="s">
        <v>186</v>
      </c>
      <c r="P9773" t="s">
        <v>1000</v>
      </c>
      <c r="Q9773" t="s">
        <v>201</v>
      </c>
      <c r="R9773" t="s">
        <v>194</v>
      </c>
      <c r="S9773" t="s">
        <v>125</v>
      </c>
      <c r="T9773" t="s">
        <v>116</v>
      </c>
      <c r="U9773" t="s">
        <v>91</v>
      </c>
      <c r="V9773" t="s">
        <v>103</v>
      </c>
      <c r="W9773" t="s">
        <v>139</v>
      </c>
    </row>
    <row r="9775" spans="1:23" x14ac:dyDescent="0.3">
      <c r="A9775" t="s">
        <v>2624</v>
      </c>
    </row>
    <row r="9776" spans="1:23" x14ac:dyDescent="0.3">
      <c r="A9776" t="s">
        <v>36</v>
      </c>
      <c r="B9776" t="s">
        <v>210</v>
      </c>
      <c r="C9776" t="s">
        <v>24</v>
      </c>
      <c r="D9776" t="s">
        <v>1195</v>
      </c>
      <c r="E9776" t="s">
        <v>2604</v>
      </c>
      <c r="F9776" t="s">
        <v>2605</v>
      </c>
      <c r="G9776" t="s">
        <v>2606</v>
      </c>
      <c r="H9776" t="s">
        <v>2607</v>
      </c>
      <c r="I9776" t="s">
        <v>2608</v>
      </c>
      <c r="J9776" t="s">
        <v>2609</v>
      </c>
      <c r="K9776" t="s">
        <v>2610</v>
      </c>
      <c r="L9776" t="s">
        <v>2611</v>
      </c>
      <c r="M9776" t="s">
        <v>2612</v>
      </c>
      <c r="N9776" t="s">
        <v>2613</v>
      </c>
      <c r="O9776" t="s">
        <v>2614</v>
      </c>
      <c r="P9776" t="s">
        <v>2615</v>
      </c>
      <c r="Q9776" t="s">
        <v>2616</v>
      </c>
      <c r="R9776" t="s">
        <v>2617</v>
      </c>
      <c r="S9776" t="s">
        <v>2618</v>
      </c>
      <c r="T9776" t="s">
        <v>2619</v>
      </c>
      <c r="U9776" t="s">
        <v>2620</v>
      </c>
      <c r="V9776" t="s">
        <v>89</v>
      </c>
      <c r="W9776" t="s">
        <v>181</v>
      </c>
    </row>
    <row r="9777" spans="1:23" x14ac:dyDescent="0.3">
      <c r="A9777" t="s">
        <v>25</v>
      </c>
      <c r="B9777" t="s">
        <v>211</v>
      </c>
      <c r="C9777">
        <v>414</v>
      </c>
      <c r="D9777" t="s">
        <v>476</v>
      </c>
      <c r="E9777" t="s">
        <v>615</v>
      </c>
      <c r="F9777" t="s">
        <v>1319</v>
      </c>
      <c r="G9777" t="s">
        <v>103</v>
      </c>
      <c r="H9777" t="s">
        <v>120</v>
      </c>
      <c r="I9777" t="s">
        <v>301</v>
      </c>
      <c r="J9777" t="s">
        <v>105</v>
      </c>
      <c r="K9777" t="s">
        <v>705</v>
      </c>
      <c r="L9777" t="s">
        <v>575</v>
      </c>
      <c r="M9777" t="s">
        <v>565</v>
      </c>
      <c r="N9777" t="s">
        <v>101</v>
      </c>
      <c r="O9777" t="s">
        <v>266</v>
      </c>
      <c r="P9777" t="s">
        <v>1021</v>
      </c>
      <c r="Q9777" t="s">
        <v>493</v>
      </c>
      <c r="R9777" t="s">
        <v>116</v>
      </c>
      <c r="S9777" t="s">
        <v>242</v>
      </c>
      <c r="T9777" t="s">
        <v>103</v>
      </c>
      <c r="U9777" t="s">
        <v>103</v>
      </c>
      <c r="V9777" t="s">
        <v>103</v>
      </c>
      <c r="W9777" t="s">
        <v>103</v>
      </c>
    </row>
    <row r="9778" spans="1:23" x14ac:dyDescent="0.3">
      <c r="A9778" t="s">
        <v>26</v>
      </c>
      <c r="B9778" t="s">
        <v>211</v>
      </c>
      <c r="C9778">
        <v>223</v>
      </c>
      <c r="D9778" t="s">
        <v>126</v>
      </c>
      <c r="E9778" t="s">
        <v>591</v>
      </c>
      <c r="F9778" t="s">
        <v>95</v>
      </c>
      <c r="G9778" t="s">
        <v>122</v>
      </c>
      <c r="H9778" t="s">
        <v>662</v>
      </c>
      <c r="I9778" t="s">
        <v>492</v>
      </c>
      <c r="J9778" t="s">
        <v>245</v>
      </c>
      <c r="K9778" t="s">
        <v>129</v>
      </c>
      <c r="L9778" t="s">
        <v>438</v>
      </c>
      <c r="M9778" t="s">
        <v>477</v>
      </c>
      <c r="N9778" t="s">
        <v>594</v>
      </c>
      <c r="O9778" t="s">
        <v>282</v>
      </c>
      <c r="P9778" t="s">
        <v>371</v>
      </c>
      <c r="Q9778" t="s">
        <v>245</v>
      </c>
      <c r="R9778" t="s">
        <v>107</v>
      </c>
      <c r="S9778" t="s">
        <v>97</v>
      </c>
      <c r="T9778" t="s">
        <v>103</v>
      </c>
      <c r="U9778" t="s">
        <v>97</v>
      </c>
      <c r="V9778" t="s">
        <v>103</v>
      </c>
      <c r="W9778" t="s">
        <v>103</v>
      </c>
    </row>
    <row r="9779" spans="1:23" x14ac:dyDescent="0.3">
      <c r="A9779" t="s">
        <v>26</v>
      </c>
      <c r="B9779" t="s">
        <v>212</v>
      </c>
      <c r="C9779">
        <v>254</v>
      </c>
      <c r="D9779" t="s">
        <v>506</v>
      </c>
      <c r="E9779" t="s">
        <v>194</v>
      </c>
      <c r="F9779" t="s">
        <v>239</v>
      </c>
      <c r="G9779" t="s">
        <v>97</v>
      </c>
      <c r="H9779" t="s">
        <v>98</v>
      </c>
      <c r="I9779" t="s">
        <v>1090</v>
      </c>
      <c r="J9779" t="s">
        <v>107</v>
      </c>
      <c r="K9779" t="s">
        <v>553</v>
      </c>
      <c r="L9779" t="s">
        <v>205</v>
      </c>
      <c r="M9779" t="s">
        <v>490</v>
      </c>
      <c r="N9779" t="s">
        <v>164</v>
      </c>
      <c r="O9779" t="s">
        <v>64</v>
      </c>
      <c r="P9779" t="s">
        <v>793</v>
      </c>
      <c r="Q9779" t="s">
        <v>201</v>
      </c>
      <c r="R9779" t="s">
        <v>194</v>
      </c>
      <c r="S9779" t="s">
        <v>216</v>
      </c>
      <c r="T9779" t="s">
        <v>95</v>
      </c>
      <c r="U9779" t="s">
        <v>103</v>
      </c>
      <c r="V9779" t="s">
        <v>103</v>
      </c>
      <c r="W9779" t="s">
        <v>139</v>
      </c>
    </row>
    <row r="9780" spans="1:23" x14ac:dyDescent="0.3">
      <c r="A9780" t="s">
        <v>29</v>
      </c>
      <c r="B9780" t="s">
        <v>211</v>
      </c>
      <c r="C9780">
        <v>530</v>
      </c>
      <c r="D9780" t="s">
        <v>469</v>
      </c>
      <c r="E9780" t="s">
        <v>652</v>
      </c>
      <c r="F9780" t="s">
        <v>543</v>
      </c>
      <c r="G9780" t="s">
        <v>125</v>
      </c>
      <c r="H9780" t="s">
        <v>186</v>
      </c>
      <c r="I9780" t="s">
        <v>651</v>
      </c>
      <c r="J9780" t="s">
        <v>270</v>
      </c>
      <c r="K9780" t="s">
        <v>574</v>
      </c>
      <c r="L9780" t="s">
        <v>452</v>
      </c>
      <c r="M9780" t="s">
        <v>699</v>
      </c>
      <c r="N9780" t="s">
        <v>146</v>
      </c>
      <c r="O9780" t="s">
        <v>32</v>
      </c>
      <c r="P9780" t="s">
        <v>422</v>
      </c>
      <c r="Q9780" t="s">
        <v>102</v>
      </c>
      <c r="R9780" t="s">
        <v>120</v>
      </c>
      <c r="S9780" t="s">
        <v>188</v>
      </c>
      <c r="T9780" t="s">
        <v>97</v>
      </c>
      <c r="U9780" t="s">
        <v>103</v>
      </c>
      <c r="V9780" t="s">
        <v>66</v>
      </c>
      <c r="W9780" t="s">
        <v>282</v>
      </c>
    </row>
    <row r="9781" spans="1:23" x14ac:dyDescent="0.3">
      <c r="A9781" t="s">
        <v>28</v>
      </c>
      <c r="B9781" t="s">
        <v>211</v>
      </c>
      <c r="C9781">
        <v>277</v>
      </c>
      <c r="D9781" t="s">
        <v>918</v>
      </c>
      <c r="E9781" t="s">
        <v>137</v>
      </c>
      <c r="F9781" t="s">
        <v>558</v>
      </c>
      <c r="G9781" t="s">
        <v>66</v>
      </c>
      <c r="H9781" t="s">
        <v>98</v>
      </c>
      <c r="I9781" t="s">
        <v>789</v>
      </c>
      <c r="J9781" t="s">
        <v>282</v>
      </c>
      <c r="K9781" t="s">
        <v>268</v>
      </c>
      <c r="L9781" t="s">
        <v>813</v>
      </c>
      <c r="M9781" t="s">
        <v>1049</v>
      </c>
      <c r="N9781" t="s">
        <v>94</v>
      </c>
      <c r="O9781" t="s">
        <v>124</v>
      </c>
      <c r="P9781" t="s">
        <v>692</v>
      </c>
      <c r="Q9781" t="s">
        <v>629</v>
      </c>
      <c r="R9781" t="s">
        <v>345</v>
      </c>
      <c r="S9781" t="s">
        <v>195</v>
      </c>
      <c r="T9781" t="s">
        <v>103</v>
      </c>
      <c r="U9781" t="s">
        <v>103</v>
      </c>
      <c r="V9781" t="s">
        <v>103</v>
      </c>
      <c r="W9781" t="s">
        <v>103</v>
      </c>
    </row>
    <row r="9782" spans="1:23" x14ac:dyDescent="0.3">
      <c r="A9782" t="s">
        <v>28</v>
      </c>
      <c r="B9782" t="s">
        <v>212</v>
      </c>
      <c r="C9782">
        <v>40</v>
      </c>
      <c r="D9782" t="s">
        <v>188</v>
      </c>
      <c r="E9782" t="s">
        <v>103</v>
      </c>
      <c r="F9782" t="s">
        <v>103</v>
      </c>
      <c r="G9782" t="s">
        <v>103</v>
      </c>
      <c r="H9782" t="s">
        <v>438</v>
      </c>
      <c r="I9782" t="s">
        <v>566</v>
      </c>
      <c r="J9782" t="s">
        <v>103</v>
      </c>
      <c r="K9782" t="s">
        <v>46</v>
      </c>
      <c r="L9782" t="s">
        <v>608</v>
      </c>
      <c r="M9782" t="s">
        <v>148</v>
      </c>
      <c r="N9782" t="s">
        <v>475</v>
      </c>
      <c r="O9782" t="s">
        <v>112</v>
      </c>
      <c r="P9782" t="s">
        <v>605</v>
      </c>
      <c r="Q9782" t="s">
        <v>820</v>
      </c>
      <c r="R9782" t="s">
        <v>438</v>
      </c>
      <c r="S9782" t="s">
        <v>46</v>
      </c>
      <c r="T9782" t="s">
        <v>217</v>
      </c>
      <c r="U9782" t="s">
        <v>103</v>
      </c>
      <c r="V9782" t="s">
        <v>103</v>
      </c>
      <c r="W9782" t="s">
        <v>103</v>
      </c>
    </row>
    <row r="9783" spans="1:23" x14ac:dyDescent="0.3">
      <c r="A9783" t="s">
        <v>27</v>
      </c>
      <c r="B9783" t="s">
        <v>211</v>
      </c>
      <c r="C9783">
        <v>270</v>
      </c>
      <c r="D9783" t="s">
        <v>92</v>
      </c>
      <c r="E9783" t="s">
        <v>468</v>
      </c>
      <c r="F9783" t="s">
        <v>438</v>
      </c>
      <c r="G9783" t="s">
        <v>103</v>
      </c>
      <c r="H9783" t="s">
        <v>122</v>
      </c>
      <c r="I9783" t="s">
        <v>1023</v>
      </c>
      <c r="J9783" t="s">
        <v>345</v>
      </c>
      <c r="K9783" t="s">
        <v>1223</v>
      </c>
      <c r="L9783" t="s">
        <v>1224</v>
      </c>
      <c r="M9783" t="s">
        <v>421</v>
      </c>
      <c r="N9783" t="s">
        <v>108</v>
      </c>
      <c r="O9783" t="s">
        <v>494</v>
      </c>
      <c r="P9783" t="s">
        <v>1426</v>
      </c>
      <c r="Q9783" t="s">
        <v>494</v>
      </c>
      <c r="R9783" t="s">
        <v>116</v>
      </c>
      <c r="S9783" t="s">
        <v>272</v>
      </c>
      <c r="T9783" t="s">
        <v>103</v>
      </c>
      <c r="U9783" t="s">
        <v>103</v>
      </c>
      <c r="V9783" t="s">
        <v>103</v>
      </c>
      <c r="W9783" t="s">
        <v>125</v>
      </c>
    </row>
    <row r="9784" spans="1:23" s="3" customFormat="1" x14ac:dyDescent="0.3">
      <c r="A9784" s="3" t="s">
        <v>27</v>
      </c>
      <c r="B9784" s="3" t="s">
        <v>212</v>
      </c>
      <c r="C9784" s="3">
        <v>30</v>
      </c>
      <c r="D9784" s="3" t="s">
        <v>694</v>
      </c>
      <c r="E9784" s="3" t="s">
        <v>103</v>
      </c>
      <c r="F9784" s="3" t="s">
        <v>64</v>
      </c>
      <c r="G9784" s="3" t="s">
        <v>103</v>
      </c>
      <c r="H9784" s="3" t="s">
        <v>103</v>
      </c>
      <c r="I9784" s="3" t="s">
        <v>829</v>
      </c>
      <c r="J9784" s="3" t="s">
        <v>103</v>
      </c>
      <c r="K9784" s="3" t="s">
        <v>540</v>
      </c>
      <c r="L9784" s="3" t="s">
        <v>727</v>
      </c>
      <c r="M9784" s="3" t="s">
        <v>543</v>
      </c>
      <c r="N9784" s="3" t="s">
        <v>251</v>
      </c>
      <c r="O9784" s="3" t="s">
        <v>103</v>
      </c>
      <c r="P9784" s="3" t="s">
        <v>697</v>
      </c>
      <c r="Q9784" s="3" t="s">
        <v>103</v>
      </c>
      <c r="R9784" s="3" t="s">
        <v>103</v>
      </c>
      <c r="S9784" s="3" t="s">
        <v>103</v>
      </c>
      <c r="T9784" s="3" t="s">
        <v>103</v>
      </c>
      <c r="U9784" s="3" t="s">
        <v>103</v>
      </c>
      <c r="V9784" s="3" t="s">
        <v>103</v>
      </c>
      <c r="W9784" s="3" t="s">
        <v>103</v>
      </c>
    </row>
    <row r="9785" spans="1:23" x14ac:dyDescent="0.3">
      <c r="A9785" t="s">
        <v>41</v>
      </c>
      <c r="B9785" t="s">
        <v>211</v>
      </c>
      <c r="C9785">
        <v>1714</v>
      </c>
      <c r="D9785" t="s">
        <v>469</v>
      </c>
      <c r="E9785" t="s">
        <v>100</v>
      </c>
      <c r="F9785" t="s">
        <v>649</v>
      </c>
      <c r="G9785" t="s">
        <v>208</v>
      </c>
      <c r="H9785" t="s">
        <v>68</v>
      </c>
      <c r="I9785" t="s">
        <v>261</v>
      </c>
      <c r="J9785" t="s">
        <v>128</v>
      </c>
      <c r="K9785" t="s">
        <v>534</v>
      </c>
      <c r="L9785" t="s">
        <v>108</v>
      </c>
      <c r="M9785" t="s">
        <v>656</v>
      </c>
      <c r="N9785" t="s">
        <v>549</v>
      </c>
      <c r="O9785" t="s">
        <v>186</v>
      </c>
      <c r="P9785" t="s">
        <v>839</v>
      </c>
      <c r="Q9785" t="s">
        <v>188</v>
      </c>
      <c r="R9785" t="s">
        <v>282</v>
      </c>
      <c r="S9785" t="s">
        <v>107</v>
      </c>
      <c r="T9785" t="s">
        <v>66</v>
      </c>
      <c r="U9785" t="s">
        <v>91</v>
      </c>
      <c r="V9785" t="s">
        <v>91</v>
      </c>
      <c r="W9785" t="s">
        <v>95</v>
      </c>
    </row>
    <row r="9786" spans="1:23" x14ac:dyDescent="0.3">
      <c r="A9786" t="s">
        <v>41</v>
      </c>
      <c r="B9786" t="s">
        <v>212</v>
      </c>
      <c r="C9786">
        <v>324</v>
      </c>
      <c r="D9786" t="s">
        <v>732</v>
      </c>
      <c r="E9786" t="s">
        <v>468</v>
      </c>
      <c r="F9786" t="s">
        <v>110</v>
      </c>
      <c r="G9786" t="s">
        <v>122</v>
      </c>
      <c r="H9786" t="s">
        <v>282</v>
      </c>
      <c r="I9786" t="s">
        <v>236</v>
      </c>
      <c r="J9786" t="s">
        <v>591</v>
      </c>
      <c r="K9786" t="s">
        <v>1203</v>
      </c>
      <c r="L9786" t="s">
        <v>136</v>
      </c>
      <c r="M9786" t="s">
        <v>564</v>
      </c>
      <c r="N9786" t="s">
        <v>164</v>
      </c>
      <c r="O9786" t="s">
        <v>64</v>
      </c>
      <c r="P9786" t="s">
        <v>802</v>
      </c>
      <c r="Q9786" t="s">
        <v>278</v>
      </c>
      <c r="R9786" t="s">
        <v>194</v>
      </c>
      <c r="S9786" t="s">
        <v>329</v>
      </c>
      <c r="T9786" t="s">
        <v>139</v>
      </c>
      <c r="U9786" t="s">
        <v>103</v>
      </c>
      <c r="V9786" t="s">
        <v>103</v>
      </c>
      <c r="W9786" t="s">
        <v>139</v>
      </c>
    </row>
    <row r="9788" spans="1:23" x14ac:dyDescent="0.3">
      <c r="A9788" t="s">
        <v>2625</v>
      </c>
    </row>
    <row r="9789" spans="1:23" x14ac:dyDescent="0.3">
      <c r="A9789" t="s">
        <v>36</v>
      </c>
      <c r="B9789" t="s">
        <v>1647</v>
      </c>
      <c r="C9789" t="s">
        <v>24</v>
      </c>
      <c r="D9789" t="s">
        <v>1195</v>
      </c>
      <c r="E9789" t="s">
        <v>2604</v>
      </c>
      <c r="F9789" t="s">
        <v>2605</v>
      </c>
      <c r="G9789" t="s">
        <v>2606</v>
      </c>
      <c r="H9789" t="s">
        <v>2607</v>
      </c>
      <c r="I9789" t="s">
        <v>2608</v>
      </c>
      <c r="J9789" t="s">
        <v>2609</v>
      </c>
      <c r="K9789" t="s">
        <v>2610</v>
      </c>
      <c r="L9789" t="s">
        <v>2611</v>
      </c>
      <c r="M9789" t="s">
        <v>2612</v>
      </c>
      <c r="N9789" t="s">
        <v>2613</v>
      </c>
      <c r="O9789" t="s">
        <v>2614</v>
      </c>
      <c r="P9789" t="s">
        <v>2615</v>
      </c>
      <c r="Q9789" t="s">
        <v>2616</v>
      </c>
      <c r="R9789" t="s">
        <v>2617</v>
      </c>
      <c r="S9789" t="s">
        <v>2618</v>
      </c>
      <c r="T9789" t="s">
        <v>2619</v>
      </c>
      <c r="U9789" t="s">
        <v>2620</v>
      </c>
      <c r="V9789" t="s">
        <v>89</v>
      </c>
      <c r="W9789" t="s">
        <v>181</v>
      </c>
    </row>
    <row r="9790" spans="1:23" x14ac:dyDescent="0.3">
      <c r="A9790" t="s">
        <v>25</v>
      </c>
      <c r="B9790" t="s">
        <v>1648</v>
      </c>
      <c r="C9790">
        <v>143</v>
      </c>
      <c r="D9790" t="s">
        <v>485</v>
      </c>
      <c r="E9790" t="s">
        <v>615</v>
      </c>
      <c r="F9790" t="s">
        <v>555</v>
      </c>
      <c r="G9790" t="s">
        <v>103</v>
      </c>
      <c r="H9790" t="s">
        <v>139</v>
      </c>
      <c r="I9790" t="s">
        <v>464</v>
      </c>
      <c r="J9790" t="s">
        <v>216</v>
      </c>
      <c r="K9790" t="s">
        <v>1088</v>
      </c>
      <c r="L9790" t="s">
        <v>146</v>
      </c>
      <c r="M9790" t="s">
        <v>48</v>
      </c>
      <c r="N9790" t="s">
        <v>190</v>
      </c>
      <c r="O9790" t="s">
        <v>116</v>
      </c>
      <c r="P9790" t="s">
        <v>928</v>
      </c>
      <c r="Q9790" t="s">
        <v>594</v>
      </c>
      <c r="R9790" t="s">
        <v>139</v>
      </c>
      <c r="S9790" t="s">
        <v>133</v>
      </c>
      <c r="T9790" t="s">
        <v>103</v>
      </c>
      <c r="U9790" t="s">
        <v>103</v>
      </c>
      <c r="V9790" t="s">
        <v>103</v>
      </c>
      <c r="W9790" t="s">
        <v>103</v>
      </c>
    </row>
    <row r="9791" spans="1:23" x14ac:dyDescent="0.3">
      <c r="A9791" t="s">
        <v>25</v>
      </c>
      <c r="B9791" t="s">
        <v>1649</v>
      </c>
      <c r="C9791">
        <v>271</v>
      </c>
      <c r="D9791" t="s">
        <v>525</v>
      </c>
      <c r="E9791" t="s">
        <v>214</v>
      </c>
      <c r="F9791" t="s">
        <v>566</v>
      </c>
      <c r="G9791" t="s">
        <v>103</v>
      </c>
      <c r="H9791" t="s">
        <v>122</v>
      </c>
      <c r="I9791" t="s">
        <v>539</v>
      </c>
      <c r="J9791" t="s">
        <v>208</v>
      </c>
      <c r="K9791" t="s">
        <v>670</v>
      </c>
      <c r="L9791" t="s">
        <v>94</v>
      </c>
      <c r="M9791" t="s">
        <v>534</v>
      </c>
      <c r="N9791" t="s">
        <v>460</v>
      </c>
      <c r="O9791" t="s">
        <v>114</v>
      </c>
      <c r="P9791" t="s">
        <v>838</v>
      </c>
      <c r="Q9791" t="s">
        <v>93</v>
      </c>
      <c r="R9791" t="s">
        <v>103</v>
      </c>
      <c r="S9791" t="s">
        <v>693</v>
      </c>
      <c r="T9791" t="s">
        <v>103</v>
      </c>
      <c r="U9791" t="s">
        <v>103</v>
      </c>
      <c r="V9791" t="s">
        <v>103</v>
      </c>
      <c r="W9791" t="s">
        <v>103</v>
      </c>
    </row>
    <row r="9792" spans="1:23" x14ac:dyDescent="0.3">
      <c r="A9792" t="s">
        <v>26</v>
      </c>
      <c r="B9792" t="s">
        <v>1648</v>
      </c>
      <c r="C9792">
        <v>153</v>
      </c>
      <c r="D9792" t="s">
        <v>734</v>
      </c>
      <c r="E9792" t="s">
        <v>345</v>
      </c>
      <c r="F9792" t="s">
        <v>282</v>
      </c>
      <c r="G9792" t="s">
        <v>95</v>
      </c>
      <c r="H9792" t="s">
        <v>195</v>
      </c>
      <c r="I9792" t="s">
        <v>655</v>
      </c>
      <c r="J9792" t="s">
        <v>186</v>
      </c>
      <c r="K9792" t="s">
        <v>683</v>
      </c>
      <c r="L9792" t="s">
        <v>284</v>
      </c>
      <c r="M9792" t="s">
        <v>648</v>
      </c>
      <c r="N9792" t="s">
        <v>167</v>
      </c>
      <c r="O9792" t="s">
        <v>194</v>
      </c>
      <c r="P9792" t="s">
        <v>1025</v>
      </c>
      <c r="Q9792" t="s">
        <v>329</v>
      </c>
      <c r="R9792" t="s">
        <v>467</v>
      </c>
      <c r="S9792" t="s">
        <v>118</v>
      </c>
      <c r="T9792" t="s">
        <v>345</v>
      </c>
      <c r="U9792" t="s">
        <v>120</v>
      </c>
      <c r="V9792" t="s">
        <v>103</v>
      </c>
      <c r="W9792" t="s">
        <v>120</v>
      </c>
    </row>
    <row r="9793" spans="1:23" x14ac:dyDescent="0.3">
      <c r="A9793" t="s">
        <v>26</v>
      </c>
      <c r="B9793" t="s">
        <v>1649</v>
      </c>
      <c r="C9793">
        <v>324</v>
      </c>
      <c r="D9793" t="s">
        <v>925</v>
      </c>
      <c r="E9793" t="s">
        <v>438</v>
      </c>
      <c r="F9793" t="s">
        <v>468</v>
      </c>
      <c r="G9793" t="s">
        <v>116</v>
      </c>
      <c r="H9793" t="s">
        <v>272</v>
      </c>
      <c r="I9793" t="s">
        <v>542</v>
      </c>
      <c r="J9793" t="s">
        <v>257</v>
      </c>
      <c r="K9793" t="s">
        <v>534</v>
      </c>
      <c r="L9793" t="s">
        <v>594</v>
      </c>
      <c r="M9793" t="s">
        <v>465</v>
      </c>
      <c r="N9793" t="s">
        <v>205</v>
      </c>
      <c r="O9793" t="s">
        <v>93</v>
      </c>
      <c r="P9793" t="s">
        <v>1230</v>
      </c>
      <c r="Q9793" t="s">
        <v>493</v>
      </c>
      <c r="R9793" t="s">
        <v>118</v>
      </c>
      <c r="S9793" t="s">
        <v>116</v>
      </c>
      <c r="T9793" t="s">
        <v>103</v>
      </c>
      <c r="U9793" t="s">
        <v>103</v>
      </c>
      <c r="V9793" t="s">
        <v>103</v>
      </c>
      <c r="W9793" t="s">
        <v>116</v>
      </c>
    </row>
    <row r="9794" spans="1:23" x14ac:dyDescent="0.3">
      <c r="A9794" t="s">
        <v>29</v>
      </c>
      <c r="B9794" t="s">
        <v>1648</v>
      </c>
      <c r="C9794">
        <v>252</v>
      </c>
      <c r="D9794" t="s">
        <v>54</v>
      </c>
      <c r="E9794" t="s">
        <v>144</v>
      </c>
      <c r="F9794" t="s">
        <v>167</v>
      </c>
      <c r="G9794" t="s">
        <v>188</v>
      </c>
      <c r="H9794" t="s">
        <v>112</v>
      </c>
      <c r="I9794" t="s">
        <v>52</v>
      </c>
      <c r="J9794" t="s">
        <v>113</v>
      </c>
      <c r="K9794" t="s">
        <v>1213</v>
      </c>
      <c r="L9794" t="s">
        <v>140</v>
      </c>
      <c r="M9794" t="s">
        <v>456</v>
      </c>
      <c r="N9794" t="s">
        <v>481</v>
      </c>
      <c r="O9794" t="s">
        <v>591</v>
      </c>
      <c r="P9794" t="s">
        <v>359</v>
      </c>
      <c r="Q9794" t="s">
        <v>532</v>
      </c>
      <c r="R9794" t="s">
        <v>97</v>
      </c>
      <c r="S9794" t="s">
        <v>125</v>
      </c>
      <c r="T9794" t="s">
        <v>97</v>
      </c>
      <c r="U9794" t="s">
        <v>103</v>
      </c>
      <c r="V9794" t="s">
        <v>103</v>
      </c>
      <c r="W9794" t="s">
        <v>120</v>
      </c>
    </row>
    <row r="9795" spans="1:23" x14ac:dyDescent="0.3">
      <c r="A9795" t="s">
        <v>29</v>
      </c>
      <c r="B9795" t="s">
        <v>1649</v>
      </c>
      <c r="C9795">
        <v>278</v>
      </c>
      <c r="D9795" t="s">
        <v>687</v>
      </c>
      <c r="E9795" t="s">
        <v>108</v>
      </c>
      <c r="F9795" t="s">
        <v>126</v>
      </c>
      <c r="G9795" t="s">
        <v>438</v>
      </c>
      <c r="H9795" t="s">
        <v>266</v>
      </c>
      <c r="I9795" t="s">
        <v>825</v>
      </c>
      <c r="J9795" t="s">
        <v>239</v>
      </c>
      <c r="K9795" t="s">
        <v>261</v>
      </c>
      <c r="L9795" t="s">
        <v>112</v>
      </c>
      <c r="M9795" t="s">
        <v>666</v>
      </c>
      <c r="N9795" t="s">
        <v>262</v>
      </c>
      <c r="O9795" t="s">
        <v>662</v>
      </c>
      <c r="P9795" t="s">
        <v>1087</v>
      </c>
      <c r="Q9795" t="s">
        <v>217</v>
      </c>
      <c r="R9795" t="s">
        <v>95</v>
      </c>
      <c r="S9795" t="s">
        <v>591</v>
      </c>
      <c r="T9795" t="s">
        <v>97</v>
      </c>
      <c r="U9795" t="s">
        <v>91</v>
      </c>
      <c r="V9795" t="s">
        <v>116</v>
      </c>
      <c r="W9795" t="s">
        <v>194</v>
      </c>
    </row>
    <row r="9796" spans="1:23" x14ac:dyDescent="0.3">
      <c r="A9796" t="s">
        <v>28</v>
      </c>
      <c r="B9796" t="s">
        <v>1648</v>
      </c>
      <c r="C9796">
        <v>77</v>
      </c>
      <c r="D9796" t="s">
        <v>693</v>
      </c>
      <c r="E9796" t="s">
        <v>737</v>
      </c>
      <c r="F9796" t="s">
        <v>459</v>
      </c>
      <c r="G9796" t="s">
        <v>103</v>
      </c>
      <c r="H9796" t="s">
        <v>98</v>
      </c>
      <c r="I9796" t="s">
        <v>331</v>
      </c>
      <c r="J9796" t="s">
        <v>103</v>
      </c>
      <c r="K9796" t="s">
        <v>515</v>
      </c>
      <c r="L9796" t="s">
        <v>700</v>
      </c>
      <c r="M9796" t="s">
        <v>293</v>
      </c>
      <c r="N9796" t="s">
        <v>531</v>
      </c>
      <c r="O9796" t="s">
        <v>126</v>
      </c>
      <c r="P9796" t="s">
        <v>1462</v>
      </c>
      <c r="Q9796" t="s">
        <v>734</v>
      </c>
      <c r="R9796" t="s">
        <v>208</v>
      </c>
      <c r="S9796" t="s">
        <v>494</v>
      </c>
      <c r="T9796" t="s">
        <v>103</v>
      </c>
      <c r="U9796" t="s">
        <v>103</v>
      </c>
      <c r="V9796" t="s">
        <v>103</v>
      </c>
      <c r="W9796" t="s">
        <v>103</v>
      </c>
    </row>
    <row r="9797" spans="1:23" x14ac:dyDescent="0.3">
      <c r="A9797" t="s">
        <v>28</v>
      </c>
      <c r="B9797" t="s">
        <v>1649</v>
      </c>
      <c r="C9797">
        <v>240</v>
      </c>
      <c r="D9797" t="s">
        <v>536</v>
      </c>
      <c r="E9797" t="s">
        <v>242</v>
      </c>
      <c r="F9797" t="s">
        <v>188</v>
      </c>
      <c r="G9797" t="s">
        <v>66</v>
      </c>
      <c r="H9797" t="s">
        <v>468</v>
      </c>
      <c r="I9797" t="s">
        <v>707</v>
      </c>
      <c r="J9797" t="s">
        <v>345</v>
      </c>
      <c r="K9797" t="s">
        <v>46</v>
      </c>
      <c r="L9797" t="s">
        <v>707</v>
      </c>
      <c r="M9797" t="s">
        <v>1091</v>
      </c>
      <c r="N9797" t="s">
        <v>575</v>
      </c>
      <c r="O9797" t="s">
        <v>511</v>
      </c>
      <c r="P9797" t="s">
        <v>387</v>
      </c>
      <c r="Q9797" t="s">
        <v>247</v>
      </c>
      <c r="R9797" t="s">
        <v>468</v>
      </c>
      <c r="S9797" t="s">
        <v>493</v>
      </c>
      <c r="T9797" t="s">
        <v>116</v>
      </c>
      <c r="U9797" t="s">
        <v>103</v>
      </c>
      <c r="V9797" t="s">
        <v>103</v>
      </c>
      <c r="W9797" t="s">
        <v>103</v>
      </c>
    </row>
    <row r="9798" spans="1:23" x14ac:dyDescent="0.3">
      <c r="A9798" t="s">
        <v>27</v>
      </c>
      <c r="B9798" t="s">
        <v>1648</v>
      </c>
      <c r="C9798">
        <v>64</v>
      </c>
      <c r="D9798" t="s">
        <v>607</v>
      </c>
      <c r="E9798" t="s">
        <v>103</v>
      </c>
      <c r="F9798" t="s">
        <v>463</v>
      </c>
      <c r="G9798" t="s">
        <v>103</v>
      </c>
      <c r="H9798" t="s">
        <v>110</v>
      </c>
      <c r="I9798" t="s">
        <v>365</v>
      </c>
      <c r="J9798" t="s">
        <v>110</v>
      </c>
      <c r="K9798" t="s">
        <v>788</v>
      </c>
      <c r="L9798" t="s">
        <v>490</v>
      </c>
      <c r="M9798" t="s">
        <v>825</v>
      </c>
      <c r="N9798" t="s">
        <v>531</v>
      </c>
      <c r="O9798" t="s">
        <v>575</v>
      </c>
      <c r="P9798" t="s">
        <v>1062</v>
      </c>
      <c r="Q9798" t="s">
        <v>254</v>
      </c>
      <c r="R9798" t="s">
        <v>110</v>
      </c>
      <c r="S9798" t="s">
        <v>607</v>
      </c>
      <c r="T9798" t="s">
        <v>103</v>
      </c>
      <c r="U9798" t="s">
        <v>103</v>
      </c>
      <c r="V9798" t="s">
        <v>103</v>
      </c>
      <c r="W9798" t="s">
        <v>103</v>
      </c>
    </row>
    <row r="9799" spans="1:23" x14ac:dyDescent="0.3">
      <c r="A9799" t="s">
        <v>27</v>
      </c>
      <c r="B9799" t="s">
        <v>1649</v>
      </c>
      <c r="C9799">
        <v>236</v>
      </c>
      <c r="D9799" t="s">
        <v>472</v>
      </c>
      <c r="E9799" t="s">
        <v>239</v>
      </c>
      <c r="F9799" t="s">
        <v>139</v>
      </c>
      <c r="G9799" t="s">
        <v>103</v>
      </c>
      <c r="H9799" t="s">
        <v>103</v>
      </c>
      <c r="I9799" t="s">
        <v>681</v>
      </c>
      <c r="J9799" t="s">
        <v>98</v>
      </c>
      <c r="K9799" t="s">
        <v>1207</v>
      </c>
      <c r="L9799" t="s">
        <v>491</v>
      </c>
      <c r="M9799" t="s">
        <v>1637</v>
      </c>
      <c r="N9799" t="s">
        <v>571</v>
      </c>
      <c r="O9799" t="s">
        <v>607</v>
      </c>
      <c r="P9799" t="s">
        <v>422</v>
      </c>
      <c r="Q9799" t="s">
        <v>251</v>
      </c>
      <c r="R9799" t="s">
        <v>103</v>
      </c>
      <c r="S9799" t="s">
        <v>105</v>
      </c>
      <c r="T9799" t="s">
        <v>103</v>
      </c>
      <c r="U9799" t="s">
        <v>103</v>
      </c>
      <c r="V9799" t="s">
        <v>103</v>
      </c>
      <c r="W9799" t="s">
        <v>532</v>
      </c>
    </row>
    <row r="9800" spans="1:23" x14ac:dyDescent="0.3">
      <c r="A9800" t="s">
        <v>41</v>
      </c>
      <c r="B9800" t="s">
        <v>1648</v>
      </c>
      <c r="C9800">
        <v>689</v>
      </c>
      <c r="D9800" t="s">
        <v>469</v>
      </c>
      <c r="E9800" t="s">
        <v>205</v>
      </c>
      <c r="F9800" t="s">
        <v>111</v>
      </c>
      <c r="G9800" t="s">
        <v>128</v>
      </c>
      <c r="H9800" t="s">
        <v>114</v>
      </c>
      <c r="I9800" t="s">
        <v>670</v>
      </c>
      <c r="J9800" t="s">
        <v>125</v>
      </c>
      <c r="K9800" t="s">
        <v>935</v>
      </c>
      <c r="L9800" t="s">
        <v>108</v>
      </c>
      <c r="M9800" t="s">
        <v>1082</v>
      </c>
      <c r="N9800" t="s">
        <v>117</v>
      </c>
      <c r="O9800" t="s">
        <v>195</v>
      </c>
      <c r="P9800" t="s">
        <v>993</v>
      </c>
      <c r="Q9800" t="s">
        <v>214</v>
      </c>
      <c r="R9800" t="s">
        <v>468</v>
      </c>
      <c r="S9800" t="s">
        <v>188</v>
      </c>
      <c r="T9800" t="s">
        <v>97</v>
      </c>
      <c r="U9800" t="s">
        <v>91</v>
      </c>
      <c r="V9800" t="s">
        <v>103</v>
      </c>
      <c r="W9800" t="s">
        <v>97</v>
      </c>
    </row>
    <row r="9801" spans="1:23" x14ac:dyDescent="0.3">
      <c r="A9801" t="s">
        <v>41</v>
      </c>
      <c r="B9801" t="s">
        <v>1649</v>
      </c>
      <c r="C9801">
        <v>1349</v>
      </c>
      <c r="D9801" t="s">
        <v>829</v>
      </c>
      <c r="E9801" t="s">
        <v>558</v>
      </c>
      <c r="F9801" t="s">
        <v>140</v>
      </c>
      <c r="G9801" t="s">
        <v>110</v>
      </c>
      <c r="H9801" t="s">
        <v>329</v>
      </c>
      <c r="I9801" t="s">
        <v>259</v>
      </c>
      <c r="J9801" t="s">
        <v>105</v>
      </c>
      <c r="K9801" t="s">
        <v>920</v>
      </c>
      <c r="L9801" t="s">
        <v>224</v>
      </c>
      <c r="M9801" t="s">
        <v>893</v>
      </c>
      <c r="N9801" t="s">
        <v>205</v>
      </c>
      <c r="O9801" t="s">
        <v>532</v>
      </c>
      <c r="P9801" t="s">
        <v>1556</v>
      </c>
      <c r="Q9801" t="s">
        <v>102</v>
      </c>
      <c r="R9801" t="s">
        <v>282</v>
      </c>
      <c r="S9801" t="s">
        <v>591</v>
      </c>
      <c r="T9801" t="s">
        <v>66</v>
      </c>
      <c r="U9801" t="s">
        <v>103</v>
      </c>
      <c r="V9801" t="s">
        <v>91</v>
      </c>
      <c r="W9801" t="s">
        <v>98</v>
      </c>
    </row>
    <row r="9803" spans="1:23" x14ac:dyDescent="0.3">
      <c r="A9803" t="s">
        <v>2626</v>
      </c>
    </row>
    <row r="9804" spans="1:23" x14ac:dyDescent="0.3">
      <c r="A9804" t="s">
        <v>36</v>
      </c>
      <c r="B9804" t="s">
        <v>2570</v>
      </c>
      <c r="C9804" t="s">
        <v>24</v>
      </c>
      <c r="D9804" t="s">
        <v>1195</v>
      </c>
      <c r="E9804" t="s">
        <v>2604</v>
      </c>
      <c r="F9804" t="s">
        <v>2605</v>
      </c>
      <c r="G9804" t="s">
        <v>2606</v>
      </c>
      <c r="H9804" t="s">
        <v>2607</v>
      </c>
      <c r="I9804" t="s">
        <v>2608</v>
      </c>
      <c r="J9804" t="s">
        <v>2609</v>
      </c>
      <c r="K9804" t="s">
        <v>2610</v>
      </c>
      <c r="L9804" t="s">
        <v>2611</v>
      </c>
      <c r="M9804" t="s">
        <v>2612</v>
      </c>
      <c r="N9804" t="s">
        <v>2613</v>
      </c>
      <c r="O9804" t="s">
        <v>2614</v>
      </c>
      <c r="P9804" t="s">
        <v>2615</v>
      </c>
      <c r="Q9804" t="s">
        <v>2616</v>
      </c>
      <c r="R9804" t="s">
        <v>2617</v>
      </c>
      <c r="S9804" t="s">
        <v>2618</v>
      </c>
      <c r="T9804" t="s">
        <v>2619</v>
      </c>
      <c r="U9804" t="s">
        <v>2620</v>
      </c>
      <c r="V9804" t="s">
        <v>89</v>
      </c>
      <c r="W9804" t="s">
        <v>181</v>
      </c>
    </row>
    <row r="9805" spans="1:23" x14ac:dyDescent="0.3">
      <c r="A9805" t="s">
        <v>25</v>
      </c>
      <c r="B9805" t="s">
        <v>2571</v>
      </c>
      <c r="C9805">
        <v>113</v>
      </c>
      <c r="D9805" t="s">
        <v>470</v>
      </c>
      <c r="E9805" t="s">
        <v>91</v>
      </c>
      <c r="F9805" t="s">
        <v>519</v>
      </c>
      <c r="G9805" t="s">
        <v>103</v>
      </c>
      <c r="H9805" t="s">
        <v>103</v>
      </c>
      <c r="I9805" t="s">
        <v>659</v>
      </c>
      <c r="J9805" t="s">
        <v>103</v>
      </c>
      <c r="K9805" t="s">
        <v>407</v>
      </c>
      <c r="L9805" t="s">
        <v>247</v>
      </c>
      <c r="M9805" t="s">
        <v>529</v>
      </c>
      <c r="N9805" t="s">
        <v>284</v>
      </c>
      <c r="O9805" t="s">
        <v>107</v>
      </c>
      <c r="P9805" t="s">
        <v>354</v>
      </c>
      <c r="Q9805" t="s">
        <v>468</v>
      </c>
      <c r="R9805" t="s">
        <v>282</v>
      </c>
      <c r="S9805" t="s">
        <v>60</v>
      </c>
      <c r="T9805" t="s">
        <v>103</v>
      </c>
      <c r="U9805" t="s">
        <v>103</v>
      </c>
      <c r="V9805" t="s">
        <v>103</v>
      </c>
      <c r="W9805" t="s">
        <v>103</v>
      </c>
    </row>
    <row r="9806" spans="1:23" s="3" customFormat="1" x14ac:dyDescent="0.3">
      <c r="A9806" s="3" t="s">
        <v>25</v>
      </c>
      <c r="B9806" s="3" t="s">
        <v>2572</v>
      </c>
      <c r="C9806" s="3">
        <v>9</v>
      </c>
      <c r="D9806" s="3" t="s">
        <v>629</v>
      </c>
      <c r="E9806" s="3" t="s">
        <v>103</v>
      </c>
      <c r="F9806" s="3" t="s">
        <v>103</v>
      </c>
      <c r="G9806" s="3" t="s">
        <v>103</v>
      </c>
      <c r="H9806" s="3" t="s">
        <v>103</v>
      </c>
      <c r="I9806" s="3" t="s">
        <v>461</v>
      </c>
      <c r="J9806" s="3" t="s">
        <v>103</v>
      </c>
      <c r="K9806" s="3" t="s">
        <v>935</v>
      </c>
      <c r="L9806" s="3" t="s">
        <v>1050</v>
      </c>
      <c r="M9806" s="3" t="s">
        <v>789</v>
      </c>
      <c r="N9806" s="3" t="s">
        <v>251</v>
      </c>
      <c r="O9806" s="3" t="s">
        <v>975</v>
      </c>
      <c r="P9806" s="3" t="s">
        <v>885</v>
      </c>
      <c r="Q9806" s="3" t="s">
        <v>581</v>
      </c>
      <c r="R9806" s="3" t="s">
        <v>103</v>
      </c>
      <c r="S9806" s="3" t="s">
        <v>103</v>
      </c>
      <c r="T9806" s="3" t="s">
        <v>103</v>
      </c>
      <c r="U9806" s="3" t="s">
        <v>103</v>
      </c>
      <c r="V9806" s="3" t="s">
        <v>103</v>
      </c>
      <c r="W9806" s="3" t="s">
        <v>103</v>
      </c>
    </row>
    <row r="9807" spans="1:23" x14ac:dyDescent="0.3">
      <c r="A9807" t="s">
        <v>25</v>
      </c>
      <c r="B9807" t="s">
        <v>2573</v>
      </c>
      <c r="C9807">
        <v>41</v>
      </c>
      <c r="D9807" t="s">
        <v>191</v>
      </c>
      <c r="E9807" t="s">
        <v>123</v>
      </c>
      <c r="F9807" t="s">
        <v>809</v>
      </c>
      <c r="G9807" t="s">
        <v>103</v>
      </c>
      <c r="H9807" t="s">
        <v>103</v>
      </c>
      <c r="I9807" t="s">
        <v>645</v>
      </c>
      <c r="J9807" t="s">
        <v>532</v>
      </c>
      <c r="K9807" t="s">
        <v>1402</v>
      </c>
      <c r="L9807" t="s">
        <v>629</v>
      </c>
      <c r="M9807" t="s">
        <v>472</v>
      </c>
      <c r="N9807" t="s">
        <v>918</v>
      </c>
      <c r="O9807" t="s">
        <v>103</v>
      </c>
      <c r="P9807" t="s">
        <v>300</v>
      </c>
      <c r="Q9807" t="s">
        <v>103</v>
      </c>
      <c r="R9807" t="s">
        <v>103</v>
      </c>
      <c r="S9807" t="s">
        <v>115</v>
      </c>
      <c r="T9807" t="s">
        <v>103</v>
      </c>
      <c r="U9807" t="s">
        <v>103</v>
      </c>
      <c r="V9807" t="s">
        <v>103</v>
      </c>
      <c r="W9807" t="s">
        <v>103</v>
      </c>
    </row>
    <row r="9808" spans="1:23" x14ac:dyDescent="0.3">
      <c r="A9808" t="s">
        <v>25</v>
      </c>
      <c r="B9808" t="s">
        <v>2574</v>
      </c>
      <c r="C9808">
        <v>251</v>
      </c>
      <c r="D9808" t="s">
        <v>398</v>
      </c>
      <c r="E9808" t="s">
        <v>232</v>
      </c>
      <c r="F9808" t="s">
        <v>253</v>
      </c>
      <c r="G9808" t="s">
        <v>103</v>
      </c>
      <c r="H9808" t="s">
        <v>98</v>
      </c>
      <c r="I9808" t="s">
        <v>569</v>
      </c>
      <c r="J9808" t="s">
        <v>128</v>
      </c>
      <c r="K9808" t="s">
        <v>259</v>
      </c>
      <c r="L9808" t="s">
        <v>531</v>
      </c>
      <c r="M9808" t="s">
        <v>644</v>
      </c>
      <c r="N9808" t="s">
        <v>460</v>
      </c>
      <c r="O9808" t="s">
        <v>105</v>
      </c>
      <c r="P9808" t="s">
        <v>462</v>
      </c>
      <c r="Q9808" t="s">
        <v>214</v>
      </c>
      <c r="R9808" t="s">
        <v>103</v>
      </c>
      <c r="S9808" t="s">
        <v>242</v>
      </c>
      <c r="T9808" t="s">
        <v>103</v>
      </c>
      <c r="U9808" t="s">
        <v>103</v>
      </c>
      <c r="V9808" t="s">
        <v>103</v>
      </c>
      <c r="W9808" t="s">
        <v>103</v>
      </c>
    </row>
    <row r="9809" spans="1:23" x14ac:dyDescent="0.3">
      <c r="A9809" t="s">
        <v>26</v>
      </c>
      <c r="B9809" t="s">
        <v>2571</v>
      </c>
      <c r="C9809">
        <v>77</v>
      </c>
      <c r="D9809" t="s">
        <v>594</v>
      </c>
      <c r="E9809" t="s">
        <v>239</v>
      </c>
      <c r="F9809" t="s">
        <v>468</v>
      </c>
      <c r="G9809" t="s">
        <v>103</v>
      </c>
      <c r="H9809" t="s">
        <v>64</v>
      </c>
      <c r="I9809" t="s">
        <v>507</v>
      </c>
      <c r="J9809" t="s">
        <v>190</v>
      </c>
      <c r="K9809" t="s">
        <v>453</v>
      </c>
      <c r="L9809" t="s">
        <v>195</v>
      </c>
      <c r="M9809" t="s">
        <v>2103</v>
      </c>
      <c r="N9809" t="s">
        <v>106</v>
      </c>
      <c r="O9809" t="s">
        <v>329</v>
      </c>
      <c r="P9809" t="s">
        <v>1393</v>
      </c>
      <c r="Q9809" t="s">
        <v>125</v>
      </c>
      <c r="R9809" t="s">
        <v>188</v>
      </c>
      <c r="S9809" t="s">
        <v>133</v>
      </c>
      <c r="T9809" t="s">
        <v>118</v>
      </c>
      <c r="U9809" t="s">
        <v>103</v>
      </c>
      <c r="V9809" t="s">
        <v>103</v>
      </c>
      <c r="W9809" t="s">
        <v>103</v>
      </c>
    </row>
    <row r="9810" spans="1:23" s="3" customFormat="1" x14ac:dyDescent="0.3">
      <c r="A9810" s="3" t="s">
        <v>26</v>
      </c>
      <c r="B9810" s="3" t="s">
        <v>2572</v>
      </c>
      <c r="C9810" s="3">
        <v>10</v>
      </c>
      <c r="D9810" s="3" t="s">
        <v>647</v>
      </c>
      <c r="E9810" s="3" t="s">
        <v>103</v>
      </c>
      <c r="F9810" s="3" t="s">
        <v>103</v>
      </c>
      <c r="G9810" s="3" t="s">
        <v>103</v>
      </c>
      <c r="H9810" s="3" t="s">
        <v>754</v>
      </c>
      <c r="I9810" s="3" t="s">
        <v>561</v>
      </c>
      <c r="J9810" s="3" t="s">
        <v>103</v>
      </c>
      <c r="K9810" s="3" t="s">
        <v>167</v>
      </c>
      <c r="L9810" s="3" t="s">
        <v>247</v>
      </c>
      <c r="M9810" s="3" t="s">
        <v>1356</v>
      </c>
      <c r="N9810" s="3" t="s">
        <v>70</v>
      </c>
      <c r="O9810" s="3" t="s">
        <v>607</v>
      </c>
      <c r="P9810" s="3" t="s">
        <v>490</v>
      </c>
      <c r="Q9810" s="3" t="s">
        <v>103</v>
      </c>
      <c r="R9810" s="3" t="s">
        <v>103</v>
      </c>
      <c r="S9810" s="3" t="s">
        <v>103</v>
      </c>
      <c r="T9810" s="3" t="s">
        <v>103</v>
      </c>
      <c r="U9810" s="3" t="s">
        <v>103</v>
      </c>
      <c r="V9810" s="3" t="s">
        <v>103</v>
      </c>
      <c r="W9810" s="3" t="s">
        <v>224</v>
      </c>
    </row>
    <row r="9811" spans="1:23" x14ac:dyDescent="0.3">
      <c r="A9811" t="s">
        <v>26</v>
      </c>
      <c r="B9811" t="s">
        <v>2573</v>
      </c>
      <c r="C9811">
        <v>95</v>
      </c>
      <c r="D9811" t="s">
        <v>111</v>
      </c>
      <c r="E9811" t="s">
        <v>66</v>
      </c>
      <c r="F9811" t="s">
        <v>103</v>
      </c>
      <c r="G9811" t="s">
        <v>194</v>
      </c>
      <c r="H9811" t="s">
        <v>120</v>
      </c>
      <c r="I9811" t="s">
        <v>555</v>
      </c>
      <c r="J9811" t="s">
        <v>591</v>
      </c>
      <c r="K9811" t="s">
        <v>546</v>
      </c>
      <c r="L9811" t="s">
        <v>459</v>
      </c>
      <c r="M9811" t="s">
        <v>427</v>
      </c>
      <c r="N9811" t="s">
        <v>743</v>
      </c>
      <c r="O9811" t="s">
        <v>102</v>
      </c>
      <c r="P9811" t="s">
        <v>1178</v>
      </c>
      <c r="Q9811" t="s">
        <v>452</v>
      </c>
      <c r="R9811" t="s">
        <v>214</v>
      </c>
      <c r="S9811" t="s">
        <v>103</v>
      </c>
      <c r="T9811" t="s">
        <v>103</v>
      </c>
      <c r="U9811" t="s">
        <v>345</v>
      </c>
      <c r="V9811" t="s">
        <v>103</v>
      </c>
      <c r="W9811" t="s">
        <v>103</v>
      </c>
    </row>
    <row r="9812" spans="1:23" x14ac:dyDescent="0.3">
      <c r="A9812" t="s">
        <v>26</v>
      </c>
      <c r="B9812" t="s">
        <v>2574</v>
      </c>
      <c r="C9812">
        <v>295</v>
      </c>
      <c r="D9812" t="s">
        <v>268</v>
      </c>
      <c r="E9812" t="s">
        <v>493</v>
      </c>
      <c r="F9812" t="s">
        <v>239</v>
      </c>
      <c r="G9812" t="s">
        <v>116</v>
      </c>
      <c r="H9812" t="s">
        <v>272</v>
      </c>
      <c r="I9812" t="s">
        <v>361</v>
      </c>
      <c r="J9812" t="s">
        <v>341</v>
      </c>
      <c r="K9812" t="s">
        <v>646</v>
      </c>
      <c r="L9812" t="s">
        <v>278</v>
      </c>
      <c r="M9812" t="s">
        <v>702</v>
      </c>
      <c r="N9812" t="s">
        <v>205</v>
      </c>
      <c r="O9812" t="s">
        <v>468</v>
      </c>
      <c r="P9812" t="s">
        <v>387</v>
      </c>
      <c r="Q9812" t="s">
        <v>128</v>
      </c>
      <c r="R9812" t="s">
        <v>341</v>
      </c>
      <c r="S9812" t="s">
        <v>122</v>
      </c>
      <c r="T9812" t="s">
        <v>103</v>
      </c>
      <c r="U9812" t="s">
        <v>103</v>
      </c>
      <c r="V9812" t="s">
        <v>103</v>
      </c>
      <c r="W9812" t="s">
        <v>116</v>
      </c>
    </row>
    <row r="9813" spans="1:23" x14ac:dyDescent="0.3">
      <c r="A9813" t="s">
        <v>29</v>
      </c>
      <c r="B9813" t="s">
        <v>2571</v>
      </c>
      <c r="C9813">
        <v>124</v>
      </c>
      <c r="D9813" t="s">
        <v>594</v>
      </c>
      <c r="E9813" t="s">
        <v>167</v>
      </c>
      <c r="F9813" t="s">
        <v>137</v>
      </c>
      <c r="G9813" t="s">
        <v>105</v>
      </c>
      <c r="H9813" t="s">
        <v>107</v>
      </c>
      <c r="I9813" t="s">
        <v>429</v>
      </c>
      <c r="J9813" t="s">
        <v>591</v>
      </c>
      <c r="K9813" t="s">
        <v>376</v>
      </c>
      <c r="L9813" t="s">
        <v>94</v>
      </c>
      <c r="M9813" t="s">
        <v>838</v>
      </c>
      <c r="N9813" t="s">
        <v>495</v>
      </c>
      <c r="O9813" t="s">
        <v>463</v>
      </c>
      <c r="P9813" t="s">
        <v>1279</v>
      </c>
      <c r="Q9813" t="s">
        <v>33</v>
      </c>
      <c r="R9813" t="s">
        <v>282</v>
      </c>
      <c r="S9813" t="s">
        <v>188</v>
      </c>
      <c r="T9813" t="s">
        <v>282</v>
      </c>
      <c r="U9813" t="s">
        <v>103</v>
      </c>
      <c r="V9813" t="s">
        <v>103</v>
      </c>
      <c r="W9813" t="s">
        <v>91</v>
      </c>
    </row>
    <row r="9814" spans="1:23" x14ac:dyDescent="0.3">
      <c r="A9814" t="s">
        <v>29</v>
      </c>
      <c r="B9814" t="s">
        <v>2572</v>
      </c>
      <c r="C9814">
        <v>35</v>
      </c>
      <c r="D9814" t="s">
        <v>257</v>
      </c>
      <c r="E9814" t="s">
        <v>262</v>
      </c>
      <c r="F9814" t="s">
        <v>103</v>
      </c>
      <c r="G9814" t="s">
        <v>543</v>
      </c>
      <c r="H9814" t="s">
        <v>128</v>
      </c>
      <c r="I9814" t="s">
        <v>1070</v>
      </c>
      <c r="J9814" t="s">
        <v>70</v>
      </c>
      <c r="K9814" t="s">
        <v>583</v>
      </c>
      <c r="L9814" t="s">
        <v>190</v>
      </c>
      <c r="M9814" t="s">
        <v>1212</v>
      </c>
      <c r="N9814" t="s">
        <v>117</v>
      </c>
      <c r="O9814" t="s">
        <v>284</v>
      </c>
      <c r="P9814" t="s">
        <v>378</v>
      </c>
      <c r="Q9814" t="s">
        <v>251</v>
      </c>
      <c r="R9814" t="s">
        <v>195</v>
      </c>
      <c r="S9814" t="s">
        <v>139</v>
      </c>
      <c r="T9814" t="s">
        <v>122</v>
      </c>
      <c r="U9814" t="s">
        <v>122</v>
      </c>
      <c r="V9814" t="s">
        <v>103</v>
      </c>
      <c r="W9814" t="s">
        <v>270</v>
      </c>
    </row>
    <row r="9815" spans="1:23" x14ac:dyDescent="0.3">
      <c r="A9815" t="s">
        <v>29</v>
      </c>
      <c r="B9815" t="s">
        <v>2573</v>
      </c>
      <c r="C9815">
        <v>108</v>
      </c>
      <c r="D9815" t="s">
        <v>807</v>
      </c>
      <c r="E9815" t="s">
        <v>108</v>
      </c>
      <c r="F9815" t="s">
        <v>68</v>
      </c>
      <c r="G9815" t="s">
        <v>266</v>
      </c>
      <c r="H9815" t="s">
        <v>466</v>
      </c>
      <c r="I9815" t="s">
        <v>529</v>
      </c>
      <c r="J9815" t="s">
        <v>341</v>
      </c>
      <c r="K9815" t="s">
        <v>553</v>
      </c>
      <c r="L9815" t="s">
        <v>124</v>
      </c>
      <c r="M9815" t="s">
        <v>541</v>
      </c>
      <c r="N9815" t="s">
        <v>247</v>
      </c>
      <c r="O9815" t="s">
        <v>64</v>
      </c>
      <c r="P9815" t="s">
        <v>425</v>
      </c>
      <c r="Q9815" t="s">
        <v>195</v>
      </c>
      <c r="R9815" t="s">
        <v>103</v>
      </c>
      <c r="S9815" t="s">
        <v>270</v>
      </c>
      <c r="T9815" t="s">
        <v>103</v>
      </c>
      <c r="U9815" t="s">
        <v>103</v>
      </c>
      <c r="V9815" t="s">
        <v>139</v>
      </c>
      <c r="W9815" t="s">
        <v>282</v>
      </c>
    </row>
    <row r="9816" spans="1:23" x14ac:dyDescent="0.3">
      <c r="A9816" t="s">
        <v>29</v>
      </c>
      <c r="B9816" t="s">
        <v>2574</v>
      </c>
      <c r="C9816">
        <v>263</v>
      </c>
      <c r="D9816" t="s">
        <v>1198</v>
      </c>
      <c r="E9816" t="s">
        <v>191</v>
      </c>
      <c r="F9816" t="s">
        <v>106</v>
      </c>
      <c r="G9816" t="s">
        <v>188</v>
      </c>
      <c r="H9816" t="s">
        <v>467</v>
      </c>
      <c r="I9816" t="s">
        <v>56</v>
      </c>
      <c r="J9816" t="s">
        <v>118</v>
      </c>
      <c r="K9816" t="s">
        <v>565</v>
      </c>
      <c r="L9816" t="s">
        <v>281</v>
      </c>
      <c r="M9816" t="s">
        <v>651</v>
      </c>
      <c r="N9816" t="s">
        <v>571</v>
      </c>
      <c r="O9816" t="s">
        <v>64</v>
      </c>
      <c r="P9816" t="s">
        <v>546</v>
      </c>
      <c r="Q9816" t="s">
        <v>64</v>
      </c>
      <c r="R9816" t="s">
        <v>116</v>
      </c>
      <c r="S9816" t="s">
        <v>532</v>
      </c>
      <c r="T9816" t="s">
        <v>122</v>
      </c>
      <c r="U9816" t="s">
        <v>103</v>
      </c>
      <c r="V9816" t="s">
        <v>103</v>
      </c>
      <c r="W9816" t="s">
        <v>345</v>
      </c>
    </row>
    <row r="9817" spans="1:23" s="3" customFormat="1" x14ac:dyDescent="0.3">
      <c r="A9817" s="3" t="s">
        <v>28</v>
      </c>
      <c r="B9817" s="3" t="s">
        <v>2571</v>
      </c>
      <c r="C9817" s="3">
        <v>22</v>
      </c>
      <c r="D9817" s="3" t="s">
        <v>544</v>
      </c>
      <c r="E9817" s="3" t="s">
        <v>103</v>
      </c>
      <c r="F9817" s="3" t="s">
        <v>271</v>
      </c>
      <c r="G9817" s="3" t="s">
        <v>103</v>
      </c>
      <c r="H9817" s="3" t="s">
        <v>33</v>
      </c>
      <c r="I9817" s="3" t="s">
        <v>1070</v>
      </c>
      <c r="J9817" s="3" t="s">
        <v>195</v>
      </c>
      <c r="K9817" s="3" t="s">
        <v>33</v>
      </c>
      <c r="L9817" s="3" t="s">
        <v>750</v>
      </c>
      <c r="M9817" s="3" t="s">
        <v>1089</v>
      </c>
      <c r="N9817" s="3" t="s">
        <v>103</v>
      </c>
      <c r="O9817" s="3" t="s">
        <v>94</v>
      </c>
      <c r="P9817" s="3" t="s">
        <v>420</v>
      </c>
      <c r="Q9817" s="3" t="s">
        <v>146</v>
      </c>
      <c r="R9817" s="3" t="s">
        <v>33</v>
      </c>
      <c r="S9817" s="3" t="s">
        <v>152</v>
      </c>
      <c r="T9817" s="3" t="s">
        <v>103</v>
      </c>
      <c r="U9817" s="3" t="s">
        <v>103</v>
      </c>
      <c r="V9817" s="3" t="s">
        <v>103</v>
      </c>
      <c r="W9817" s="3" t="s">
        <v>103</v>
      </c>
    </row>
    <row r="9818" spans="1:23" s="3" customFormat="1" x14ac:dyDescent="0.3">
      <c r="A9818" s="3" t="s">
        <v>28</v>
      </c>
      <c r="B9818" s="3" t="s">
        <v>2572</v>
      </c>
      <c r="C9818" s="3">
        <v>6</v>
      </c>
      <c r="D9818" s="3" t="s">
        <v>92</v>
      </c>
      <c r="E9818" s="3" t="s">
        <v>103</v>
      </c>
      <c r="F9818" s="3" t="s">
        <v>115</v>
      </c>
      <c r="G9818" s="3" t="s">
        <v>103</v>
      </c>
      <c r="H9818" s="3" t="s">
        <v>103</v>
      </c>
      <c r="I9818" s="3" t="s">
        <v>465</v>
      </c>
      <c r="J9818" s="3" t="s">
        <v>103</v>
      </c>
      <c r="K9818" s="3" t="s">
        <v>103</v>
      </c>
      <c r="L9818" s="3" t="s">
        <v>465</v>
      </c>
      <c r="M9818" s="3" t="s">
        <v>1402</v>
      </c>
      <c r="N9818" s="3" t="s">
        <v>103</v>
      </c>
      <c r="O9818" s="3" t="s">
        <v>691</v>
      </c>
      <c r="P9818" s="3" t="s">
        <v>565</v>
      </c>
      <c r="Q9818" s="3" t="s">
        <v>518</v>
      </c>
      <c r="R9818" s="3" t="s">
        <v>518</v>
      </c>
      <c r="S9818" s="3" t="s">
        <v>103</v>
      </c>
      <c r="T9818" s="3" t="s">
        <v>103</v>
      </c>
      <c r="U9818" s="3" t="s">
        <v>103</v>
      </c>
      <c r="V9818" s="3" t="s">
        <v>103</v>
      </c>
      <c r="W9818" s="3" t="s">
        <v>103</v>
      </c>
    </row>
    <row r="9819" spans="1:23" x14ac:dyDescent="0.3">
      <c r="A9819" t="s">
        <v>28</v>
      </c>
      <c r="B9819" t="s">
        <v>2573</v>
      </c>
      <c r="C9819">
        <v>108</v>
      </c>
      <c r="D9819" t="s">
        <v>266</v>
      </c>
      <c r="E9819" t="s">
        <v>438</v>
      </c>
      <c r="F9819" t="s">
        <v>64</v>
      </c>
      <c r="G9819" t="s">
        <v>103</v>
      </c>
      <c r="H9819" t="s">
        <v>345</v>
      </c>
      <c r="I9819" t="s">
        <v>295</v>
      </c>
      <c r="J9819" t="s">
        <v>345</v>
      </c>
      <c r="K9819" t="s">
        <v>542</v>
      </c>
      <c r="L9819" t="s">
        <v>513</v>
      </c>
      <c r="M9819" t="s">
        <v>788</v>
      </c>
      <c r="N9819" t="s">
        <v>918</v>
      </c>
      <c r="O9819" t="s">
        <v>591</v>
      </c>
      <c r="P9819" t="s">
        <v>903</v>
      </c>
      <c r="Q9819" t="s">
        <v>472</v>
      </c>
      <c r="R9819" t="s">
        <v>105</v>
      </c>
      <c r="S9819" t="s">
        <v>482</v>
      </c>
      <c r="T9819" t="s">
        <v>139</v>
      </c>
      <c r="U9819" t="s">
        <v>103</v>
      </c>
      <c r="V9819" t="s">
        <v>103</v>
      </c>
      <c r="W9819" t="s">
        <v>103</v>
      </c>
    </row>
    <row r="9820" spans="1:23" x14ac:dyDescent="0.3">
      <c r="A9820" t="s">
        <v>28</v>
      </c>
      <c r="B9820" t="s">
        <v>2574</v>
      </c>
      <c r="C9820">
        <v>181</v>
      </c>
      <c r="D9820" t="s">
        <v>515</v>
      </c>
      <c r="E9820" t="s">
        <v>244</v>
      </c>
      <c r="F9820" t="s">
        <v>70</v>
      </c>
      <c r="G9820" t="s">
        <v>116</v>
      </c>
      <c r="H9820" t="s">
        <v>95</v>
      </c>
      <c r="I9820" t="s">
        <v>515</v>
      </c>
      <c r="J9820" t="s">
        <v>120</v>
      </c>
      <c r="K9820" t="s">
        <v>119</v>
      </c>
      <c r="L9820" t="s">
        <v>242</v>
      </c>
      <c r="M9820" t="s">
        <v>34</v>
      </c>
      <c r="N9820" t="s">
        <v>232</v>
      </c>
      <c r="O9820" t="s">
        <v>224</v>
      </c>
      <c r="P9820" t="s">
        <v>1197</v>
      </c>
      <c r="Q9820" t="s">
        <v>607</v>
      </c>
      <c r="R9820" t="s">
        <v>116</v>
      </c>
      <c r="S9820" t="s">
        <v>345</v>
      </c>
      <c r="T9820" t="s">
        <v>103</v>
      </c>
      <c r="U9820" t="s">
        <v>103</v>
      </c>
      <c r="V9820" t="s">
        <v>103</v>
      </c>
      <c r="W9820" t="s">
        <v>103</v>
      </c>
    </row>
    <row r="9821" spans="1:23" x14ac:dyDescent="0.3">
      <c r="A9821" t="s">
        <v>27</v>
      </c>
      <c r="B9821" t="s">
        <v>2571</v>
      </c>
      <c r="C9821">
        <v>79</v>
      </c>
      <c r="D9821" t="s">
        <v>155</v>
      </c>
      <c r="E9821" t="s">
        <v>194</v>
      </c>
      <c r="F9821" t="s">
        <v>629</v>
      </c>
      <c r="G9821" t="s">
        <v>103</v>
      </c>
      <c r="H9821" t="s">
        <v>103</v>
      </c>
      <c r="I9821" t="s">
        <v>537</v>
      </c>
      <c r="J9821" t="s">
        <v>128</v>
      </c>
      <c r="K9821" t="s">
        <v>503</v>
      </c>
      <c r="L9821" t="s">
        <v>429</v>
      </c>
      <c r="M9821" t="s">
        <v>1050</v>
      </c>
      <c r="N9821" t="s">
        <v>110</v>
      </c>
      <c r="O9821" t="s">
        <v>459</v>
      </c>
      <c r="P9821" t="s">
        <v>932</v>
      </c>
      <c r="Q9821" t="s">
        <v>700</v>
      </c>
      <c r="R9821" t="s">
        <v>345</v>
      </c>
      <c r="S9821" t="s">
        <v>188</v>
      </c>
      <c r="T9821" t="s">
        <v>103</v>
      </c>
      <c r="U9821" t="s">
        <v>103</v>
      </c>
      <c r="V9821" t="s">
        <v>103</v>
      </c>
      <c r="W9821" t="s">
        <v>125</v>
      </c>
    </row>
    <row r="9822" spans="1:23" s="3" customFormat="1" x14ac:dyDescent="0.3">
      <c r="A9822" s="3" t="s">
        <v>27</v>
      </c>
      <c r="B9822" s="3" t="s">
        <v>2572</v>
      </c>
      <c r="C9822" s="3">
        <v>6</v>
      </c>
      <c r="D9822" s="3" t="s">
        <v>370</v>
      </c>
      <c r="E9822" s="3" t="s">
        <v>103</v>
      </c>
      <c r="F9822" s="3" t="s">
        <v>103</v>
      </c>
      <c r="G9822" s="3" t="s">
        <v>103</v>
      </c>
      <c r="H9822" s="3" t="s">
        <v>103</v>
      </c>
      <c r="I9822" s="3" t="s">
        <v>391</v>
      </c>
      <c r="J9822" s="3" t="s">
        <v>103</v>
      </c>
      <c r="K9822" s="3" t="s">
        <v>103</v>
      </c>
      <c r="L9822" s="3" t="s">
        <v>813</v>
      </c>
      <c r="M9822" s="3" t="s">
        <v>813</v>
      </c>
      <c r="N9822" s="3" t="s">
        <v>103</v>
      </c>
      <c r="O9822" s="3" t="s">
        <v>103</v>
      </c>
      <c r="P9822" s="3" t="s">
        <v>103</v>
      </c>
      <c r="Q9822" s="3" t="s">
        <v>103</v>
      </c>
      <c r="R9822" s="3" t="s">
        <v>103</v>
      </c>
      <c r="S9822" s="3" t="s">
        <v>103</v>
      </c>
      <c r="T9822" s="3" t="s">
        <v>103</v>
      </c>
      <c r="U9822" s="3" t="s">
        <v>103</v>
      </c>
      <c r="V9822" s="3" t="s">
        <v>103</v>
      </c>
      <c r="W9822" s="3" t="s">
        <v>495</v>
      </c>
    </row>
    <row r="9823" spans="1:23" s="3" customFormat="1" x14ac:dyDescent="0.3">
      <c r="A9823" s="3" t="s">
        <v>27</v>
      </c>
      <c r="B9823" s="3" t="s">
        <v>2573</v>
      </c>
      <c r="C9823" s="3">
        <v>22</v>
      </c>
      <c r="D9823" s="3" t="s">
        <v>214</v>
      </c>
      <c r="E9823" s="3" t="s">
        <v>103</v>
      </c>
      <c r="F9823" s="3" t="s">
        <v>103</v>
      </c>
      <c r="G9823" s="3" t="s">
        <v>103</v>
      </c>
      <c r="H9823" s="3" t="s">
        <v>103</v>
      </c>
      <c r="I9823" s="3" t="s">
        <v>99</v>
      </c>
      <c r="J9823" s="3" t="s">
        <v>103</v>
      </c>
      <c r="K9823" s="3" t="s">
        <v>1143</v>
      </c>
      <c r="L9823" s="3" t="s">
        <v>34</v>
      </c>
      <c r="M9823" s="3" t="s">
        <v>362</v>
      </c>
      <c r="N9823" s="3" t="s">
        <v>558</v>
      </c>
      <c r="O9823" s="3" t="s">
        <v>169</v>
      </c>
      <c r="P9823" s="3" t="s">
        <v>63</v>
      </c>
      <c r="Q9823" s="3" t="s">
        <v>691</v>
      </c>
      <c r="R9823" s="3" t="s">
        <v>103</v>
      </c>
      <c r="S9823" s="3" t="s">
        <v>188</v>
      </c>
      <c r="T9823" s="3" t="s">
        <v>103</v>
      </c>
      <c r="U9823" s="3" t="s">
        <v>103</v>
      </c>
      <c r="V9823" s="3" t="s">
        <v>103</v>
      </c>
      <c r="W9823" s="3" t="s">
        <v>103</v>
      </c>
    </row>
    <row r="9824" spans="1:23" x14ac:dyDescent="0.3">
      <c r="A9824" t="s">
        <v>27</v>
      </c>
      <c r="B9824" t="s">
        <v>2574</v>
      </c>
      <c r="C9824">
        <v>193</v>
      </c>
      <c r="D9824" t="s">
        <v>488</v>
      </c>
      <c r="E9824" t="s">
        <v>468</v>
      </c>
      <c r="F9824" t="s">
        <v>98</v>
      </c>
      <c r="G9824" t="s">
        <v>103</v>
      </c>
      <c r="H9824" t="s">
        <v>97</v>
      </c>
      <c r="I9824" t="s">
        <v>474</v>
      </c>
      <c r="J9824" t="s">
        <v>97</v>
      </c>
      <c r="K9824" t="s">
        <v>1224</v>
      </c>
      <c r="L9824" t="s">
        <v>537</v>
      </c>
      <c r="M9824" t="s">
        <v>420</v>
      </c>
      <c r="N9824" t="s">
        <v>481</v>
      </c>
      <c r="O9824" t="s">
        <v>112</v>
      </c>
      <c r="P9824" t="s">
        <v>231</v>
      </c>
      <c r="Q9824" t="s">
        <v>64</v>
      </c>
      <c r="R9824" t="s">
        <v>103</v>
      </c>
      <c r="S9824" t="s">
        <v>266</v>
      </c>
      <c r="T9824" t="s">
        <v>103</v>
      </c>
      <c r="U9824" t="s">
        <v>103</v>
      </c>
      <c r="V9824" t="s">
        <v>103</v>
      </c>
      <c r="W9824" t="s">
        <v>438</v>
      </c>
    </row>
    <row r="9825" spans="1:23" x14ac:dyDescent="0.3">
      <c r="A9825" t="s">
        <v>41</v>
      </c>
      <c r="B9825" t="s">
        <v>2571</v>
      </c>
      <c r="C9825">
        <v>415</v>
      </c>
      <c r="D9825" t="s">
        <v>649</v>
      </c>
      <c r="E9825" t="s">
        <v>607</v>
      </c>
      <c r="F9825" t="s">
        <v>482</v>
      </c>
      <c r="G9825" t="s">
        <v>98</v>
      </c>
      <c r="H9825" t="s">
        <v>266</v>
      </c>
      <c r="I9825" t="s">
        <v>109</v>
      </c>
      <c r="J9825" t="s">
        <v>438</v>
      </c>
      <c r="K9825" t="s">
        <v>365</v>
      </c>
      <c r="L9825" t="s">
        <v>90</v>
      </c>
      <c r="M9825" t="s">
        <v>34</v>
      </c>
      <c r="N9825" t="s">
        <v>119</v>
      </c>
      <c r="O9825" t="s">
        <v>575</v>
      </c>
      <c r="P9825" t="s">
        <v>1018</v>
      </c>
      <c r="Q9825" t="s">
        <v>113</v>
      </c>
      <c r="R9825" t="s">
        <v>239</v>
      </c>
      <c r="S9825" t="s">
        <v>284</v>
      </c>
      <c r="T9825" t="s">
        <v>98</v>
      </c>
      <c r="U9825" t="s">
        <v>103</v>
      </c>
      <c r="V9825" t="s">
        <v>103</v>
      </c>
      <c r="W9825" t="s">
        <v>116</v>
      </c>
    </row>
    <row r="9826" spans="1:23" x14ac:dyDescent="0.3">
      <c r="A9826" t="s">
        <v>41</v>
      </c>
      <c r="B9826" t="s">
        <v>2572</v>
      </c>
      <c r="C9826">
        <v>66</v>
      </c>
      <c r="D9826" t="s">
        <v>242</v>
      </c>
      <c r="E9826" t="s">
        <v>94</v>
      </c>
      <c r="F9826" t="s">
        <v>66</v>
      </c>
      <c r="G9826" t="s">
        <v>100</v>
      </c>
      <c r="H9826" t="s">
        <v>284</v>
      </c>
      <c r="I9826" t="s">
        <v>365</v>
      </c>
      <c r="J9826" t="s">
        <v>114</v>
      </c>
      <c r="K9826" t="s">
        <v>574</v>
      </c>
      <c r="L9826" t="s">
        <v>652</v>
      </c>
      <c r="M9826" t="s">
        <v>562</v>
      </c>
      <c r="N9826" t="s">
        <v>482</v>
      </c>
      <c r="O9826" t="s">
        <v>101</v>
      </c>
      <c r="P9826" t="s">
        <v>294</v>
      </c>
      <c r="Q9826" t="s">
        <v>511</v>
      </c>
      <c r="R9826" t="s">
        <v>257</v>
      </c>
      <c r="S9826" t="s">
        <v>120</v>
      </c>
      <c r="T9826" t="s">
        <v>116</v>
      </c>
      <c r="U9826" t="s">
        <v>116</v>
      </c>
      <c r="V9826" t="s">
        <v>103</v>
      </c>
      <c r="W9826" t="s">
        <v>493</v>
      </c>
    </row>
    <row r="9827" spans="1:23" x14ac:dyDescent="0.3">
      <c r="A9827" t="s">
        <v>41</v>
      </c>
      <c r="B9827" t="s">
        <v>2573</v>
      </c>
      <c r="C9827">
        <v>374</v>
      </c>
      <c r="D9827" t="s">
        <v>813</v>
      </c>
      <c r="E9827" t="s">
        <v>662</v>
      </c>
      <c r="F9827" t="s">
        <v>467</v>
      </c>
      <c r="G9827" t="s">
        <v>105</v>
      </c>
      <c r="H9827" t="s">
        <v>102</v>
      </c>
      <c r="I9827" t="s">
        <v>920</v>
      </c>
      <c r="J9827" t="s">
        <v>217</v>
      </c>
      <c r="K9827" t="s">
        <v>816</v>
      </c>
      <c r="L9827" t="s">
        <v>743</v>
      </c>
      <c r="M9827" t="s">
        <v>679</v>
      </c>
      <c r="N9827" t="s">
        <v>890</v>
      </c>
      <c r="O9827" t="s">
        <v>270</v>
      </c>
      <c r="P9827" t="s">
        <v>1390</v>
      </c>
      <c r="Q9827" t="s">
        <v>281</v>
      </c>
      <c r="R9827" t="s">
        <v>110</v>
      </c>
      <c r="S9827" t="s">
        <v>493</v>
      </c>
      <c r="T9827" t="s">
        <v>91</v>
      </c>
      <c r="U9827" t="s">
        <v>116</v>
      </c>
      <c r="V9827" t="s">
        <v>122</v>
      </c>
      <c r="W9827" t="s">
        <v>97</v>
      </c>
    </row>
    <row r="9828" spans="1:23" x14ac:dyDescent="0.3">
      <c r="A9828" t="s">
        <v>41</v>
      </c>
      <c r="B9828" t="s">
        <v>2574</v>
      </c>
      <c r="C9828">
        <v>1183</v>
      </c>
      <c r="D9828" t="s">
        <v>756</v>
      </c>
      <c r="E9828" t="s">
        <v>511</v>
      </c>
      <c r="F9828" t="s">
        <v>169</v>
      </c>
      <c r="G9828" t="s">
        <v>245</v>
      </c>
      <c r="H9828" t="s">
        <v>257</v>
      </c>
      <c r="I9828" t="s">
        <v>565</v>
      </c>
      <c r="J9828" t="s">
        <v>329</v>
      </c>
      <c r="K9828" t="s">
        <v>520</v>
      </c>
      <c r="L9828" t="s">
        <v>60</v>
      </c>
      <c r="M9828" t="s">
        <v>684</v>
      </c>
      <c r="N9828" t="s">
        <v>205</v>
      </c>
      <c r="O9828" t="s">
        <v>217</v>
      </c>
      <c r="P9828" t="s">
        <v>929</v>
      </c>
      <c r="Q9828" t="s">
        <v>467</v>
      </c>
      <c r="R9828" t="s">
        <v>95</v>
      </c>
      <c r="S9828" t="s">
        <v>114</v>
      </c>
      <c r="T9828" t="s">
        <v>66</v>
      </c>
      <c r="U9828" t="s">
        <v>103</v>
      </c>
      <c r="V9828" t="s">
        <v>103</v>
      </c>
      <c r="W9828" t="s">
        <v>95</v>
      </c>
    </row>
    <row r="9830" spans="1:23" x14ac:dyDescent="0.3">
      <c r="A9830" t="s">
        <v>2627</v>
      </c>
    </row>
    <row r="9831" spans="1:23" x14ac:dyDescent="0.3">
      <c r="A9831" t="s">
        <v>36</v>
      </c>
      <c r="B9831" t="s">
        <v>24</v>
      </c>
      <c r="C9831" t="s">
        <v>2628</v>
      </c>
      <c r="D9831" t="s">
        <v>2629</v>
      </c>
      <c r="E9831" t="s">
        <v>2630</v>
      </c>
      <c r="F9831" t="s">
        <v>2631</v>
      </c>
      <c r="G9831" t="s">
        <v>2632</v>
      </c>
      <c r="H9831" t="s">
        <v>2633</v>
      </c>
      <c r="I9831" t="s">
        <v>2634</v>
      </c>
      <c r="J9831" t="s">
        <v>2635</v>
      </c>
      <c r="K9831" t="s">
        <v>2636</v>
      </c>
      <c r="L9831" t="s">
        <v>2637</v>
      </c>
      <c r="M9831" t="s">
        <v>2638</v>
      </c>
      <c r="N9831" t="s">
        <v>2639</v>
      </c>
      <c r="O9831" t="s">
        <v>2640</v>
      </c>
      <c r="P9831" t="s">
        <v>2641</v>
      </c>
      <c r="Q9831" t="s">
        <v>89</v>
      </c>
      <c r="R9831" t="s">
        <v>2642</v>
      </c>
    </row>
    <row r="9832" spans="1:23" x14ac:dyDescent="0.3">
      <c r="A9832" t="s">
        <v>25</v>
      </c>
      <c r="B9832">
        <v>414</v>
      </c>
      <c r="C9832" t="s">
        <v>1054</v>
      </c>
      <c r="D9832" t="s">
        <v>92</v>
      </c>
      <c r="E9832" t="s">
        <v>123</v>
      </c>
      <c r="F9832" t="s">
        <v>1241</v>
      </c>
      <c r="G9832" t="s">
        <v>206</v>
      </c>
      <c r="H9832" t="s">
        <v>409</v>
      </c>
      <c r="I9832" t="s">
        <v>123</v>
      </c>
      <c r="J9832" t="s">
        <v>122</v>
      </c>
      <c r="K9832" t="s">
        <v>245</v>
      </c>
      <c r="L9832" t="s">
        <v>66</v>
      </c>
      <c r="M9832" t="s">
        <v>103</v>
      </c>
      <c r="N9832" t="s">
        <v>103</v>
      </c>
      <c r="O9832" t="s">
        <v>122</v>
      </c>
      <c r="P9832" t="s">
        <v>103</v>
      </c>
      <c r="Q9832" t="s">
        <v>103</v>
      </c>
      <c r="R9832" t="s">
        <v>139</v>
      </c>
    </row>
    <row r="9833" spans="1:23" x14ac:dyDescent="0.3">
      <c r="A9833" t="s">
        <v>26</v>
      </c>
      <c r="B9833">
        <v>477</v>
      </c>
      <c r="C9833" t="s">
        <v>508</v>
      </c>
      <c r="D9833" t="s">
        <v>918</v>
      </c>
      <c r="E9833" t="s">
        <v>98</v>
      </c>
      <c r="F9833" t="s">
        <v>1577</v>
      </c>
      <c r="G9833" t="s">
        <v>120</v>
      </c>
      <c r="H9833" t="s">
        <v>579</v>
      </c>
      <c r="I9833" t="s">
        <v>68</v>
      </c>
      <c r="J9833" t="s">
        <v>103</v>
      </c>
      <c r="K9833" t="s">
        <v>103</v>
      </c>
      <c r="L9833" t="s">
        <v>103</v>
      </c>
      <c r="M9833" t="s">
        <v>103</v>
      </c>
      <c r="N9833" t="s">
        <v>103</v>
      </c>
      <c r="O9833" t="s">
        <v>103</v>
      </c>
      <c r="P9833" t="s">
        <v>103</v>
      </c>
      <c r="Q9833" t="s">
        <v>103</v>
      </c>
      <c r="R9833" t="s">
        <v>282</v>
      </c>
    </row>
    <row r="9834" spans="1:23" x14ac:dyDescent="0.3">
      <c r="A9834" t="s">
        <v>29</v>
      </c>
      <c r="B9834">
        <v>530</v>
      </c>
      <c r="C9834" t="s">
        <v>395</v>
      </c>
      <c r="D9834" t="s">
        <v>732</v>
      </c>
      <c r="E9834" t="s">
        <v>131</v>
      </c>
      <c r="F9834" t="s">
        <v>793</v>
      </c>
      <c r="G9834" t="s">
        <v>662</v>
      </c>
      <c r="H9834" t="s">
        <v>580</v>
      </c>
      <c r="I9834" t="s">
        <v>137</v>
      </c>
      <c r="J9834" t="s">
        <v>103</v>
      </c>
      <c r="K9834" t="s">
        <v>216</v>
      </c>
      <c r="L9834" t="s">
        <v>97</v>
      </c>
      <c r="M9834" t="s">
        <v>93</v>
      </c>
      <c r="N9834" t="s">
        <v>103</v>
      </c>
      <c r="O9834" t="s">
        <v>103</v>
      </c>
      <c r="P9834" t="s">
        <v>103</v>
      </c>
      <c r="Q9834" t="s">
        <v>103</v>
      </c>
      <c r="R9834" t="s">
        <v>329</v>
      </c>
    </row>
    <row r="9835" spans="1:23" x14ac:dyDescent="0.3">
      <c r="A9835" t="s">
        <v>28</v>
      </c>
      <c r="B9835">
        <v>317</v>
      </c>
      <c r="C9835" t="s">
        <v>1041</v>
      </c>
      <c r="D9835" t="s">
        <v>521</v>
      </c>
      <c r="E9835" t="s">
        <v>101</v>
      </c>
      <c r="F9835" t="s">
        <v>263</v>
      </c>
      <c r="G9835" t="s">
        <v>409</v>
      </c>
      <c r="H9835" t="s">
        <v>404</v>
      </c>
      <c r="I9835" t="s">
        <v>146</v>
      </c>
      <c r="J9835" t="s">
        <v>103</v>
      </c>
      <c r="K9835" t="s">
        <v>284</v>
      </c>
      <c r="L9835" t="s">
        <v>341</v>
      </c>
      <c r="M9835" t="s">
        <v>122</v>
      </c>
      <c r="N9835" t="s">
        <v>116</v>
      </c>
      <c r="O9835" t="s">
        <v>122</v>
      </c>
      <c r="P9835" t="s">
        <v>103</v>
      </c>
      <c r="Q9835" t="s">
        <v>103</v>
      </c>
      <c r="R9835" t="s">
        <v>282</v>
      </c>
    </row>
    <row r="9836" spans="1:23" x14ac:dyDescent="0.3">
      <c r="A9836" t="s">
        <v>27</v>
      </c>
      <c r="B9836">
        <v>300</v>
      </c>
      <c r="C9836" t="s">
        <v>534</v>
      </c>
      <c r="D9836" t="s">
        <v>825</v>
      </c>
      <c r="E9836" t="s">
        <v>607</v>
      </c>
      <c r="F9836" t="s">
        <v>985</v>
      </c>
      <c r="G9836" t="s">
        <v>734</v>
      </c>
      <c r="H9836" t="s">
        <v>688</v>
      </c>
      <c r="I9836" t="s">
        <v>925</v>
      </c>
      <c r="J9836" t="s">
        <v>103</v>
      </c>
      <c r="K9836" t="s">
        <v>95</v>
      </c>
      <c r="L9836" t="s">
        <v>103</v>
      </c>
      <c r="M9836" t="s">
        <v>103</v>
      </c>
      <c r="N9836" t="s">
        <v>103</v>
      </c>
      <c r="O9836" t="s">
        <v>103</v>
      </c>
      <c r="P9836" t="s">
        <v>103</v>
      </c>
      <c r="Q9836" t="s">
        <v>103</v>
      </c>
      <c r="R9836" t="s">
        <v>282</v>
      </c>
    </row>
    <row r="9837" spans="1:23" x14ac:dyDescent="0.3">
      <c r="A9837" t="s">
        <v>41</v>
      </c>
      <c r="B9837">
        <v>2038</v>
      </c>
      <c r="C9837" t="s">
        <v>354</v>
      </c>
      <c r="D9837" t="s">
        <v>551</v>
      </c>
      <c r="E9837" t="s">
        <v>191</v>
      </c>
      <c r="F9837" t="s">
        <v>395</v>
      </c>
      <c r="G9837" t="s">
        <v>232</v>
      </c>
      <c r="H9837" t="s">
        <v>707</v>
      </c>
      <c r="I9837" t="s">
        <v>90</v>
      </c>
      <c r="J9837" t="s">
        <v>91</v>
      </c>
      <c r="K9837" t="s">
        <v>194</v>
      </c>
      <c r="L9837" t="s">
        <v>122</v>
      </c>
      <c r="M9837" t="s">
        <v>345</v>
      </c>
      <c r="N9837" t="s">
        <v>103</v>
      </c>
      <c r="O9837" t="s">
        <v>91</v>
      </c>
      <c r="P9837" t="s">
        <v>103</v>
      </c>
      <c r="Q9837" t="s">
        <v>103</v>
      </c>
      <c r="R9837" t="s">
        <v>239</v>
      </c>
    </row>
    <row r="9839" spans="1:23" x14ac:dyDescent="0.3">
      <c r="A9839" t="s">
        <v>2643</v>
      </c>
    </row>
    <row r="9840" spans="1:23" x14ac:dyDescent="0.3">
      <c r="A9840" t="s">
        <v>36</v>
      </c>
      <c r="B9840" t="s">
        <v>307</v>
      </c>
      <c r="C9840" t="s">
        <v>24</v>
      </c>
      <c r="D9840" t="s">
        <v>2628</v>
      </c>
      <c r="E9840" t="s">
        <v>2629</v>
      </c>
      <c r="F9840" t="s">
        <v>2630</v>
      </c>
      <c r="G9840" t="s">
        <v>2631</v>
      </c>
      <c r="H9840" t="s">
        <v>2632</v>
      </c>
      <c r="I9840" t="s">
        <v>2633</v>
      </c>
      <c r="J9840" t="s">
        <v>2634</v>
      </c>
      <c r="K9840" t="s">
        <v>2635</v>
      </c>
      <c r="L9840" t="s">
        <v>2636</v>
      </c>
      <c r="M9840" t="s">
        <v>2637</v>
      </c>
      <c r="N9840" t="s">
        <v>2638</v>
      </c>
      <c r="O9840" t="s">
        <v>2639</v>
      </c>
      <c r="P9840" t="s">
        <v>2640</v>
      </c>
      <c r="Q9840" t="s">
        <v>2641</v>
      </c>
      <c r="R9840" t="s">
        <v>89</v>
      </c>
      <c r="S9840" t="s">
        <v>2642</v>
      </c>
    </row>
    <row r="9841" spans="1:19" x14ac:dyDescent="0.3">
      <c r="A9841" t="s">
        <v>25</v>
      </c>
      <c r="B9841" t="s">
        <v>291</v>
      </c>
      <c r="C9841">
        <v>156</v>
      </c>
      <c r="D9841" t="s">
        <v>365</v>
      </c>
      <c r="E9841" t="s">
        <v>205</v>
      </c>
      <c r="F9841" t="s">
        <v>649</v>
      </c>
      <c r="G9841" t="s">
        <v>1230</v>
      </c>
      <c r="H9841" t="s">
        <v>460</v>
      </c>
      <c r="I9841" t="s">
        <v>658</v>
      </c>
      <c r="J9841" t="s">
        <v>119</v>
      </c>
      <c r="K9841" t="s">
        <v>103</v>
      </c>
      <c r="L9841" t="s">
        <v>103</v>
      </c>
      <c r="M9841" t="s">
        <v>103</v>
      </c>
      <c r="N9841" t="s">
        <v>103</v>
      </c>
      <c r="O9841" t="s">
        <v>103</v>
      </c>
      <c r="P9841" t="s">
        <v>91</v>
      </c>
      <c r="Q9841" t="s">
        <v>103</v>
      </c>
      <c r="R9841" t="s">
        <v>103</v>
      </c>
      <c r="S9841" t="s">
        <v>95</v>
      </c>
    </row>
    <row r="9842" spans="1:19" x14ac:dyDescent="0.3">
      <c r="A9842" t="s">
        <v>25</v>
      </c>
      <c r="B9842" t="s">
        <v>292</v>
      </c>
      <c r="C9842">
        <v>254</v>
      </c>
      <c r="D9842" t="s">
        <v>692</v>
      </c>
      <c r="E9842" t="s">
        <v>474</v>
      </c>
      <c r="F9842" t="s">
        <v>481</v>
      </c>
      <c r="G9842" t="s">
        <v>1240</v>
      </c>
      <c r="H9842" t="s">
        <v>281</v>
      </c>
      <c r="I9842" t="s">
        <v>398</v>
      </c>
      <c r="J9842" t="s">
        <v>123</v>
      </c>
      <c r="K9842" t="s">
        <v>120</v>
      </c>
      <c r="L9842" t="s">
        <v>64</v>
      </c>
      <c r="M9842" t="s">
        <v>116</v>
      </c>
      <c r="N9842" t="s">
        <v>103</v>
      </c>
      <c r="O9842" t="s">
        <v>103</v>
      </c>
      <c r="P9842" t="s">
        <v>120</v>
      </c>
      <c r="Q9842" t="s">
        <v>103</v>
      </c>
      <c r="R9842" t="s">
        <v>103</v>
      </c>
      <c r="S9842" t="s">
        <v>139</v>
      </c>
    </row>
    <row r="9843" spans="1:19" x14ac:dyDescent="0.3">
      <c r="A9843" t="s">
        <v>25</v>
      </c>
      <c r="B9843" t="s">
        <v>308</v>
      </c>
      <c r="C9843">
        <v>4</v>
      </c>
      <c r="D9843" t="s">
        <v>693</v>
      </c>
      <c r="E9843" t="s">
        <v>693</v>
      </c>
      <c r="F9843" t="s">
        <v>103</v>
      </c>
      <c r="G9843" t="s">
        <v>1018</v>
      </c>
      <c r="H9843" t="s">
        <v>103</v>
      </c>
      <c r="I9843" t="s">
        <v>455</v>
      </c>
      <c r="J9843" t="s">
        <v>103</v>
      </c>
      <c r="K9843" t="s">
        <v>103</v>
      </c>
      <c r="L9843" t="s">
        <v>103</v>
      </c>
      <c r="M9843" t="s">
        <v>103</v>
      </c>
      <c r="N9843" t="s">
        <v>103</v>
      </c>
      <c r="O9843" t="s">
        <v>103</v>
      </c>
      <c r="P9843" t="s">
        <v>103</v>
      </c>
      <c r="Q9843" t="s">
        <v>103</v>
      </c>
      <c r="R9843" t="s">
        <v>103</v>
      </c>
      <c r="S9843" t="s">
        <v>103</v>
      </c>
    </row>
    <row r="9844" spans="1:19" x14ac:dyDescent="0.3">
      <c r="A9844" t="s">
        <v>26</v>
      </c>
      <c r="B9844" t="s">
        <v>291</v>
      </c>
      <c r="C9844">
        <v>122</v>
      </c>
      <c r="D9844" t="s">
        <v>255</v>
      </c>
      <c r="E9844" t="s">
        <v>629</v>
      </c>
      <c r="F9844" t="s">
        <v>282</v>
      </c>
      <c r="G9844" t="s">
        <v>692</v>
      </c>
      <c r="H9844" t="s">
        <v>110</v>
      </c>
      <c r="I9844" t="s">
        <v>750</v>
      </c>
      <c r="J9844" t="s">
        <v>93</v>
      </c>
      <c r="K9844" t="s">
        <v>103</v>
      </c>
      <c r="L9844" t="s">
        <v>103</v>
      </c>
      <c r="M9844" t="s">
        <v>103</v>
      </c>
      <c r="N9844" t="s">
        <v>103</v>
      </c>
      <c r="O9844" t="s">
        <v>103</v>
      </c>
      <c r="P9844" t="s">
        <v>103</v>
      </c>
      <c r="Q9844" t="s">
        <v>103</v>
      </c>
      <c r="R9844" t="s">
        <v>103</v>
      </c>
      <c r="S9844" t="s">
        <v>103</v>
      </c>
    </row>
    <row r="9845" spans="1:19" x14ac:dyDescent="0.3">
      <c r="A9845" t="s">
        <v>26</v>
      </c>
      <c r="B9845" t="s">
        <v>292</v>
      </c>
      <c r="C9845">
        <v>352</v>
      </c>
      <c r="D9845" t="s">
        <v>1034</v>
      </c>
      <c r="E9845" t="s">
        <v>167</v>
      </c>
      <c r="F9845" t="s">
        <v>98</v>
      </c>
      <c r="G9845" t="s">
        <v>426</v>
      </c>
      <c r="H9845" t="s">
        <v>122</v>
      </c>
      <c r="I9845" t="s">
        <v>479</v>
      </c>
      <c r="J9845" t="s">
        <v>102</v>
      </c>
      <c r="K9845" t="s">
        <v>103</v>
      </c>
      <c r="L9845" t="s">
        <v>103</v>
      </c>
      <c r="M9845" t="s">
        <v>103</v>
      </c>
      <c r="N9845" t="s">
        <v>103</v>
      </c>
      <c r="O9845" t="s">
        <v>103</v>
      </c>
      <c r="P9845" t="s">
        <v>103</v>
      </c>
      <c r="Q9845" t="s">
        <v>103</v>
      </c>
      <c r="R9845" t="s">
        <v>103</v>
      </c>
      <c r="S9845" t="s">
        <v>110</v>
      </c>
    </row>
    <row r="9846" spans="1:19" x14ac:dyDescent="0.3">
      <c r="A9846" t="s">
        <v>26</v>
      </c>
      <c r="B9846" t="s">
        <v>308</v>
      </c>
      <c r="C9846">
        <v>3</v>
      </c>
      <c r="D9846" t="s">
        <v>921</v>
      </c>
      <c r="E9846" t="s">
        <v>103</v>
      </c>
      <c r="F9846" t="s">
        <v>103</v>
      </c>
      <c r="G9846" t="s">
        <v>192</v>
      </c>
      <c r="H9846" t="s">
        <v>103</v>
      </c>
      <c r="I9846" t="s">
        <v>103</v>
      </c>
      <c r="J9846" t="s">
        <v>103</v>
      </c>
      <c r="K9846" t="s">
        <v>103</v>
      </c>
      <c r="L9846" t="s">
        <v>103</v>
      </c>
      <c r="M9846" t="s">
        <v>103</v>
      </c>
      <c r="N9846" t="s">
        <v>103</v>
      </c>
      <c r="O9846" t="s">
        <v>103</v>
      </c>
      <c r="P9846" t="s">
        <v>103</v>
      </c>
      <c r="Q9846" t="s">
        <v>103</v>
      </c>
      <c r="R9846" t="s">
        <v>103</v>
      </c>
      <c r="S9846" t="s">
        <v>103</v>
      </c>
    </row>
    <row r="9847" spans="1:19" x14ac:dyDescent="0.3">
      <c r="A9847" t="s">
        <v>29</v>
      </c>
      <c r="B9847" t="s">
        <v>291</v>
      </c>
      <c r="C9847">
        <v>205</v>
      </c>
      <c r="D9847" t="s">
        <v>1180</v>
      </c>
      <c r="E9847" t="s">
        <v>173</v>
      </c>
      <c r="F9847" t="s">
        <v>111</v>
      </c>
      <c r="G9847" t="s">
        <v>1039</v>
      </c>
      <c r="H9847" t="s">
        <v>232</v>
      </c>
      <c r="I9847" t="s">
        <v>578</v>
      </c>
      <c r="J9847" t="s">
        <v>531</v>
      </c>
      <c r="K9847" t="s">
        <v>103</v>
      </c>
      <c r="L9847" t="s">
        <v>239</v>
      </c>
      <c r="M9847" t="s">
        <v>120</v>
      </c>
      <c r="N9847" t="s">
        <v>139</v>
      </c>
      <c r="O9847" t="s">
        <v>103</v>
      </c>
      <c r="P9847" t="s">
        <v>91</v>
      </c>
      <c r="Q9847" t="s">
        <v>103</v>
      </c>
      <c r="R9847" t="s">
        <v>103</v>
      </c>
      <c r="S9847" t="s">
        <v>128</v>
      </c>
    </row>
    <row r="9848" spans="1:19" x14ac:dyDescent="0.3">
      <c r="A9848" t="s">
        <v>29</v>
      </c>
      <c r="B9848" t="s">
        <v>292</v>
      </c>
      <c r="C9848">
        <v>325</v>
      </c>
      <c r="D9848" t="s">
        <v>1025</v>
      </c>
      <c r="E9848" t="s">
        <v>691</v>
      </c>
      <c r="F9848" t="s">
        <v>515</v>
      </c>
      <c r="G9848" t="s">
        <v>1327</v>
      </c>
      <c r="H9848" t="s">
        <v>133</v>
      </c>
      <c r="I9848" t="s">
        <v>707</v>
      </c>
      <c r="J9848" t="s">
        <v>123</v>
      </c>
      <c r="K9848" t="s">
        <v>103</v>
      </c>
      <c r="L9848" t="s">
        <v>216</v>
      </c>
      <c r="M9848" t="s">
        <v>122</v>
      </c>
      <c r="N9848" t="s">
        <v>68</v>
      </c>
      <c r="O9848" t="s">
        <v>103</v>
      </c>
      <c r="P9848" t="s">
        <v>103</v>
      </c>
      <c r="Q9848" t="s">
        <v>103</v>
      </c>
      <c r="R9848" t="s">
        <v>103</v>
      </c>
      <c r="S9848" t="s">
        <v>208</v>
      </c>
    </row>
    <row r="9849" spans="1:19" x14ac:dyDescent="0.3">
      <c r="A9849" t="s">
        <v>28</v>
      </c>
      <c r="B9849" t="s">
        <v>291</v>
      </c>
      <c r="C9849">
        <v>114</v>
      </c>
      <c r="D9849" t="s">
        <v>1208</v>
      </c>
      <c r="E9849" t="s">
        <v>517</v>
      </c>
      <c r="F9849" t="s">
        <v>190</v>
      </c>
      <c r="G9849" t="s">
        <v>1281</v>
      </c>
      <c r="H9849" t="s">
        <v>485</v>
      </c>
      <c r="I9849" t="s">
        <v>705</v>
      </c>
      <c r="J9849" t="s">
        <v>70</v>
      </c>
      <c r="K9849" t="s">
        <v>103</v>
      </c>
      <c r="L9849" t="s">
        <v>452</v>
      </c>
      <c r="M9849" t="s">
        <v>493</v>
      </c>
      <c r="N9849" t="s">
        <v>103</v>
      </c>
      <c r="O9849" t="s">
        <v>103</v>
      </c>
      <c r="P9849" t="s">
        <v>103</v>
      </c>
      <c r="Q9849" t="s">
        <v>103</v>
      </c>
      <c r="R9849" t="s">
        <v>103</v>
      </c>
      <c r="S9849" t="s">
        <v>257</v>
      </c>
    </row>
    <row r="9850" spans="1:19" x14ac:dyDescent="0.3">
      <c r="A9850" t="s">
        <v>28</v>
      </c>
      <c r="B9850" t="s">
        <v>292</v>
      </c>
      <c r="C9850">
        <v>191</v>
      </c>
      <c r="D9850" t="s">
        <v>418</v>
      </c>
      <c r="E9850" t="s">
        <v>707</v>
      </c>
      <c r="F9850" t="s">
        <v>460</v>
      </c>
      <c r="G9850" t="s">
        <v>1374</v>
      </c>
      <c r="H9850" t="s">
        <v>1090</v>
      </c>
      <c r="I9850" t="s">
        <v>1215</v>
      </c>
      <c r="J9850" t="s">
        <v>162</v>
      </c>
      <c r="K9850" t="s">
        <v>103</v>
      </c>
      <c r="L9850" t="s">
        <v>615</v>
      </c>
      <c r="M9850" t="s">
        <v>139</v>
      </c>
      <c r="N9850" t="s">
        <v>120</v>
      </c>
      <c r="O9850" t="s">
        <v>97</v>
      </c>
      <c r="P9850" t="s">
        <v>120</v>
      </c>
      <c r="Q9850" t="s">
        <v>103</v>
      </c>
      <c r="R9850" t="s">
        <v>103</v>
      </c>
      <c r="S9850" t="s">
        <v>91</v>
      </c>
    </row>
    <row r="9851" spans="1:19" x14ac:dyDescent="0.3">
      <c r="A9851" t="s">
        <v>28</v>
      </c>
      <c r="B9851" t="s">
        <v>308</v>
      </c>
      <c r="C9851">
        <v>12</v>
      </c>
      <c r="D9851" t="s">
        <v>409</v>
      </c>
      <c r="E9851" t="s">
        <v>103</v>
      </c>
      <c r="F9851" t="s">
        <v>70</v>
      </c>
      <c r="G9851" t="s">
        <v>628</v>
      </c>
      <c r="H9851" t="s">
        <v>103</v>
      </c>
      <c r="I9851" t="s">
        <v>413</v>
      </c>
      <c r="J9851" t="s">
        <v>103</v>
      </c>
      <c r="K9851" t="s">
        <v>103</v>
      </c>
      <c r="L9851" t="s">
        <v>103</v>
      </c>
      <c r="M9851" t="s">
        <v>103</v>
      </c>
      <c r="N9851" t="s">
        <v>103</v>
      </c>
      <c r="O9851" t="s">
        <v>103</v>
      </c>
      <c r="P9851" t="s">
        <v>103</v>
      </c>
      <c r="Q9851" t="s">
        <v>103</v>
      </c>
      <c r="R9851" t="s">
        <v>103</v>
      </c>
      <c r="S9851" t="s">
        <v>103</v>
      </c>
    </row>
    <row r="9852" spans="1:19" x14ac:dyDescent="0.3">
      <c r="A9852" t="s">
        <v>27</v>
      </c>
      <c r="B9852" t="s">
        <v>291</v>
      </c>
      <c r="C9852">
        <v>95</v>
      </c>
      <c r="D9852" t="s">
        <v>561</v>
      </c>
      <c r="E9852" t="s">
        <v>975</v>
      </c>
      <c r="F9852" t="s">
        <v>164</v>
      </c>
      <c r="G9852" t="s">
        <v>760</v>
      </c>
      <c r="H9852" t="s">
        <v>682</v>
      </c>
      <c r="I9852" t="s">
        <v>579</v>
      </c>
      <c r="J9852" t="s">
        <v>101</v>
      </c>
      <c r="K9852" t="s">
        <v>103</v>
      </c>
      <c r="L9852" t="s">
        <v>103</v>
      </c>
      <c r="M9852" t="s">
        <v>103</v>
      </c>
      <c r="N9852" t="s">
        <v>103</v>
      </c>
      <c r="O9852" t="s">
        <v>103</v>
      </c>
      <c r="P9852" t="s">
        <v>103</v>
      </c>
      <c r="Q9852" t="s">
        <v>103</v>
      </c>
      <c r="R9852" t="s">
        <v>103</v>
      </c>
      <c r="S9852" t="s">
        <v>468</v>
      </c>
    </row>
    <row r="9853" spans="1:19" x14ac:dyDescent="0.3">
      <c r="A9853" t="s">
        <v>27</v>
      </c>
      <c r="B9853" t="s">
        <v>292</v>
      </c>
      <c r="C9853">
        <v>198</v>
      </c>
      <c r="D9853" t="s">
        <v>504</v>
      </c>
      <c r="E9853" t="s">
        <v>644</v>
      </c>
      <c r="F9853" t="s">
        <v>186</v>
      </c>
      <c r="G9853" t="s">
        <v>1136</v>
      </c>
      <c r="H9853" t="s">
        <v>46</v>
      </c>
      <c r="I9853" t="s">
        <v>685</v>
      </c>
      <c r="J9853" t="s">
        <v>750</v>
      </c>
      <c r="K9853" t="s">
        <v>103</v>
      </c>
      <c r="L9853" t="s">
        <v>282</v>
      </c>
      <c r="M9853" t="s">
        <v>103</v>
      </c>
      <c r="N9853" t="s">
        <v>103</v>
      </c>
      <c r="O9853" t="s">
        <v>103</v>
      </c>
      <c r="P9853" t="s">
        <v>103</v>
      </c>
      <c r="Q9853" t="s">
        <v>103</v>
      </c>
      <c r="R9853" t="s">
        <v>103</v>
      </c>
      <c r="S9853" t="s">
        <v>282</v>
      </c>
    </row>
    <row r="9854" spans="1:19" x14ac:dyDescent="0.3">
      <c r="A9854" t="s">
        <v>27</v>
      </c>
      <c r="B9854" t="s">
        <v>308</v>
      </c>
      <c r="C9854">
        <v>7</v>
      </c>
      <c r="D9854" t="s">
        <v>1093</v>
      </c>
      <c r="E9854" t="s">
        <v>1059</v>
      </c>
      <c r="F9854" t="s">
        <v>488</v>
      </c>
      <c r="G9854" t="s">
        <v>192</v>
      </c>
      <c r="H9854" t="s">
        <v>103</v>
      </c>
      <c r="I9854" t="s">
        <v>1091</v>
      </c>
      <c r="J9854" t="s">
        <v>830</v>
      </c>
      <c r="K9854" t="s">
        <v>103</v>
      </c>
      <c r="L9854" t="s">
        <v>103</v>
      </c>
      <c r="M9854" t="s">
        <v>103</v>
      </c>
      <c r="N9854" t="s">
        <v>103</v>
      </c>
      <c r="O9854" t="s">
        <v>103</v>
      </c>
      <c r="P9854" t="s">
        <v>103</v>
      </c>
      <c r="Q9854" t="s">
        <v>103</v>
      </c>
      <c r="R9854" t="s">
        <v>103</v>
      </c>
      <c r="S9854" t="s">
        <v>103</v>
      </c>
    </row>
    <row r="9855" spans="1:19" x14ac:dyDescent="0.3">
      <c r="A9855" t="s">
        <v>41</v>
      </c>
      <c r="B9855" t="s">
        <v>291</v>
      </c>
      <c r="C9855">
        <v>692</v>
      </c>
      <c r="D9855" t="s">
        <v>1068</v>
      </c>
      <c r="E9855" t="s">
        <v>271</v>
      </c>
      <c r="F9855" t="s">
        <v>137</v>
      </c>
      <c r="G9855" t="s">
        <v>802</v>
      </c>
      <c r="H9855" t="s">
        <v>94</v>
      </c>
      <c r="I9855" t="s">
        <v>486</v>
      </c>
      <c r="J9855" t="s">
        <v>251</v>
      </c>
      <c r="K9855" t="s">
        <v>103</v>
      </c>
      <c r="L9855" t="s">
        <v>345</v>
      </c>
      <c r="M9855" t="s">
        <v>97</v>
      </c>
      <c r="N9855" t="s">
        <v>122</v>
      </c>
      <c r="O9855" t="s">
        <v>103</v>
      </c>
      <c r="P9855" t="s">
        <v>91</v>
      </c>
      <c r="Q9855" t="s">
        <v>103</v>
      </c>
      <c r="R9855" t="s">
        <v>103</v>
      </c>
      <c r="S9855" t="s">
        <v>239</v>
      </c>
    </row>
    <row r="9856" spans="1:19" x14ac:dyDescent="0.3">
      <c r="A9856" t="s">
        <v>41</v>
      </c>
      <c r="B9856" t="s">
        <v>292</v>
      </c>
      <c r="C9856">
        <v>1320</v>
      </c>
      <c r="D9856" t="s">
        <v>358</v>
      </c>
      <c r="E9856" t="s">
        <v>256</v>
      </c>
      <c r="F9856" t="s">
        <v>459</v>
      </c>
      <c r="G9856" t="s">
        <v>1578</v>
      </c>
      <c r="H9856" t="s">
        <v>662</v>
      </c>
      <c r="I9856" t="s">
        <v>1023</v>
      </c>
      <c r="J9856" t="s">
        <v>482</v>
      </c>
      <c r="K9856" t="s">
        <v>91</v>
      </c>
      <c r="L9856" t="s">
        <v>239</v>
      </c>
      <c r="M9856" t="s">
        <v>116</v>
      </c>
      <c r="N9856" t="s">
        <v>110</v>
      </c>
      <c r="O9856" t="s">
        <v>103</v>
      </c>
      <c r="P9856" t="s">
        <v>91</v>
      </c>
      <c r="Q9856" t="s">
        <v>103</v>
      </c>
      <c r="R9856" t="s">
        <v>103</v>
      </c>
      <c r="S9856" t="s">
        <v>239</v>
      </c>
    </row>
    <row r="9857" spans="1:19" x14ac:dyDescent="0.3">
      <c r="A9857" t="s">
        <v>41</v>
      </c>
      <c r="B9857" t="s">
        <v>308</v>
      </c>
      <c r="C9857">
        <v>26</v>
      </c>
      <c r="D9857" t="s">
        <v>789</v>
      </c>
      <c r="E9857" t="s">
        <v>809</v>
      </c>
      <c r="F9857" t="s">
        <v>186</v>
      </c>
      <c r="G9857" t="s">
        <v>1316</v>
      </c>
      <c r="H9857" t="s">
        <v>103</v>
      </c>
      <c r="I9857" t="s">
        <v>788</v>
      </c>
      <c r="J9857" t="s">
        <v>175</v>
      </c>
      <c r="K9857" t="s">
        <v>103</v>
      </c>
      <c r="L9857" t="s">
        <v>103</v>
      </c>
      <c r="M9857" t="s">
        <v>103</v>
      </c>
      <c r="N9857" t="s">
        <v>103</v>
      </c>
      <c r="O9857" t="s">
        <v>103</v>
      </c>
      <c r="P9857" t="s">
        <v>103</v>
      </c>
      <c r="Q9857" t="s">
        <v>103</v>
      </c>
      <c r="R9857" t="s">
        <v>103</v>
      </c>
      <c r="S9857" t="s">
        <v>103</v>
      </c>
    </row>
    <row r="9859" spans="1:19" x14ac:dyDescent="0.3">
      <c r="A9859" t="s">
        <v>2644</v>
      </c>
    </row>
    <row r="9860" spans="1:19" x14ac:dyDescent="0.3">
      <c r="A9860" t="s">
        <v>36</v>
      </c>
      <c r="B9860" t="s">
        <v>310</v>
      </c>
      <c r="C9860" t="s">
        <v>24</v>
      </c>
      <c r="D9860" t="s">
        <v>2628</v>
      </c>
      <c r="E9860" t="s">
        <v>2629</v>
      </c>
      <c r="F9860" t="s">
        <v>2630</v>
      </c>
      <c r="G9860" t="s">
        <v>2631</v>
      </c>
      <c r="H9860" t="s">
        <v>2632</v>
      </c>
      <c r="I9860" t="s">
        <v>2633</v>
      </c>
      <c r="J9860" t="s">
        <v>2634</v>
      </c>
      <c r="K9860" t="s">
        <v>2635</v>
      </c>
      <c r="L9860" t="s">
        <v>2636</v>
      </c>
      <c r="M9860" t="s">
        <v>2637</v>
      </c>
      <c r="N9860" t="s">
        <v>2638</v>
      </c>
      <c r="O9860" t="s">
        <v>2639</v>
      </c>
      <c r="P9860" t="s">
        <v>2640</v>
      </c>
      <c r="Q9860" t="s">
        <v>2641</v>
      </c>
      <c r="R9860" t="s">
        <v>89</v>
      </c>
      <c r="S9860" t="s">
        <v>2642</v>
      </c>
    </row>
    <row r="9861" spans="1:19" x14ac:dyDescent="0.3">
      <c r="A9861" t="s">
        <v>25</v>
      </c>
      <c r="B9861" t="s">
        <v>311</v>
      </c>
      <c r="C9861">
        <v>324</v>
      </c>
      <c r="D9861" t="s">
        <v>1091</v>
      </c>
      <c r="E9861" t="s">
        <v>544</v>
      </c>
      <c r="F9861" t="s">
        <v>99</v>
      </c>
      <c r="G9861" t="s">
        <v>417</v>
      </c>
      <c r="H9861" t="s">
        <v>531</v>
      </c>
      <c r="I9861" t="s">
        <v>651</v>
      </c>
      <c r="J9861" t="s">
        <v>136</v>
      </c>
      <c r="K9861" t="s">
        <v>97</v>
      </c>
      <c r="L9861" t="s">
        <v>139</v>
      </c>
      <c r="M9861" t="s">
        <v>103</v>
      </c>
      <c r="N9861" t="s">
        <v>103</v>
      </c>
      <c r="O9861" t="s">
        <v>103</v>
      </c>
      <c r="P9861" t="s">
        <v>97</v>
      </c>
      <c r="Q9861" t="s">
        <v>103</v>
      </c>
      <c r="R9861" t="s">
        <v>103</v>
      </c>
      <c r="S9861" t="s">
        <v>95</v>
      </c>
    </row>
    <row r="9862" spans="1:19" x14ac:dyDescent="0.3">
      <c r="A9862" t="s">
        <v>25</v>
      </c>
      <c r="B9862" t="s">
        <v>312</v>
      </c>
      <c r="C9862">
        <v>80</v>
      </c>
      <c r="D9862" t="s">
        <v>385</v>
      </c>
      <c r="E9862" t="s">
        <v>228</v>
      </c>
      <c r="F9862" t="s">
        <v>693</v>
      </c>
      <c r="G9862" t="s">
        <v>436</v>
      </c>
      <c r="H9862" t="s">
        <v>531</v>
      </c>
      <c r="I9862" t="s">
        <v>256</v>
      </c>
      <c r="J9862" t="s">
        <v>463</v>
      </c>
      <c r="K9862" t="s">
        <v>103</v>
      </c>
      <c r="L9862" t="s">
        <v>206</v>
      </c>
      <c r="M9862" t="s">
        <v>468</v>
      </c>
      <c r="N9862" t="s">
        <v>103</v>
      </c>
      <c r="O9862" t="s">
        <v>103</v>
      </c>
      <c r="P9862" t="s">
        <v>103</v>
      </c>
      <c r="Q9862" t="s">
        <v>103</v>
      </c>
      <c r="R9862" t="s">
        <v>103</v>
      </c>
      <c r="S9862" t="s">
        <v>239</v>
      </c>
    </row>
    <row r="9863" spans="1:19" x14ac:dyDescent="0.3">
      <c r="A9863" t="s">
        <v>25</v>
      </c>
      <c r="B9863" t="s">
        <v>308</v>
      </c>
      <c r="C9863">
        <v>10</v>
      </c>
      <c r="D9863" t="s">
        <v>409</v>
      </c>
      <c r="E9863" t="s">
        <v>1043</v>
      </c>
      <c r="F9863" t="s">
        <v>358</v>
      </c>
      <c r="G9863" t="s">
        <v>356</v>
      </c>
      <c r="H9863" t="s">
        <v>103</v>
      </c>
      <c r="I9863" t="s">
        <v>475</v>
      </c>
      <c r="J9863" t="s">
        <v>591</v>
      </c>
      <c r="K9863" t="s">
        <v>103</v>
      </c>
      <c r="L9863" t="s">
        <v>103</v>
      </c>
      <c r="M9863" t="s">
        <v>103</v>
      </c>
      <c r="N9863" t="s">
        <v>103</v>
      </c>
      <c r="O9863" t="s">
        <v>103</v>
      </c>
      <c r="P9863" t="s">
        <v>103</v>
      </c>
      <c r="Q9863" t="s">
        <v>103</v>
      </c>
      <c r="R9863" t="s">
        <v>103</v>
      </c>
      <c r="S9863" t="s">
        <v>103</v>
      </c>
    </row>
    <row r="9864" spans="1:19" x14ac:dyDescent="0.3">
      <c r="A9864" t="s">
        <v>26</v>
      </c>
      <c r="B9864" t="s">
        <v>311</v>
      </c>
      <c r="C9864">
        <v>343</v>
      </c>
      <c r="D9864" t="s">
        <v>593</v>
      </c>
      <c r="E9864" t="s">
        <v>111</v>
      </c>
      <c r="F9864" t="s">
        <v>345</v>
      </c>
      <c r="G9864" t="s">
        <v>1329</v>
      </c>
      <c r="H9864" t="s">
        <v>120</v>
      </c>
      <c r="I9864" t="s">
        <v>473</v>
      </c>
      <c r="J9864" t="s">
        <v>64</v>
      </c>
      <c r="K9864" t="s">
        <v>103</v>
      </c>
      <c r="L9864" t="s">
        <v>103</v>
      </c>
      <c r="M9864" t="s">
        <v>103</v>
      </c>
      <c r="N9864" t="s">
        <v>103</v>
      </c>
      <c r="O9864" t="s">
        <v>103</v>
      </c>
      <c r="P9864" t="s">
        <v>103</v>
      </c>
      <c r="Q9864" t="s">
        <v>103</v>
      </c>
      <c r="R9864" t="s">
        <v>103</v>
      </c>
      <c r="S9864" t="s">
        <v>110</v>
      </c>
    </row>
    <row r="9865" spans="1:19" x14ac:dyDescent="0.3">
      <c r="A9865" t="s">
        <v>26</v>
      </c>
      <c r="B9865" t="s">
        <v>312</v>
      </c>
      <c r="C9865">
        <v>96</v>
      </c>
      <c r="D9865" t="s">
        <v>414</v>
      </c>
      <c r="E9865" t="s">
        <v>517</v>
      </c>
      <c r="F9865" t="s">
        <v>95</v>
      </c>
      <c r="G9865" t="s">
        <v>931</v>
      </c>
      <c r="H9865" t="s">
        <v>103</v>
      </c>
      <c r="I9865" t="s">
        <v>727</v>
      </c>
      <c r="J9865" t="s">
        <v>195</v>
      </c>
      <c r="K9865" t="s">
        <v>103</v>
      </c>
      <c r="L9865" t="s">
        <v>103</v>
      </c>
      <c r="M9865" t="s">
        <v>103</v>
      </c>
      <c r="N9865" t="s">
        <v>103</v>
      </c>
      <c r="O9865" t="s">
        <v>103</v>
      </c>
      <c r="P9865" t="s">
        <v>103</v>
      </c>
      <c r="Q9865" t="s">
        <v>103</v>
      </c>
      <c r="R9865" t="s">
        <v>103</v>
      </c>
      <c r="S9865" t="s">
        <v>103</v>
      </c>
    </row>
    <row r="9866" spans="1:19" x14ac:dyDescent="0.3">
      <c r="A9866" t="s">
        <v>26</v>
      </c>
      <c r="B9866" t="s">
        <v>308</v>
      </c>
      <c r="C9866">
        <v>38</v>
      </c>
      <c r="D9866" t="s">
        <v>795</v>
      </c>
      <c r="E9866" t="s">
        <v>756</v>
      </c>
      <c r="F9866" t="s">
        <v>103</v>
      </c>
      <c r="G9866" t="s">
        <v>1142</v>
      </c>
      <c r="H9866" t="s">
        <v>118</v>
      </c>
      <c r="I9866" t="s">
        <v>754</v>
      </c>
      <c r="J9866" t="s">
        <v>232</v>
      </c>
      <c r="K9866" t="s">
        <v>103</v>
      </c>
      <c r="L9866" t="s">
        <v>103</v>
      </c>
      <c r="M9866" t="s">
        <v>103</v>
      </c>
      <c r="N9866" t="s">
        <v>103</v>
      </c>
      <c r="O9866" t="s">
        <v>103</v>
      </c>
      <c r="P9866" t="s">
        <v>103</v>
      </c>
      <c r="Q9866" t="s">
        <v>103</v>
      </c>
      <c r="R9866" t="s">
        <v>103</v>
      </c>
      <c r="S9866" t="s">
        <v>103</v>
      </c>
    </row>
    <row r="9867" spans="1:19" x14ac:dyDescent="0.3">
      <c r="A9867" t="s">
        <v>29</v>
      </c>
      <c r="B9867" t="s">
        <v>311</v>
      </c>
      <c r="C9867">
        <v>414</v>
      </c>
      <c r="D9867" t="s">
        <v>678</v>
      </c>
      <c r="E9867" t="s">
        <v>155</v>
      </c>
      <c r="F9867" t="s">
        <v>271</v>
      </c>
      <c r="G9867" t="s">
        <v>948</v>
      </c>
      <c r="H9867" t="s">
        <v>662</v>
      </c>
      <c r="I9867" t="s">
        <v>506</v>
      </c>
      <c r="J9867" t="s">
        <v>62</v>
      </c>
      <c r="K9867" t="s">
        <v>103</v>
      </c>
      <c r="L9867" t="s">
        <v>341</v>
      </c>
      <c r="M9867" t="s">
        <v>97</v>
      </c>
      <c r="N9867" t="s">
        <v>266</v>
      </c>
      <c r="O9867" t="s">
        <v>103</v>
      </c>
      <c r="P9867" t="s">
        <v>103</v>
      </c>
      <c r="Q9867" t="s">
        <v>103</v>
      </c>
      <c r="R9867" t="s">
        <v>103</v>
      </c>
      <c r="S9867" t="s">
        <v>239</v>
      </c>
    </row>
    <row r="9868" spans="1:19" x14ac:dyDescent="0.3">
      <c r="A9868" t="s">
        <v>29</v>
      </c>
      <c r="B9868" t="s">
        <v>312</v>
      </c>
      <c r="C9868">
        <v>103</v>
      </c>
      <c r="D9868" t="s">
        <v>294</v>
      </c>
      <c r="E9868" t="s">
        <v>921</v>
      </c>
      <c r="F9868" t="s">
        <v>756</v>
      </c>
      <c r="G9868" t="s">
        <v>1426</v>
      </c>
      <c r="H9868" t="s">
        <v>452</v>
      </c>
      <c r="I9868" t="s">
        <v>682</v>
      </c>
      <c r="J9868" t="s">
        <v>107</v>
      </c>
      <c r="K9868" t="s">
        <v>103</v>
      </c>
      <c r="L9868" t="s">
        <v>122</v>
      </c>
      <c r="M9868" t="s">
        <v>122</v>
      </c>
      <c r="N9868" t="s">
        <v>97</v>
      </c>
      <c r="O9868" t="s">
        <v>103</v>
      </c>
      <c r="P9868" t="s">
        <v>91</v>
      </c>
      <c r="Q9868" t="s">
        <v>103</v>
      </c>
      <c r="R9868" t="s">
        <v>103</v>
      </c>
      <c r="S9868" t="s">
        <v>107</v>
      </c>
    </row>
    <row r="9869" spans="1:19" x14ac:dyDescent="0.3">
      <c r="A9869" t="s">
        <v>29</v>
      </c>
      <c r="B9869" t="s">
        <v>308</v>
      </c>
      <c r="C9869">
        <v>13</v>
      </c>
      <c r="D9869" t="s">
        <v>782</v>
      </c>
      <c r="E9869" t="s">
        <v>482</v>
      </c>
      <c r="F9869" t="s">
        <v>651</v>
      </c>
      <c r="G9869" t="s">
        <v>677</v>
      </c>
      <c r="H9869" t="s">
        <v>103</v>
      </c>
      <c r="I9869" t="s">
        <v>474</v>
      </c>
      <c r="J9869" t="s">
        <v>254</v>
      </c>
      <c r="K9869" t="s">
        <v>103</v>
      </c>
      <c r="L9869" t="s">
        <v>103</v>
      </c>
      <c r="M9869" t="s">
        <v>103</v>
      </c>
      <c r="N9869" t="s">
        <v>103</v>
      </c>
      <c r="O9869" t="s">
        <v>103</v>
      </c>
      <c r="P9869" t="s">
        <v>103</v>
      </c>
      <c r="Q9869" t="s">
        <v>103</v>
      </c>
      <c r="R9869" t="s">
        <v>103</v>
      </c>
      <c r="S9869" t="s">
        <v>278</v>
      </c>
    </row>
    <row r="9870" spans="1:19" x14ac:dyDescent="0.3">
      <c r="A9870" t="s">
        <v>28</v>
      </c>
      <c r="B9870" t="s">
        <v>311</v>
      </c>
      <c r="C9870">
        <v>223</v>
      </c>
      <c r="D9870" t="s">
        <v>1041</v>
      </c>
      <c r="E9870" t="s">
        <v>516</v>
      </c>
      <c r="F9870" t="s">
        <v>452</v>
      </c>
      <c r="G9870" t="s">
        <v>434</v>
      </c>
      <c r="H9870" t="s">
        <v>520</v>
      </c>
      <c r="I9870" t="s">
        <v>562</v>
      </c>
      <c r="J9870" t="s">
        <v>205</v>
      </c>
      <c r="K9870" t="s">
        <v>103</v>
      </c>
      <c r="L9870" t="s">
        <v>532</v>
      </c>
      <c r="M9870" t="s">
        <v>128</v>
      </c>
      <c r="N9870" t="s">
        <v>103</v>
      </c>
      <c r="O9870" t="s">
        <v>122</v>
      </c>
      <c r="P9870" t="s">
        <v>97</v>
      </c>
      <c r="Q9870" t="s">
        <v>103</v>
      </c>
      <c r="R9870" t="s">
        <v>103</v>
      </c>
      <c r="S9870" t="s">
        <v>194</v>
      </c>
    </row>
    <row r="9871" spans="1:19" x14ac:dyDescent="0.3">
      <c r="A9871" t="s">
        <v>28</v>
      </c>
      <c r="B9871" t="s">
        <v>312</v>
      </c>
      <c r="C9871">
        <v>93</v>
      </c>
      <c r="D9871" t="s">
        <v>299</v>
      </c>
      <c r="E9871" t="s">
        <v>975</v>
      </c>
      <c r="F9871" t="s">
        <v>649</v>
      </c>
      <c r="G9871" t="s">
        <v>304</v>
      </c>
      <c r="H9871" t="s">
        <v>805</v>
      </c>
      <c r="I9871" t="s">
        <v>1208</v>
      </c>
      <c r="J9871" t="s">
        <v>682</v>
      </c>
      <c r="K9871" t="s">
        <v>103</v>
      </c>
      <c r="L9871" t="s">
        <v>251</v>
      </c>
      <c r="M9871" t="s">
        <v>139</v>
      </c>
      <c r="N9871" t="s">
        <v>110</v>
      </c>
      <c r="O9871" t="s">
        <v>103</v>
      </c>
      <c r="P9871" t="s">
        <v>103</v>
      </c>
      <c r="Q9871" t="s">
        <v>103</v>
      </c>
      <c r="R9871" t="s">
        <v>103</v>
      </c>
      <c r="S9871" t="s">
        <v>116</v>
      </c>
    </row>
    <row r="9872" spans="1:19" x14ac:dyDescent="0.3">
      <c r="A9872" t="s">
        <v>28</v>
      </c>
      <c r="B9872" t="s">
        <v>308</v>
      </c>
      <c r="C9872">
        <v>1</v>
      </c>
      <c r="D9872" t="s">
        <v>103</v>
      </c>
      <c r="E9872" t="s">
        <v>103</v>
      </c>
      <c r="F9872" t="s">
        <v>103</v>
      </c>
      <c r="G9872" t="s">
        <v>192</v>
      </c>
      <c r="H9872" t="s">
        <v>103</v>
      </c>
      <c r="I9872" t="s">
        <v>192</v>
      </c>
      <c r="J9872" t="s">
        <v>103</v>
      </c>
      <c r="K9872" t="s">
        <v>103</v>
      </c>
      <c r="L9872" t="s">
        <v>103</v>
      </c>
      <c r="M9872" t="s">
        <v>103</v>
      </c>
      <c r="N9872" t="s">
        <v>103</v>
      </c>
      <c r="O9872" t="s">
        <v>103</v>
      </c>
      <c r="P9872" t="s">
        <v>103</v>
      </c>
      <c r="Q9872" t="s">
        <v>103</v>
      </c>
      <c r="R9872" t="s">
        <v>103</v>
      </c>
      <c r="S9872" t="s">
        <v>103</v>
      </c>
    </row>
    <row r="9873" spans="1:19" x14ac:dyDescent="0.3">
      <c r="A9873" t="s">
        <v>27</v>
      </c>
      <c r="B9873" t="s">
        <v>311</v>
      </c>
      <c r="C9873">
        <v>237</v>
      </c>
      <c r="D9873" t="s">
        <v>1082</v>
      </c>
      <c r="E9873" t="s">
        <v>975</v>
      </c>
      <c r="F9873" t="s">
        <v>94</v>
      </c>
      <c r="G9873" t="s">
        <v>733</v>
      </c>
      <c r="H9873" t="s">
        <v>483</v>
      </c>
      <c r="I9873" t="s">
        <v>1008</v>
      </c>
      <c r="J9873" t="s">
        <v>162</v>
      </c>
      <c r="K9873" t="s">
        <v>103</v>
      </c>
      <c r="L9873" t="s">
        <v>91</v>
      </c>
      <c r="M9873" t="s">
        <v>103</v>
      </c>
      <c r="N9873" t="s">
        <v>103</v>
      </c>
      <c r="O9873" t="s">
        <v>103</v>
      </c>
      <c r="P9873" t="s">
        <v>103</v>
      </c>
      <c r="Q9873" t="s">
        <v>103</v>
      </c>
      <c r="R9873" t="s">
        <v>103</v>
      </c>
      <c r="S9873" t="s">
        <v>98</v>
      </c>
    </row>
    <row r="9874" spans="1:19" x14ac:dyDescent="0.3">
      <c r="A9874" t="s">
        <v>27</v>
      </c>
      <c r="B9874" t="s">
        <v>312</v>
      </c>
      <c r="C9874">
        <v>60</v>
      </c>
      <c r="D9874" t="s">
        <v>499</v>
      </c>
      <c r="E9874" t="s">
        <v>660</v>
      </c>
      <c r="F9874" t="s">
        <v>101</v>
      </c>
      <c r="G9874" t="s">
        <v>379</v>
      </c>
      <c r="H9874" t="s">
        <v>146</v>
      </c>
      <c r="I9874" t="s">
        <v>46</v>
      </c>
      <c r="J9874" t="s">
        <v>544</v>
      </c>
      <c r="K9874" t="s">
        <v>103</v>
      </c>
      <c r="L9874" t="s">
        <v>125</v>
      </c>
      <c r="M9874" t="s">
        <v>103</v>
      </c>
      <c r="N9874" t="s">
        <v>103</v>
      </c>
      <c r="O9874" t="s">
        <v>103</v>
      </c>
      <c r="P9874" t="s">
        <v>103</v>
      </c>
      <c r="Q9874" t="s">
        <v>103</v>
      </c>
      <c r="R9874" t="s">
        <v>103</v>
      </c>
      <c r="S9874" t="s">
        <v>208</v>
      </c>
    </row>
    <row r="9875" spans="1:19" x14ac:dyDescent="0.3">
      <c r="A9875" t="s">
        <v>27</v>
      </c>
      <c r="B9875" t="s">
        <v>308</v>
      </c>
      <c r="C9875">
        <v>3</v>
      </c>
      <c r="D9875" t="s">
        <v>407</v>
      </c>
      <c r="E9875" t="s">
        <v>406</v>
      </c>
      <c r="F9875" t="s">
        <v>527</v>
      </c>
      <c r="G9875" t="s">
        <v>527</v>
      </c>
      <c r="H9875" t="s">
        <v>103</v>
      </c>
      <c r="I9875" t="s">
        <v>527</v>
      </c>
      <c r="J9875" t="s">
        <v>103</v>
      </c>
      <c r="K9875" t="s">
        <v>103</v>
      </c>
      <c r="L9875" t="s">
        <v>103</v>
      </c>
      <c r="M9875" t="s">
        <v>103</v>
      </c>
      <c r="N9875" t="s">
        <v>103</v>
      </c>
      <c r="O9875" t="s">
        <v>103</v>
      </c>
      <c r="P9875" t="s">
        <v>103</v>
      </c>
      <c r="Q9875" t="s">
        <v>103</v>
      </c>
      <c r="R9875" t="s">
        <v>103</v>
      </c>
      <c r="S9875" t="s">
        <v>103</v>
      </c>
    </row>
    <row r="9876" spans="1:19" x14ac:dyDescent="0.3">
      <c r="A9876" t="s">
        <v>41</v>
      </c>
      <c r="B9876" t="s">
        <v>311</v>
      </c>
      <c r="C9876">
        <v>1541</v>
      </c>
      <c r="D9876" t="s">
        <v>1558</v>
      </c>
      <c r="E9876" t="s">
        <v>470</v>
      </c>
      <c r="F9876" t="s">
        <v>549</v>
      </c>
      <c r="G9876" t="s">
        <v>722</v>
      </c>
      <c r="H9876" t="s">
        <v>531</v>
      </c>
      <c r="I9876" t="s">
        <v>706</v>
      </c>
      <c r="J9876" t="s">
        <v>262</v>
      </c>
      <c r="K9876" t="s">
        <v>91</v>
      </c>
      <c r="L9876" t="s">
        <v>194</v>
      </c>
      <c r="M9876" t="s">
        <v>122</v>
      </c>
      <c r="N9876" t="s">
        <v>194</v>
      </c>
      <c r="O9876" t="s">
        <v>103</v>
      </c>
      <c r="P9876" t="s">
        <v>91</v>
      </c>
      <c r="Q9876" t="s">
        <v>103</v>
      </c>
      <c r="R9876" t="s">
        <v>103</v>
      </c>
      <c r="S9876" t="s">
        <v>194</v>
      </c>
    </row>
    <row r="9877" spans="1:19" x14ac:dyDescent="0.3">
      <c r="A9877" t="s">
        <v>41</v>
      </c>
      <c r="B9877" t="s">
        <v>312</v>
      </c>
      <c r="C9877">
        <v>432</v>
      </c>
      <c r="D9877" t="s">
        <v>415</v>
      </c>
      <c r="E9877" t="s">
        <v>506</v>
      </c>
      <c r="F9877" t="s">
        <v>700</v>
      </c>
      <c r="G9877" t="s">
        <v>696</v>
      </c>
      <c r="H9877" t="s">
        <v>206</v>
      </c>
      <c r="I9877" t="s">
        <v>30</v>
      </c>
      <c r="J9877" t="s">
        <v>94</v>
      </c>
      <c r="K9877" t="s">
        <v>103</v>
      </c>
      <c r="L9877" t="s">
        <v>341</v>
      </c>
      <c r="M9877" t="s">
        <v>122</v>
      </c>
      <c r="N9877" t="s">
        <v>116</v>
      </c>
      <c r="O9877" t="s">
        <v>103</v>
      </c>
      <c r="P9877" t="s">
        <v>91</v>
      </c>
      <c r="Q9877" t="s">
        <v>103</v>
      </c>
      <c r="R9877" t="s">
        <v>103</v>
      </c>
      <c r="S9877" t="s">
        <v>128</v>
      </c>
    </row>
    <row r="9878" spans="1:19" x14ac:dyDescent="0.3">
      <c r="A9878" t="s">
        <v>41</v>
      </c>
      <c r="B9878" t="s">
        <v>308</v>
      </c>
      <c r="C9878">
        <v>65</v>
      </c>
      <c r="D9878" t="s">
        <v>441</v>
      </c>
      <c r="E9878" t="s">
        <v>1219</v>
      </c>
      <c r="F9878" t="s">
        <v>160</v>
      </c>
      <c r="G9878" t="s">
        <v>1245</v>
      </c>
      <c r="H9878" t="s">
        <v>110</v>
      </c>
      <c r="I9878" t="s">
        <v>1198</v>
      </c>
      <c r="J9878" t="s">
        <v>466</v>
      </c>
      <c r="K9878" t="s">
        <v>103</v>
      </c>
      <c r="L9878" t="s">
        <v>103</v>
      </c>
      <c r="M9878" t="s">
        <v>103</v>
      </c>
      <c r="N9878" t="s">
        <v>103</v>
      </c>
      <c r="O9878" t="s">
        <v>103</v>
      </c>
      <c r="P9878" t="s">
        <v>103</v>
      </c>
      <c r="Q9878" t="s">
        <v>103</v>
      </c>
      <c r="R9878" t="s">
        <v>103</v>
      </c>
      <c r="S9878" t="s">
        <v>110</v>
      </c>
    </row>
    <row r="9880" spans="1:19" x14ac:dyDescent="0.3">
      <c r="A9880" t="s">
        <v>2645</v>
      </c>
    </row>
    <row r="9881" spans="1:19" x14ac:dyDescent="0.3">
      <c r="A9881" t="s">
        <v>36</v>
      </c>
      <c r="B9881" t="s">
        <v>197</v>
      </c>
      <c r="C9881" t="s">
        <v>24</v>
      </c>
      <c r="D9881" t="s">
        <v>2628</v>
      </c>
      <c r="E9881" t="s">
        <v>2629</v>
      </c>
      <c r="F9881" t="s">
        <v>2630</v>
      </c>
      <c r="G9881" t="s">
        <v>2631</v>
      </c>
      <c r="H9881" t="s">
        <v>2632</v>
      </c>
      <c r="I9881" t="s">
        <v>2633</v>
      </c>
      <c r="J9881" t="s">
        <v>2634</v>
      </c>
      <c r="K9881" t="s">
        <v>2635</v>
      </c>
      <c r="L9881" t="s">
        <v>2636</v>
      </c>
      <c r="M9881" t="s">
        <v>2637</v>
      </c>
      <c r="N9881" t="s">
        <v>2638</v>
      </c>
      <c r="O9881" t="s">
        <v>2639</v>
      </c>
      <c r="P9881" t="s">
        <v>2640</v>
      </c>
      <c r="Q9881" t="s">
        <v>2641</v>
      </c>
      <c r="R9881" t="s">
        <v>89</v>
      </c>
      <c r="S9881" t="s">
        <v>2642</v>
      </c>
    </row>
    <row r="9882" spans="1:19" x14ac:dyDescent="0.3">
      <c r="A9882" t="s">
        <v>25</v>
      </c>
      <c r="B9882" t="s">
        <v>198</v>
      </c>
      <c r="C9882">
        <v>104</v>
      </c>
      <c r="D9882" t="s">
        <v>1549</v>
      </c>
      <c r="E9882" t="s">
        <v>552</v>
      </c>
      <c r="F9882" t="s">
        <v>525</v>
      </c>
      <c r="G9882" t="s">
        <v>1199</v>
      </c>
      <c r="H9882" t="s">
        <v>531</v>
      </c>
      <c r="I9882" t="s">
        <v>651</v>
      </c>
      <c r="J9882" t="s">
        <v>262</v>
      </c>
      <c r="K9882" t="s">
        <v>105</v>
      </c>
      <c r="L9882" t="s">
        <v>217</v>
      </c>
      <c r="M9882" t="s">
        <v>103</v>
      </c>
      <c r="N9882" t="s">
        <v>103</v>
      </c>
      <c r="O9882" t="s">
        <v>103</v>
      </c>
      <c r="P9882" t="s">
        <v>103</v>
      </c>
      <c r="Q9882" t="s">
        <v>103</v>
      </c>
      <c r="R9882" t="s">
        <v>103</v>
      </c>
      <c r="S9882" t="s">
        <v>103</v>
      </c>
    </row>
    <row r="9883" spans="1:19" x14ac:dyDescent="0.3">
      <c r="A9883" t="s">
        <v>25</v>
      </c>
      <c r="B9883" t="s">
        <v>199</v>
      </c>
      <c r="C9883">
        <v>310</v>
      </c>
      <c r="D9883" t="s">
        <v>299</v>
      </c>
      <c r="E9883" t="s">
        <v>144</v>
      </c>
      <c r="F9883" t="s">
        <v>127</v>
      </c>
      <c r="G9883" t="s">
        <v>419</v>
      </c>
      <c r="H9883" t="s">
        <v>206</v>
      </c>
      <c r="I9883" t="s">
        <v>754</v>
      </c>
      <c r="J9883" t="s">
        <v>463</v>
      </c>
      <c r="K9883" t="s">
        <v>103</v>
      </c>
      <c r="L9883" t="s">
        <v>239</v>
      </c>
      <c r="M9883" t="s">
        <v>116</v>
      </c>
      <c r="N9883" t="s">
        <v>103</v>
      </c>
      <c r="O9883" t="s">
        <v>103</v>
      </c>
      <c r="P9883" t="s">
        <v>97</v>
      </c>
      <c r="Q9883" t="s">
        <v>103</v>
      </c>
      <c r="R9883" t="s">
        <v>103</v>
      </c>
      <c r="S9883" t="s">
        <v>282</v>
      </c>
    </row>
    <row r="9884" spans="1:19" x14ac:dyDescent="0.3">
      <c r="A9884" t="s">
        <v>26</v>
      </c>
      <c r="B9884" t="s">
        <v>198</v>
      </c>
      <c r="C9884">
        <v>41</v>
      </c>
      <c r="D9884" t="s">
        <v>1019</v>
      </c>
      <c r="E9884" t="s">
        <v>33</v>
      </c>
      <c r="F9884" t="s">
        <v>103</v>
      </c>
      <c r="G9884" t="s">
        <v>404</v>
      </c>
      <c r="H9884" t="s">
        <v>103</v>
      </c>
      <c r="I9884" t="s">
        <v>206</v>
      </c>
      <c r="J9884" t="s">
        <v>103</v>
      </c>
      <c r="K9884" t="s">
        <v>103</v>
      </c>
      <c r="L9884" t="s">
        <v>103</v>
      </c>
      <c r="M9884" t="s">
        <v>103</v>
      </c>
      <c r="N9884" t="s">
        <v>103</v>
      </c>
      <c r="O9884" t="s">
        <v>103</v>
      </c>
      <c r="P9884" t="s">
        <v>103</v>
      </c>
      <c r="Q9884" t="s">
        <v>103</v>
      </c>
      <c r="R9884" t="s">
        <v>103</v>
      </c>
      <c r="S9884" t="s">
        <v>103</v>
      </c>
    </row>
    <row r="9885" spans="1:19" x14ac:dyDescent="0.3">
      <c r="A9885" t="s">
        <v>26</v>
      </c>
      <c r="B9885" t="s">
        <v>199</v>
      </c>
      <c r="C9885">
        <v>436</v>
      </c>
      <c r="D9885" t="s">
        <v>1209</v>
      </c>
      <c r="E9885" t="s">
        <v>152</v>
      </c>
      <c r="F9885" t="s">
        <v>282</v>
      </c>
      <c r="G9885" t="s">
        <v>748</v>
      </c>
      <c r="H9885" t="s">
        <v>95</v>
      </c>
      <c r="I9885" t="s">
        <v>50</v>
      </c>
      <c r="J9885" t="s">
        <v>467</v>
      </c>
      <c r="K9885" t="s">
        <v>103</v>
      </c>
      <c r="L9885" t="s">
        <v>103</v>
      </c>
      <c r="M9885" t="s">
        <v>103</v>
      </c>
      <c r="N9885" t="s">
        <v>103</v>
      </c>
      <c r="O9885" t="s">
        <v>103</v>
      </c>
      <c r="P9885" t="s">
        <v>103</v>
      </c>
      <c r="Q9885" t="s">
        <v>103</v>
      </c>
      <c r="R9885" t="s">
        <v>103</v>
      </c>
      <c r="S9885" t="s">
        <v>345</v>
      </c>
    </row>
    <row r="9886" spans="1:19" x14ac:dyDescent="0.3">
      <c r="A9886" t="s">
        <v>29</v>
      </c>
      <c r="B9886" t="s">
        <v>198</v>
      </c>
      <c r="C9886">
        <v>170</v>
      </c>
      <c r="D9886" t="s">
        <v>1087</v>
      </c>
      <c r="E9886" t="s">
        <v>550</v>
      </c>
      <c r="F9886" t="s">
        <v>570</v>
      </c>
      <c r="G9886" t="s">
        <v>791</v>
      </c>
      <c r="H9886" t="s">
        <v>206</v>
      </c>
      <c r="I9886" t="s">
        <v>702</v>
      </c>
      <c r="J9886" t="s">
        <v>94</v>
      </c>
      <c r="K9886" t="s">
        <v>103</v>
      </c>
      <c r="L9886" t="s">
        <v>245</v>
      </c>
      <c r="M9886" t="s">
        <v>282</v>
      </c>
      <c r="N9886" t="s">
        <v>239</v>
      </c>
      <c r="O9886" t="s">
        <v>103</v>
      </c>
      <c r="P9886" t="s">
        <v>103</v>
      </c>
      <c r="Q9886" t="s">
        <v>103</v>
      </c>
      <c r="R9886" t="s">
        <v>103</v>
      </c>
      <c r="S9886" t="s">
        <v>467</v>
      </c>
    </row>
    <row r="9887" spans="1:19" x14ac:dyDescent="0.3">
      <c r="A9887" t="s">
        <v>29</v>
      </c>
      <c r="B9887" t="s">
        <v>199</v>
      </c>
      <c r="C9887">
        <v>360</v>
      </c>
      <c r="D9887" t="s">
        <v>1379</v>
      </c>
      <c r="E9887" t="s">
        <v>667</v>
      </c>
      <c r="F9887" t="s">
        <v>164</v>
      </c>
      <c r="G9887" t="s">
        <v>1064</v>
      </c>
      <c r="H9887" t="s">
        <v>133</v>
      </c>
      <c r="I9887" t="s">
        <v>486</v>
      </c>
      <c r="J9887" t="s">
        <v>62</v>
      </c>
      <c r="K9887" t="s">
        <v>103</v>
      </c>
      <c r="L9887" t="s">
        <v>239</v>
      </c>
      <c r="M9887" t="s">
        <v>116</v>
      </c>
      <c r="N9887" t="s">
        <v>217</v>
      </c>
      <c r="O9887" t="s">
        <v>103</v>
      </c>
      <c r="P9887" t="s">
        <v>103</v>
      </c>
      <c r="Q9887" t="s">
        <v>103</v>
      </c>
      <c r="R9887" t="s">
        <v>103</v>
      </c>
      <c r="S9887" t="s">
        <v>239</v>
      </c>
    </row>
    <row r="9888" spans="1:19" x14ac:dyDescent="0.3">
      <c r="A9888" t="s">
        <v>28</v>
      </c>
      <c r="B9888" t="s">
        <v>198</v>
      </c>
      <c r="C9888">
        <v>70</v>
      </c>
      <c r="D9888" t="s">
        <v>729</v>
      </c>
      <c r="E9888" t="s">
        <v>468</v>
      </c>
      <c r="F9888" t="s">
        <v>208</v>
      </c>
      <c r="G9888" t="s">
        <v>1178</v>
      </c>
      <c r="H9888" t="s">
        <v>152</v>
      </c>
      <c r="I9888" t="s">
        <v>792</v>
      </c>
      <c r="J9888" t="s">
        <v>100</v>
      </c>
      <c r="K9888" t="s">
        <v>103</v>
      </c>
      <c r="L9888" t="s">
        <v>103</v>
      </c>
      <c r="M9888" t="s">
        <v>103</v>
      </c>
      <c r="N9888" t="s">
        <v>239</v>
      </c>
      <c r="O9888" t="s">
        <v>103</v>
      </c>
      <c r="P9888" t="s">
        <v>103</v>
      </c>
      <c r="Q9888" t="s">
        <v>103</v>
      </c>
      <c r="R9888" t="s">
        <v>103</v>
      </c>
      <c r="S9888" t="s">
        <v>103</v>
      </c>
    </row>
    <row r="9889" spans="1:19" x14ac:dyDescent="0.3">
      <c r="A9889" t="s">
        <v>28</v>
      </c>
      <c r="B9889" t="s">
        <v>199</v>
      </c>
      <c r="C9889">
        <v>247</v>
      </c>
      <c r="D9889" t="s">
        <v>134</v>
      </c>
      <c r="E9889" t="s">
        <v>478</v>
      </c>
      <c r="F9889" t="s">
        <v>549</v>
      </c>
      <c r="G9889" t="s">
        <v>796</v>
      </c>
      <c r="H9889" t="s">
        <v>261</v>
      </c>
      <c r="I9889" t="s">
        <v>1081</v>
      </c>
      <c r="J9889" t="s">
        <v>517</v>
      </c>
      <c r="K9889" t="s">
        <v>103</v>
      </c>
      <c r="L9889" t="s">
        <v>140</v>
      </c>
      <c r="M9889" t="s">
        <v>257</v>
      </c>
      <c r="N9889" t="s">
        <v>103</v>
      </c>
      <c r="O9889" t="s">
        <v>122</v>
      </c>
      <c r="P9889" t="s">
        <v>97</v>
      </c>
      <c r="Q9889" t="s">
        <v>103</v>
      </c>
      <c r="R9889" t="s">
        <v>103</v>
      </c>
      <c r="S9889" t="s">
        <v>110</v>
      </c>
    </row>
    <row r="9890" spans="1:19" x14ac:dyDescent="0.3">
      <c r="A9890" t="s">
        <v>27</v>
      </c>
      <c r="B9890" t="s">
        <v>198</v>
      </c>
      <c r="C9890">
        <v>136</v>
      </c>
      <c r="D9890" t="s">
        <v>520</v>
      </c>
      <c r="E9890" t="s">
        <v>520</v>
      </c>
      <c r="F9890" t="s">
        <v>169</v>
      </c>
      <c r="G9890" t="s">
        <v>755</v>
      </c>
      <c r="H9890" t="s">
        <v>469</v>
      </c>
      <c r="I9890" t="s">
        <v>975</v>
      </c>
      <c r="J9890" t="s">
        <v>130</v>
      </c>
      <c r="K9890" t="s">
        <v>103</v>
      </c>
      <c r="L9890" t="s">
        <v>468</v>
      </c>
      <c r="M9890" t="s">
        <v>103</v>
      </c>
      <c r="N9890" t="s">
        <v>103</v>
      </c>
      <c r="O9890" t="s">
        <v>103</v>
      </c>
      <c r="P9890" t="s">
        <v>103</v>
      </c>
      <c r="Q9890" t="s">
        <v>103</v>
      </c>
      <c r="R9890" t="s">
        <v>103</v>
      </c>
      <c r="S9890" t="s">
        <v>139</v>
      </c>
    </row>
    <row r="9891" spans="1:19" x14ac:dyDescent="0.3">
      <c r="A9891" t="s">
        <v>27</v>
      </c>
      <c r="B9891" t="s">
        <v>199</v>
      </c>
      <c r="C9891">
        <v>164</v>
      </c>
      <c r="D9891" t="s">
        <v>541</v>
      </c>
      <c r="E9891" t="s">
        <v>505</v>
      </c>
      <c r="F9891" t="s">
        <v>467</v>
      </c>
      <c r="G9891" t="s">
        <v>1171</v>
      </c>
      <c r="H9891" t="s">
        <v>473</v>
      </c>
      <c r="I9891" t="s">
        <v>230</v>
      </c>
      <c r="J9891" t="s">
        <v>495</v>
      </c>
      <c r="K9891" t="s">
        <v>103</v>
      </c>
      <c r="L9891" t="s">
        <v>66</v>
      </c>
      <c r="M9891" t="s">
        <v>103</v>
      </c>
      <c r="N9891" t="s">
        <v>103</v>
      </c>
      <c r="O9891" t="s">
        <v>103</v>
      </c>
      <c r="P9891" t="s">
        <v>103</v>
      </c>
      <c r="Q9891" t="s">
        <v>103</v>
      </c>
      <c r="R9891" t="s">
        <v>103</v>
      </c>
      <c r="S9891" t="s">
        <v>194</v>
      </c>
    </row>
    <row r="9892" spans="1:19" x14ac:dyDescent="0.3">
      <c r="A9892" t="s">
        <v>41</v>
      </c>
      <c r="B9892" t="s">
        <v>198</v>
      </c>
      <c r="C9892">
        <v>521</v>
      </c>
      <c r="D9892" t="s">
        <v>1220</v>
      </c>
      <c r="E9892" t="s">
        <v>570</v>
      </c>
      <c r="F9892" t="s">
        <v>273</v>
      </c>
      <c r="G9892" t="s">
        <v>2185</v>
      </c>
      <c r="H9892" t="s">
        <v>511</v>
      </c>
      <c r="I9892" t="s">
        <v>1084</v>
      </c>
      <c r="J9892" t="s">
        <v>60</v>
      </c>
      <c r="K9892" t="s">
        <v>116</v>
      </c>
      <c r="L9892" t="s">
        <v>216</v>
      </c>
      <c r="M9892" t="s">
        <v>120</v>
      </c>
      <c r="N9892" t="s">
        <v>282</v>
      </c>
      <c r="O9892" t="s">
        <v>103</v>
      </c>
      <c r="P9892" t="s">
        <v>103</v>
      </c>
      <c r="Q9892" t="s">
        <v>103</v>
      </c>
      <c r="R9892" t="s">
        <v>103</v>
      </c>
      <c r="S9892" t="s">
        <v>329</v>
      </c>
    </row>
    <row r="9893" spans="1:19" x14ac:dyDescent="0.3">
      <c r="A9893" t="s">
        <v>41</v>
      </c>
      <c r="B9893" t="s">
        <v>199</v>
      </c>
      <c r="C9893">
        <v>1517</v>
      </c>
      <c r="D9893" t="s">
        <v>414</v>
      </c>
      <c r="E9893" t="s">
        <v>46</v>
      </c>
      <c r="F9893" t="s">
        <v>126</v>
      </c>
      <c r="G9893" t="s">
        <v>1064</v>
      </c>
      <c r="H9893" t="s">
        <v>112</v>
      </c>
      <c r="I9893" t="s">
        <v>1219</v>
      </c>
      <c r="J9893" t="s">
        <v>224</v>
      </c>
      <c r="K9893" t="s">
        <v>103</v>
      </c>
      <c r="L9893" t="s">
        <v>194</v>
      </c>
      <c r="M9893" t="s">
        <v>116</v>
      </c>
      <c r="N9893" t="s">
        <v>345</v>
      </c>
      <c r="O9893" t="s">
        <v>103</v>
      </c>
      <c r="P9893" t="s">
        <v>91</v>
      </c>
      <c r="Q9893" t="s">
        <v>103</v>
      </c>
      <c r="R9893" t="s">
        <v>103</v>
      </c>
      <c r="S9893" t="s">
        <v>194</v>
      </c>
    </row>
    <row r="9895" spans="1:19" x14ac:dyDescent="0.3">
      <c r="A9895" t="s">
        <v>2646</v>
      </c>
    </row>
    <row r="9896" spans="1:19" x14ac:dyDescent="0.3">
      <c r="A9896" t="s">
        <v>36</v>
      </c>
      <c r="B9896" t="s">
        <v>210</v>
      </c>
      <c r="C9896" t="s">
        <v>24</v>
      </c>
      <c r="D9896" t="s">
        <v>2628</v>
      </c>
      <c r="E9896" t="s">
        <v>2629</v>
      </c>
      <c r="F9896" t="s">
        <v>2630</v>
      </c>
      <c r="G9896" t="s">
        <v>2631</v>
      </c>
      <c r="H9896" t="s">
        <v>2632</v>
      </c>
      <c r="I9896" t="s">
        <v>2633</v>
      </c>
      <c r="J9896" t="s">
        <v>2634</v>
      </c>
      <c r="K9896" t="s">
        <v>2635</v>
      </c>
      <c r="L9896" t="s">
        <v>2636</v>
      </c>
      <c r="M9896" t="s">
        <v>2637</v>
      </c>
      <c r="N9896" t="s">
        <v>2638</v>
      </c>
      <c r="O9896" t="s">
        <v>2639</v>
      </c>
      <c r="P9896" t="s">
        <v>2640</v>
      </c>
      <c r="Q9896" t="s">
        <v>2641</v>
      </c>
      <c r="R9896" t="s">
        <v>89</v>
      </c>
      <c r="S9896" t="s">
        <v>2642</v>
      </c>
    </row>
    <row r="9897" spans="1:19" x14ac:dyDescent="0.3">
      <c r="A9897" t="s">
        <v>25</v>
      </c>
      <c r="B9897" t="s">
        <v>211</v>
      </c>
      <c r="C9897">
        <v>414</v>
      </c>
      <c r="D9897" t="s">
        <v>1054</v>
      </c>
      <c r="E9897" t="s">
        <v>92</v>
      </c>
      <c r="F9897" t="s">
        <v>123</v>
      </c>
      <c r="G9897" t="s">
        <v>1241</v>
      </c>
      <c r="H9897" t="s">
        <v>206</v>
      </c>
      <c r="I9897" t="s">
        <v>409</v>
      </c>
      <c r="J9897" t="s">
        <v>123</v>
      </c>
      <c r="K9897" t="s">
        <v>122</v>
      </c>
      <c r="L9897" t="s">
        <v>245</v>
      </c>
      <c r="M9897" t="s">
        <v>66</v>
      </c>
      <c r="N9897" t="s">
        <v>103</v>
      </c>
      <c r="O9897" t="s">
        <v>103</v>
      </c>
      <c r="P9897" t="s">
        <v>122</v>
      </c>
      <c r="Q9897" t="s">
        <v>103</v>
      </c>
      <c r="R9897" t="s">
        <v>103</v>
      </c>
      <c r="S9897" t="s">
        <v>139</v>
      </c>
    </row>
    <row r="9898" spans="1:19" x14ac:dyDescent="0.3">
      <c r="A9898" t="s">
        <v>26</v>
      </c>
      <c r="B9898" t="s">
        <v>211</v>
      </c>
      <c r="C9898">
        <v>223</v>
      </c>
      <c r="D9898" t="s">
        <v>389</v>
      </c>
      <c r="E9898" t="s">
        <v>551</v>
      </c>
      <c r="F9898" t="s">
        <v>116</v>
      </c>
      <c r="G9898" t="s">
        <v>419</v>
      </c>
      <c r="H9898" t="s">
        <v>116</v>
      </c>
      <c r="I9898" t="s">
        <v>727</v>
      </c>
      <c r="J9898" t="s">
        <v>239</v>
      </c>
      <c r="K9898" t="s">
        <v>103</v>
      </c>
      <c r="L9898" t="s">
        <v>103</v>
      </c>
      <c r="M9898" t="s">
        <v>103</v>
      </c>
      <c r="N9898" t="s">
        <v>103</v>
      </c>
      <c r="O9898" t="s">
        <v>103</v>
      </c>
      <c r="P9898" t="s">
        <v>103</v>
      </c>
      <c r="Q9898" t="s">
        <v>103</v>
      </c>
      <c r="R9898" t="s">
        <v>103</v>
      </c>
      <c r="S9898" t="s">
        <v>468</v>
      </c>
    </row>
    <row r="9899" spans="1:19" x14ac:dyDescent="0.3">
      <c r="A9899" t="s">
        <v>26</v>
      </c>
      <c r="B9899" t="s">
        <v>212</v>
      </c>
      <c r="C9899">
        <v>254</v>
      </c>
      <c r="D9899" t="s">
        <v>1133</v>
      </c>
      <c r="E9899" t="s">
        <v>100</v>
      </c>
      <c r="F9899" t="s">
        <v>239</v>
      </c>
      <c r="G9899" t="s">
        <v>1555</v>
      </c>
      <c r="H9899" t="s">
        <v>98</v>
      </c>
      <c r="I9899" t="s">
        <v>331</v>
      </c>
      <c r="J9899" t="s">
        <v>615</v>
      </c>
      <c r="K9899" t="s">
        <v>103</v>
      </c>
      <c r="L9899" t="s">
        <v>103</v>
      </c>
      <c r="M9899" t="s">
        <v>103</v>
      </c>
      <c r="N9899" t="s">
        <v>103</v>
      </c>
      <c r="O9899" t="s">
        <v>103</v>
      </c>
      <c r="P9899" t="s">
        <v>103</v>
      </c>
      <c r="Q9899" t="s">
        <v>103</v>
      </c>
      <c r="R9899" t="s">
        <v>103</v>
      </c>
      <c r="S9899" t="s">
        <v>139</v>
      </c>
    </row>
    <row r="9900" spans="1:19" x14ac:dyDescent="0.3">
      <c r="A9900" t="s">
        <v>29</v>
      </c>
      <c r="B9900" t="s">
        <v>211</v>
      </c>
      <c r="C9900">
        <v>530</v>
      </c>
      <c r="D9900" t="s">
        <v>395</v>
      </c>
      <c r="E9900" t="s">
        <v>732</v>
      </c>
      <c r="F9900" t="s">
        <v>131</v>
      </c>
      <c r="G9900" t="s">
        <v>793</v>
      </c>
      <c r="H9900" t="s">
        <v>662</v>
      </c>
      <c r="I9900" t="s">
        <v>580</v>
      </c>
      <c r="J9900" t="s">
        <v>137</v>
      </c>
      <c r="K9900" t="s">
        <v>103</v>
      </c>
      <c r="L9900" t="s">
        <v>216</v>
      </c>
      <c r="M9900" t="s">
        <v>97</v>
      </c>
      <c r="N9900" t="s">
        <v>93</v>
      </c>
      <c r="O9900" t="s">
        <v>103</v>
      </c>
      <c r="P9900" t="s">
        <v>103</v>
      </c>
      <c r="Q9900" t="s">
        <v>103</v>
      </c>
      <c r="R9900" t="s">
        <v>103</v>
      </c>
      <c r="S9900" t="s">
        <v>329</v>
      </c>
    </row>
    <row r="9901" spans="1:19" x14ac:dyDescent="0.3">
      <c r="A9901" t="s">
        <v>28</v>
      </c>
      <c r="B9901" t="s">
        <v>211</v>
      </c>
      <c r="C9901">
        <v>277</v>
      </c>
      <c r="D9901" t="s">
        <v>454</v>
      </c>
      <c r="E9901" t="s">
        <v>543</v>
      </c>
      <c r="F9901" t="s">
        <v>284</v>
      </c>
      <c r="G9901" t="s">
        <v>811</v>
      </c>
      <c r="H9901" t="s">
        <v>580</v>
      </c>
      <c r="I9901" t="s">
        <v>540</v>
      </c>
      <c r="J9901" t="s">
        <v>460</v>
      </c>
      <c r="K9901" t="s">
        <v>103</v>
      </c>
      <c r="L9901" t="s">
        <v>341</v>
      </c>
      <c r="M9901" t="s">
        <v>95</v>
      </c>
      <c r="N9901" t="s">
        <v>122</v>
      </c>
      <c r="O9901" t="s">
        <v>103</v>
      </c>
      <c r="P9901" t="s">
        <v>103</v>
      </c>
      <c r="Q9901" t="s">
        <v>103</v>
      </c>
      <c r="R9901" t="s">
        <v>103</v>
      </c>
      <c r="S9901" t="s">
        <v>468</v>
      </c>
    </row>
    <row r="9902" spans="1:19" x14ac:dyDescent="0.3">
      <c r="A9902" t="s">
        <v>28</v>
      </c>
      <c r="B9902" t="s">
        <v>212</v>
      </c>
      <c r="C9902">
        <v>40</v>
      </c>
      <c r="D9902" t="s">
        <v>893</v>
      </c>
      <c r="E9902" t="s">
        <v>1031</v>
      </c>
      <c r="F9902" t="s">
        <v>569</v>
      </c>
      <c r="G9902" t="s">
        <v>679</v>
      </c>
      <c r="H9902" t="s">
        <v>1068</v>
      </c>
      <c r="I9902" t="s">
        <v>357</v>
      </c>
      <c r="J9902" t="s">
        <v>510</v>
      </c>
      <c r="K9902" t="s">
        <v>103</v>
      </c>
      <c r="L9902" t="s">
        <v>656</v>
      </c>
      <c r="M9902" t="s">
        <v>918</v>
      </c>
      <c r="N9902" t="s">
        <v>103</v>
      </c>
      <c r="O9902" t="s">
        <v>217</v>
      </c>
      <c r="P9902" t="s">
        <v>438</v>
      </c>
      <c r="Q9902" t="s">
        <v>103</v>
      </c>
      <c r="R9902" t="s">
        <v>103</v>
      </c>
      <c r="S9902" t="s">
        <v>103</v>
      </c>
    </row>
    <row r="9903" spans="1:19" x14ac:dyDescent="0.3">
      <c r="A9903" t="s">
        <v>27</v>
      </c>
      <c r="B9903" t="s">
        <v>211</v>
      </c>
      <c r="C9903">
        <v>270</v>
      </c>
      <c r="D9903" t="s">
        <v>507</v>
      </c>
      <c r="E9903" t="s">
        <v>651</v>
      </c>
      <c r="F9903" t="s">
        <v>558</v>
      </c>
      <c r="G9903" t="s">
        <v>1381</v>
      </c>
      <c r="H9903" t="s">
        <v>473</v>
      </c>
      <c r="I9903" t="s">
        <v>650</v>
      </c>
      <c r="J9903" t="s">
        <v>516</v>
      </c>
      <c r="K9903" t="s">
        <v>103</v>
      </c>
      <c r="L9903" t="s">
        <v>122</v>
      </c>
      <c r="M9903" t="s">
        <v>103</v>
      </c>
      <c r="N9903" t="s">
        <v>103</v>
      </c>
      <c r="O9903" t="s">
        <v>103</v>
      </c>
      <c r="P9903" t="s">
        <v>103</v>
      </c>
      <c r="Q9903" t="s">
        <v>103</v>
      </c>
      <c r="R9903" t="s">
        <v>103</v>
      </c>
      <c r="S9903" t="s">
        <v>345</v>
      </c>
    </row>
    <row r="9904" spans="1:19" s="3" customFormat="1" x14ac:dyDescent="0.3">
      <c r="A9904" s="3" t="s">
        <v>27</v>
      </c>
      <c r="B9904" s="3" t="s">
        <v>212</v>
      </c>
      <c r="C9904" s="3">
        <v>30</v>
      </c>
      <c r="D9904" s="3" t="s">
        <v>382</v>
      </c>
      <c r="E9904" s="3" t="s">
        <v>558</v>
      </c>
      <c r="F9904" s="3" t="s">
        <v>921</v>
      </c>
      <c r="G9904" s="3" t="s">
        <v>750</v>
      </c>
      <c r="H9904" s="3" t="s">
        <v>103</v>
      </c>
      <c r="I9904" s="3" t="s">
        <v>380</v>
      </c>
      <c r="J9904" s="3" t="s">
        <v>103</v>
      </c>
      <c r="K9904" s="3" t="s">
        <v>103</v>
      </c>
      <c r="L9904" s="3" t="s">
        <v>251</v>
      </c>
      <c r="M9904" s="3" t="s">
        <v>103</v>
      </c>
      <c r="N9904" s="3" t="s">
        <v>103</v>
      </c>
      <c r="O9904" s="3" t="s">
        <v>103</v>
      </c>
      <c r="P9904" s="3" t="s">
        <v>103</v>
      </c>
      <c r="Q9904" s="3" t="s">
        <v>103</v>
      </c>
      <c r="R9904" s="3" t="s">
        <v>103</v>
      </c>
      <c r="S9904" s="3" t="s">
        <v>103</v>
      </c>
    </row>
    <row r="9905" spans="1:28" x14ac:dyDescent="0.3">
      <c r="A9905" t="s">
        <v>41</v>
      </c>
      <c r="B9905" t="s">
        <v>211</v>
      </c>
      <c r="C9905">
        <v>1714</v>
      </c>
      <c r="D9905" t="s">
        <v>798</v>
      </c>
      <c r="E9905" t="s">
        <v>486</v>
      </c>
      <c r="F9905" t="s">
        <v>169</v>
      </c>
      <c r="G9905" t="s">
        <v>249</v>
      </c>
      <c r="H9905" t="s">
        <v>594</v>
      </c>
      <c r="I9905" t="s">
        <v>706</v>
      </c>
      <c r="J9905" t="s">
        <v>549</v>
      </c>
      <c r="K9905" t="s">
        <v>91</v>
      </c>
      <c r="L9905" t="s">
        <v>110</v>
      </c>
      <c r="M9905" t="s">
        <v>116</v>
      </c>
      <c r="N9905" t="s">
        <v>468</v>
      </c>
      <c r="O9905" t="s">
        <v>103</v>
      </c>
      <c r="P9905" t="s">
        <v>91</v>
      </c>
      <c r="Q9905" t="s">
        <v>103</v>
      </c>
      <c r="R9905" t="s">
        <v>103</v>
      </c>
      <c r="S9905" t="s">
        <v>216</v>
      </c>
    </row>
    <row r="9906" spans="1:28" x14ac:dyDescent="0.3">
      <c r="A9906" t="s">
        <v>41</v>
      </c>
      <c r="B9906" t="s">
        <v>212</v>
      </c>
      <c r="C9906">
        <v>324</v>
      </c>
      <c r="D9906" t="s">
        <v>924</v>
      </c>
      <c r="E9906" t="s">
        <v>135</v>
      </c>
      <c r="F9906" t="s">
        <v>64</v>
      </c>
      <c r="G9906" t="s">
        <v>993</v>
      </c>
      <c r="H9906" t="s">
        <v>195</v>
      </c>
      <c r="I9906" t="s">
        <v>486</v>
      </c>
      <c r="J9906" t="s">
        <v>558</v>
      </c>
      <c r="K9906" t="s">
        <v>103</v>
      </c>
      <c r="L9906" t="s">
        <v>194</v>
      </c>
      <c r="M9906" t="s">
        <v>97</v>
      </c>
      <c r="N9906" t="s">
        <v>103</v>
      </c>
      <c r="O9906" t="s">
        <v>91</v>
      </c>
      <c r="P9906" t="s">
        <v>91</v>
      </c>
      <c r="Q9906" t="s">
        <v>103</v>
      </c>
      <c r="R9906" t="s">
        <v>103</v>
      </c>
      <c r="S9906" t="s">
        <v>95</v>
      </c>
    </row>
    <row r="9908" spans="1:28" x14ac:dyDescent="0.3">
      <c r="A9908" t="s">
        <v>2647</v>
      </c>
    </row>
    <row r="9909" spans="1:28" x14ac:dyDescent="0.3">
      <c r="A9909" t="s">
        <v>36</v>
      </c>
      <c r="B9909" t="s">
        <v>2648</v>
      </c>
      <c r="C9909" t="s">
        <v>2649</v>
      </c>
      <c r="D9909" t="s">
        <v>2650</v>
      </c>
      <c r="E9909" t="s">
        <v>2651</v>
      </c>
      <c r="F9909" t="s">
        <v>2652</v>
      </c>
      <c r="G9909" t="s">
        <v>2653</v>
      </c>
      <c r="H9909" t="s">
        <v>2654</v>
      </c>
      <c r="I9909" t="s">
        <v>2655</v>
      </c>
      <c r="J9909" t="s">
        <v>2656</v>
      </c>
      <c r="K9909" t="s">
        <v>2657</v>
      </c>
      <c r="L9909" t="s">
        <v>2658</v>
      </c>
      <c r="M9909" t="s">
        <v>2659</v>
      </c>
      <c r="N9909" t="s">
        <v>2660</v>
      </c>
      <c r="O9909" t="s">
        <v>2661</v>
      </c>
      <c r="P9909" t="s">
        <v>2662</v>
      </c>
      <c r="Q9909" t="s">
        <v>2663</v>
      </c>
      <c r="R9909" t="s">
        <v>2664</v>
      </c>
      <c r="S9909" t="s">
        <v>2665</v>
      </c>
      <c r="T9909" t="s">
        <v>2666</v>
      </c>
      <c r="U9909" t="s">
        <v>2667</v>
      </c>
      <c r="V9909" t="s">
        <v>2668</v>
      </c>
      <c r="W9909" t="s">
        <v>2669</v>
      </c>
      <c r="X9909" t="s">
        <v>2670</v>
      </c>
      <c r="Y9909" t="s">
        <v>2671</v>
      </c>
      <c r="Z9909" t="s">
        <v>2672</v>
      </c>
      <c r="AA9909" t="s">
        <v>2673</v>
      </c>
    </row>
    <row r="9910" spans="1:28" x14ac:dyDescent="0.3">
      <c r="A9910" t="s">
        <v>25</v>
      </c>
      <c r="B9910">
        <v>340</v>
      </c>
      <c r="C9910" t="s">
        <v>167</v>
      </c>
      <c r="D9910" t="s">
        <v>168</v>
      </c>
      <c r="E9910">
        <v>340</v>
      </c>
      <c r="F9910" t="s">
        <v>1355</v>
      </c>
      <c r="G9910" t="s">
        <v>607</v>
      </c>
      <c r="H9910" t="s">
        <v>103</v>
      </c>
      <c r="I9910">
        <v>340</v>
      </c>
      <c r="J9910" t="s">
        <v>828</v>
      </c>
      <c r="K9910" t="s">
        <v>649</v>
      </c>
      <c r="L9910" t="s">
        <v>103</v>
      </c>
      <c r="M9910">
        <v>340</v>
      </c>
      <c r="N9910" t="s">
        <v>359</v>
      </c>
      <c r="O9910" t="s">
        <v>798</v>
      </c>
      <c r="P9910" t="s">
        <v>103</v>
      </c>
      <c r="Q9910">
        <v>340</v>
      </c>
      <c r="R9910" t="s">
        <v>596</v>
      </c>
      <c r="S9910" t="s">
        <v>566</v>
      </c>
      <c r="T9910" t="s">
        <v>103</v>
      </c>
      <c r="U9910">
        <v>340</v>
      </c>
      <c r="V9910" t="s">
        <v>903</v>
      </c>
      <c r="W9910" t="s">
        <v>470</v>
      </c>
      <c r="X9910">
        <v>340</v>
      </c>
      <c r="Y9910" t="s">
        <v>1176</v>
      </c>
      <c r="Z9910" t="s">
        <v>93</v>
      </c>
      <c r="AA9910" t="s">
        <v>103</v>
      </c>
    </row>
    <row r="9911" spans="1:28" x14ac:dyDescent="0.3">
      <c r="A9911" t="s">
        <v>26</v>
      </c>
      <c r="B9911">
        <v>405</v>
      </c>
      <c r="C9911" t="s">
        <v>114</v>
      </c>
      <c r="D9911" t="s">
        <v>803</v>
      </c>
      <c r="E9911">
        <v>405</v>
      </c>
      <c r="F9911" t="s">
        <v>1141</v>
      </c>
      <c r="G9911" t="s">
        <v>472</v>
      </c>
      <c r="H9911" t="s">
        <v>103</v>
      </c>
      <c r="I9911">
        <v>405</v>
      </c>
      <c r="J9911" t="s">
        <v>736</v>
      </c>
      <c r="K9911" t="s">
        <v>559</v>
      </c>
      <c r="L9911" t="s">
        <v>103</v>
      </c>
      <c r="M9911">
        <v>405</v>
      </c>
      <c r="N9911" t="s">
        <v>363</v>
      </c>
      <c r="O9911" t="s">
        <v>359</v>
      </c>
      <c r="P9911" t="s">
        <v>116</v>
      </c>
      <c r="Q9911">
        <v>405</v>
      </c>
      <c r="R9911" t="s">
        <v>1137</v>
      </c>
      <c r="S9911" t="s">
        <v>230</v>
      </c>
      <c r="T9911" t="s">
        <v>103</v>
      </c>
      <c r="U9911">
        <v>405</v>
      </c>
      <c r="V9911" t="s">
        <v>1144</v>
      </c>
      <c r="W9911" t="s">
        <v>819</v>
      </c>
      <c r="X9911">
        <v>405</v>
      </c>
      <c r="Y9911" t="s">
        <v>321</v>
      </c>
      <c r="Z9911" t="s">
        <v>97</v>
      </c>
      <c r="AA9911" t="s">
        <v>103</v>
      </c>
    </row>
    <row r="9912" spans="1:28" x14ac:dyDescent="0.3">
      <c r="A9912" t="s">
        <v>29</v>
      </c>
      <c r="B9912">
        <v>390</v>
      </c>
      <c r="C9912" t="s">
        <v>115</v>
      </c>
      <c r="D9912" t="s">
        <v>740</v>
      </c>
      <c r="E9912">
        <v>390</v>
      </c>
      <c r="F9912" t="s">
        <v>55</v>
      </c>
      <c r="G9912" t="s">
        <v>46</v>
      </c>
      <c r="H9912" t="s">
        <v>239</v>
      </c>
      <c r="I9912">
        <v>390</v>
      </c>
      <c r="J9912" t="s">
        <v>1153</v>
      </c>
      <c r="K9912" t="s">
        <v>552</v>
      </c>
      <c r="L9912" t="s">
        <v>103</v>
      </c>
      <c r="M9912">
        <v>390</v>
      </c>
      <c r="N9912" t="s">
        <v>427</v>
      </c>
      <c r="O9912" t="s">
        <v>1034</v>
      </c>
      <c r="P9912" t="s">
        <v>116</v>
      </c>
      <c r="Q9912">
        <v>390</v>
      </c>
      <c r="R9912" t="s">
        <v>1436</v>
      </c>
      <c r="S9912" t="s">
        <v>1008</v>
      </c>
      <c r="T9912" t="s">
        <v>122</v>
      </c>
      <c r="U9912">
        <v>390</v>
      </c>
      <c r="V9912" t="s">
        <v>1138</v>
      </c>
      <c r="W9912" t="s">
        <v>514</v>
      </c>
      <c r="X9912">
        <v>389</v>
      </c>
      <c r="Y9912" t="s">
        <v>859</v>
      </c>
      <c r="Z9912" t="s">
        <v>272</v>
      </c>
      <c r="AA9912" t="s">
        <v>118</v>
      </c>
    </row>
    <row r="9913" spans="1:28" x14ac:dyDescent="0.3">
      <c r="A9913" t="s">
        <v>28</v>
      </c>
      <c r="B9913">
        <v>285</v>
      </c>
      <c r="C9913" t="s">
        <v>164</v>
      </c>
      <c r="D9913" t="s">
        <v>165</v>
      </c>
      <c r="E9913">
        <v>285</v>
      </c>
      <c r="F9913" t="s">
        <v>335</v>
      </c>
      <c r="G9913" t="s">
        <v>194</v>
      </c>
      <c r="H9913" t="s">
        <v>116</v>
      </c>
      <c r="I9913">
        <v>285</v>
      </c>
      <c r="J9913" t="s">
        <v>822</v>
      </c>
      <c r="K9913" t="s">
        <v>1038</v>
      </c>
      <c r="L9913" t="s">
        <v>116</v>
      </c>
      <c r="M9913">
        <v>285</v>
      </c>
      <c r="N9913" t="s">
        <v>1198</v>
      </c>
      <c r="O9913" t="s">
        <v>1305</v>
      </c>
      <c r="P9913" t="s">
        <v>122</v>
      </c>
      <c r="Q9913">
        <v>285</v>
      </c>
      <c r="R9913" t="s">
        <v>1062</v>
      </c>
      <c r="S9913" t="s">
        <v>645</v>
      </c>
      <c r="T9913" t="s">
        <v>122</v>
      </c>
      <c r="U9913">
        <v>285</v>
      </c>
      <c r="V9913" t="s">
        <v>374</v>
      </c>
      <c r="W9913" t="s">
        <v>375</v>
      </c>
      <c r="X9913">
        <v>285</v>
      </c>
      <c r="Y9913" t="s">
        <v>852</v>
      </c>
      <c r="Z9913" t="s">
        <v>329</v>
      </c>
      <c r="AA9913" t="s">
        <v>66</v>
      </c>
    </row>
    <row r="9914" spans="1:28" x14ac:dyDescent="0.3">
      <c r="A9914" t="s">
        <v>27</v>
      </c>
      <c r="B9914">
        <v>211</v>
      </c>
      <c r="C9914" t="s">
        <v>155</v>
      </c>
      <c r="D9914" t="s">
        <v>156</v>
      </c>
      <c r="E9914">
        <v>211</v>
      </c>
      <c r="F9914" t="s">
        <v>1481</v>
      </c>
      <c r="G9914" t="s">
        <v>208</v>
      </c>
      <c r="H9914" t="s">
        <v>103</v>
      </c>
      <c r="I9914">
        <v>211</v>
      </c>
      <c r="J9914" t="s">
        <v>283</v>
      </c>
      <c r="K9914" t="s">
        <v>494</v>
      </c>
      <c r="L9914" t="s">
        <v>97</v>
      </c>
      <c r="M9914">
        <v>211</v>
      </c>
      <c r="N9914" t="s">
        <v>1210</v>
      </c>
      <c r="O9914" t="s">
        <v>1394</v>
      </c>
      <c r="P9914" t="s">
        <v>103</v>
      </c>
      <c r="Q9914">
        <v>211</v>
      </c>
      <c r="R9914" t="s">
        <v>1438</v>
      </c>
      <c r="S9914" t="s">
        <v>261</v>
      </c>
      <c r="T9914" t="s">
        <v>110</v>
      </c>
      <c r="U9914">
        <v>211</v>
      </c>
      <c r="V9914" t="s">
        <v>1509</v>
      </c>
      <c r="W9914" t="s">
        <v>205</v>
      </c>
      <c r="X9914">
        <v>211</v>
      </c>
      <c r="Y9914" t="s">
        <v>841</v>
      </c>
      <c r="Z9914" t="s">
        <v>615</v>
      </c>
      <c r="AA9914" t="s">
        <v>103</v>
      </c>
    </row>
    <row r="9915" spans="1:28" x14ac:dyDescent="0.3">
      <c r="A9915" t="s">
        <v>41</v>
      </c>
      <c r="B9915">
        <v>1631</v>
      </c>
      <c r="C9915" t="s">
        <v>123</v>
      </c>
      <c r="D9915" t="s">
        <v>616</v>
      </c>
      <c r="E9915">
        <v>1631</v>
      </c>
      <c r="F9915" t="s">
        <v>612</v>
      </c>
      <c r="G9915" t="s">
        <v>566</v>
      </c>
      <c r="H9915" t="s">
        <v>95</v>
      </c>
      <c r="I9915">
        <v>1631</v>
      </c>
      <c r="J9915" t="s">
        <v>227</v>
      </c>
      <c r="K9915" t="s">
        <v>1198</v>
      </c>
      <c r="L9915" t="s">
        <v>103</v>
      </c>
      <c r="M9915">
        <v>1631</v>
      </c>
      <c r="N9915" t="s">
        <v>1396</v>
      </c>
      <c r="O9915" t="s">
        <v>414</v>
      </c>
      <c r="P9915" t="s">
        <v>66</v>
      </c>
      <c r="Q9915">
        <v>1631</v>
      </c>
      <c r="R9915" t="s">
        <v>2108</v>
      </c>
      <c r="S9915" t="s">
        <v>651</v>
      </c>
      <c r="T9915" t="s">
        <v>66</v>
      </c>
      <c r="U9915">
        <v>1631</v>
      </c>
      <c r="V9915" t="s">
        <v>55</v>
      </c>
      <c r="W9915" t="s">
        <v>56</v>
      </c>
      <c r="X9915">
        <v>1630</v>
      </c>
      <c r="Y9915" t="s">
        <v>988</v>
      </c>
      <c r="Z9915" t="s">
        <v>128</v>
      </c>
      <c r="AA9915" t="s">
        <v>282</v>
      </c>
    </row>
    <row r="9917" spans="1:28" x14ac:dyDescent="0.3">
      <c r="A9917" t="s">
        <v>2674</v>
      </c>
    </row>
    <row r="9918" spans="1:28" x14ac:dyDescent="0.3">
      <c r="A9918" t="s">
        <v>36</v>
      </c>
      <c r="B9918" t="s">
        <v>310</v>
      </c>
      <c r="C9918" t="s">
        <v>2648</v>
      </c>
      <c r="D9918" t="s">
        <v>2649</v>
      </c>
      <c r="E9918" t="s">
        <v>2650</v>
      </c>
      <c r="F9918" t="s">
        <v>2651</v>
      </c>
      <c r="G9918" t="s">
        <v>2652</v>
      </c>
      <c r="H9918" t="s">
        <v>2653</v>
      </c>
      <c r="I9918" t="s">
        <v>2654</v>
      </c>
      <c r="J9918" t="s">
        <v>2655</v>
      </c>
      <c r="K9918" t="s">
        <v>2656</v>
      </c>
      <c r="L9918" t="s">
        <v>2657</v>
      </c>
      <c r="M9918" t="s">
        <v>2658</v>
      </c>
      <c r="N9918" t="s">
        <v>2659</v>
      </c>
      <c r="O9918" t="s">
        <v>2660</v>
      </c>
      <c r="P9918" t="s">
        <v>2661</v>
      </c>
      <c r="Q9918" t="s">
        <v>2662</v>
      </c>
      <c r="R9918" t="s">
        <v>2663</v>
      </c>
      <c r="S9918" t="s">
        <v>2664</v>
      </c>
      <c r="T9918" t="s">
        <v>2665</v>
      </c>
      <c r="U9918" t="s">
        <v>2666</v>
      </c>
      <c r="V9918" t="s">
        <v>2667</v>
      </c>
      <c r="W9918" t="s">
        <v>2668</v>
      </c>
      <c r="X9918" t="s">
        <v>2669</v>
      </c>
      <c r="Y9918" t="s">
        <v>2670</v>
      </c>
      <c r="Z9918" t="s">
        <v>2671</v>
      </c>
      <c r="AA9918" t="s">
        <v>2672</v>
      </c>
      <c r="AB9918" t="s">
        <v>2673</v>
      </c>
    </row>
    <row r="9919" spans="1:28" x14ac:dyDescent="0.3">
      <c r="A9919" t="s">
        <v>25</v>
      </c>
      <c r="B9919" t="s">
        <v>311</v>
      </c>
      <c r="C9919">
        <v>269</v>
      </c>
      <c r="D9919" t="s">
        <v>918</v>
      </c>
      <c r="E9919" t="s">
        <v>613</v>
      </c>
      <c r="F9919">
        <v>269</v>
      </c>
      <c r="G9919" t="s">
        <v>288</v>
      </c>
      <c r="H9919" t="s">
        <v>452</v>
      </c>
      <c r="I9919" t="s">
        <v>103</v>
      </c>
      <c r="J9919">
        <v>269</v>
      </c>
      <c r="K9919" t="s">
        <v>147</v>
      </c>
      <c r="L9919" t="s">
        <v>146</v>
      </c>
      <c r="M9919" t="s">
        <v>103</v>
      </c>
      <c r="N9919">
        <v>269</v>
      </c>
      <c r="O9919" t="s">
        <v>1228</v>
      </c>
      <c r="P9919" t="s">
        <v>1030</v>
      </c>
      <c r="Q9919" t="s">
        <v>103</v>
      </c>
      <c r="R9919">
        <v>269</v>
      </c>
      <c r="S9919" t="s">
        <v>276</v>
      </c>
      <c r="T9919" t="s">
        <v>682</v>
      </c>
      <c r="U9919" t="s">
        <v>103</v>
      </c>
      <c r="V9919">
        <v>269</v>
      </c>
      <c r="W9919" t="s">
        <v>2104</v>
      </c>
      <c r="X9919" t="s">
        <v>829</v>
      </c>
      <c r="Y9919">
        <v>269</v>
      </c>
      <c r="Z9919" t="s">
        <v>950</v>
      </c>
      <c r="AA9919" t="s">
        <v>98</v>
      </c>
      <c r="AB9919" t="s">
        <v>103</v>
      </c>
    </row>
    <row r="9920" spans="1:28" x14ac:dyDescent="0.3">
      <c r="A9920" t="s">
        <v>25</v>
      </c>
      <c r="B9920" t="s">
        <v>312</v>
      </c>
      <c r="C9920">
        <v>62</v>
      </c>
      <c r="D9920" t="s">
        <v>150</v>
      </c>
      <c r="E9920" t="s">
        <v>151</v>
      </c>
      <c r="F9920">
        <v>62</v>
      </c>
      <c r="G9920" t="s">
        <v>158</v>
      </c>
      <c r="H9920" t="s">
        <v>157</v>
      </c>
      <c r="I9920" t="s">
        <v>103</v>
      </c>
      <c r="J9920">
        <v>62</v>
      </c>
      <c r="K9920" t="s">
        <v>1027</v>
      </c>
      <c r="L9920" t="s">
        <v>140</v>
      </c>
      <c r="M9920" t="s">
        <v>103</v>
      </c>
      <c r="N9920">
        <v>62</v>
      </c>
      <c r="O9920" t="s">
        <v>375</v>
      </c>
      <c r="P9920" t="s">
        <v>374</v>
      </c>
      <c r="Q9920" t="s">
        <v>103</v>
      </c>
      <c r="R9920">
        <v>62</v>
      </c>
      <c r="S9920" t="s">
        <v>1167</v>
      </c>
      <c r="T9920" t="s">
        <v>190</v>
      </c>
      <c r="U9920" t="s">
        <v>103</v>
      </c>
      <c r="V9920">
        <v>62</v>
      </c>
      <c r="W9920" t="s">
        <v>774</v>
      </c>
      <c r="X9920" t="s">
        <v>273</v>
      </c>
      <c r="Y9920">
        <v>62</v>
      </c>
      <c r="Z9920" t="s">
        <v>991</v>
      </c>
      <c r="AA9920" t="s">
        <v>251</v>
      </c>
      <c r="AB9920" t="s">
        <v>103</v>
      </c>
    </row>
    <row r="9921" spans="1:28" x14ac:dyDescent="0.3">
      <c r="A9921" t="s">
        <v>25</v>
      </c>
      <c r="B9921" t="s">
        <v>308</v>
      </c>
      <c r="C9921">
        <v>9</v>
      </c>
      <c r="D9921" t="s">
        <v>393</v>
      </c>
      <c r="E9921" t="s">
        <v>394</v>
      </c>
      <c r="F9921">
        <v>9</v>
      </c>
      <c r="G9921" t="s">
        <v>192</v>
      </c>
      <c r="H9921" t="s">
        <v>103</v>
      </c>
      <c r="I9921" t="s">
        <v>103</v>
      </c>
      <c r="J9921">
        <v>9</v>
      </c>
      <c r="K9921" t="s">
        <v>622</v>
      </c>
      <c r="L9921" t="s">
        <v>687</v>
      </c>
      <c r="M9921" t="s">
        <v>103</v>
      </c>
      <c r="N9921">
        <v>9</v>
      </c>
      <c r="O9921" t="s">
        <v>374</v>
      </c>
      <c r="P9921" t="s">
        <v>375</v>
      </c>
      <c r="Q9921" t="s">
        <v>103</v>
      </c>
      <c r="R9921">
        <v>9</v>
      </c>
      <c r="S9921" t="s">
        <v>192</v>
      </c>
      <c r="T9921" t="s">
        <v>103</v>
      </c>
      <c r="U9921" t="s">
        <v>103</v>
      </c>
      <c r="V9921">
        <v>9</v>
      </c>
      <c r="W9921" t="s">
        <v>776</v>
      </c>
      <c r="X9921" t="s">
        <v>517</v>
      </c>
      <c r="Y9921">
        <v>9</v>
      </c>
      <c r="Z9921" t="s">
        <v>771</v>
      </c>
      <c r="AA9921" t="s">
        <v>136</v>
      </c>
      <c r="AB9921" t="s">
        <v>103</v>
      </c>
    </row>
    <row r="9922" spans="1:28" x14ac:dyDescent="0.3">
      <c r="A9922" t="s">
        <v>26</v>
      </c>
      <c r="B9922" t="s">
        <v>311</v>
      </c>
      <c r="C9922">
        <v>293</v>
      </c>
      <c r="D9922" t="s">
        <v>615</v>
      </c>
      <c r="E9922" t="s">
        <v>841</v>
      </c>
      <c r="F9922">
        <v>293</v>
      </c>
      <c r="G9922" t="s">
        <v>760</v>
      </c>
      <c r="H9922" t="s">
        <v>486</v>
      </c>
      <c r="I9922" t="s">
        <v>103</v>
      </c>
      <c r="J9922">
        <v>293</v>
      </c>
      <c r="K9922" t="s">
        <v>1420</v>
      </c>
      <c r="L9922" t="s">
        <v>583</v>
      </c>
      <c r="M9922" t="s">
        <v>103</v>
      </c>
      <c r="N9922">
        <v>293</v>
      </c>
      <c r="O9922" t="s">
        <v>1067</v>
      </c>
      <c r="P9922" t="s">
        <v>359</v>
      </c>
      <c r="Q9922" t="s">
        <v>122</v>
      </c>
      <c r="R9922">
        <v>293</v>
      </c>
      <c r="S9922" t="s">
        <v>785</v>
      </c>
      <c r="T9922" t="s">
        <v>626</v>
      </c>
      <c r="U9922" t="s">
        <v>103</v>
      </c>
      <c r="V9922">
        <v>293</v>
      </c>
      <c r="W9922" t="s">
        <v>739</v>
      </c>
      <c r="X9922" t="s">
        <v>485</v>
      </c>
      <c r="Y9922">
        <v>293</v>
      </c>
      <c r="Z9922" t="s">
        <v>343</v>
      </c>
      <c r="AA9922" t="s">
        <v>120</v>
      </c>
      <c r="AB9922" t="s">
        <v>103</v>
      </c>
    </row>
    <row r="9923" spans="1:28" x14ac:dyDescent="0.3">
      <c r="A9923" t="s">
        <v>26</v>
      </c>
      <c r="B9923" t="s">
        <v>312</v>
      </c>
      <c r="C9923">
        <v>77</v>
      </c>
      <c r="D9923" t="s">
        <v>194</v>
      </c>
      <c r="E9923" t="s">
        <v>326</v>
      </c>
      <c r="F9923">
        <v>77</v>
      </c>
      <c r="G9923" t="s">
        <v>1022</v>
      </c>
      <c r="H9923" t="s">
        <v>551</v>
      </c>
      <c r="I9923" t="s">
        <v>103</v>
      </c>
      <c r="J9923">
        <v>77</v>
      </c>
      <c r="K9923" t="s">
        <v>944</v>
      </c>
      <c r="L9923" t="s">
        <v>920</v>
      </c>
      <c r="M9923" t="s">
        <v>103</v>
      </c>
      <c r="N9923">
        <v>77</v>
      </c>
      <c r="O9923" t="s">
        <v>1025</v>
      </c>
      <c r="P9923" t="s">
        <v>1214</v>
      </c>
      <c r="Q9923" t="s">
        <v>103</v>
      </c>
      <c r="R9923">
        <v>77</v>
      </c>
      <c r="S9923" t="s">
        <v>728</v>
      </c>
      <c r="T9923" t="s">
        <v>727</v>
      </c>
      <c r="U9923" t="s">
        <v>103</v>
      </c>
      <c r="V9923">
        <v>77</v>
      </c>
      <c r="W9923" t="s">
        <v>1348</v>
      </c>
      <c r="X9923" t="s">
        <v>646</v>
      </c>
      <c r="Y9923">
        <v>77</v>
      </c>
      <c r="Z9923" t="s">
        <v>192</v>
      </c>
      <c r="AA9923" t="s">
        <v>103</v>
      </c>
      <c r="AB9923" t="s">
        <v>103</v>
      </c>
    </row>
    <row r="9924" spans="1:28" x14ac:dyDescent="0.3">
      <c r="A9924" t="s">
        <v>26</v>
      </c>
      <c r="B9924" t="s">
        <v>308</v>
      </c>
      <c r="C9924">
        <v>35</v>
      </c>
      <c r="D9924" t="s">
        <v>64</v>
      </c>
      <c r="E9924" t="s">
        <v>65</v>
      </c>
      <c r="F9924">
        <v>35</v>
      </c>
      <c r="G9924" t="s">
        <v>1056</v>
      </c>
      <c r="H9924" t="s">
        <v>256</v>
      </c>
      <c r="I9924" t="s">
        <v>103</v>
      </c>
      <c r="J9924">
        <v>35</v>
      </c>
      <c r="K9924" t="s">
        <v>1581</v>
      </c>
      <c r="L9924" t="s">
        <v>1204</v>
      </c>
      <c r="M9924" t="s">
        <v>103</v>
      </c>
      <c r="N9924">
        <v>35</v>
      </c>
      <c r="O9924" t="s">
        <v>1250</v>
      </c>
      <c r="P9924" t="s">
        <v>572</v>
      </c>
      <c r="Q9924" t="s">
        <v>103</v>
      </c>
      <c r="R9924">
        <v>35</v>
      </c>
      <c r="S9924" t="s">
        <v>2104</v>
      </c>
      <c r="T9924" t="s">
        <v>829</v>
      </c>
      <c r="U9924" t="s">
        <v>103</v>
      </c>
      <c r="V9924">
        <v>35</v>
      </c>
      <c r="W9924" t="s">
        <v>827</v>
      </c>
      <c r="X9924" t="s">
        <v>262</v>
      </c>
      <c r="Y9924">
        <v>35</v>
      </c>
      <c r="Z9924" t="s">
        <v>192</v>
      </c>
      <c r="AA9924" t="s">
        <v>103</v>
      </c>
      <c r="AB9924" t="s">
        <v>103</v>
      </c>
    </row>
    <row r="9925" spans="1:28" x14ac:dyDescent="0.3">
      <c r="A9925" t="s">
        <v>29</v>
      </c>
      <c r="B9925" t="s">
        <v>311</v>
      </c>
      <c r="C9925">
        <v>303</v>
      </c>
      <c r="D9925" t="s">
        <v>92</v>
      </c>
      <c r="E9925" t="s">
        <v>617</v>
      </c>
      <c r="F9925">
        <v>303</v>
      </c>
      <c r="G9925" t="s">
        <v>143</v>
      </c>
      <c r="H9925" t="s">
        <v>570</v>
      </c>
      <c r="I9925" t="s">
        <v>216</v>
      </c>
      <c r="J9925">
        <v>303</v>
      </c>
      <c r="K9925" t="s">
        <v>761</v>
      </c>
      <c r="L9925" t="s">
        <v>695</v>
      </c>
      <c r="M9925" t="s">
        <v>103</v>
      </c>
      <c r="N9925">
        <v>303</v>
      </c>
      <c r="O9925" t="s">
        <v>1205</v>
      </c>
      <c r="P9925" t="s">
        <v>1418</v>
      </c>
      <c r="Q9925" t="s">
        <v>122</v>
      </c>
      <c r="R9925">
        <v>303</v>
      </c>
      <c r="S9925" t="s">
        <v>1354</v>
      </c>
      <c r="T9925" t="s">
        <v>534</v>
      </c>
      <c r="U9925" t="s">
        <v>116</v>
      </c>
      <c r="V9925">
        <v>303</v>
      </c>
      <c r="W9925" t="s">
        <v>55</v>
      </c>
      <c r="X9925" t="s">
        <v>56</v>
      </c>
      <c r="Y9925">
        <v>302</v>
      </c>
      <c r="Z9925" t="s">
        <v>1484</v>
      </c>
      <c r="AA9925" t="s">
        <v>591</v>
      </c>
      <c r="AB9925" t="s">
        <v>270</v>
      </c>
    </row>
    <row r="9926" spans="1:28" x14ac:dyDescent="0.3">
      <c r="A9926" t="s">
        <v>29</v>
      </c>
      <c r="B9926" t="s">
        <v>312</v>
      </c>
      <c r="C9926">
        <v>77</v>
      </c>
      <c r="D9926" t="s">
        <v>232</v>
      </c>
      <c r="E9926" t="s">
        <v>864</v>
      </c>
      <c r="F9926">
        <v>77</v>
      </c>
      <c r="G9926" t="s">
        <v>610</v>
      </c>
      <c r="H9926" t="s">
        <v>506</v>
      </c>
      <c r="I9926" t="s">
        <v>239</v>
      </c>
      <c r="J9926">
        <v>77</v>
      </c>
      <c r="K9926" t="s">
        <v>47</v>
      </c>
      <c r="L9926" t="s">
        <v>48</v>
      </c>
      <c r="M9926" t="s">
        <v>103</v>
      </c>
      <c r="N9926">
        <v>77</v>
      </c>
      <c r="O9926" t="s">
        <v>1422</v>
      </c>
      <c r="P9926" t="s">
        <v>1221</v>
      </c>
      <c r="Q9926" t="s">
        <v>103</v>
      </c>
      <c r="R9926">
        <v>77</v>
      </c>
      <c r="S9926" t="s">
        <v>1316</v>
      </c>
      <c r="T9926" t="s">
        <v>900</v>
      </c>
      <c r="U9926" t="s">
        <v>97</v>
      </c>
      <c r="V9926">
        <v>77</v>
      </c>
      <c r="W9926" t="s">
        <v>243</v>
      </c>
      <c r="X9926" t="s">
        <v>578</v>
      </c>
      <c r="Y9926">
        <v>77</v>
      </c>
      <c r="Z9926" t="s">
        <v>321</v>
      </c>
      <c r="AA9926" t="s">
        <v>103</v>
      </c>
      <c r="AB9926" t="s">
        <v>97</v>
      </c>
    </row>
    <row r="9927" spans="1:28" x14ac:dyDescent="0.3">
      <c r="A9927" t="s">
        <v>29</v>
      </c>
      <c r="B9927" t="s">
        <v>308</v>
      </c>
      <c r="C9927">
        <v>10</v>
      </c>
      <c r="D9927" t="s">
        <v>121</v>
      </c>
      <c r="E9927" t="s">
        <v>822</v>
      </c>
      <c r="F9927">
        <v>10</v>
      </c>
      <c r="G9927" t="s">
        <v>757</v>
      </c>
      <c r="H9927" t="s">
        <v>756</v>
      </c>
      <c r="I9927" t="s">
        <v>103</v>
      </c>
      <c r="J9927">
        <v>10</v>
      </c>
      <c r="K9927" t="s">
        <v>724</v>
      </c>
      <c r="L9927" t="s">
        <v>547</v>
      </c>
      <c r="M9927" t="s">
        <v>103</v>
      </c>
      <c r="N9927">
        <v>10</v>
      </c>
      <c r="O9927" t="s">
        <v>684</v>
      </c>
      <c r="P9927" t="s">
        <v>1136</v>
      </c>
      <c r="Q9927" t="s">
        <v>103</v>
      </c>
      <c r="R9927">
        <v>10</v>
      </c>
      <c r="S9927" t="s">
        <v>1420</v>
      </c>
      <c r="T9927" t="s">
        <v>583</v>
      </c>
      <c r="U9927" t="s">
        <v>103</v>
      </c>
      <c r="V9927">
        <v>10</v>
      </c>
      <c r="W9927" t="s">
        <v>711</v>
      </c>
      <c r="X9927" t="s">
        <v>570</v>
      </c>
      <c r="Y9927">
        <v>10</v>
      </c>
      <c r="Z9927" t="s">
        <v>192</v>
      </c>
      <c r="AA9927" t="s">
        <v>103</v>
      </c>
      <c r="AB9927" t="s">
        <v>103</v>
      </c>
    </row>
    <row r="9928" spans="1:28" x14ac:dyDescent="0.3">
      <c r="A9928" t="s">
        <v>28</v>
      </c>
      <c r="B9928" t="s">
        <v>311</v>
      </c>
      <c r="C9928">
        <v>209</v>
      </c>
      <c r="D9928" t="s">
        <v>117</v>
      </c>
      <c r="E9928" t="s">
        <v>159</v>
      </c>
      <c r="F9928">
        <v>209</v>
      </c>
      <c r="G9928" t="s">
        <v>326</v>
      </c>
      <c r="H9928" t="s">
        <v>194</v>
      </c>
      <c r="I9928" t="s">
        <v>103</v>
      </c>
      <c r="J9928">
        <v>209</v>
      </c>
      <c r="K9928" t="s">
        <v>801</v>
      </c>
      <c r="L9928" t="s">
        <v>604</v>
      </c>
      <c r="M9928" t="s">
        <v>122</v>
      </c>
      <c r="N9928">
        <v>209</v>
      </c>
      <c r="O9928" t="s">
        <v>264</v>
      </c>
      <c r="P9928" t="s">
        <v>753</v>
      </c>
      <c r="Q9928" t="s">
        <v>103</v>
      </c>
      <c r="R9928">
        <v>209</v>
      </c>
      <c r="S9928" t="s">
        <v>703</v>
      </c>
      <c r="T9928" t="s">
        <v>1093</v>
      </c>
      <c r="U9928" t="s">
        <v>120</v>
      </c>
      <c r="V9928">
        <v>209</v>
      </c>
      <c r="W9928" t="s">
        <v>621</v>
      </c>
      <c r="X9928" t="s">
        <v>1028</v>
      </c>
      <c r="Y9928">
        <v>209</v>
      </c>
      <c r="Z9928" t="s">
        <v>837</v>
      </c>
      <c r="AA9928" t="s">
        <v>266</v>
      </c>
      <c r="AB9928" t="s">
        <v>116</v>
      </c>
    </row>
    <row r="9929" spans="1:28" x14ac:dyDescent="0.3">
      <c r="A9929" t="s">
        <v>28</v>
      </c>
      <c r="B9929" t="s">
        <v>312</v>
      </c>
      <c r="C9929">
        <v>75</v>
      </c>
      <c r="D9929" t="s">
        <v>30</v>
      </c>
      <c r="E9929" t="s">
        <v>1381</v>
      </c>
      <c r="F9929">
        <v>75</v>
      </c>
      <c r="G9929" t="s">
        <v>339</v>
      </c>
      <c r="H9929" t="s">
        <v>194</v>
      </c>
      <c r="I9929" t="s">
        <v>468</v>
      </c>
      <c r="J9929">
        <v>75</v>
      </c>
      <c r="K9929" t="s">
        <v>610</v>
      </c>
      <c r="L9929" t="s">
        <v>805</v>
      </c>
      <c r="M9929" t="s">
        <v>103</v>
      </c>
      <c r="N9929">
        <v>75</v>
      </c>
      <c r="O9929" t="s">
        <v>667</v>
      </c>
      <c r="P9929" t="s">
        <v>1239</v>
      </c>
      <c r="Q9929" t="s">
        <v>245</v>
      </c>
      <c r="R9929">
        <v>75</v>
      </c>
      <c r="S9929" t="s">
        <v>381</v>
      </c>
      <c r="T9929" t="s">
        <v>382</v>
      </c>
      <c r="U9929" t="s">
        <v>103</v>
      </c>
      <c r="V9929">
        <v>75</v>
      </c>
      <c r="W9929" t="s">
        <v>1202</v>
      </c>
      <c r="X9929" t="s">
        <v>1009</v>
      </c>
      <c r="Y9929">
        <v>75</v>
      </c>
      <c r="Z9929" t="s">
        <v>192</v>
      </c>
      <c r="AA9929" t="s">
        <v>103</v>
      </c>
      <c r="AB9929" t="s">
        <v>103</v>
      </c>
    </row>
    <row r="9930" spans="1:28" x14ac:dyDescent="0.3">
      <c r="A9930" t="s">
        <v>28</v>
      </c>
      <c r="B9930" t="s">
        <v>308</v>
      </c>
      <c r="C9930">
        <v>1</v>
      </c>
      <c r="D9930" t="s">
        <v>192</v>
      </c>
      <c r="E9930" t="s">
        <v>103</v>
      </c>
      <c r="F9930">
        <v>1</v>
      </c>
      <c r="G9930" t="s">
        <v>192</v>
      </c>
      <c r="H9930" t="s">
        <v>103</v>
      </c>
      <c r="I9930" t="s">
        <v>103</v>
      </c>
      <c r="J9930">
        <v>1</v>
      </c>
      <c r="K9930" t="s">
        <v>192</v>
      </c>
      <c r="L9930" t="s">
        <v>103</v>
      </c>
      <c r="M9930" t="s">
        <v>103</v>
      </c>
      <c r="N9930">
        <v>1</v>
      </c>
      <c r="O9930" t="s">
        <v>103</v>
      </c>
      <c r="P9930" t="s">
        <v>192</v>
      </c>
      <c r="Q9930" t="s">
        <v>103</v>
      </c>
      <c r="R9930">
        <v>1</v>
      </c>
      <c r="S9930" t="s">
        <v>192</v>
      </c>
      <c r="T9930" t="s">
        <v>103</v>
      </c>
      <c r="U9930" t="s">
        <v>103</v>
      </c>
      <c r="V9930">
        <v>1</v>
      </c>
      <c r="W9930" t="s">
        <v>103</v>
      </c>
      <c r="X9930" t="s">
        <v>192</v>
      </c>
      <c r="Y9930">
        <v>1</v>
      </c>
      <c r="Z9930" t="s">
        <v>192</v>
      </c>
      <c r="AA9930" t="s">
        <v>103</v>
      </c>
      <c r="AB9930" t="s">
        <v>103</v>
      </c>
    </row>
    <row r="9931" spans="1:28" x14ac:dyDescent="0.3">
      <c r="A9931" t="s">
        <v>27</v>
      </c>
      <c r="B9931" t="s">
        <v>311</v>
      </c>
      <c r="C9931">
        <v>174</v>
      </c>
      <c r="D9931" t="s">
        <v>56</v>
      </c>
      <c r="E9931" t="s">
        <v>55</v>
      </c>
      <c r="F9931">
        <v>174</v>
      </c>
      <c r="G9931" t="s">
        <v>335</v>
      </c>
      <c r="H9931" t="s">
        <v>239</v>
      </c>
      <c r="I9931" t="s">
        <v>103</v>
      </c>
      <c r="J9931">
        <v>174</v>
      </c>
      <c r="K9931" t="s">
        <v>598</v>
      </c>
      <c r="L9931" t="s">
        <v>737</v>
      </c>
      <c r="M9931" t="s">
        <v>97</v>
      </c>
      <c r="N9931">
        <v>174</v>
      </c>
      <c r="O9931" t="s">
        <v>432</v>
      </c>
      <c r="P9931" t="s">
        <v>2185</v>
      </c>
      <c r="Q9931" t="s">
        <v>103</v>
      </c>
      <c r="R9931">
        <v>174</v>
      </c>
      <c r="S9931" t="s">
        <v>255</v>
      </c>
      <c r="T9931" t="s">
        <v>230</v>
      </c>
      <c r="U9931" t="s">
        <v>216</v>
      </c>
      <c r="V9931">
        <v>174</v>
      </c>
      <c r="W9931" t="s">
        <v>863</v>
      </c>
      <c r="X9931" t="s">
        <v>191</v>
      </c>
      <c r="Y9931">
        <v>174</v>
      </c>
      <c r="Z9931" t="s">
        <v>850</v>
      </c>
      <c r="AA9931" t="s">
        <v>33</v>
      </c>
      <c r="AB9931" t="s">
        <v>103</v>
      </c>
    </row>
    <row r="9932" spans="1:28" x14ac:dyDescent="0.3">
      <c r="A9932" t="s">
        <v>27</v>
      </c>
      <c r="B9932" t="s">
        <v>312</v>
      </c>
      <c r="C9932">
        <v>36</v>
      </c>
      <c r="D9932" t="s">
        <v>644</v>
      </c>
      <c r="E9932" t="s">
        <v>1359</v>
      </c>
      <c r="F9932">
        <v>36</v>
      </c>
      <c r="G9932" t="s">
        <v>597</v>
      </c>
      <c r="H9932" t="s">
        <v>278</v>
      </c>
      <c r="I9932" t="s">
        <v>103</v>
      </c>
      <c r="J9932">
        <v>36</v>
      </c>
      <c r="K9932" t="s">
        <v>837</v>
      </c>
      <c r="L9932" t="s">
        <v>195</v>
      </c>
      <c r="M9932" t="s">
        <v>103</v>
      </c>
      <c r="N9932">
        <v>36</v>
      </c>
      <c r="O9932" t="s">
        <v>1007</v>
      </c>
      <c r="P9932" t="s">
        <v>1241</v>
      </c>
      <c r="Q9932" t="s">
        <v>103</v>
      </c>
      <c r="R9932">
        <v>36</v>
      </c>
      <c r="S9932" t="s">
        <v>724</v>
      </c>
      <c r="T9932" t="s">
        <v>547</v>
      </c>
      <c r="U9932" t="s">
        <v>103</v>
      </c>
      <c r="V9932">
        <v>36</v>
      </c>
      <c r="W9932" t="s">
        <v>192</v>
      </c>
      <c r="X9932" t="s">
        <v>103</v>
      </c>
      <c r="Y9932">
        <v>36</v>
      </c>
      <c r="Z9932" t="s">
        <v>837</v>
      </c>
      <c r="AA9932" t="s">
        <v>195</v>
      </c>
      <c r="AB9932" t="s">
        <v>103</v>
      </c>
    </row>
    <row r="9933" spans="1:28" x14ac:dyDescent="0.3">
      <c r="A9933" t="s">
        <v>27</v>
      </c>
      <c r="B9933" t="s">
        <v>308</v>
      </c>
      <c r="C9933">
        <v>1</v>
      </c>
      <c r="D9933" t="s">
        <v>103</v>
      </c>
      <c r="E9933" t="s">
        <v>192</v>
      </c>
      <c r="F9933">
        <v>1</v>
      </c>
      <c r="G9933" t="s">
        <v>192</v>
      </c>
      <c r="H9933" t="s">
        <v>103</v>
      </c>
      <c r="I9933" t="s">
        <v>103</v>
      </c>
      <c r="J9933">
        <v>1</v>
      </c>
      <c r="K9933" t="s">
        <v>192</v>
      </c>
      <c r="L9933" t="s">
        <v>103</v>
      </c>
      <c r="M9933" t="s">
        <v>103</v>
      </c>
      <c r="N9933">
        <v>1</v>
      </c>
      <c r="O9933" t="s">
        <v>103</v>
      </c>
      <c r="P9933" t="s">
        <v>192</v>
      </c>
      <c r="Q9933" t="s">
        <v>103</v>
      </c>
      <c r="R9933">
        <v>1</v>
      </c>
      <c r="S9933" t="s">
        <v>192</v>
      </c>
      <c r="T9933" t="s">
        <v>103</v>
      </c>
      <c r="U9933" t="s">
        <v>103</v>
      </c>
      <c r="V9933">
        <v>1</v>
      </c>
      <c r="W9933" t="s">
        <v>192</v>
      </c>
      <c r="X9933" t="s">
        <v>103</v>
      </c>
      <c r="Y9933">
        <v>1</v>
      </c>
      <c r="Z9933" t="s">
        <v>192</v>
      </c>
      <c r="AA9933" t="s">
        <v>103</v>
      </c>
      <c r="AB9933" t="s">
        <v>103</v>
      </c>
    </row>
    <row r="9934" spans="1:28" x14ac:dyDescent="0.3">
      <c r="A9934" t="s">
        <v>41</v>
      </c>
      <c r="B9934" t="s">
        <v>311</v>
      </c>
      <c r="C9934">
        <v>1248</v>
      </c>
      <c r="D9934" t="s">
        <v>104</v>
      </c>
      <c r="E9934" t="s">
        <v>215</v>
      </c>
      <c r="F9934">
        <v>1248</v>
      </c>
      <c r="G9934" t="s">
        <v>617</v>
      </c>
      <c r="H9934" t="s">
        <v>175</v>
      </c>
      <c r="I9934" t="s">
        <v>95</v>
      </c>
      <c r="J9934">
        <v>1248</v>
      </c>
      <c r="K9934" t="s">
        <v>1040</v>
      </c>
      <c r="L9934" t="s">
        <v>707</v>
      </c>
      <c r="M9934" t="s">
        <v>103</v>
      </c>
      <c r="N9934">
        <v>1248</v>
      </c>
      <c r="O9934" t="s">
        <v>432</v>
      </c>
      <c r="P9934" t="s">
        <v>374</v>
      </c>
      <c r="Q9934" t="s">
        <v>116</v>
      </c>
      <c r="R9934">
        <v>1248</v>
      </c>
      <c r="S9934" t="s">
        <v>1398</v>
      </c>
      <c r="T9934" t="s">
        <v>1082</v>
      </c>
      <c r="U9934" t="s">
        <v>116</v>
      </c>
      <c r="V9934">
        <v>1248</v>
      </c>
      <c r="W9934" t="s">
        <v>55</v>
      </c>
      <c r="X9934" t="s">
        <v>56</v>
      </c>
      <c r="Y9934">
        <v>1247</v>
      </c>
      <c r="Z9934" t="s">
        <v>833</v>
      </c>
      <c r="AA9934" t="s">
        <v>257</v>
      </c>
      <c r="AB9934" t="s">
        <v>194</v>
      </c>
    </row>
    <row r="9935" spans="1:28" x14ac:dyDescent="0.3">
      <c r="A9935" t="s">
        <v>41</v>
      </c>
      <c r="B9935" t="s">
        <v>312</v>
      </c>
      <c r="C9935">
        <v>327</v>
      </c>
      <c r="D9935" t="s">
        <v>126</v>
      </c>
      <c r="E9935" t="s">
        <v>590</v>
      </c>
      <c r="F9935">
        <v>327</v>
      </c>
      <c r="G9935" t="s">
        <v>243</v>
      </c>
      <c r="H9935" t="s">
        <v>682</v>
      </c>
      <c r="I9935" t="s">
        <v>139</v>
      </c>
      <c r="J9935">
        <v>327</v>
      </c>
      <c r="K9935" t="s">
        <v>1135</v>
      </c>
      <c r="L9935" t="s">
        <v>579</v>
      </c>
      <c r="M9935" t="s">
        <v>103</v>
      </c>
      <c r="N9935">
        <v>327</v>
      </c>
      <c r="O9935" t="s">
        <v>535</v>
      </c>
      <c r="P9935" t="s">
        <v>1002</v>
      </c>
      <c r="Q9935" t="s">
        <v>91</v>
      </c>
      <c r="R9935">
        <v>327</v>
      </c>
      <c r="S9935" t="s">
        <v>156</v>
      </c>
      <c r="T9935" t="s">
        <v>681</v>
      </c>
      <c r="U9935" t="s">
        <v>66</v>
      </c>
      <c r="V9935">
        <v>327</v>
      </c>
      <c r="W9935" t="s">
        <v>733</v>
      </c>
      <c r="X9935" t="s">
        <v>732</v>
      </c>
      <c r="Y9935">
        <v>327</v>
      </c>
      <c r="Z9935" t="s">
        <v>340</v>
      </c>
      <c r="AA9935" t="s">
        <v>110</v>
      </c>
      <c r="AB9935" t="s">
        <v>66</v>
      </c>
    </row>
    <row r="9936" spans="1:28" x14ac:dyDescent="0.3">
      <c r="A9936" t="s">
        <v>41</v>
      </c>
      <c r="B9936" t="s">
        <v>308</v>
      </c>
      <c r="C9936">
        <v>56</v>
      </c>
      <c r="D9936" t="s">
        <v>275</v>
      </c>
      <c r="E9936" t="s">
        <v>1131</v>
      </c>
      <c r="F9936">
        <v>56</v>
      </c>
      <c r="G9936" t="s">
        <v>711</v>
      </c>
      <c r="H9936" t="s">
        <v>570</v>
      </c>
      <c r="I9936" t="s">
        <v>103</v>
      </c>
      <c r="J9936">
        <v>56</v>
      </c>
      <c r="K9936" t="s">
        <v>1136</v>
      </c>
      <c r="L9936" t="s">
        <v>684</v>
      </c>
      <c r="M9936" t="s">
        <v>103</v>
      </c>
      <c r="N9936">
        <v>56</v>
      </c>
      <c r="O9936" t="s">
        <v>546</v>
      </c>
      <c r="P9936" t="s">
        <v>1426</v>
      </c>
      <c r="Q9936" t="s">
        <v>103</v>
      </c>
      <c r="R9936">
        <v>56</v>
      </c>
      <c r="S9936" t="s">
        <v>45</v>
      </c>
      <c r="T9936" t="s">
        <v>46</v>
      </c>
      <c r="U9936" t="s">
        <v>103</v>
      </c>
      <c r="V9936">
        <v>56</v>
      </c>
      <c r="W9936" t="s">
        <v>974</v>
      </c>
      <c r="X9936" t="s">
        <v>119</v>
      </c>
      <c r="Y9936">
        <v>56</v>
      </c>
      <c r="Z9936" t="s">
        <v>322</v>
      </c>
      <c r="AA9936" t="s">
        <v>105</v>
      </c>
      <c r="AB9936" t="s">
        <v>103</v>
      </c>
    </row>
    <row r="9938" spans="1:28" x14ac:dyDescent="0.3">
      <c r="A9938" t="s">
        <v>2675</v>
      </c>
    </row>
    <row r="9939" spans="1:28" x14ac:dyDescent="0.3">
      <c r="A9939" t="s">
        <v>36</v>
      </c>
      <c r="B9939" t="s">
        <v>197</v>
      </c>
      <c r="C9939" t="s">
        <v>2648</v>
      </c>
      <c r="D9939" t="s">
        <v>2649</v>
      </c>
      <c r="E9939" t="s">
        <v>2650</v>
      </c>
      <c r="F9939" t="s">
        <v>2651</v>
      </c>
      <c r="G9939" t="s">
        <v>2652</v>
      </c>
      <c r="H9939" t="s">
        <v>2653</v>
      </c>
      <c r="I9939" t="s">
        <v>2654</v>
      </c>
      <c r="J9939" t="s">
        <v>2655</v>
      </c>
      <c r="K9939" t="s">
        <v>2656</v>
      </c>
      <c r="L9939" t="s">
        <v>2657</v>
      </c>
      <c r="M9939" t="s">
        <v>2658</v>
      </c>
      <c r="N9939" t="s">
        <v>2659</v>
      </c>
      <c r="O9939" t="s">
        <v>2660</v>
      </c>
      <c r="P9939" t="s">
        <v>2661</v>
      </c>
      <c r="Q9939" t="s">
        <v>2662</v>
      </c>
      <c r="R9939" t="s">
        <v>2663</v>
      </c>
      <c r="S9939" t="s">
        <v>2664</v>
      </c>
      <c r="T9939" t="s">
        <v>2665</v>
      </c>
      <c r="U9939" t="s">
        <v>2666</v>
      </c>
      <c r="V9939" t="s">
        <v>2667</v>
      </c>
      <c r="W9939" t="s">
        <v>2668</v>
      </c>
      <c r="X9939" t="s">
        <v>2669</v>
      </c>
      <c r="Y9939" t="s">
        <v>2670</v>
      </c>
      <c r="Z9939" t="s">
        <v>2671</v>
      </c>
      <c r="AA9939" t="s">
        <v>2672</v>
      </c>
      <c r="AB9939" t="s">
        <v>2673</v>
      </c>
    </row>
    <row r="9940" spans="1:28" x14ac:dyDescent="0.3">
      <c r="A9940" t="s">
        <v>25</v>
      </c>
      <c r="B9940" t="s">
        <v>198</v>
      </c>
      <c r="C9940">
        <v>83</v>
      </c>
      <c r="D9940" t="s">
        <v>579</v>
      </c>
      <c r="E9940" t="s">
        <v>1135</v>
      </c>
      <c r="F9940">
        <v>83</v>
      </c>
      <c r="G9940" t="s">
        <v>322</v>
      </c>
      <c r="H9940" t="s">
        <v>105</v>
      </c>
      <c r="I9940" t="s">
        <v>103</v>
      </c>
      <c r="J9940">
        <v>83</v>
      </c>
      <c r="K9940" t="s">
        <v>288</v>
      </c>
      <c r="L9940" t="s">
        <v>452</v>
      </c>
      <c r="M9940" t="s">
        <v>103</v>
      </c>
      <c r="N9940">
        <v>83</v>
      </c>
      <c r="O9940" t="s">
        <v>669</v>
      </c>
      <c r="P9940" t="s">
        <v>802</v>
      </c>
      <c r="Q9940" t="s">
        <v>103</v>
      </c>
      <c r="R9940">
        <v>83</v>
      </c>
      <c r="S9940" t="s">
        <v>624</v>
      </c>
      <c r="T9940" t="s">
        <v>100</v>
      </c>
      <c r="U9940" t="s">
        <v>103</v>
      </c>
      <c r="V9940">
        <v>83</v>
      </c>
      <c r="W9940" t="s">
        <v>1135</v>
      </c>
      <c r="X9940" t="s">
        <v>579</v>
      </c>
      <c r="Y9940">
        <v>83</v>
      </c>
      <c r="Z9940" t="s">
        <v>71</v>
      </c>
      <c r="AA9940" t="s">
        <v>70</v>
      </c>
      <c r="AB9940" t="s">
        <v>103</v>
      </c>
    </row>
    <row r="9941" spans="1:28" x14ac:dyDescent="0.3">
      <c r="A9941" t="s">
        <v>25</v>
      </c>
      <c r="B9941" t="s">
        <v>199</v>
      </c>
      <c r="C9941">
        <v>257</v>
      </c>
      <c r="D9941" t="s">
        <v>244</v>
      </c>
      <c r="E9941" t="s">
        <v>712</v>
      </c>
      <c r="F9941">
        <v>257</v>
      </c>
      <c r="G9941" t="s">
        <v>710</v>
      </c>
      <c r="H9941" t="s">
        <v>242</v>
      </c>
      <c r="I9941" t="s">
        <v>103</v>
      </c>
      <c r="J9941">
        <v>257</v>
      </c>
      <c r="K9941" t="s">
        <v>170</v>
      </c>
      <c r="L9941" t="s">
        <v>169</v>
      </c>
      <c r="M9941" t="s">
        <v>103</v>
      </c>
      <c r="N9941">
        <v>257</v>
      </c>
      <c r="O9941" t="s">
        <v>692</v>
      </c>
      <c r="P9941" t="s">
        <v>1087</v>
      </c>
      <c r="Q9941" t="s">
        <v>103</v>
      </c>
      <c r="R9941">
        <v>257</v>
      </c>
      <c r="S9941" t="s">
        <v>1131</v>
      </c>
      <c r="T9941" t="s">
        <v>275</v>
      </c>
      <c r="U9941" t="s">
        <v>103</v>
      </c>
      <c r="V9941">
        <v>257</v>
      </c>
      <c r="W9941" t="s">
        <v>161</v>
      </c>
      <c r="X9941" t="s">
        <v>160</v>
      </c>
      <c r="Y9941">
        <v>257</v>
      </c>
      <c r="Z9941" t="s">
        <v>335</v>
      </c>
      <c r="AA9941" t="s">
        <v>239</v>
      </c>
      <c r="AB9941" t="s">
        <v>103</v>
      </c>
    </row>
    <row r="9942" spans="1:28" x14ac:dyDescent="0.3">
      <c r="A9942" t="s">
        <v>26</v>
      </c>
      <c r="B9942" t="s">
        <v>198</v>
      </c>
      <c r="C9942">
        <v>32</v>
      </c>
      <c r="D9942" t="s">
        <v>232</v>
      </c>
      <c r="E9942" t="s">
        <v>864</v>
      </c>
      <c r="F9942">
        <v>32</v>
      </c>
      <c r="G9942" t="s">
        <v>289</v>
      </c>
      <c r="H9942" t="s">
        <v>281</v>
      </c>
      <c r="I9942" t="s">
        <v>103</v>
      </c>
      <c r="J9942">
        <v>32</v>
      </c>
      <c r="K9942" t="s">
        <v>942</v>
      </c>
      <c r="L9942" t="s">
        <v>496</v>
      </c>
      <c r="M9942" t="s">
        <v>103</v>
      </c>
      <c r="N9942">
        <v>32</v>
      </c>
      <c r="O9942" t="s">
        <v>1328</v>
      </c>
      <c r="P9942" t="s">
        <v>1229</v>
      </c>
      <c r="Q9942" t="s">
        <v>103</v>
      </c>
      <c r="R9942">
        <v>32</v>
      </c>
      <c r="S9942" t="s">
        <v>1328</v>
      </c>
      <c r="T9942" t="s">
        <v>1229</v>
      </c>
      <c r="U9942" t="s">
        <v>103</v>
      </c>
      <c r="V9942">
        <v>32</v>
      </c>
      <c r="W9942" t="s">
        <v>758</v>
      </c>
      <c r="X9942" t="s">
        <v>228</v>
      </c>
      <c r="Y9942">
        <v>32</v>
      </c>
      <c r="Z9942" t="s">
        <v>192</v>
      </c>
      <c r="AA9942" t="s">
        <v>103</v>
      </c>
      <c r="AB9942" t="s">
        <v>103</v>
      </c>
    </row>
    <row r="9943" spans="1:28" x14ac:dyDescent="0.3">
      <c r="A9943" t="s">
        <v>26</v>
      </c>
      <c r="B9943" t="s">
        <v>199</v>
      </c>
      <c r="C9943">
        <v>373</v>
      </c>
      <c r="D9943" t="s">
        <v>188</v>
      </c>
      <c r="E9943" t="s">
        <v>833</v>
      </c>
      <c r="F9943">
        <v>373</v>
      </c>
      <c r="G9943" t="s">
        <v>55</v>
      </c>
      <c r="H9943" t="s">
        <v>56</v>
      </c>
      <c r="I9943" t="s">
        <v>103</v>
      </c>
      <c r="J9943">
        <v>373</v>
      </c>
      <c r="K9943" t="s">
        <v>1037</v>
      </c>
      <c r="L9943" t="s">
        <v>1038</v>
      </c>
      <c r="M9943" t="s">
        <v>103</v>
      </c>
      <c r="N9943">
        <v>373</v>
      </c>
      <c r="O9943" t="s">
        <v>527</v>
      </c>
      <c r="P9943" t="s">
        <v>930</v>
      </c>
      <c r="Q9943" t="s">
        <v>116</v>
      </c>
      <c r="R9943">
        <v>373</v>
      </c>
      <c r="S9943" t="s">
        <v>1322</v>
      </c>
      <c r="T9943" t="s">
        <v>553</v>
      </c>
      <c r="U9943" t="s">
        <v>103</v>
      </c>
      <c r="V9943">
        <v>373</v>
      </c>
      <c r="W9943" t="s">
        <v>1144</v>
      </c>
      <c r="X9943" t="s">
        <v>819</v>
      </c>
      <c r="Y9943">
        <v>373</v>
      </c>
      <c r="Z9943" t="s">
        <v>321</v>
      </c>
      <c r="AA9943" t="s">
        <v>97</v>
      </c>
      <c r="AB9943" t="s">
        <v>103</v>
      </c>
    </row>
    <row r="9944" spans="1:28" x14ac:dyDescent="0.3">
      <c r="A9944" t="s">
        <v>29</v>
      </c>
      <c r="B9944" t="s">
        <v>198</v>
      </c>
      <c r="C9944">
        <v>131</v>
      </c>
      <c r="D9944" t="s">
        <v>687</v>
      </c>
      <c r="E9944" t="s">
        <v>622</v>
      </c>
      <c r="F9944">
        <v>131</v>
      </c>
      <c r="G9944" t="s">
        <v>1239</v>
      </c>
      <c r="H9944" t="s">
        <v>927</v>
      </c>
      <c r="I9944" t="s">
        <v>257</v>
      </c>
      <c r="J9944">
        <v>131</v>
      </c>
      <c r="K9944" t="s">
        <v>227</v>
      </c>
      <c r="L9944" t="s">
        <v>697</v>
      </c>
      <c r="M9944" t="s">
        <v>103</v>
      </c>
      <c r="N9944">
        <v>131</v>
      </c>
      <c r="O9944" t="s">
        <v>420</v>
      </c>
      <c r="P9944" t="s">
        <v>1462</v>
      </c>
      <c r="Q9944" t="s">
        <v>98</v>
      </c>
      <c r="R9944">
        <v>131</v>
      </c>
      <c r="S9944" t="s">
        <v>426</v>
      </c>
      <c r="T9944" t="s">
        <v>1212</v>
      </c>
      <c r="U9944" t="s">
        <v>116</v>
      </c>
      <c r="V9944">
        <v>131</v>
      </c>
      <c r="W9944" t="s">
        <v>755</v>
      </c>
      <c r="X9944" t="s">
        <v>754</v>
      </c>
      <c r="Y9944">
        <v>131</v>
      </c>
      <c r="Z9944" t="s">
        <v>624</v>
      </c>
      <c r="AA9944" t="s">
        <v>531</v>
      </c>
      <c r="AB9944" t="s">
        <v>110</v>
      </c>
    </row>
    <row r="9945" spans="1:28" x14ac:dyDescent="0.3">
      <c r="A9945" t="s">
        <v>29</v>
      </c>
      <c r="B9945" t="s">
        <v>199</v>
      </c>
      <c r="C9945">
        <v>259</v>
      </c>
      <c r="D9945" t="s">
        <v>119</v>
      </c>
      <c r="E9945" t="s">
        <v>974</v>
      </c>
      <c r="F9945">
        <v>259</v>
      </c>
      <c r="G9945" t="s">
        <v>238</v>
      </c>
      <c r="H9945" t="s">
        <v>106</v>
      </c>
      <c r="I9945" t="s">
        <v>282</v>
      </c>
      <c r="J9945">
        <v>259</v>
      </c>
      <c r="K9945" t="s">
        <v>992</v>
      </c>
      <c r="L9945" t="s">
        <v>580</v>
      </c>
      <c r="M9945" t="s">
        <v>103</v>
      </c>
      <c r="N9945">
        <v>259</v>
      </c>
      <c r="O9945" t="s">
        <v>661</v>
      </c>
      <c r="P9945" t="s">
        <v>782</v>
      </c>
      <c r="Q9945" t="s">
        <v>103</v>
      </c>
      <c r="R9945">
        <v>259</v>
      </c>
      <c r="S9945" t="s">
        <v>753</v>
      </c>
      <c r="T9945" t="s">
        <v>568</v>
      </c>
      <c r="U9945" t="s">
        <v>122</v>
      </c>
      <c r="V9945">
        <v>259</v>
      </c>
      <c r="W9945" t="s">
        <v>1371</v>
      </c>
      <c r="X9945" t="s">
        <v>515</v>
      </c>
      <c r="Y9945">
        <v>258</v>
      </c>
      <c r="Z9945" t="s">
        <v>981</v>
      </c>
      <c r="AA9945" t="s">
        <v>245</v>
      </c>
      <c r="AB9945" t="s">
        <v>270</v>
      </c>
    </row>
    <row r="9946" spans="1:28" x14ac:dyDescent="0.3">
      <c r="A9946" t="s">
        <v>28</v>
      </c>
      <c r="B9946" t="s">
        <v>198</v>
      </c>
      <c r="C9946">
        <v>68</v>
      </c>
      <c r="D9946" t="s">
        <v>452</v>
      </c>
      <c r="E9946" t="s">
        <v>288</v>
      </c>
      <c r="F9946">
        <v>68</v>
      </c>
      <c r="G9946" t="s">
        <v>192</v>
      </c>
      <c r="H9946" t="s">
        <v>103</v>
      </c>
      <c r="I9946" t="s">
        <v>103</v>
      </c>
      <c r="J9946">
        <v>68</v>
      </c>
      <c r="K9946" t="s">
        <v>61</v>
      </c>
      <c r="L9946" t="s">
        <v>60</v>
      </c>
      <c r="M9946" t="s">
        <v>103</v>
      </c>
      <c r="N9946">
        <v>68</v>
      </c>
      <c r="O9946" t="s">
        <v>1226</v>
      </c>
      <c r="P9946" t="s">
        <v>1325</v>
      </c>
      <c r="Q9946" t="s">
        <v>103</v>
      </c>
      <c r="R9946">
        <v>68</v>
      </c>
      <c r="S9946" t="s">
        <v>772</v>
      </c>
      <c r="T9946" t="s">
        <v>700</v>
      </c>
      <c r="U9946" t="s">
        <v>103</v>
      </c>
      <c r="V9946">
        <v>68</v>
      </c>
      <c r="W9946" t="s">
        <v>1040</v>
      </c>
      <c r="X9946" t="s">
        <v>707</v>
      </c>
      <c r="Y9946">
        <v>68</v>
      </c>
      <c r="Z9946" t="s">
        <v>833</v>
      </c>
      <c r="AA9946" t="s">
        <v>188</v>
      </c>
      <c r="AB9946" t="s">
        <v>103</v>
      </c>
    </row>
    <row r="9947" spans="1:28" x14ac:dyDescent="0.3">
      <c r="A9947" t="s">
        <v>28</v>
      </c>
      <c r="B9947" t="s">
        <v>199</v>
      </c>
      <c r="C9947">
        <v>217</v>
      </c>
      <c r="D9947" t="s">
        <v>469</v>
      </c>
      <c r="E9947" t="s">
        <v>725</v>
      </c>
      <c r="F9947">
        <v>217</v>
      </c>
      <c r="G9947" t="s">
        <v>328</v>
      </c>
      <c r="H9947" t="s">
        <v>245</v>
      </c>
      <c r="I9947" t="s">
        <v>122</v>
      </c>
      <c r="J9947">
        <v>217</v>
      </c>
      <c r="K9947" t="s">
        <v>372</v>
      </c>
      <c r="L9947" t="s">
        <v>627</v>
      </c>
      <c r="M9947" t="s">
        <v>122</v>
      </c>
      <c r="N9947">
        <v>217</v>
      </c>
      <c r="O9947" t="s">
        <v>548</v>
      </c>
      <c r="P9947" t="s">
        <v>992</v>
      </c>
      <c r="Q9947" t="s">
        <v>97</v>
      </c>
      <c r="R9947">
        <v>217</v>
      </c>
      <c r="S9947" t="s">
        <v>593</v>
      </c>
      <c r="T9947" t="s">
        <v>643</v>
      </c>
      <c r="U9947" t="s">
        <v>120</v>
      </c>
      <c r="V9947">
        <v>217</v>
      </c>
      <c r="W9947" t="s">
        <v>350</v>
      </c>
      <c r="X9947" t="s">
        <v>349</v>
      </c>
      <c r="Y9947">
        <v>217</v>
      </c>
      <c r="Z9947" t="s">
        <v>322</v>
      </c>
      <c r="AA9947" t="s">
        <v>239</v>
      </c>
      <c r="AB9947" t="s">
        <v>116</v>
      </c>
    </row>
    <row r="9948" spans="1:28" x14ac:dyDescent="0.3">
      <c r="A9948" t="s">
        <v>27</v>
      </c>
      <c r="B9948" t="s">
        <v>198</v>
      </c>
      <c r="C9948">
        <v>105</v>
      </c>
      <c r="D9948" t="s">
        <v>1211</v>
      </c>
      <c r="E9948" t="s">
        <v>1170</v>
      </c>
      <c r="F9948">
        <v>105</v>
      </c>
      <c r="G9948" t="s">
        <v>852</v>
      </c>
      <c r="H9948" t="s">
        <v>128</v>
      </c>
      <c r="I9948" t="s">
        <v>103</v>
      </c>
      <c r="J9948">
        <v>105</v>
      </c>
      <c r="K9948" t="s">
        <v>611</v>
      </c>
      <c r="L9948" t="s">
        <v>214</v>
      </c>
      <c r="M9948" t="s">
        <v>98</v>
      </c>
      <c r="N9948">
        <v>105</v>
      </c>
      <c r="O9948" t="s">
        <v>492</v>
      </c>
      <c r="P9948" t="s">
        <v>1252</v>
      </c>
      <c r="Q9948" t="s">
        <v>103</v>
      </c>
      <c r="R9948">
        <v>105</v>
      </c>
      <c r="S9948" t="s">
        <v>1400</v>
      </c>
      <c r="T9948" t="s">
        <v>684</v>
      </c>
      <c r="U9948" t="s">
        <v>98</v>
      </c>
      <c r="V9948">
        <v>105</v>
      </c>
      <c r="W9948" t="s">
        <v>882</v>
      </c>
      <c r="X9948" t="s">
        <v>101</v>
      </c>
      <c r="Y9948">
        <v>105</v>
      </c>
      <c r="Z9948" t="s">
        <v>61</v>
      </c>
      <c r="AA9948" t="s">
        <v>60</v>
      </c>
      <c r="AB9948" t="s">
        <v>103</v>
      </c>
    </row>
    <row r="9949" spans="1:28" x14ac:dyDescent="0.3">
      <c r="A9949" t="s">
        <v>27</v>
      </c>
      <c r="B9949" t="s">
        <v>199</v>
      </c>
      <c r="C9949">
        <v>106</v>
      </c>
      <c r="D9949" t="s">
        <v>467</v>
      </c>
      <c r="E9949" t="s">
        <v>988</v>
      </c>
      <c r="F9949">
        <v>106</v>
      </c>
      <c r="G9949" t="s">
        <v>322</v>
      </c>
      <c r="H9949" t="s">
        <v>105</v>
      </c>
      <c r="I9949" t="s">
        <v>103</v>
      </c>
      <c r="J9949">
        <v>106</v>
      </c>
      <c r="K9949" t="s">
        <v>759</v>
      </c>
      <c r="L9949" t="s">
        <v>543</v>
      </c>
      <c r="M9949" t="s">
        <v>103</v>
      </c>
      <c r="N9949">
        <v>106</v>
      </c>
      <c r="O9949" t="s">
        <v>487</v>
      </c>
      <c r="P9949" t="s">
        <v>1236</v>
      </c>
      <c r="Q9949" t="s">
        <v>103</v>
      </c>
      <c r="R9949">
        <v>106</v>
      </c>
      <c r="S9949" t="s">
        <v>905</v>
      </c>
      <c r="T9949" t="s">
        <v>429</v>
      </c>
      <c r="U9949" t="s">
        <v>341</v>
      </c>
      <c r="V9949">
        <v>106</v>
      </c>
      <c r="W9949" t="s">
        <v>1310</v>
      </c>
      <c r="X9949" t="s">
        <v>247</v>
      </c>
      <c r="Y9949">
        <v>106</v>
      </c>
      <c r="Z9949" t="s">
        <v>342</v>
      </c>
      <c r="AA9949" t="s">
        <v>341</v>
      </c>
      <c r="AB9949" t="s">
        <v>103</v>
      </c>
    </row>
    <row r="9950" spans="1:28" x14ac:dyDescent="0.3">
      <c r="A9950" t="s">
        <v>41</v>
      </c>
      <c r="B9950" t="s">
        <v>198</v>
      </c>
      <c r="C9950">
        <v>419</v>
      </c>
      <c r="D9950" t="s">
        <v>253</v>
      </c>
      <c r="E9950" t="s">
        <v>202</v>
      </c>
      <c r="F9950">
        <v>419</v>
      </c>
      <c r="G9950" t="s">
        <v>1131</v>
      </c>
      <c r="H9950" t="s">
        <v>92</v>
      </c>
      <c r="I9950" t="s">
        <v>239</v>
      </c>
      <c r="J9950">
        <v>419</v>
      </c>
      <c r="K9950" t="s">
        <v>758</v>
      </c>
      <c r="L9950" t="s">
        <v>473</v>
      </c>
      <c r="M9950" t="s">
        <v>91</v>
      </c>
      <c r="N9950">
        <v>419</v>
      </c>
      <c r="O9950" t="s">
        <v>627</v>
      </c>
      <c r="P9950" t="s">
        <v>258</v>
      </c>
      <c r="Q9950" t="s">
        <v>97</v>
      </c>
      <c r="R9950">
        <v>419</v>
      </c>
      <c r="S9950" t="s">
        <v>937</v>
      </c>
      <c r="T9950" t="s">
        <v>402</v>
      </c>
      <c r="U9950" t="s">
        <v>116</v>
      </c>
      <c r="V9950">
        <v>419</v>
      </c>
      <c r="W9950" t="s">
        <v>761</v>
      </c>
      <c r="X9950" t="s">
        <v>695</v>
      </c>
      <c r="Y9950">
        <v>419</v>
      </c>
      <c r="Z9950" t="s">
        <v>855</v>
      </c>
      <c r="AA9950" t="s">
        <v>112</v>
      </c>
      <c r="AB9950" t="s">
        <v>98</v>
      </c>
    </row>
    <row r="9951" spans="1:28" x14ac:dyDescent="0.3">
      <c r="A9951" t="s">
        <v>41</v>
      </c>
      <c r="B9951" t="s">
        <v>199</v>
      </c>
      <c r="C9951">
        <v>1212</v>
      </c>
      <c r="D9951" t="s">
        <v>601</v>
      </c>
      <c r="E9951" t="s">
        <v>280</v>
      </c>
      <c r="F9951">
        <v>1212</v>
      </c>
      <c r="G9951" t="s">
        <v>751</v>
      </c>
      <c r="H9951" t="s">
        <v>566</v>
      </c>
      <c r="I9951" t="s">
        <v>122</v>
      </c>
      <c r="J9951">
        <v>1212</v>
      </c>
      <c r="K9951" t="s">
        <v>608</v>
      </c>
      <c r="L9951" t="s">
        <v>667</v>
      </c>
      <c r="M9951" t="s">
        <v>103</v>
      </c>
      <c r="N9951">
        <v>1212</v>
      </c>
      <c r="O9951" t="s">
        <v>929</v>
      </c>
      <c r="P9951" t="s">
        <v>810</v>
      </c>
      <c r="Q9951" t="s">
        <v>91</v>
      </c>
      <c r="R9951">
        <v>1212</v>
      </c>
      <c r="S9951" t="s">
        <v>895</v>
      </c>
      <c r="T9951" t="s">
        <v>557</v>
      </c>
      <c r="U9951" t="s">
        <v>66</v>
      </c>
      <c r="V9951">
        <v>1212</v>
      </c>
      <c r="W9951" t="s">
        <v>760</v>
      </c>
      <c r="X9951" t="s">
        <v>486</v>
      </c>
      <c r="Y9951">
        <v>1211</v>
      </c>
      <c r="Z9951" t="s">
        <v>852</v>
      </c>
      <c r="AA9951" t="s">
        <v>468</v>
      </c>
      <c r="AB9951" t="s">
        <v>345</v>
      </c>
    </row>
    <row r="9953" spans="1:28" x14ac:dyDescent="0.3">
      <c r="A9953" t="s">
        <v>2676</v>
      </c>
    </row>
    <row r="9954" spans="1:28" x14ac:dyDescent="0.3">
      <c r="A9954" t="s">
        <v>36</v>
      </c>
      <c r="B9954" t="s">
        <v>2677</v>
      </c>
      <c r="C9954" t="s">
        <v>2648</v>
      </c>
      <c r="D9954" t="s">
        <v>2649</v>
      </c>
      <c r="E9954" t="s">
        <v>2650</v>
      </c>
      <c r="F9954" t="s">
        <v>2651</v>
      </c>
      <c r="G9954" t="s">
        <v>2652</v>
      </c>
      <c r="H9954" t="s">
        <v>2653</v>
      </c>
      <c r="I9954" t="s">
        <v>2654</v>
      </c>
      <c r="J9954" t="s">
        <v>2655</v>
      </c>
      <c r="K9954" t="s">
        <v>2656</v>
      </c>
      <c r="L9954" t="s">
        <v>2657</v>
      </c>
      <c r="M9954" t="s">
        <v>2658</v>
      </c>
      <c r="N9954" t="s">
        <v>2659</v>
      </c>
      <c r="O9954" t="s">
        <v>2660</v>
      </c>
      <c r="P9954" t="s">
        <v>2661</v>
      </c>
      <c r="Q9954" t="s">
        <v>2662</v>
      </c>
      <c r="R9954" t="s">
        <v>2663</v>
      </c>
      <c r="S9954" t="s">
        <v>2664</v>
      </c>
      <c r="T9954" t="s">
        <v>2665</v>
      </c>
      <c r="U9954" t="s">
        <v>2666</v>
      </c>
      <c r="V9954" t="s">
        <v>2667</v>
      </c>
      <c r="W9954" t="s">
        <v>2668</v>
      </c>
      <c r="X9954" t="s">
        <v>2669</v>
      </c>
      <c r="Y9954" t="s">
        <v>2670</v>
      </c>
      <c r="Z9954" t="s">
        <v>2671</v>
      </c>
      <c r="AA9954" t="s">
        <v>2672</v>
      </c>
      <c r="AB9954" t="s">
        <v>2673</v>
      </c>
    </row>
    <row r="9955" spans="1:28" x14ac:dyDescent="0.3">
      <c r="A9955" t="s">
        <v>25</v>
      </c>
      <c r="B9955" t="s">
        <v>2678</v>
      </c>
      <c r="C9955">
        <v>336</v>
      </c>
      <c r="D9955" t="s">
        <v>150</v>
      </c>
      <c r="E9955" t="s">
        <v>151</v>
      </c>
      <c r="F9955">
        <v>336</v>
      </c>
      <c r="G9955" t="s">
        <v>1355</v>
      </c>
      <c r="H9955" t="s">
        <v>607</v>
      </c>
      <c r="I9955" t="s">
        <v>103</v>
      </c>
      <c r="J9955">
        <v>336</v>
      </c>
      <c r="K9955" t="s">
        <v>193</v>
      </c>
      <c r="L9955" t="s">
        <v>135</v>
      </c>
      <c r="M9955" t="s">
        <v>103</v>
      </c>
      <c r="N9955">
        <v>336</v>
      </c>
      <c r="O9955" t="s">
        <v>359</v>
      </c>
      <c r="P9955" t="s">
        <v>798</v>
      </c>
      <c r="Q9955" t="s">
        <v>103</v>
      </c>
      <c r="R9955">
        <v>336</v>
      </c>
      <c r="S9955" t="s">
        <v>163</v>
      </c>
      <c r="T9955" t="s">
        <v>162</v>
      </c>
      <c r="U9955" t="s">
        <v>103</v>
      </c>
      <c r="V9955">
        <v>336</v>
      </c>
      <c r="W9955" t="s">
        <v>711</v>
      </c>
      <c r="X9955" t="s">
        <v>570</v>
      </c>
      <c r="Y9955">
        <v>336</v>
      </c>
      <c r="Z9955" t="s">
        <v>852</v>
      </c>
      <c r="AA9955" t="s">
        <v>128</v>
      </c>
      <c r="AB9955" t="s">
        <v>103</v>
      </c>
    </row>
    <row r="9956" spans="1:28" s="3" customFormat="1" x14ac:dyDescent="0.3">
      <c r="A9956" s="3" t="s">
        <v>25</v>
      </c>
      <c r="B9956" s="3" t="s">
        <v>2679</v>
      </c>
      <c r="C9956" s="3">
        <v>2</v>
      </c>
      <c r="D9956" s="3" t="s">
        <v>103</v>
      </c>
      <c r="E9956" s="3" t="s">
        <v>192</v>
      </c>
      <c r="F9956" s="3">
        <v>2</v>
      </c>
      <c r="G9956" s="3" t="s">
        <v>192</v>
      </c>
      <c r="H9956" s="3" t="s">
        <v>103</v>
      </c>
      <c r="I9956" s="3" t="s">
        <v>103</v>
      </c>
      <c r="J9956" s="3">
        <v>2</v>
      </c>
      <c r="K9956" s="3" t="s">
        <v>192</v>
      </c>
      <c r="L9956" s="3" t="s">
        <v>103</v>
      </c>
      <c r="M9956" s="3" t="s">
        <v>103</v>
      </c>
      <c r="N9956" s="3">
        <v>2</v>
      </c>
      <c r="O9956" s="3" t="s">
        <v>1284</v>
      </c>
      <c r="P9956" s="3" t="s">
        <v>1199</v>
      </c>
      <c r="Q9956" s="3" t="s">
        <v>103</v>
      </c>
      <c r="R9956" s="3">
        <v>2</v>
      </c>
      <c r="S9956" s="3" t="s">
        <v>192</v>
      </c>
      <c r="T9956" s="3" t="s">
        <v>103</v>
      </c>
      <c r="U9956" s="3" t="s">
        <v>103</v>
      </c>
      <c r="V9956" s="3">
        <v>2</v>
      </c>
      <c r="W9956" s="3" t="s">
        <v>192</v>
      </c>
      <c r="X9956" s="3" t="s">
        <v>103</v>
      </c>
      <c r="Y9956" s="3">
        <v>2</v>
      </c>
      <c r="Z9956" s="3" t="s">
        <v>192</v>
      </c>
      <c r="AA9956" s="3" t="s">
        <v>103</v>
      </c>
      <c r="AB9956" s="3" t="s">
        <v>103</v>
      </c>
    </row>
    <row r="9957" spans="1:28" x14ac:dyDescent="0.3">
      <c r="A9957" t="s">
        <v>25</v>
      </c>
      <c r="B9957" t="s">
        <v>308</v>
      </c>
      <c r="C9957">
        <v>2</v>
      </c>
      <c r="D9957" t="s">
        <v>103</v>
      </c>
      <c r="E9957" t="s">
        <v>192</v>
      </c>
      <c r="F9957">
        <v>2</v>
      </c>
      <c r="G9957" t="s">
        <v>192</v>
      </c>
      <c r="H9957" t="s">
        <v>103</v>
      </c>
      <c r="I9957" t="s">
        <v>103</v>
      </c>
      <c r="J9957">
        <v>2</v>
      </c>
      <c r="K9957" t="s">
        <v>192</v>
      </c>
      <c r="L9957" t="s">
        <v>103</v>
      </c>
      <c r="M9957" t="s">
        <v>103</v>
      </c>
      <c r="N9957">
        <v>2</v>
      </c>
      <c r="O9957" t="s">
        <v>352</v>
      </c>
      <c r="P9957" t="s">
        <v>1058</v>
      </c>
      <c r="Q9957" t="s">
        <v>103</v>
      </c>
      <c r="R9957">
        <v>2</v>
      </c>
      <c r="S9957" t="s">
        <v>192</v>
      </c>
      <c r="T9957" t="s">
        <v>103</v>
      </c>
      <c r="U9957" t="s">
        <v>103</v>
      </c>
      <c r="V9957">
        <v>2</v>
      </c>
      <c r="W9957" t="s">
        <v>192</v>
      </c>
      <c r="X9957" t="s">
        <v>103</v>
      </c>
      <c r="Y9957">
        <v>2</v>
      </c>
      <c r="Z9957" t="s">
        <v>192</v>
      </c>
      <c r="AA9957" t="s">
        <v>103</v>
      </c>
      <c r="AB9957" t="s">
        <v>103</v>
      </c>
    </row>
    <row r="9958" spans="1:28" x14ac:dyDescent="0.3">
      <c r="A9958" t="s">
        <v>26</v>
      </c>
      <c r="B9958" t="s">
        <v>2678</v>
      </c>
      <c r="C9958">
        <v>338</v>
      </c>
      <c r="D9958" t="s">
        <v>64</v>
      </c>
      <c r="E9958" t="s">
        <v>65</v>
      </c>
      <c r="F9958">
        <v>338</v>
      </c>
      <c r="G9958" t="s">
        <v>1308</v>
      </c>
      <c r="H9958" t="s">
        <v>1319</v>
      </c>
      <c r="I9958" t="s">
        <v>103</v>
      </c>
      <c r="J9958">
        <v>338</v>
      </c>
      <c r="K9958" t="s">
        <v>1037</v>
      </c>
      <c r="L9958" t="s">
        <v>1038</v>
      </c>
      <c r="M9958" t="s">
        <v>103</v>
      </c>
      <c r="N9958">
        <v>338</v>
      </c>
      <c r="O9958" t="s">
        <v>1096</v>
      </c>
      <c r="P9958" t="s">
        <v>1545</v>
      </c>
      <c r="Q9958" t="s">
        <v>116</v>
      </c>
      <c r="R9958">
        <v>338</v>
      </c>
      <c r="S9958" t="s">
        <v>1178</v>
      </c>
      <c r="T9958" t="s">
        <v>921</v>
      </c>
      <c r="U9958" t="s">
        <v>103</v>
      </c>
      <c r="V9958">
        <v>338</v>
      </c>
      <c r="W9958" t="s">
        <v>202</v>
      </c>
      <c r="X9958" t="s">
        <v>253</v>
      </c>
      <c r="Y9958">
        <v>338</v>
      </c>
      <c r="Z9958" t="s">
        <v>323</v>
      </c>
      <c r="AA9958" t="s">
        <v>116</v>
      </c>
      <c r="AB9958" t="s">
        <v>103</v>
      </c>
    </row>
    <row r="9959" spans="1:28" s="3" customFormat="1" x14ac:dyDescent="0.3">
      <c r="A9959" s="3" t="s">
        <v>26</v>
      </c>
      <c r="B9959" s="3" t="s">
        <v>2679</v>
      </c>
      <c r="C9959" s="3">
        <v>2</v>
      </c>
      <c r="D9959" s="3" t="s">
        <v>103</v>
      </c>
      <c r="E9959" s="3" t="s">
        <v>192</v>
      </c>
      <c r="F9959" s="3">
        <v>2</v>
      </c>
      <c r="G9959" s="3" t="s">
        <v>192</v>
      </c>
      <c r="H9959" s="3" t="s">
        <v>103</v>
      </c>
      <c r="I9959" s="3" t="s">
        <v>103</v>
      </c>
      <c r="J9959" s="3">
        <v>2</v>
      </c>
      <c r="K9959" s="3" t="s">
        <v>192</v>
      </c>
      <c r="L9959" s="3" t="s">
        <v>103</v>
      </c>
      <c r="M9959" s="3" t="s">
        <v>103</v>
      </c>
      <c r="N9959" s="3">
        <v>2</v>
      </c>
      <c r="O9959" s="3" t="s">
        <v>1041</v>
      </c>
      <c r="P9959" s="3" t="s">
        <v>258</v>
      </c>
      <c r="Q9959" s="3" t="s">
        <v>103</v>
      </c>
      <c r="R9959" s="3">
        <v>2</v>
      </c>
      <c r="S9959" s="3" t="s">
        <v>192</v>
      </c>
      <c r="T9959" s="3" t="s">
        <v>103</v>
      </c>
      <c r="U9959" s="3" t="s">
        <v>103</v>
      </c>
      <c r="V9959" s="3">
        <v>2</v>
      </c>
      <c r="W9959" s="3" t="s">
        <v>192</v>
      </c>
      <c r="X9959" s="3" t="s">
        <v>103</v>
      </c>
      <c r="Y9959" s="3">
        <v>2</v>
      </c>
      <c r="Z9959" s="3" t="s">
        <v>192</v>
      </c>
      <c r="AA9959" s="3" t="s">
        <v>103</v>
      </c>
      <c r="AB9959" s="3" t="s">
        <v>103</v>
      </c>
    </row>
    <row r="9960" spans="1:28" x14ac:dyDescent="0.3">
      <c r="A9960" t="s">
        <v>26</v>
      </c>
      <c r="B9960" t="s">
        <v>308</v>
      </c>
      <c r="C9960">
        <v>65</v>
      </c>
      <c r="D9960" t="s">
        <v>191</v>
      </c>
      <c r="E9960" t="s">
        <v>863</v>
      </c>
      <c r="F9960">
        <v>65</v>
      </c>
      <c r="G9960" t="s">
        <v>785</v>
      </c>
      <c r="H9960" t="s">
        <v>626</v>
      </c>
      <c r="I9960" t="s">
        <v>103</v>
      </c>
      <c r="J9960">
        <v>65</v>
      </c>
      <c r="K9960" t="s">
        <v>260</v>
      </c>
      <c r="L9960" t="s">
        <v>919</v>
      </c>
      <c r="M9960" t="s">
        <v>103</v>
      </c>
      <c r="N9960">
        <v>65</v>
      </c>
      <c r="O9960" t="s">
        <v>538</v>
      </c>
      <c r="P9960" t="s">
        <v>810</v>
      </c>
      <c r="Q9960" t="s">
        <v>103</v>
      </c>
      <c r="R9960">
        <v>65</v>
      </c>
      <c r="S9960" t="s">
        <v>1278</v>
      </c>
      <c r="T9960" t="s">
        <v>509</v>
      </c>
      <c r="U9960" t="s">
        <v>103</v>
      </c>
      <c r="V9960">
        <v>65</v>
      </c>
      <c r="W9960" t="s">
        <v>985</v>
      </c>
      <c r="X9960" t="s">
        <v>702</v>
      </c>
      <c r="Y9960">
        <v>65</v>
      </c>
      <c r="Z9960" t="s">
        <v>1471</v>
      </c>
      <c r="AA9960" t="s">
        <v>245</v>
      </c>
      <c r="AB9960" t="s">
        <v>103</v>
      </c>
    </row>
    <row r="9961" spans="1:28" x14ac:dyDescent="0.3">
      <c r="A9961" t="s">
        <v>29</v>
      </c>
      <c r="B9961" t="s">
        <v>2678</v>
      </c>
      <c r="C9961">
        <v>357</v>
      </c>
      <c r="D9961" t="s">
        <v>544</v>
      </c>
      <c r="E9961" t="s">
        <v>246</v>
      </c>
      <c r="F9961">
        <v>357</v>
      </c>
      <c r="G9961" t="s">
        <v>1056</v>
      </c>
      <c r="H9961" t="s">
        <v>472</v>
      </c>
      <c r="I9961" t="s">
        <v>245</v>
      </c>
      <c r="J9961">
        <v>357</v>
      </c>
      <c r="K9961" t="s">
        <v>1153</v>
      </c>
      <c r="L9961" t="s">
        <v>552</v>
      </c>
      <c r="M9961" t="s">
        <v>103</v>
      </c>
      <c r="N9961">
        <v>357</v>
      </c>
      <c r="O9961" t="s">
        <v>1015</v>
      </c>
      <c r="P9961" t="s">
        <v>1401</v>
      </c>
      <c r="Q9961" t="s">
        <v>116</v>
      </c>
      <c r="R9961">
        <v>357</v>
      </c>
      <c r="S9961" t="s">
        <v>821</v>
      </c>
      <c r="T9961" t="s">
        <v>457</v>
      </c>
      <c r="U9961" t="s">
        <v>122</v>
      </c>
      <c r="V9961">
        <v>357</v>
      </c>
      <c r="W9961" t="s">
        <v>1381</v>
      </c>
      <c r="X9961" t="s">
        <v>30</v>
      </c>
      <c r="Y9961">
        <v>356</v>
      </c>
      <c r="Z9961" t="s">
        <v>849</v>
      </c>
      <c r="AA9961" t="s">
        <v>467</v>
      </c>
      <c r="AB9961" t="s">
        <v>217</v>
      </c>
    </row>
    <row r="9962" spans="1:28" x14ac:dyDescent="0.3">
      <c r="A9962" t="s">
        <v>29</v>
      </c>
      <c r="B9962" t="s">
        <v>308</v>
      </c>
      <c r="C9962">
        <v>33</v>
      </c>
      <c r="D9962" t="s">
        <v>1219</v>
      </c>
      <c r="E9962" t="s">
        <v>884</v>
      </c>
      <c r="F9962">
        <v>33</v>
      </c>
      <c r="G9962" t="s">
        <v>280</v>
      </c>
      <c r="H9962" t="s">
        <v>601</v>
      </c>
      <c r="I9962" t="s">
        <v>103</v>
      </c>
      <c r="J9962">
        <v>33</v>
      </c>
      <c r="K9962" t="s">
        <v>267</v>
      </c>
      <c r="L9962" t="s">
        <v>672</v>
      </c>
      <c r="M9962" t="s">
        <v>103</v>
      </c>
      <c r="N9962">
        <v>33</v>
      </c>
      <c r="O9962" t="s">
        <v>1206</v>
      </c>
      <c r="P9962" t="s">
        <v>1369</v>
      </c>
      <c r="Q9962" t="s">
        <v>103</v>
      </c>
      <c r="R9962">
        <v>33</v>
      </c>
      <c r="S9962" t="s">
        <v>784</v>
      </c>
      <c r="T9962" t="s">
        <v>699</v>
      </c>
      <c r="U9962" t="s">
        <v>103</v>
      </c>
      <c r="V9962">
        <v>33</v>
      </c>
      <c r="W9962" t="s">
        <v>71</v>
      </c>
      <c r="X9962" t="s">
        <v>70</v>
      </c>
      <c r="Y9962">
        <v>33</v>
      </c>
      <c r="Z9962" t="s">
        <v>1471</v>
      </c>
      <c r="AA9962" t="s">
        <v>245</v>
      </c>
      <c r="AB9962" t="s">
        <v>103</v>
      </c>
    </row>
    <row r="9963" spans="1:28" x14ac:dyDescent="0.3">
      <c r="A9963" t="s">
        <v>28</v>
      </c>
      <c r="B9963" t="s">
        <v>2678</v>
      </c>
      <c r="C9963">
        <v>234</v>
      </c>
      <c r="D9963" t="s">
        <v>649</v>
      </c>
      <c r="E9963" t="s">
        <v>828</v>
      </c>
      <c r="F9963">
        <v>234</v>
      </c>
      <c r="G9963" t="s">
        <v>335</v>
      </c>
      <c r="H9963" t="s">
        <v>345</v>
      </c>
      <c r="I9963" t="s">
        <v>116</v>
      </c>
      <c r="J9963">
        <v>234</v>
      </c>
      <c r="K9963" t="s">
        <v>1137</v>
      </c>
      <c r="L9963" t="s">
        <v>920</v>
      </c>
      <c r="M9963" t="s">
        <v>116</v>
      </c>
      <c r="N9963">
        <v>234</v>
      </c>
      <c r="O9963" t="s">
        <v>706</v>
      </c>
      <c r="P9963" t="s">
        <v>1171</v>
      </c>
      <c r="Q9963" t="s">
        <v>97</v>
      </c>
      <c r="R9963">
        <v>234</v>
      </c>
      <c r="S9963" t="s">
        <v>747</v>
      </c>
      <c r="T9963" t="s">
        <v>691</v>
      </c>
      <c r="U9963" t="s">
        <v>97</v>
      </c>
      <c r="V9963">
        <v>234</v>
      </c>
      <c r="W9963" t="s">
        <v>1068</v>
      </c>
      <c r="X9963" t="s">
        <v>226</v>
      </c>
      <c r="Y9963">
        <v>234</v>
      </c>
      <c r="Z9963" t="s">
        <v>879</v>
      </c>
      <c r="AA9963" t="s">
        <v>257</v>
      </c>
      <c r="AB9963" t="s">
        <v>116</v>
      </c>
    </row>
    <row r="9964" spans="1:28" s="3" customFormat="1" x14ac:dyDescent="0.3">
      <c r="A9964" s="3" t="s">
        <v>28</v>
      </c>
      <c r="B9964" s="3" t="s">
        <v>2679</v>
      </c>
      <c r="C9964" s="3">
        <v>1</v>
      </c>
      <c r="D9964" s="3" t="s">
        <v>103</v>
      </c>
      <c r="E9964" s="3" t="s">
        <v>192</v>
      </c>
      <c r="F9964" s="3">
        <v>1</v>
      </c>
      <c r="G9964" s="3" t="s">
        <v>192</v>
      </c>
      <c r="H9964" s="3" t="s">
        <v>103</v>
      </c>
      <c r="I9964" s="3" t="s">
        <v>103</v>
      </c>
      <c r="J9964" s="3">
        <v>1</v>
      </c>
      <c r="K9964" s="3" t="s">
        <v>192</v>
      </c>
      <c r="L9964" s="3" t="s">
        <v>103</v>
      </c>
      <c r="M9964" s="3" t="s">
        <v>103</v>
      </c>
      <c r="N9964" s="3">
        <v>1</v>
      </c>
      <c r="O9964" s="3" t="s">
        <v>103</v>
      </c>
      <c r="P9964" s="3" t="s">
        <v>192</v>
      </c>
      <c r="Q9964" s="3" t="s">
        <v>103</v>
      </c>
      <c r="R9964" s="3">
        <v>1</v>
      </c>
      <c r="S9964" s="3" t="s">
        <v>192</v>
      </c>
      <c r="T9964" s="3" t="s">
        <v>103</v>
      </c>
      <c r="U9964" s="3" t="s">
        <v>103</v>
      </c>
      <c r="V9964" s="3">
        <v>1</v>
      </c>
      <c r="W9964" s="3" t="s">
        <v>103</v>
      </c>
      <c r="X9964" s="3" t="s">
        <v>192</v>
      </c>
      <c r="Y9964" s="3">
        <v>1</v>
      </c>
      <c r="Z9964" s="3" t="s">
        <v>192</v>
      </c>
      <c r="AA9964" s="3" t="s">
        <v>103</v>
      </c>
      <c r="AB9964" s="3" t="s">
        <v>103</v>
      </c>
    </row>
    <row r="9965" spans="1:28" x14ac:dyDescent="0.3">
      <c r="A9965" t="s">
        <v>28</v>
      </c>
      <c r="B9965" t="s">
        <v>308</v>
      </c>
      <c r="C9965">
        <v>50</v>
      </c>
      <c r="D9965" t="s">
        <v>109</v>
      </c>
      <c r="E9965" t="s">
        <v>717</v>
      </c>
      <c r="F9965">
        <v>50</v>
      </c>
      <c r="G9965" t="s">
        <v>1481</v>
      </c>
      <c r="H9965" t="s">
        <v>208</v>
      </c>
      <c r="I9965" t="s">
        <v>103</v>
      </c>
      <c r="J9965">
        <v>50</v>
      </c>
      <c r="K9965" t="s">
        <v>441</v>
      </c>
      <c r="L9965" t="s">
        <v>442</v>
      </c>
      <c r="M9965" t="s">
        <v>103</v>
      </c>
      <c r="N9965">
        <v>50</v>
      </c>
      <c r="O9965" t="s">
        <v>682</v>
      </c>
      <c r="P9965" t="s">
        <v>276</v>
      </c>
      <c r="Q9965" t="s">
        <v>103</v>
      </c>
      <c r="R9965">
        <v>50</v>
      </c>
      <c r="S9965" t="s">
        <v>919</v>
      </c>
      <c r="T9965" t="s">
        <v>260</v>
      </c>
      <c r="U9965" t="s">
        <v>103</v>
      </c>
      <c r="V9965">
        <v>50</v>
      </c>
      <c r="W9965" t="s">
        <v>373</v>
      </c>
      <c r="X9965" t="s">
        <v>1462</v>
      </c>
      <c r="Y9965">
        <v>50</v>
      </c>
      <c r="Z9965" t="s">
        <v>192</v>
      </c>
      <c r="AA9965" t="s">
        <v>103</v>
      </c>
      <c r="AB9965" t="s">
        <v>103</v>
      </c>
    </row>
    <row r="9966" spans="1:28" x14ac:dyDescent="0.3">
      <c r="A9966" t="s">
        <v>27</v>
      </c>
      <c r="B9966" t="s">
        <v>2678</v>
      </c>
      <c r="C9966">
        <v>120</v>
      </c>
      <c r="D9966" t="s">
        <v>137</v>
      </c>
      <c r="E9966" t="s">
        <v>184</v>
      </c>
      <c r="F9966">
        <v>120</v>
      </c>
      <c r="G9966" t="s">
        <v>328</v>
      </c>
      <c r="H9966" t="s">
        <v>329</v>
      </c>
      <c r="I9966" t="s">
        <v>103</v>
      </c>
      <c r="J9966">
        <v>120</v>
      </c>
      <c r="K9966" t="s">
        <v>203</v>
      </c>
      <c r="L9966" t="s">
        <v>127</v>
      </c>
      <c r="M9966" t="s">
        <v>103</v>
      </c>
      <c r="N9966">
        <v>120</v>
      </c>
      <c r="O9966" t="s">
        <v>487</v>
      </c>
      <c r="P9966" t="s">
        <v>1236</v>
      </c>
      <c r="Q9966" t="s">
        <v>103</v>
      </c>
      <c r="R9966">
        <v>120</v>
      </c>
      <c r="S9966" t="s">
        <v>1325</v>
      </c>
      <c r="T9966" t="s">
        <v>1143</v>
      </c>
      <c r="U9966" t="s">
        <v>139</v>
      </c>
      <c r="V9966">
        <v>120</v>
      </c>
      <c r="W9966" t="s">
        <v>849</v>
      </c>
      <c r="X9966" t="s">
        <v>206</v>
      </c>
      <c r="Y9966">
        <v>120</v>
      </c>
      <c r="Z9966" t="s">
        <v>1471</v>
      </c>
      <c r="AA9966" t="s">
        <v>245</v>
      </c>
      <c r="AB9966" t="s">
        <v>103</v>
      </c>
    </row>
    <row r="9967" spans="1:28" s="3" customFormat="1" x14ac:dyDescent="0.3">
      <c r="A9967" s="3" t="s">
        <v>27</v>
      </c>
      <c r="B9967" s="3" t="s">
        <v>2679</v>
      </c>
      <c r="C9967" s="3">
        <v>1</v>
      </c>
      <c r="D9967" s="3" t="s">
        <v>192</v>
      </c>
      <c r="E9967" s="3" t="s">
        <v>103</v>
      </c>
      <c r="F9967" s="3">
        <v>1</v>
      </c>
      <c r="G9967" s="3" t="s">
        <v>192</v>
      </c>
      <c r="H9967" s="3" t="s">
        <v>103</v>
      </c>
      <c r="I9967" s="3" t="s">
        <v>103</v>
      </c>
      <c r="J9967" s="3">
        <v>1</v>
      </c>
      <c r="K9967" s="3" t="s">
        <v>192</v>
      </c>
      <c r="L9967" s="3" t="s">
        <v>103</v>
      </c>
      <c r="M9967" s="3" t="s">
        <v>103</v>
      </c>
      <c r="N9967" s="3">
        <v>1</v>
      </c>
      <c r="O9967" s="3" t="s">
        <v>103</v>
      </c>
      <c r="P9967" s="3" t="s">
        <v>192</v>
      </c>
      <c r="Q9967" s="3" t="s">
        <v>103</v>
      </c>
      <c r="R9967" s="3">
        <v>1</v>
      </c>
      <c r="S9967" s="3" t="s">
        <v>192</v>
      </c>
      <c r="T9967" s="3" t="s">
        <v>103</v>
      </c>
      <c r="U9967" s="3" t="s">
        <v>103</v>
      </c>
      <c r="V9967" s="3">
        <v>1</v>
      </c>
      <c r="W9967" s="3" t="s">
        <v>192</v>
      </c>
      <c r="X9967" s="3" t="s">
        <v>103</v>
      </c>
      <c r="Y9967" s="3">
        <v>1</v>
      </c>
      <c r="Z9967" s="3" t="s">
        <v>192</v>
      </c>
      <c r="AA9967" s="3" t="s">
        <v>103</v>
      </c>
      <c r="AB9967" s="3" t="s">
        <v>103</v>
      </c>
    </row>
    <row r="9968" spans="1:28" x14ac:dyDescent="0.3">
      <c r="A9968" t="s">
        <v>27</v>
      </c>
      <c r="B9968" t="s">
        <v>308</v>
      </c>
      <c r="C9968">
        <v>90</v>
      </c>
      <c r="D9968" t="s">
        <v>705</v>
      </c>
      <c r="E9968" t="s">
        <v>1258</v>
      </c>
      <c r="F9968">
        <v>90</v>
      </c>
      <c r="G9968" t="s">
        <v>1481</v>
      </c>
      <c r="H9968" t="s">
        <v>208</v>
      </c>
      <c r="I9968" t="s">
        <v>103</v>
      </c>
      <c r="J9968">
        <v>90</v>
      </c>
      <c r="K9968" t="s">
        <v>738</v>
      </c>
      <c r="L9968" t="s">
        <v>124</v>
      </c>
      <c r="M9968" t="s">
        <v>282</v>
      </c>
      <c r="N9968">
        <v>90</v>
      </c>
      <c r="O9968" t="s">
        <v>666</v>
      </c>
      <c r="P9968" t="s">
        <v>1379</v>
      </c>
      <c r="Q9968" t="s">
        <v>103</v>
      </c>
      <c r="R9968">
        <v>90</v>
      </c>
      <c r="S9968" t="s">
        <v>717</v>
      </c>
      <c r="T9968" t="s">
        <v>683</v>
      </c>
      <c r="U9968" t="s">
        <v>208</v>
      </c>
      <c r="V9968">
        <v>90</v>
      </c>
      <c r="W9968" t="s">
        <v>771</v>
      </c>
      <c r="X9968" t="s">
        <v>136</v>
      </c>
      <c r="Y9968">
        <v>90</v>
      </c>
      <c r="Z9968" t="s">
        <v>710</v>
      </c>
      <c r="AA9968" t="s">
        <v>242</v>
      </c>
      <c r="AB9968" t="s">
        <v>103</v>
      </c>
    </row>
    <row r="9969" spans="1:28" x14ac:dyDescent="0.3">
      <c r="A9969" t="s">
        <v>41</v>
      </c>
      <c r="B9969" t="s">
        <v>2678</v>
      </c>
      <c r="C9969">
        <v>1385</v>
      </c>
      <c r="D9969" t="s">
        <v>135</v>
      </c>
      <c r="E9969" t="s">
        <v>193</v>
      </c>
      <c r="F9969">
        <v>1385</v>
      </c>
      <c r="G9969" t="s">
        <v>600</v>
      </c>
      <c r="H9969" t="s">
        <v>925</v>
      </c>
      <c r="I9969" t="s">
        <v>139</v>
      </c>
      <c r="J9969">
        <v>1385</v>
      </c>
      <c r="K9969" t="s">
        <v>886</v>
      </c>
      <c r="L9969" t="s">
        <v>506</v>
      </c>
      <c r="M9969" t="s">
        <v>103</v>
      </c>
      <c r="N9969">
        <v>1385</v>
      </c>
      <c r="O9969" t="s">
        <v>399</v>
      </c>
      <c r="P9969" t="s">
        <v>696</v>
      </c>
      <c r="Q9969" t="s">
        <v>66</v>
      </c>
      <c r="R9969">
        <v>1385</v>
      </c>
      <c r="S9969" t="s">
        <v>1239</v>
      </c>
      <c r="T9969" t="s">
        <v>505</v>
      </c>
      <c r="U9969" t="s">
        <v>66</v>
      </c>
      <c r="V9969">
        <v>1385</v>
      </c>
      <c r="W9969" t="s">
        <v>49</v>
      </c>
      <c r="X9969" t="s">
        <v>50</v>
      </c>
      <c r="Y9969">
        <v>1384</v>
      </c>
      <c r="Z9969" t="s">
        <v>840</v>
      </c>
      <c r="AA9969" t="s">
        <v>93</v>
      </c>
      <c r="AB9969" t="s">
        <v>468</v>
      </c>
    </row>
    <row r="9970" spans="1:28" s="3" customFormat="1" x14ac:dyDescent="0.3">
      <c r="A9970" s="3" t="s">
        <v>41</v>
      </c>
      <c r="B9970" s="3" t="s">
        <v>2679</v>
      </c>
      <c r="C9970" s="3">
        <v>6</v>
      </c>
      <c r="D9970" s="3" t="s">
        <v>101</v>
      </c>
      <c r="E9970" s="3" t="s">
        <v>882</v>
      </c>
      <c r="F9970" s="3">
        <v>6</v>
      </c>
      <c r="G9970" s="3" t="s">
        <v>192</v>
      </c>
      <c r="H9970" s="3" t="s">
        <v>103</v>
      </c>
      <c r="I9970" s="3" t="s">
        <v>103</v>
      </c>
      <c r="J9970" s="3">
        <v>6</v>
      </c>
      <c r="K9970" s="3" t="s">
        <v>192</v>
      </c>
      <c r="L9970" s="3" t="s">
        <v>103</v>
      </c>
      <c r="M9970" s="3" t="s">
        <v>103</v>
      </c>
      <c r="N9970" s="3">
        <v>6</v>
      </c>
      <c r="O9970" s="3" t="s">
        <v>453</v>
      </c>
      <c r="P9970" s="3" t="s">
        <v>1071</v>
      </c>
      <c r="Q9970" s="3" t="s">
        <v>103</v>
      </c>
      <c r="R9970" s="3">
        <v>6</v>
      </c>
      <c r="S9970" s="3" t="s">
        <v>192</v>
      </c>
      <c r="T9970" s="3" t="s">
        <v>103</v>
      </c>
      <c r="U9970" s="3" t="s">
        <v>103</v>
      </c>
      <c r="V9970" s="3">
        <v>6</v>
      </c>
      <c r="W9970" s="3" t="s">
        <v>287</v>
      </c>
      <c r="X9970" s="3" t="s">
        <v>591</v>
      </c>
      <c r="Y9970" s="3">
        <v>6</v>
      </c>
      <c r="Z9970" s="3" t="s">
        <v>192</v>
      </c>
      <c r="AA9970" s="3" t="s">
        <v>103</v>
      </c>
      <c r="AB9970" s="3" t="s">
        <v>103</v>
      </c>
    </row>
    <row r="9971" spans="1:28" x14ac:dyDescent="0.3">
      <c r="A9971" t="s">
        <v>41</v>
      </c>
      <c r="B9971" t="s">
        <v>308</v>
      </c>
      <c r="C9971">
        <v>240</v>
      </c>
      <c r="D9971" t="s">
        <v>555</v>
      </c>
      <c r="E9971" t="s">
        <v>1456</v>
      </c>
      <c r="F9971">
        <v>240</v>
      </c>
      <c r="G9971" t="s">
        <v>1371</v>
      </c>
      <c r="H9971" t="s">
        <v>515</v>
      </c>
      <c r="I9971" t="s">
        <v>103</v>
      </c>
      <c r="J9971">
        <v>240</v>
      </c>
      <c r="K9971" t="s">
        <v>1181</v>
      </c>
      <c r="L9971" t="s">
        <v>461</v>
      </c>
      <c r="M9971" t="s">
        <v>66</v>
      </c>
      <c r="N9971">
        <v>240</v>
      </c>
      <c r="O9971" t="s">
        <v>501</v>
      </c>
      <c r="P9971" t="s">
        <v>1245</v>
      </c>
      <c r="Q9971" t="s">
        <v>103</v>
      </c>
      <c r="R9971">
        <v>240</v>
      </c>
      <c r="S9971" t="s">
        <v>1252</v>
      </c>
      <c r="T9971" t="s">
        <v>635</v>
      </c>
      <c r="U9971" t="s">
        <v>122</v>
      </c>
      <c r="V9971">
        <v>240</v>
      </c>
      <c r="W9971" t="s">
        <v>274</v>
      </c>
      <c r="X9971" t="s">
        <v>474</v>
      </c>
      <c r="Y9971">
        <v>240</v>
      </c>
      <c r="Z9971" t="s">
        <v>879</v>
      </c>
      <c r="AA9971" t="s">
        <v>266</v>
      </c>
      <c r="AB9971" t="s">
        <v>103</v>
      </c>
    </row>
    <row r="9973" spans="1:28" x14ac:dyDescent="0.3">
      <c r="A9973" t="s">
        <v>2680</v>
      </c>
    </row>
    <row r="9974" spans="1:28" x14ac:dyDescent="0.3">
      <c r="A9974" t="s">
        <v>36</v>
      </c>
      <c r="B9974" t="s">
        <v>24</v>
      </c>
      <c r="C9974" t="s">
        <v>2681</v>
      </c>
      <c r="D9974" t="s">
        <v>2682</v>
      </c>
      <c r="E9974" t="s">
        <v>2683</v>
      </c>
      <c r="F9974" t="s">
        <v>2684</v>
      </c>
      <c r="G9974" t="s">
        <v>2685</v>
      </c>
    </row>
    <row r="9975" spans="1:28" x14ac:dyDescent="0.3">
      <c r="A9975" t="s">
        <v>25</v>
      </c>
      <c r="B9975">
        <v>293</v>
      </c>
      <c r="C9975" t="s">
        <v>186</v>
      </c>
      <c r="D9975" t="s">
        <v>516</v>
      </c>
      <c r="E9975" t="s">
        <v>793</v>
      </c>
      <c r="F9975" t="s">
        <v>91</v>
      </c>
      <c r="G9975" t="s">
        <v>1023</v>
      </c>
    </row>
    <row r="9976" spans="1:28" x14ac:dyDescent="0.3">
      <c r="A9976" t="s">
        <v>26</v>
      </c>
      <c r="B9976">
        <v>391</v>
      </c>
      <c r="C9976" t="s">
        <v>70</v>
      </c>
      <c r="D9976" t="s">
        <v>474</v>
      </c>
      <c r="E9976" t="s">
        <v>374</v>
      </c>
      <c r="F9976" t="s">
        <v>345</v>
      </c>
      <c r="G9976" t="s">
        <v>1219</v>
      </c>
    </row>
    <row r="9977" spans="1:28" x14ac:dyDescent="0.3">
      <c r="A9977" t="s">
        <v>29</v>
      </c>
      <c r="B9977">
        <v>340</v>
      </c>
      <c r="C9977" t="s">
        <v>239</v>
      </c>
      <c r="D9977" t="s">
        <v>543</v>
      </c>
      <c r="E9977" t="s">
        <v>1327</v>
      </c>
      <c r="F9977" t="s">
        <v>95</v>
      </c>
      <c r="G9977" t="s">
        <v>301</v>
      </c>
    </row>
    <row r="9978" spans="1:28" x14ac:dyDescent="0.3">
      <c r="A9978" t="s">
        <v>28</v>
      </c>
      <c r="B9978">
        <v>238</v>
      </c>
      <c r="C9978" t="s">
        <v>103</v>
      </c>
      <c r="D9978" t="s">
        <v>591</v>
      </c>
      <c r="E9978" t="s">
        <v>602</v>
      </c>
      <c r="F9978" t="s">
        <v>103</v>
      </c>
      <c r="G9978" t="s">
        <v>473</v>
      </c>
    </row>
    <row r="9979" spans="1:28" x14ac:dyDescent="0.3">
      <c r="A9979" t="s">
        <v>27</v>
      </c>
      <c r="B9979">
        <v>170</v>
      </c>
      <c r="C9979" t="s">
        <v>208</v>
      </c>
      <c r="D9979" t="s">
        <v>31</v>
      </c>
      <c r="E9979" t="s">
        <v>1221</v>
      </c>
      <c r="F9979" t="s">
        <v>103</v>
      </c>
      <c r="G9979" t="s">
        <v>148</v>
      </c>
    </row>
    <row r="9980" spans="1:28" x14ac:dyDescent="0.3">
      <c r="A9980" t="s">
        <v>41</v>
      </c>
      <c r="B9980">
        <v>1432</v>
      </c>
      <c r="C9980" t="s">
        <v>195</v>
      </c>
      <c r="D9980" t="s">
        <v>809</v>
      </c>
      <c r="E9980" t="s">
        <v>1327</v>
      </c>
      <c r="F9980" t="s">
        <v>120</v>
      </c>
      <c r="G9980" t="s">
        <v>31</v>
      </c>
    </row>
    <row r="9982" spans="1:28" x14ac:dyDescent="0.3">
      <c r="A9982" t="s">
        <v>2686</v>
      </c>
    </row>
    <row r="9983" spans="1:28" x14ac:dyDescent="0.3">
      <c r="A9983" t="s">
        <v>36</v>
      </c>
      <c r="B9983" t="s">
        <v>24</v>
      </c>
      <c r="C9983" t="s">
        <v>2681</v>
      </c>
      <c r="D9983" t="s">
        <v>2682</v>
      </c>
      <c r="E9983" t="s">
        <v>2683</v>
      </c>
      <c r="F9983" t="s">
        <v>2685</v>
      </c>
      <c r="G9983" t="s">
        <v>181</v>
      </c>
    </row>
    <row r="9984" spans="1:28" s="3" customFormat="1" x14ac:dyDescent="0.3">
      <c r="A9984" s="3" t="s">
        <v>25</v>
      </c>
      <c r="B9984" s="3">
        <v>19</v>
      </c>
      <c r="C9984" s="3" t="s">
        <v>186</v>
      </c>
      <c r="D9984" s="3" t="s">
        <v>575</v>
      </c>
      <c r="E9984" s="3" t="s">
        <v>1577</v>
      </c>
      <c r="F9984" s="3" t="s">
        <v>109</v>
      </c>
      <c r="G9984" s="3" t="s">
        <v>103</v>
      </c>
    </row>
    <row r="9985" spans="1:7" x14ac:dyDescent="0.3">
      <c r="A9985" t="s">
        <v>26</v>
      </c>
      <c r="B9985">
        <v>69</v>
      </c>
      <c r="C9985" t="s">
        <v>103</v>
      </c>
      <c r="D9985" t="s">
        <v>206</v>
      </c>
      <c r="E9985" t="s">
        <v>355</v>
      </c>
      <c r="F9985" t="s">
        <v>1220</v>
      </c>
      <c r="G9985" t="s">
        <v>103</v>
      </c>
    </row>
    <row r="9986" spans="1:7" x14ac:dyDescent="0.3">
      <c r="A9986" t="s">
        <v>29</v>
      </c>
      <c r="B9986">
        <v>68</v>
      </c>
      <c r="C9986" t="s">
        <v>116</v>
      </c>
      <c r="D9986" t="s">
        <v>511</v>
      </c>
      <c r="E9986" t="s">
        <v>364</v>
      </c>
      <c r="F9986" t="s">
        <v>484</v>
      </c>
      <c r="G9986" t="s">
        <v>102</v>
      </c>
    </row>
    <row r="9987" spans="1:7" s="3" customFormat="1" x14ac:dyDescent="0.3">
      <c r="A9987" s="3" t="s">
        <v>28</v>
      </c>
      <c r="B9987" s="3">
        <v>4</v>
      </c>
      <c r="C9987" s="3" t="s">
        <v>103</v>
      </c>
      <c r="D9987" s="3" t="s">
        <v>103</v>
      </c>
      <c r="E9987" s="3" t="s">
        <v>192</v>
      </c>
      <c r="F9987" s="3" t="s">
        <v>103</v>
      </c>
      <c r="G9987" s="3" t="s">
        <v>103</v>
      </c>
    </row>
    <row r="9988" spans="1:7" s="3" customFormat="1" x14ac:dyDescent="0.3">
      <c r="A9988" s="3" t="s">
        <v>27</v>
      </c>
      <c r="B9988" s="3">
        <v>6</v>
      </c>
      <c r="C9988" s="3" t="s">
        <v>103</v>
      </c>
      <c r="D9988" s="3" t="s">
        <v>103</v>
      </c>
      <c r="E9988" s="3" t="s">
        <v>417</v>
      </c>
      <c r="F9988" s="3" t="s">
        <v>499</v>
      </c>
      <c r="G9988" s="3" t="s">
        <v>103</v>
      </c>
    </row>
    <row r="9989" spans="1:7" x14ac:dyDescent="0.3">
      <c r="A9989" t="s">
        <v>41</v>
      </c>
      <c r="B9989">
        <v>166</v>
      </c>
      <c r="C9989" t="s">
        <v>120</v>
      </c>
      <c r="D9989" t="s">
        <v>140</v>
      </c>
      <c r="E9989" t="s">
        <v>231</v>
      </c>
      <c r="F9989" t="s">
        <v>357</v>
      </c>
      <c r="G9989" t="s">
        <v>341</v>
      </c>
    </row>
    <row r="9991" spans="1:7" x14ac:dyDescent="0.3">
      <c r="A9991" t="s">
        <v>2687</v>
      </c>
    </row>
    <row r="9992" spans="1:7" x14ac:dyDescent="0.3">
      <c r="A9992" t="s">
        <v>36</v>
      </c>
      <c r="B9992" t="s">
        <v>24</v>
      </c>
      <c r="C9992" t="s">
        <v>2681</v>
      </c>
      <c r="D9992" t="s">
        <v>2682</v>
      </c>
      <c r="E9992" t="s">
        <v>2683</v>
      </c>
      <c r="F9992" t="s">
        <v>2685</v>
      </c>
      <c r="G9992" t="s">
        <v>2684</v>
      </c>
    </row>
    <row r="9993" spans="1:7" x14ac:dyDescent="0.3">
      <c r="A9993" t="s">
        <v>25</v>
      </c>
      <c r="B9993">
        <v>37</v>
      </c>
      <c r="C9993" t="s">
        <v>126</v>
      </c>
      <c r="D9993" t="s">
        <v>48</v>
      </c>
      <c r="E9993" t="s">
        <v>1218</v>
      </c>
      <c r="F9993" t="s">
        <v>627</v>
      </c>
      <c r="G9993" t="s">
        <v>103</v>
      </c>
    </row>
    <row r="9994" spans="1:7" x14ac:dyDescent="0.3">
      <c r="A9994" t="s">
        <v>26</v>
      </c>
      <c r="B9994">
        <v>133</v>
      </c>
      <c r="C9994" t="s">
        <v>188</v>
      </c>
      <c r="D9994" t="s">
        <v>148</v>
      </c>
      <c r="E9994" t="s">
        <v>1089</v>
      </c>
      <c r="F9994" t="s">
        <v>788</v>
      </c>
      <c r="G9994" t="s">
        <v>95</v>
      </c>
    </row>
    <row r="9995" spans="1:7" x14ac:dyDescent="0.3">
      <c r="A9995" t="s">
        <v>29</v>
      </c>
      <c r="B9995">
        <v>83</v>
      </c>
      <c r="C9995" t="s">
        <v>103</v>
      </c>
      <c r="D9995" t="s">
        <v>551</v>
      </c>
      <c r="E9995" t="s">
        <v>942</v>
      </c>
      <c r="F9995" t="s">
        <v>577</v>
      </c>
      <c r="G9995" t="s">
        <v>103</v>
      </c>
    </row>
    <row r="9996" spans="1:7" x14ac:dyDescent="0.3">
      <c r="A9996" t="s">
        <v>28</v>
      </c>
      <c r="B9996">
        <v>84</v>
      </c>
      <c r="C9996" t="s">
        <v>139</v>
      </c>
      <c r="D9996" t="s">
        <v>737</v>
      </c>
      <c r="E9996" t="s">
        <v>55</v>
      </c>
      <c r="F9996" t="s">
        <v>135</v>
      </c>
      <c r="G9996" t="s">
        <v>103</v>
      </c>
    </row>
    <row r="9997" spans="1:7" s="3" customFormat="1" x14ac:dyDescent="0.3">
      <c r="A9997" s="3" t="s">
        <v>27</v>
      </c>
      <c r="B9997" s="3">
        <v>16</v>
      </c>
      <c r="C9997" s="3" t="s">
        <v>103</v>
      </c>
      <c r="D9997" s="3" t="s">
        <v>142</v>
      </c>
      <c r="E9997" s="3" t="s">
        <v>1418</v>
      </c>
      <c r="F9997" s="3" t="s">
        <v>671</v>
      </c>
      <c r="G9997" s="3" t="s">
        <v>103</v>
      </c>
    </row>
    <row r="9998" spans="1:7" x14ac:dyDescent="0.3">
      <c r="A9998" t="s">
        <v>41</v>
      </c>
      <c r="B9998">
        <v>353</v>
      </c>
      <c r="C9998" t="s">
        <v>128</v>
      </c>
      <c r="D9998" t="s">
        <v>518</v>
      </c>
      <c r="E9998" t="s">
        <v>2185</v>
      </c>
      <c r="F9998" t="s">
        <v>261</v>
      </c>
      <c r="G9998" t="s">
        <v>116</v>
      </c>
    </row>
    <row r="10000" spans="1:7" x14ac:dyDescent="0.3">
      <c r="A10000" t="s">
        <v>2688</v>
      </c>
    </row>
    <row r="10001" spans="1:7" x14ac:dyDescent="0.3">
      <c r="A10001" t="s">
        <v>36</v>
      </c>
      <c r="B10001" t="s">
        <v>24</v>
      </c>
      <c r="C10001" t="s">
        <v>2681</v>
      </c>
      <c r="D10001" t="s">
        <v>2682</v>
      </c>
      <c r="E10001" t="s">
        <v>2683</v>
      </c>
      <c r="F10001" t="s">
        <v>2685</v>
      </c>
      <c r="G10001" t="s">
        <v>2684</v>
      </c>
    </row>
    <row r="10002" spans="1:7" x14ac:dyDescent="0.3">
      <c r="A10002" t="s">
        <v>25</v>
      </c>
      <c r="B10002">
        <v>178</v>
      </c>
      <c r="C10002" t="s">
        <v>122</v>
      </c>
      <c r="D10002" t="s">
        <v>224</v>
      </c>
      <c r="E10002" t="s">
        <v>255</v>
      </c>
      <c r="F10002" t="s">
        <v>1198</v>
      </c>
      <c r="G10002" t="s">
        <v>103</v>
      </c>
    </row>
    <row r="10003" spans="1:7" x14ac:dyDescent="0.3">
      <c r="A10003" t="s">
        <v>26</v>
      </c>
      <c r="B10003">
        <v>201</v>
      </c>
      <c r="C10003" t="s">
        <v>103</v>
      </c>
      <c r="D10003" t="s">
        <v>232</v>
      </c>
      <c r="E10003" t="s">
        <v>1291</v>
      </c>
      <c r="F10003" t="s">
        <v>644</v>
      </c>
      <c r="G10003" t="s">
        <v>97</v>
      </c>
    </row>
    <row r="10004" spans="1:7" x14ac:dyDescent="0.3">
      <c r="A10004" t="s">
        <v>29</v>
      </c>
      <c r="B10004">
        <v>229</v>
      </c>
      <c r="C10004" t="s">
        <v>93</v>
      </c>
      <c r="D10004" t="s">
        <v>123</v>
      </c>
      <c r="E10004" t="s">
        <v>593</v>
      </c>
      <c r="F10004" t="s">
        <v>825</v>
      </c>
      <c r="G10004" t="s">
        <v>103</v>
      </c>
    </row>
    <row r="10005" spans="1:7" x14ac:dyDescent="0.3">
      <c r="A10005" t="s">
        <v>28</v>
      </c>
      <c r="B10005">
        <v>228</v>
      </c>
      <c r="C10005" t="s">
        <v>103</v>
      </c>
      <c r="D10005" t="s">
        <v>188</v>
      </c>
      <c r="E10005" t="s">
        <v>741</v>
      </c>
      <c r="F10005" t="s">
        <v>1023</v>
      </c>
      <c r="G10005" t="s">
        <v>103</v>
      </c>
    </row>
    <row r="10006" spans="1:7" x14ac:dyDescent="0.3">
      <c r="A10006" t="s">
        <v>27</v>
      </c>
      <c r="B10006">
        <v>113</v>
      </c>
      <c r="C10006" t="s">
        <v>103</v>
      </c>
      <c r="D10006" t="s">
        <v>809</v>
      </c>
      <c r="E10006" t="s">
        <v>730</v>
      </c>
      <c r="F10006" t="s">
        <v>644</v>
      </c>
      <c r="G10006" t="s">
        <v>103</v>
      </c>
    </row>
    <row r="10007" spans="1:7" x14ac:dyDescent="0.3">
      <c r="A10007" t="s">
        <v>41</v>
      </c>
      <c r="B10007">
        <v>949</v>
      </c>
      <c r="C10007" t="s">
        <v>345</v>
      </c>
      <c r="D10007" t="s">
        <v>254</v>
      </c>
      <c r="E10007" t="s">
        <v>1180</v>
      </c>
      <c r="F10007" t="s">
        <v>702</v>
      </c>
      <c r="G10007" t="s">
        <v>91</v>
      </c>
    </row>
    <row r="10009" spans="1:7" x14ac:dyDescent="0.3">
      <c r="A10009" t="s">
        <v>2689</v>
      </c>
    </row>
    <row r="10010" spans="1:7" x14ac:dyDescent="0.3">
      <c r="A10010" t="s">
        <v>36</v>
      </c>
      <c r="B10010" t="s">
        <v>24</v>
      </c>
      <c r="C10010" t="s">
        <v>2682</v>
      </c>
      <c r="D10010" t="s">
        <v>2683</v>
      </c>
      <c r="E10010" t="s">
        <v>2685</v>
      </c>
      <c r="F10010" t="s">
        <v>2681</v>
      </c>
      <c r="G10010" t="s">
        <v>181</v>
      </c>
    </row>
    <row r="10011" spans="1:7" x14ac:dyDescent="0.3">
      <c r="A10011" t="s">
        <v>25</v>
      </c>
      <c r="B10011">
        <v>45</v>
      </c>
      <c r="C10011" t="s">
        <v>607</v>
      </c>
      <c r="D10011" t="s">
        <v>866</v>
      </c>
      <c r="E10011" t="s">
        <v>301</v>
      </c>
      <c r="F10011" t="s">
        <v>103</v>
      </c>
      <c r="G10011" t="s">
        <v>103</v>
      </c>
    </row>
    <row r="10012" spans="1:7" x14ac:dyDescent="0.3">
      <c r="A10012" t="s">
        <v>26</v>
      </c>
      <c r="B10012">
        <v>117</v>
      </c>
      <c r="C10012" t="s">
        <v>127</v>
      </c>
      <c r="D10012" t="s">
        <v>929</v>
      </c>
      <c r="E10012" t="s">
        <v>375</v>
      </c>
      <c r="F10012" t="s">
        <v>194</v>
      </c>
      <c r="G10012" t="s">
        <v>103</v>
      </c>
    </row>
    <row r="10013" spans="1:7" x14ac:dyDescent="0.3">
      <c r="A10013" t="s">
        <v>29</v>
      </c>
      <c r="B10013">
        <v>104</v>
      </c>
      <c r="C10013" t="s">
        <v>232</v>
      </c>
      <c r="D10013" t="s">
        <v>1258</v>
      </c>
      <c r="E10013" t="s">
        <v>476</v>
      </c>
      <c r="F10013" t="s">
        <v>270</v>
      </c>
      <c r="G10013" t="s">
        <v>239</v>
      </c>
    </row>
    <row r="10014" spans="1:7" x14ac:dyDescent="0.3">
      <c r="A10014" t="s">
        <v>28</v>
      </c>
      <c r="B10014">
        <v>91</v>
      </c>
      <c r="C10014" t="s">
        <v>107</v>
      </c>
      <c r="D10014" t="s">
        <v>1035</v>
      </c>
      <c r="E10014" t="s">
        <v>702</v>
      </c>
      <c r="F10014" t="s">
        <v>103</v>
      </c>
      <c r="G10014" t="s">
        <v>103</v>
      </c>
    </row>
    <row r="10015" spans="1:7" x14ac:dyDescent="0.3">
      <c r="A10015" t="s">
        <v>27</v>
      </c>
      <c r="B10015">
        <v>51</v>
      </c>
      <c r="C10015" t="s">
        <v>691</v>
      </c>
      <c r="D10015" t="s">
        <v>1375</v>
      </c>
      <c r="E10015" t="s">
        <v>549</v>
      </c>
      <c r="F10015" t="s">
        <v>341</v>
      </c>
      <c r="G10015" t="s">
        <v>103</v>
      </c>
    </row>
    <row r="10016" spans="1:7" x14ac:dyDescent="0.3">
      <c r="A10016" t="s">
        <v>41</v>
      </c>
      <c r="B10016">
        <v>408</v>
      </c>
      <c r="C10016" t="s">
        <v>460</v>
      </c>
      <c r="D10016" t="s">
        <v>366</v>
      </c>
      <c r="E10016" t="s">
        <v>507</v>
      </c>
      <c r="F10016" t="s">
        <v>341</v>
      </c>
      <c r="G10016" t="s">
        <v>95</v>
      </c>
    </row>
    <row r="10018" spans="1:7" x14ac:dyDescent="0.3">
      <c r="A10018" t="s">
        <v>2690</v>
      </c>
    </row>
    <row r="10019" spans="1:7" x14ac:dyDescent="0.3">
      <c r="A10019" t="s">
        <v>36</v>
      </c>
      <c r="B10019" t="s">
        <v>24</v>
      </c>
      <c r="C10019" t="s">
        <v>2682</v>
      </c>
      <c r="D10019" t="s">
        <v>2683</v>
      </c>
      <c r="E10019" t="s">
        <v>2685</v>
      </c>
      <c r="F10019" t="s">
        <v>2681</v>
      </c>
      <c r="G10019" t="s">
        <v>2684</v>
      </c>
    </row>
    <row r="10020" spans="1:7" x14ac:dyDescent="0.3">
      <c r="A10020" t="s">
        <v>25</v>
      </c>
      <c r="B10020">
        <v>52</v>
      </c>
      <c r="C10020" t="s">
        <v>107</v>
      </c>
      <c r="D10020" t="s">
        <v>1172</v>
      </c>
      <c r="E10020" t="s">
        <v>1097</v>
      </c>
      <c r="F10020" t="s">
        <v>103</v>
      </c>
      <c r="G10020" t="s">
        <v>103</v>
      </c>
    </row>
    <row r="10021" spans="1:7" x14ac:dyDescent="0.3">
      <c r="A10021" t="s">
        <v>26</v>
      </c>
      <c r="B10021">
        <v>65</v>
      </c>
      <c r="C10021" t="s">
        <v>693</v>
      </c>
      <c r="D10021" t="s">
        <v>1279</v>
      </c>
      <c r="E10021" t="s">
        <v>1196</v>
      </c>
      <c r="F10021" t="s">
        <v>139</v>
      </c>
      <c r="G10021" t="s">
        <v>345</v>
      </c>
    </row>
    <row r="10022" spans="1:7" x14ac:dyDescent="0.3">
      <c r="A10022" t="s">
        <v>29</v>
      </c>
      <c r="B10022">
        <v>76</v>
      </c>
      <c r="C10022" t="s">
        <v>813</v>
      </c>
      <c r="D10022" t="s">
        <v>427</v>
      </c>
      <c r="E10022" t="s">
        <v>929</v>
      </c>
      <c r="F10022" t="s">
        <v>103</v>
      </c>
      <c r="G10022" t="s">
        <v>103</v>
      </c>
    </row>
    <row r="10023" spans="1:7" x14ac:dyDescent="0.3">
      <c r="A10023" t="s">
        <v>28</v>
      </c>
      <c r="B10023">
        <v>126</v>
      </c>
      <c r="C10023" t="s">
        <v>95</v>
      </c>
      <c r="D10023" t="s">
        <v>903</v>
      </c>
      <c r="E10023" t="s">
        <v>469</v>
      </c>
      <c r="F10023" t="s">
        <v>103</v>
      </c>
      <c r="G10023" t="s">
        <v>103</v>
      </c>
    </row>
    <row r="10024" spans="1:7" s="3" customFormat="1" x14ac:dyDescent="0.3">
      <c r="A10024" s="3" t="s">
        <v>27</v>
      </c>
      <c r="B10024" s="3">
        <v>12</v>
      </c>
      <c r="C10024" s="3" t="s">
        <v>112</v>
      </c>
      <c r="D10024" s="3" t="s">
        <v>1398</v>
      </c>
      <c r="E10024" s="3" t="s">
        <v>707</v>
      </c>
      <c r="F10024" s="3" t="s">
        <v>103</v>
      </c>
      <c r="G10024" s="3" t="s">
        <v>103</v>
      </c>
    </row>
    <row r="10025" spans="1:7" x14ac:dyDescent="0.3">
      <c r="A10025" t="s">
        <v>41</v>
      </c>
      <c r="B10025">
        <v>331</v>
      </c>
      <c r="C10025" t="s">
        <v>262</v>
      </c>
      <c r="D10025" t="s">
        <v>400</v>
      </c>
      <c r="E10025" t="s">
        <v>919</v>
      </c>
      <c r="F10025" t="s">
        <v>66</v>
      </c>
      <c r="G10025" t="s">
        <v>116</v>
      </c>
    </row>
    <row r="10027" spans="1:7" x14ac:dyDescent="0.3">
      <c r="A10027" t="s">
        <v>2691</v>
      </c>
    </row>
    <row r="10028" spans="1:7" x14ac:dyDescent="0.3">
      <c r="A10028" t="s">
        <v>36</v>
      </c>
      <c r="B10028" t="s">
        <v>24</v>
      </c>
      <c r="C10028" t="s">
        <v>2683</v>
      </c>
      <c r="D10028" t="s">
        <v>2685</v>
      </c>
      <c r="E10028" t="s">
        <v>181</v>
      </c>
    </row>
    <row r="10029" spans="1:7" s="3" customFormat="1" x14ac:dyDescent="0.3">
      <c r="A10029" s="3" t="s">
        <v>25</v>
      </c>
      <c r="B10029" s="3">
        <v>7</v>
      </c>
      <c r="C10029" s="3" t="s">
        <v>728</v>
      </c>
      <c r="D10029" s="3" t="s">
        <v>727</v>
      </c>
      <c r="E10029" s="3" t="s">
        <v>103</v>
      </c>
    </row>
    <row r="10030" spans="1:7" s="3" customFormat="1" x14ac:dyDescent="0.3">
      <c r="A10030" s="3" t="s">
        <v>26</v>
      </c>
      <c r="B10030" s="3">
        <v>2</v>
      </c>
      <c r="C10030" s="3" t="s">
        <v>399</v>
      </c>
      <c r="D10030" s="3" t="s">
        <v>400</v>
      </c>
      <c r="E10030" s="3" t="s">
        <v>103</v>
      </c>
    </row>
    <row r="10031" spans="1:7" s="3" customFormat="1" x14ac:dyDescent="0.3">
      <c r="A10031" s="3" t="s">
        <v>29</v>
      </c>
      <c r="B10031" s="3">
        <v>13</v>
      </c>
      <c r="C10031" s="3" t="s">
        <v>647</v>
      </c>
      <c r="D10031" s="3" t="s">
        <v>1439</v>
      </c>
      <c r="E10031" s="3" t="s">
        <v>103</v>
      </c>
    </row>
    <row r="10032" spans="1:7" s="3" customFormat="1" x14ac:dyDescent="0.3">
      <c r="A10032" s="3" t="s">
        <v>28</v>
      </c>
      <c r="B10032" s="3">
        <v>5</v>
      </c>
      <c r="C10032" s="3" t="s">
        <v>799</v>
      </c>
      <c r="D10032" s="3" t="s">
        <v>1207</v>
      </c>
      <c r="E10032" s="3" t="s">
        <v>103</v>
      </c>
    </row>
    <row r="10033" spans="1:8" s="3" customFormat="1" x14ac:dyDescent="0.3">
      <c r="A10033" s="3" t="s">
        <v>27</v>
      </c>
      <c r="B10033" s="3">
        <v>10</v>
      </c>
      <c r="C10033" s="3" t="s">
        <v>424</v>
      </c>
      <c r="D10033" s="3" t="s">
        <v>1028</v>
      </c>
      <c r="E10033" s="3" t="s">
        <v>649</v>
      </c>
    </row>
    <row r="10034" spans="1:8" x14ac:dyDescent="0.3">
      <c r="A10034" t="s">
        <v>41</v>
      </c>
      <c r="B10034">
        <v>37</v>
      </c>
      <c r="C10034" t="s">
        <v>1098</v>
      </c>
      <c r="D10034" t="s">
        <v>1549</v>
      </c>
      <c r="E10034" t="s">
        <v>139</v>
      </c>
    </row>
    <row r="10036" spans="1:8" x14ac:dyDescent="0.3">
      <c r="A10036" t="s">
        <v>2692</v>
      </c>
    </row>
    <row r="10037" spans="1:8" x14ac:dyDescent="0.3">
      <c r="A10037" t="s">
        <v>36</v>
      </c>
      <c r="B10037" t="s">
        <v>310</v>
      </c>
      <c r="C10037" t="s">
        <v>24</v>
      </c>
      <c r="D10037" t="s">
        <v>2681</v>
      </c>
      <c r="E10037" t="s">
        <v>2682</v>
      </c>
      <c r="F10037" t="s">
        <v>2683</v>
      </c>
      <c r="G10037" t="s">
        <v>2685</v>
      </c>
      <c r="H10037" t="s">
        <v>2684</v>
      </c>
    </row>
    <row r="10038" spans="1:8" x14ac:dyDescent="0.3">
      <c r="A10038" t="s">
        <v>25</v>
      </c>
      <c r="B10038" t="s">
        <v>311</v>
      </c>
      <c r="C10038">
        <v>233</v>
      </c>
      <c r="D10038" t="s">
        <v>114</v>
      </c>
      <c r="E10038" t="s">
        <v>475</v>
      </c>
      <c r="F10038" t="s">
        <v>1240</v>
      </c>
      <c r="G10038" t="s">
        <v>900</v>
      </c>
      <c r="H10038" t="s">
        <v>103</v>
      </c>
    </row>
    <row r="10039" spans="1:8" x14ac:dyDescent="0.3">
      <c r="A10039" t="s">
        <v>25</v>
      </c>
      <c r="B10039" t="s">
        <v>312</v>
      </c>
      <c r="C10039">
        <v>53</v>
      </c>
      <c r="D10039" t="s">
        <v>208</v>
      </c>
      <c r="E10039" t="s">
        <v>271</v>
      </c>
      <c r="F10039" t="s">
        <v>1064</v>
      </c>
      <c r="G10039" t="s">
        <v>691</v>
      </c>
      <c r="H10039" t="s">
        <v>139</v>
      </c>
    </row>
    <row r="10040" spans="1:8" x14ac:dyDescent="0.3">
      <c r="A10040" t="s">
        <v>25</v>
      </c>
      <c r="B10040" t="s">
        <v>308</v>
      </c>
      <c r="C10040">
        <v>7</v>
      </c>
      <c r="D10040" t="s">
        <v>1143</v>
      </c>
      <c r="E10040" t="s">
        <v>531</v>
      </c>
      <c r="F10040" t="s">
        <v>479</v>
      </c>
      <c r="G10040" t="s">
        <v>1250</v>
      </c>
      <c r="H10040" t="s">
        <v>103</v>
      </c>
    </row>
    <row r="10041" spans="1:8" x14ac:dyDescent="0.3">
      <c r="A10041" t="s">
        <v>26</v>
      </c>
      <c r="B10041" t="s">
        <v>311</v>
      </c>
      <c r="C10041">
        <v>281</v>
      </c>
      <c r="D10041" t="s">
        <v>594</v>
      </c>
      <c r="E10041" t="s">
        <v>275</v>
      </c>
      <c r="F10041" t="s">
        <v>1067</v>
      </c>
      <c r="G10041" t="s">
        <v>651</v>
      </c>
      <c r="H10041" t="s">
        <v>282</v>
      </c>
    </row>
    <row r="10042" spans="1:8" x14ac:dyDescent="0.3">
      <c r="A10042" t="s">
        <v>26</v>
      </c>
      <c r="B10042" t="s">
        <v>312</v>
      </c>
      <c r="C10042">
        <v>76</v>
      </c>
      <c r="D10042" t="s">
        <v>128</v>
      </c>
      <c r="E10042" t="s">
        <v>1023</v>
      </c>
      <c r="F10042" t="s">
        <v>1230</v>
      </c>
      <c r="G10042" t="s">
        <v>148</v>
      </c>
      <c r="H10042" t="s">
        <v>139</v>
      </c>
    </row>
    <row r="10043" spans="1:8" x14ac:dyDescent="0.3">
      <c r="A10043" t="s">
        <v>26</v>
      </c>
      <c r="B10043" t="s">
        <v>308</v>
      </c>
      <c r="C10043">
        <v>34</v>
      </c>
      <c r="D10043" t="s">
        <v>266</v>
      </c>
      <c r="E10043" t="s">
        <v>746</v>
      </c>
      <c r="F10043" t="s">
        <v>1180</v>
      </c>
      <c r="G10043" t="s">
        <v>102</v>
      </c>
      <c r="H10043" t="s">
        <v>128</v>
      </c>
    </row>
    <row r="10044" spans="1:8" x14ac:dyDescent="0.3">
      <c r="A10044" t="s">
        <v>29</v>
      </c>
      <c r="B10044" t="s">
        <v>311</v>
      </c>
      <c r="C10044">
        <v>260</v>
      </c>
      <c r="D10044" t="s">
        <v>341</v>
      </c>
      <c r="E10044" t="s">
        <v>652</v>
      </c>
      <c r="F10044" t="s">
        <v>1241</v>
      </c>
      <c r="G10044" t="s">
        <v>553</v>
      </c>
      <c r="H10044" t="s">
        <v>139</v>
      </c>
    </row>
    <row r="10045" spans="1:8" x14ac:dyDescent="0.3">
      <c r="A10045" t="s">
        <v>29</v>
      </c>
      <c r="B10045" t="s">
        <v>312</v>
      </c>
      <c r="C10045">
        <v>72</v>
      </c>
      <c r="D10045" t="s">
        <v>103</v>
      </c>
      <c r="E10045" t="s">
        <v>111</v>
      </c>
      <c r="F10045" t="s">
        <v>1039</v>
      </c>
      <c r="G10045" t="s">
        <v>121</v>
      </c>
      <c r="H10045" t="s">
        <v>66</v>
      </c>
    </row>
    <row r="10046" spans="1:8" x14ac:dyDescent="0.3">
      <c r="A10046" t="s">
        <v>29</v>
      </c>
      <c r="B10046" t="s">
        <v>308</v>
      </c>
      <c r="C10046">
        <v>8</v>
      </c>
      <c r="D10046" t="s">
        <v>103</v>
      </c>
      <c r="E10046" t="s">
        <v>146</v>
      </c>
      <c r="F10046" t="s">
        <v>390</v>
      </c>
      <c r="G10046" t="s">
        <v>500</v>
      </c>
      <c r="H10046" t="s">
        <v>103</v>
      </c>
    </row>
    <row r="10047" spans="1:8" x14ac:dyDescent="0.3">
      <c r="A10047" t="s">
        <v>28</v>
      </c>
      <c r="B10047" t="s">
        <v>311</v>
      </c>
      <c r="C10047">
        <v>180</v>
      </c>
      <c r="D10047" t="s">
        <v>103</v>
      </c>
      <c r="E10047" t="s">
        <v>33</v>
      </c>
      <c r="F10047" t="s">
        <v>618</v>
      </c>
      <c r="G10047" t="s">
        <v>471</v>
      </c>
      <c r="H10047" t="s">
        <v>103</v>
      </c>
    </row>
    <row r="10048" spans="1:8" x14ac:dyDescent="0.3">
      <c r="A10048" t="s">
        <v>28</v>
      </c>
      <c r="B10048" t="s">
        <v>312</v>
      </c>
      <c r="C10048">
        <v>58</v>
      </c>
      <c r="D10048" t="s">
        <v>103</v>
      </c>
      <c r="E10048" t="s">
        <v>282</v>
      </c>
      <c r="F10048" t="s">
        <v>149</v>
      </c>
      <c r="G10048" t="s">
        <v>244</v>
      </c>
      <c r="H10048" t="s">
        <v>103</v>
      </c>
    </row>
    <row r="10049" spans="1:8" x14ac:dyDescent="0.3">
      <c r="A10049" t="s">
        <v>27</v>
      </c>
      <c r="B10049" t="s">
        <v>311</v>
      </c>
      <c r="C10049">
        <v>141</v>
      </c>
      <c r="D10049" t="s">
        <v>216</v>
      </c>
      <c r="E10049" t="s">
        <v>1143</v>
      </c>
      <c r="F10049" t="s">
        <v>1009</v>
      </c>
      <c r="G10049" t="s">
        <v>925</v>
      </c>
      <c r="H10049" t="s">
        <v>103</v>
      </c>
    </row>
    <row r="10050" spans="1:8" s="3" customFormat="1" x14ac:dyDescent="0.3">
      <c r="A10050" s="3" t="s">
        <v>27</v>
      </c>
      <c r="B10050" s="3" t="s">
        <v>312</v>
      </c>
      <c r="C10050" s="3">
        <v>28</v>
      </c>
      <c r="D10050" s="3" t="s">
        <v>186</v>
      </c>
      <c r="E10050" s="3" t="s">
        <v>228</v>
      </c>
      <c r="F10050" s="3" t="s">
        <v>1136</v>
      </c>
      <c r="G10050" s="3" t="s">
        <v>113</v>
      </c>
      <c r="H10050" s="3" t="s">
        <v>103</v>
      </c>
    </row>
    <row r="10051" spans="1:8" x14ac:dyDescent="0.3">
      <c r="A10051" t="s">
        <v>27</v>
      </c>
      <c r="B10051" t="s">
        <v>308</v>
      </c>
      <c r="C10051">
        <v>1</v>
      </c>
      <c r="D10051" t="s">
        <v>103</v>
      </c>
      <c r="E10051" t="s">
        <v>103</v>
      </c>
      <c r="F10051" t="s">
        <v>103</v>
      </c>
      <c r="G10051" t="s">
        <v>192</v>
      </c>
      <c r="H10051" t="s">
        <v>103</v>
      </c>
    </row>
    <row r="10052" spans="1:8" x14ac:dyDescent="0.3">
      <c r="A10052" t="s">
        <v>41</v>
      </c>
      <c r="B10052" t="s">
        <v>311</v>
      </c>
      <c r="C10052">
        <v>1095</v>
      </c>
      <c r="D10052" t="s">
        <v>438</v>
      </c>
      <c r="E10052" t="s">
        <v>813</v>
      </c>
      <c r="F10052" t="s">
        <v>795</v>
      </c>
      <c r="G10052" t="s">
        <v>539</v>
      </c>
      <c r="H10052" t="s">
        <v>120</v>
      </c>
    </row>
    <row r="10053" spans="1:8" x14ac:dyDescent="0.3">
      <c r="A10053" t="s">
        <v>41</v>
      </c>
      <c r="B10053" t="s">
        <v>312</v>
      </c>
      <c r="C10053">
        <v>287</v>
      </c>
      <c r="D10053" t="s">
        <v>345</v>
      </c>
      <c r="E10053" t="s">
        <v>516</v>
      </c>
      <c r="F10053" t="s">
        <v>508</v>
      </c>
      <c r="G10053" t="s">
        <v>557</v>
      </c>
      <c r="H10053" t="s">
        <v>97</v>
      </c>
    </row>
    <row r="10054" spans="1:8" x14ac:dyDescent="0.3">
      <c r="A10054" t="s">
        <v>41</v>
      </c>
      <c r="B10054" t="s">
        <v>308</v>
      </c>
      <c r="C10054">
        <v>50</v>
      </c>
      <c r="D10054" t="s">
        <v>284</v>
      </c>
      <c r="E10054" t="s">
        <v>727</v>
      </c>
      <c r="F10054" t="s">
        <v>1292</v>
      </c>
      <c r="G10054" t="s">
        <v>473</v>
      </c>
      <c r="H10054" t="s">
        <v>216</v>
      </c>
    </row>
    <row r="10056" spans="1:8" x14ac:dyDescent="0.3">
      <c r="A10056" t="s">
        <v>2693</v>
      </c>
    </row>
    <row r="10057" spans="1:8" x14ac:dyDescent="0.3">
      <c r="A10057" t="s">
        <v>36</v>
      </c>
      <c r="B10057" t="s">
        <v>310</v>
      </c>
      <c r="C10057" t="s">
        <v>24</v>
      </c>
      <c r="D10057" t="s">
        <v>2681</v>
      </c>
      <c r="E10057" t="s">
        <v>2683</v>
      </c>
      <c r="F10057" t="s">
        <v>2685</v>
      </c>
      <c r="G10057" t="s">
        <v>2682</v>
      </c>
      <c r="H10057" t="s">
        <v>181</v>
      </c>
    </row>
    <row r="10058" spans="1:8" s="3" customFormat="1" x14ac:dyDescent="0.3">
      <c r="A10058" s="3" t="s">
        <v>25</v>
      </c>
      <c r="B10058" s="3" t="s">
        <v>311</v>
      </c>
      <c r="C10058" s="3">
        <v>14</v>
      </c>
      <c r="D10058" s="3" t="s">
        <v>452</v>
      </c>
      <c r="E10058" s="3" t="s">
        <v>1377</v>
      </c>
      <c r="F10058" s="3" t="s">
        <v>506</v>
      </c>
      <c r="G10058" s="3" t="s">
        <v>103</v>
      </c>
      <c r="H10058" s="3" t="s">
        <v>103</v>
      </c>
    </row>
    <row r="10059" spans="1:8" s="3" customFormat="1" x14ac:dyDescent="0.3">
      <c r="A10059" s="3" t="s">
        <v>25</v>
      </c>
      <c r="B10059" s="3" t="s">
        <v>312</v>
      </c>
      <c r="C10059" s="3">
        <v>5</v>
      </c>
      <c r="D10059" s="3" t="s">
        <v>103</v>
      </c>
      <c r="E10059" s="3" t="s">
        <v>473</v>
      </c>
      <c r="F10059" s="3" t="s">
        <v>410</v>
      </c>
      <c r="G10059" s="3" t="s">
        <v>565</v>
      </c>
      <c r="H10059" s="3" t="s">
        <v>103</v>
      </c>
    </row>
    <row r="10060" spans="1:8" x14ac:dyDescent="0.3">
      <c r="A10060" t="s">
        <v>26</v>
      </c>
      <c r="B10060" t="s">
        <v>311</v>
      </c>
      <c r="C10060">
        <v>49</v>
      </c>
      <c r="D10060" t="s">
        <v>103</v>
      </c>
      <c r="E10060" t="s">
        <v>583</v>
      </c>
      <c r="F10060" t="s">
        <v>304</v>
      </c>
      <c r="G10060" t="s">
        <v>118</v>
      </c>
      <c r="H10060" t="s">
        <v>103</v>
      </c>
    </row>
    <row r="10061" spans="1:8" s="3" customFormat="1" x14ac:dyDescent="0.3">
      <c r="A10061" s="3" t="s">
        <v>26</v>
      </c>
      <c r="B10061" s="3" t="s">
        <v>312</v>
      </c>
      <c r="C10061" s="3">
        <v>13</v>
      </c>
      <c r="D10061" s="3" t="s">
        <v>103</v>
      </c>
      <c r="E10061" s="3" t="s">
        <v>979</v>
      </c>
      <c r="F10061" s="3" t="s">
        <v>54</v>
      </c>
      <c r="G10061" s="3" t="s">
        <v>485</v>
      </c>
      <c r="H10061" s="3" t="s">
        <v>103</v>
      </c>
    </row>
    <row r="10062" spans="1:8" x14ac:dyDescent="0.3">
      <c r="A10062" t="s">
        <v>26</v>
      </c>
      <c r="B10062" t="s">
        <v>308</v>
      </c>
      <c r="C10062">
        <v>7</v>
      </c>
      <c r="D10062" t="s">
        <v>103</v>
      </c>
      <c r="E10062" t="s">
        <v>1357</v>
      </c>
      <c r="F10062" t="s">
        <v>103</v>
      </c>
      <c r="G10062" t="s">
        <v>809</v>
      </c>
      <c r="H10062" t="s">
        <v>103</v>
      </c>
    </row>
    <row r="10063" spans="1:8" x14ac:dyDescent="0.3">
      <c r="A10063" t="s">
        <v>29</v>
      </c>
      <c r="B10063" t="s">
        <v>311</v>
      </c>
      <c r="C10063">
        <v>52</v>
      </c>
      <c r="D10063" t="s">
        <v>122</v>
      </c>
      <c r="E10063" t="s">
        <v>1418</v>
      </c>
      <c r="F10063" t="s">
        <v>683</v>
      </c>
      <c r="G10063" t="s">
        <v>100</v>
      </c>
      <c r="H10063" t="s">
        <v>615</v>
      </c>
    </row>
    <row r="10064" spans="1:8" s="3" customFormat="1" x14ac:dyDescent="0.3">
      <c r="A10064" s="3" t="s">
        <v>29</v>
      </c>
      <c r="B10064" s="3" t="s">
        <v>312</v>
      </c>
      <c r="C10064" s="3">
        <v>14</v>
      </c>
      <c r="D10064" s="3" t="s">
        <v>103</v>
      </c>
      <c r="E10064" s="3" t="s">
        <v>153</v>
      </c>
      <c r="F10064" s="3" t="s">
        <v>607</v>
      </c>
      <c r="G10064" s="3" t="s">
        <v>558</v>
      </c>
      <c r="H10064" s="3" t="s">
        <v>103</v>
      </c>
    </row>
    <row r="10065" spans="1:8" x14ac:dyDescent="0.3">
      <c r="A10065" t="s">
        <v>29</v>
      </c>
      <c r="B10065" t="s">
        <v>308</v>
      </c>
      <c r="C10065">
        <v>2</v>
      </c>
      <c r="D10065" t="s">
        <v>103</v>
      </c>
      <c r="E10065" t="s">
        <v>1065</v>
      </c>
      <c r="F10065" t="s">
        <v>657</v>
      </c>
      <c r="G10065" t="s">
        <v>103</v>
      </c>
      <c r="H10065" t="s">
        <v>103</v>
      </c>
    </row>
    <row r="10066" spans="1:8" s="3" customFormat="1" x14ac:dyDescent="0.3">
      <c r="A10066" s="3" t="s">
        <v>28</v>
      </c>
      <c r="B10066" s="3" t="s">
        <v>311</v>
      </c>
      <c r="C10066" s="3">
        <v>3</v>
      </c>
      <c r="D10066" s="3" t="s">
        <v>103</v>
      </c>
      <c r="E10066" s="3" t="s">
        <v>192</v>
      </c>
      <c r="F10066" s="3" t="s">
        <v>103</v>
      </c>
      <c r="G10066" s="3" t="s">
        <v>103</v>
      </c>
      <c r="H10066" s="3" t="s">
        <v>103</v>
      </c>
    </row>
    <row r="10067" spans="1:8" s="3" customFormat="1" x14ac:dyDescent="0.3">
      <c r="A10067" s="3" t="s">
        <v>28</v>
      </c>
      <c r="B10067" s="3" t="s">
        <v>312</v>
      </c>
      <c r="C10067" s="3">
        <v>1</v>
      </c>
      <c r="D10067" s="3" t="s">
        <v>103</v>
      </c>
      <c r="E10067" s="3" t="s">
        <v>192</v>
      </c>
      <c r="F10067" s="3" t="s">
        <v>103</v>
      </c>
      <c r="G10067" s="3" t="s">
        <v>103</v>
      </c>
      <c r="H10067" s="3" t="s">
        <v>103</v>
      </c>
    </row>
    <row r="10068" spans="1:8" s="3" customFormat="1" x14ac:dyDescent="0.3">
      <c r="A10068" s="3" t="s">
        <v>27</v>
      </c>
      <c r="B10068" s="3" t="s">
        <v>311</v>
      </c>
      <c r="C10068" s="3">
        <v>4</v>
      </c>
      <c r="D10068" s="3" t="s">
        <v>103</v>
      </c>
      <c r="E10068" s="3" t="s">
        <v>192</v>
      </c>
      <c r="F10068" s="3" t="s">
        <v>103</v>
      </c>
      <c r="G10068" s="3" t="s">
        <v>103</v>
      </c>
      <c r="H10068" s="3" t="s">
        <v>103</v>
      </c>
    </row>
    <row r="10069" spans="1:8" s="3" customFormat="1" x14ac:dyDescent="0.3">
      <c r="A10069" s="3" t="s">
        <v>27</v>
      </c>
      <c r="B10069" s="3" t="s">
        <v>312</v>
      </c>
      <c r="C10069" s="3">
        <v>2</v>
      </c>
      <c r="D10069" s="3" t="s">
        <v>103</v>
      </c>
      <c r="E10069" s="3" t="s">
        <v>103</v>
      </c>
      <c r="F10069" s="3" t="s">
        <v>192</v>
      </c>
      <c r="G10069" s="3" t="s">
        <v>103</v>
      </c>
      <c r="H10069" s="3" t="s">
        <v>103</v>
      </c>
    </row>
    <row r="10070" spans="1:8" x14ac:dyDescent="0.3">
      <c r="A10070" t="s">
        <v>41</v>
      </c>
      <c r="B10070" t="s">
        <v>311</v>
      </c>
      <c r="C10070">
        <v>122</v>
      </c>
      <c r="D10070" t="s">
        <v>139</v>
      </c>
      <c r="E10070" t="s">
        <v>839</v>
      </c>
      <c r="F10070" t="s">
        <v>370</v>
      </c>
      <c r="G10070" t="s">
        <v>284</v>
      </c>
      <c r="H10070" t="s">
        <v>257</v>
      </c>
    </row>
    <row r="10071" spans="1:8" x14ac:dyDescent="0.3">
      <c r="A10071" t="s">
        <v>41</v>
      </c>
      <c r="B10071" t="s">
        <v>312</v>
      </c>
      <c r="C10071">
        <v>35</v>
      </c>
      <c r="D10071" t="s">
        <v>103</v>
      </c>
      <c r="E10071" t="s">
        <v>428</v>
      </c>
      <c r="F10071" t="s">
        <v>46</v>
      </c>
      <c r="G10071" t="s">
        <v>481</v>
      </c>
      <c r="H10071" t="s">
        <v>103</v>
      </c>
    </row>
    <row r="10072" spans="1:8" x14ac:dyDescent="0.3">
      <c r="A10072" t="s">
        <v>41</v>
      </c>
      <c r="B10072" t="s">
        <v>308</v>
      </c>
      <c r="C10072">
        <v>9</v>
      </c>
      <c r="D10072" t="s">
        <v>103</v>
      </c>
      <c r="E10072" t="s">
        <v>1140</v>
      </c>
      <c r="F10072" t="s">
        <v>518</v>
      </c>
      <c r="G10072" t="s">
        <v>191</v>
      </c>
      <c r="H10072" t="s">
        <v>103</v>
      </c>
    </row>
    <row r="10074" spans="1:8" x14ac:dyDescent="0.3">
      <c r="A10074" t="s">
        <v>2694</v>
      </c>
    </row>
    <row r="10075" spans="1:8" x14ac:dyDescent="0.3">
      <c r="A10075" t="s">
        <v>36</v>
      </c>
      <c r="B10075" t="s">
        <v>310</v>
      </c>
      <c r="C10075" t="s">
        <v>24</v>
      </c>
      <c r="D10075" t="s">
        <v>2681</v>
      </c>
      <c r="E10075" t="s">
        <v>2682</v>
      </c>
      <c r="F10075" t="s">
        <v>2683</v>
      </c>
      <c r="G10075" t="s">
        <v>2685</v>
      </c>
      <c r="H10075" t="s">
        <v>2684</v>
      </c>
    </row>
    <row r="10076" spans="1:8" x14ac:dyDescent="0.3">
      <c r="A10076" t="s">
        <v>25</v>
      </c>
      <c r="B10076" t="s">
        <v>311</v>
      </c>
      <c r="C10076">
        <v>31</v>
      </c>
      <c r="D10076" t="s">
        <v>99</v>
      </c>
      <c r="E10076" t="s">
        <v>550</v>
      </c>
      <c r="F10076" t="s">
        <v>797</v>
      </c>
      <c r="G10076" t="s">
        <v>541</v>
      </c>
      <c r="H10076" t="s">
        <v>103</v>
      </c>
    </row>
    <row r="10077" spans="1:8" s="3" customFormat="1" x14ac:dyDescent="0.3">
      <c r="A10077" s="3" t="s">
        <v>25</v>
      </c>
      <c r="B10077" s="3" t="s">
        <v>312</v>
      </c>
      <c r="C10077" s="3">
        <v>5</v>
      </c>
      <c r="D10077" s="3" t="s">
        <v>103</v>
      </c>
      <c r="E10077" s="3" t="s">
        <v>355</v>
      </c>
      <c r="F10077" s="3" t="s">
        <v>103</v>
      </c>
      <c r="G10077" s="3" t="s">
        <v>1292</v>
      </c>
      <c r="H10077" s="3" t="s">
        <v>103</v>
      </c>
    </row>
    <row r="10078" spans="1:8" x14ac:dyDescent="0.3">
      <c r="A10078" t="s">
        <v>25</v>
      </c>
      <c r="B10078" t="s">
        <v>308</v>
      </c>
      <c r="C10078">
        <v>1</v>
      </c>
      <c r="D10078" t="s">
        <v>103</v>
      </c>
      <c r="E10078" t="s">
        <v>103</v>
      </c>
      <c r="F10078" t="s">
        <v>103</v>
      </c>
      <c r="G10078" t="s">
        <v>192</v>
      </c>
      <c r="H10078" t="s">
        <v>103</v>
      </c>
    </row>
    <row r="10079" spans="1:8" x14ac:dyDescent="0.3">
      <c r="A10079" t="s">
        <v>26</v>
      </c>
      <c r="B10079" t="s">
        <v>311</v>
      </c>
      <c r="C10079">
        <v>101</v>
      </c>
      <c r="D10079" t="s">
        <v>493</v>
      </c>
      <c r="E10079" t="s">
        <v>244</v>
      </c>
      <c r="F10079" t="s">
        <v>1087</v>
      </c>
      <c r="G10079" t="s">
        <v>560</v>
      </c>
      <c r="H10079" t="s">
        <v>98</v>
      </c>
    </row>
    <row r="10080" spans="1:8" s="3" customFormat="1" x14ac:dyDescent="0.3">
      <c r="A10080" s="3" t="s">
        <v>26</v>
      </c>
      <c r="B10080" s="3" t="s">
        <v>312</v>
      </c>
      <c r="C10080" s="3">
        <v>22</v>
      </c>
      <c r="D10080" s="3" t="s">
        <v>140</v>
      </c>
      <c r="E10080" s="3" t="s">
        <v>108</v>
      </c>
      <c r="F10080" s="3" t="s">
        <v>1676</v>
      </c>
      <c r="G10080" s="3" t="s">
        <v>261</v>
      </c>
      <c r="H10080" s="3" t="s">
        <v>103</v>
      </c>
    </row>
    <row r="10081" spans="1:8" x14ac:dyDescent="0.3">
      <c r="A10081" t="s">
        <v>26</v>
      </c>
      <c r="B10081" t="s">
        <v>308</v>
      </c>
      <c r="C10081">
        <v>10</v>
      </c>
      <c r="D10081" t="s">
        <v>103</v>
      </c>
      <c r="E10081" t="s">
        <v>815</v>
      </c>
      <c r="F10081" t="s">
        <v>1230</v>
      </c>
      <c r="G10081" t="s">
        <v>482</v>
      </c>
      <c r="H10081" t="s">
        <v>103</v>
      </c>
    </row>
    <row r="10082" spans="1:8" x14ac:dyDescent="0.3">
      <c r="A10082" t="s">
        <v>29</v>
      </c>
      <c r="B10082" t="s">
        <v>311</v>
      </c>
      <c r="C10082">
        <v>65</v>
      </c>
      <c r="D10082" t="s">
        <v>103</v>
      </c>
      <c r="E10082" t="s">
        <v>548</v>
      </c>
      <c r="F10082" t="s">
        <v>1676</v>
      </c>
      <c r="G10082" t="s">
        <v>646</v>
      </c>
      <c r="H10082" t="s">
        <v>103</v>
      </c>
    </row>
    <row r="10083" spans="1:8" s="3" customFormat="1" x14ac:dyDescent="0.3">
      <c r="A10083" s="3" t="s">
        <v>29</v>
      </c>
      <c r="B10083" s="3" t="s">
        <v>312</v>
      </c>
      <c r="C10083" s="3">
        <v>16</v>
      </c>
      <c r="D10083" s="3" t="s">
        <v>103</v>
      </c>
      <c r="E10083" s="3" t="s">
        <v>601</v>
      </c>
      <c r="F10083" s="3" t="s">
        <v>628</v>
      </c>
      <c r="G10083" s="3" t="s">
        <v>121</v>
      </c>
      <c r="H10083" s="3" t="s">
        <v>103</v>
      </c>
    </row>
    <row r="10084" spans="1:8" x14ac:dyDescent="0.3">
      <c r="A10084" t="s">
        <v>29</v>
      </c>
      <c r="B10084" t="s">
        <v>308</v>
      </c>
      <c r="C10084">
        <v>2</v>
      </c>
      <c r="D10084" t="s">
        <v>103</v>
      </c>
      <c r="E10084" t="s">
        <v>103</v>
      </c>
      <c r="F10084" t="s">
        <v>103</v>
      </c>
      <c r="G10084" t="s">
        <v>192</v>
      </c>
      <c r="H10084" t="s">
        <v>103</v>
      </c>
    </row>
    <row r="10085" spans="1:8" x14ac:dyDescent="0.3">
      <c r="A10085" t="s">
        <v>28</v>
      </c>
      <c r="B10085" t="s">
        <v>311</v>
      </c>
      <c r="C10085">
        <v>66</v>
      </c>
      <c r="D10085" t="s">
        <v>98</v>
      </c>
      <c r="E10085" t="s">
        <v>232</v>
      </c>
      <c r="F10085" t="s">
        <v>903</v>
      </c>
      <c r="G10085" t="s">
        <v>693</v>
      </c>
      <c r="H10085" t="s">
        <v>103</v>
      </c>
    </row>
    <row r="10086" spans="1:8" s="3" customFormat="1" x14ac:dyDescent="0.3">
      <c r="A10086" s="3" t="s">
        <v>28</v>
      </c>
      <c r="B10086" s="3" t="s">
        <v>312</v>
      </c>
      <c r="C10086" s="3">
        <v>18</v>
      </c>
      <c r="D10086" s="3" t="s">
        <v>103</v>
      </c>
      <c r="E10086" s="3" t="s">
        <v>695</v>
      </c>
      <c r="F10086" s="3" t="s">
        <v>926</v>
      </c>
      <c r="G10086" s="3" t="s">
        <v>544</v>
      </c>
      <c r="H10086" s="3" t="s">
        <v>103</v>
      </c>
    </row>
    <row r="10087" spans="1:8" s="3" customFormat="1" x14ac:dyDescent="0.3">
      <c r="A10087" s="3" t="s">
        <v>27</v>
      </c>
      <c r="B10087" s="3" t="s">
        <v>311</v>
      </c>
      <c r="C10087" s="3">
        <v>15</v>
      </c>
      <c r="D10087" s="3" t="s">
        <v>103</v>
      </c>
      <c r="E10087" s="3" t="s">
        <v>681</v>
      </c>
      <c r="F10087" s="3" t="s">
        <v>400</v>
      </c>
      <c r="G10087" s="3" t="s">
        <v>688</v>
      </c>
      <c r="H10087" s="3" t="s">
        <v>103</v>
      </c>
    </row>
    <row r="10088" spans="1:8" s="3" customFormat="1" x14ac:dyDescent="0.3">
      <c r="A10088" s="3" t="s">
        <v>27</v>
      </c>
      <c r="B10088" s="3" t="s">
        <v>312</v>
      </c>
      <c r="C10088" s="3">
        <v>1</v>
      </c>
      <c r="D10088" s="3" t="s">
        <v>103</v>
      </c>
      <c r="E10088" s="3" t="s">
        <v>103</v>
      </c>
      <c r="F10088" s="3" t="s">
        <v>192</v>
      </c>
      <c r="G10088" s="3" t="s">
        <v>103</v>
      </c>
      <c r="H10088" s="3" t="s">
        <v>103</v>
      </c>
    </row>
    <row r="10089" spans="1:8" x14ac:dyDescent="0.3">
      <c r="A10089" t="s">
        <v>41</v>
      </c>
      <c r="B10089" t="s">
        <v>311</v>
      </c>
      <c r="C10089">
        <v>278</v>
      </c>
      <c r="D10089" t="s">
        <v>118</v>
      </c>
      <c r="E10089" t="s">
        <v>475</v>
      </c>
      <c r="F10089" t="s">
        <v>675</v>
      </c>
      <c r="G10089" t="s">
        <v>1226</v>
      </c>
      <c r="H10089" t="s">
        <v>122</v>
      </c>
    </row>
    <row r="10090" spans="1:8" x14ac:dyDescent="0.3">
      <c r="A10090" t="s">
        <v>41</v>
      </c>
      <c r="B10090" t="s">
        <v>312</v>
      </c>
      <c r="C10090">
        <v>62</v>
      </c>
      <c r="D10090" t="s">
        <v>257</v>
      </c>
      <c r="E10090" t="s">
        <v>544</v>
      </c>
      <c r="F10090" t="s">
        <v>389</v>
      </c>
      <c r="G10090" t="s">
        <v>788</v>
      </c>
      <c r="H10090" t="s">
        <v>103</v>
      </c>
    </row>
    <row r="10091" spans="1:8" x14ac:dyDescent="0.3">
      <c r="A10091" t="s">
        <v>41</v>
      </c>
      <c r="B10091" t="s">
        <v>308</v>
      </c>
      <c r="C10091">
        <v>13</v>
      </c>
      <c r="D10091" t="s">
        <v>103</v>
      </c>
      <c r="E10091" t="s">
        <v>264</v>
      </c>
      <c r="F10091" t="s">
        <v>540</v>
      </c>
      <c r="G10091" t="s">
        <v>545</v>
      </c>
      <c r="H10091" t="s">
        <v>103</v>
      </c>
    </row>
    <row r="10093" spans="1:8" x14ac:dyDescent="0.3">
      <c r="A10093" t="s">
        <v>2695</v>
      </c>
    </row>
    <row r="10094" spans="1:8" x14ac:dyDescent="0.3">
      <c r="A10094" t="s">
        <v>36</v>
      </c>
      <c r="B10094" t="s">
        <v>310</v>
      </c>
      <c r="C10094" t="s">
        <v>24</v>
      </c>
      <c r="D10094" t="s">
        <v>2681</v>
      </c>
      <c r="E10094" t="s">
        <v>2682</v>
      </c>
      <c r="F10094" t="s">
        <v>2683</v>
      </c>
      <c r="G10094" t="s">
        <v>2685</v>
      </c>
      <c r="H10094" t="s">
        <v>2684</v>
      </c>
    </row>
    <row r="10095" spans="1:8" x14ac:dyDescent="0.3">
      <c r="A10095" t="s">
        <v>25</v>
      </c>
      <c r="B10095" t="s">
        <v>311</v>
      </c>
      <c r="C10095">
        <v>141</v>
      </c>
      <c r="D10095" t="s">
        <v>97</v>
      </c>
      <c r="E10095" t="s">
        <v>108</v>
      </c>
      <c r="F10095" t="s">
        <v>403</v>
      </c>
      <c r="G10095" t="s">
        <v>975</v>
      </c>
      <c r="H10095" t="s">
        <v>103</v>
      </c>
    </row>
    <row r="10096" spans="1:8" x14ac:dyDescent="0.3">
      <c r="A10096" t="s">
        <v>25</v>
      </c>
      <c r="B10096" t="s">
        <v>312</v>
      </c>
      <c r="C10096">
        <v>34</v>
      </c>
      <c r="D10096" t="s">
        <v>103</v>
      </c>
      <c r="E10096" t="s">
        <v>700</v>
      </c>
      <c r="F10096" t="s">
        <v>724</v>
      </c>
      <c r="G10096" t="s">
        <v>269</v>
      </c>
      <c r="H10096" t="s">
        <v>103</v>
      </c>
    </row>
    <row r="10097" spans="1:8" x14ac:dyDescent="0.3">
      <c r="A10097" t="s">
        <v>25</v>
      </c>
      <c r="B10097" t="s">
        <v>308</v>
      </c>
      <c r="C10097">
        <v>3</v>
      </c>
      <c r="D10097" t="s">
        <v>103</v>
      </c>
      <c r="E10097" t="s">
        <v>103</v>
      </c>
      <c r="F10097" t="s">
        <v>1316</v>
      </c>
      <c r="G10097" t="s">
        <v>557</v>
      </c>
      <c r="H10097" t="s">
        <v>103</v>
      </c>
    </row>
    <row r="10098" spans="1:8" x14ac:dyDescent="0.3">
      <c r="A10098" t="s">
        <v>26</v>
      </c>
      <c r="B10098" t="s">
        <v>311</v>
      </c>
      <c r="C10098">
        <v>144</v>
      </c>
      <c r="D10098" t="s">
        <v>103</v>
      </c>
      <c r="E10098" t="s">
        <v>558</v>
      </c>
      <c r="F10098" t="s">
        <v>982</v>
      </c>
      <c r="G10098" t="s">
        <v>670</v>
      </c>
      <c r="H10098" t="s">
        <v>120</v>
      </c>
    </row>
    <row r="10099" spans="1:8" x14ac:dyDescent="0.3">
      <c r="A10099" t="s">
        <v>26</v>
      </c>
      <c r="B10099" t="s">
        <v>312</v>
      </c>
      <c r="C10099">
        <v>38</v>
      </c>
      <c r="D10099" t="s">
        <v>103</v>
      </c>
      <c r="E10099" t="s">
        <v>649</v>
      </c>
      <c r="F10099" t="s">
        <v>168</v>
      </c>
      <c r="G10099" t="s">
        <v>467</v>
      </c>
      <c r="H10099" t="s">
        <v>103</v>
      </c>
    </row>
    <row r="10100" spans="1:8" x14ac:dyDescent="0.3">
      <c r="A10100" t="s">
        <v>26</v>
      </c>
      <c r="B10100" t="s">
        <v>308</v>
      </c>
      <c r="C10100">
        <v>19</v>
      </c>
      <c r="D10100" t="s">
        <v>103</v>
      </c>
      <c r="E10100" t="s">
        <v>103</v>
      </c>
      <c r="F10100" t="s">
        <v>192</v>
      </c>
      <c r="G10100" t="s">
        <v>103</v>
      </c>
      <c r="H10100" t="s">
        <v>103</v>
      </c>
    </row>
    <row r="10101" spans="1:8" x14ac:dyDescent="0.3">
      <c r="A10101" t="s">
        <v>29</v>
      </c>
      <c r="B10101" t="s">
        <v>311</v>
      </c>
      <c r="C10101">
        <v>177</v>
      </c>
      <c r="D10101" t="s">
        <v>64</v>
      </c>
      <c r="E10101" t="s">
        <v>111</v>
      </c>
      <c r="F10101" t="s">
        <v>1379</v>
      </c>
      <c r="G10101" t="s">
        <v>646</v>
      </c>
      <c r="H10101" t="s">
        <v>103</v>
      </c>
    </row>
    <row r="10102" spans="1:8" x14ac:dyDescent="0.3">
      <c r="A10102" t="s">
        <v>29</v>
      </c>
      <c r="B10102" t="s">
        <v>312</v>
      </c>
      <c r="C10102">
        <v>45</v>
      </c>
      <c r="D10102" t="s">
        <v>103</v>
      </c>
      <c r="E10102" t="s">
        <v>493</v>
      </c>
      <c r="F10102" t="s">
        <v>403</v>
      </c>
      <c r="G10102" t="s">
        <v>230</v>
      </c>
      <c r="H10102" t="s">
        <v>103</v>
      </c>
    </row>
    <row r="10103" spans="1:8" x14ac:dyDescent="0.3">
      <c r="A10103" t="s">
        <v>29</v>
      </c>
      <c r="B10103" t="s">
        <v>308</v>
      </c>
      <c r="C10103">
        <v>7</v>
      </c>
      <c r="D10103" t="s">
        <v>103</v>
      </c>
      <c r="E10103" t="s">
        <v>1579</v>
      </c>
      <c r="F10103" t="s">
        <v>805</v>
      </c>
      <c r="G10103" t="s">
        <v>121</v>
      </c>
      <c r="H10103" t="s">
        <v>103</v>
      </c>
    </row>
    <row r="10104" spans="1:8" x14ac:dyDescent="0.3">
      <c r="A10104" t="s">
        <v>28</v>
      </c>
      <c r="B10104" t="s">
        <v>311</v>
      </c>
      <c r="C10104">
        <v>167</v>
      </c>
      <c r="D10104" t="s">
        <v>103</v>
      </c>
      <c r="E10104" t="s">
        <v>272</v>
      </c>
      <c r="F10104" t="s">
        <v>1373</v>
      </c>
      <c r="G10104" t="s">
        <v>484</v>
      </c>
      <c r="H10104" t="s">
        <v>103</v>
      </c>
    </row>
    <row r="10105" spans="1:8" x14ac:dyDescent="0.3">
      <c r="A10105" t="s">
        <v>28</v>
      </c>
      <c r="B10105" t="s">
        <v>312</v>
      </c>
      <c r="C10105">
        <v>60</v>
      </c>
      <c r="D10105" t="s">
        <v>103</v>
      </c>
      <c r="E10105" t="s">
        <v>206</v>
      </c>
      <c r="F10105" t="s">
        <v>1316</v>
      </c>
      <c r="G10105" t="s">
        <v>268</v>
      </c>
      <c r="H10105" t="s">
        <v>103</v>
      </c>
    </row>
    <row r="10106" spans="1:8" x14ac:dyDescent="0.3">
      <c r="A10106" t="s">
        <v>28</v>
      </c>
      <c r="B10106" t="s">
        <v>308</v>
      </c>
      <c r="C10106">
        <v>1</v>
      </c>
      <c r="D10106" t="s">
        <v>103</v>
      </c>
      <c r="E10106" t="s">
        <v>103</v>
      </c>
      <c r="F10106" t="s">
        <v>192</v>
      </c>
      <c r="G10106" t="s">
        <v>103</v>
      </c>
      <c r="H10106" t="s">
        <v>103</v>
      </c>
    </row>
    <row r="10107" spans="1:8" x14ac:dyDescent="0.3">
      <c r="A10107" t="s">
        <v>27</v>
      </c>
      <c r="B10107" t="s">
        <v>311</v>
      </c>
      <c r="C10107">
        <v>93</v>
      </c>
      <c r="D10107" t="s">
        <v>103</v>
      </c>
      <c r="E10107" t="s">
        <v>131</v>
      </c>
      <c r="F10107" t="s">
        <v>1245</v>
      </c>
      <c r="G10107" t="s">
        <v>644</v>
      </c>
      <c r="H10107" t="s">
        <v>103</v>
      </c>
    </row>
    <row r="10108" spans="1:8" s="3" customFormat="1" x14ac:dyDescent="0.3">
      <c r="A10108" s="3" t="s">
        <v>27</v>
      </c>
      <c r="B10108" s="3" t="s">
        <v>312</v>
      </c>
      <c r="C10108" s="3">
        <v>19</v>
      </c>
      <c r="D10108" s="3" t="s">
        <v>103</v>
      </c>
      <c r="E10108" s="3" t="s">
        <v>136</v>
      </c>
      <c r="F10108" s="3" t="s">
        <v>2033</v>
      </c>
      <c r="G10108" s="3" t="s">
        <v>50</v>
      </c>
      <c r="H10108" s="3" t="s">
        <v>103</v>
      </c>
    </row>
    <row r="10109" spans="1:8" x14ac:dyDescent="0.3">
      <c r="A10109" t="s">
        <v>27</v>
      </c>
      <c r="B10109" t="s">
        <v>308</v>
      </c>
      <c r="C10109">
        <v>1</v>
      </c>
      <c r="D10109" t="s">
        <v>103</v>
      </c>
      <c r="E10109" t="s">
        <v>103</v>
      </c>
      <c r="F10109" t="s">
        <v>103</v>
      </c>
      <c r="G10109" t="s">
        <v>192</v>
      </c>
      <c r="H10109" t="s">
        <v>103</v>
      </c>
    </row>
    <row r="10110" spans="1:8" x14ac:dyDescent="0.3">
      <c r="A10110" t="s">
        <v>41</v>
      </c>
      <c r="B10110" t="s">
        <v>311</v>
      </c>
      <c r="C10110">
        <v>722</v>
      </c>
      <c r="D10110" t="s">
        <v>110</v>
      </c>
      <c r="E10110" t="s">
        <v>601</v>
      </c>
      <c r="F10110" t="s">
        <v>502</v>
      </c>
      <c r="G10110" t="s">
        <v>539</v>
      </c>
      <c r="H10110" t="s">
        <v>91</v>
      </c>
    </row>
    <row r="10111" spans="1:8" x14ac:dyDescent="0.3">
      <c r="A10111" t="s">
        <v>41</v>
      </c>
      <c r="B10111" t="s">
        <v>312</v>
      </c>
      <c r="C10111">
        <v>196</v>
      </c>
      <c r="D10111" t="s">
        <v>103</v>
      </c>
      <c r="E10111" t="s">
        <v>101</v>
      </c>
      <c r="F10111" t="s">
        <v>1281</v>
      </c>
      <c r="G10111" t="s">
        <v>680</v>
      </c>
      <c r="H10111" t="s">
        <v>103</v>
      </c>
    </row>
    <row r="10112" spans="1:8" x14ac:dyDescent="0.3">
      <c r="A10112" t="s">
        <v>41</v>
      </c>
      <c r="B10112" t="s">
        <v>308</v>
      </c>
      <c r="C10112">
        <v>31</v>
      </c>
      <c r="D10112" t="s">
        <v>103</v>
      </c>
      <c r="E10112" t="s">
        <v>162</v>
      </c>
      <c r="F10112" t="s">
        <v>1142</v>
      </c>
      <c r="G10112" t="s">
        <v>809</v>
      </c>
      <c r="H10112" t="s">
        <v>103</v>
      </c>
    </row>
    <row r="10114" spans="1:8" x14ac:dyDescent="0.3">
      <c r="A10114" t="s">
        <v>2696</v>
      </c>
    </row>
    <row r="10115" spans="1:8" x14ac:dyDescent="0.3">
      <c r="A10115" t="s">
        <v>36</v>
      </c>
      <c r="B10115" t="s">
        <v>310</v>
      </c>
      <c r="C10115" t="s">
        <v>24</v>
      </c>
      <c r="D10115" t="s">
        <v>2682</v>
      </c>
      <c r="E10115" t="s">
        <v>2683</v>
      </c>
      <c r="F10115" t="s">
        <v>2685</v>
      </c>
      <c r="G10115" t="s">
        <v>2681</v>
      </c>
      <c r="H10115" t="s">
        <v>181</v>
      </c>
    </row>
    <row r="10116" spans="1:8" x14ac:dyDescent="0.3">
      <c r="A10116" t="s">
        <v>25</v>
      </c>
      <c r="B10116" t="s">
        <v>311</v>
      </c>
      <c r="C10116">
        <v>41</v>
      </c>
      <c r="D10116" t="s">
        <v>251</v>
      </c>
      <c r="E10116" t="s">
        <v>502</v>
      </c>
      <c r="F10116" t="s">
        <v>534</v>
      </c>
      <c r="G10116" t="s">
        <v>103</v>
      </c>
      <c r="H10116" t="s">
        <v>103</v>
      </c>
    </row>
    <row r="10117" spans="1:8" s="3" customFormat="1" x14ac:dyDescent="0.3">
      <c r="A10117" s="3" t="s">
        <v>25</v>
      </c>
      <c r="B10117" s="3" t="s">
        <v>312</v>
      </c>
      <c r="C10117" s="3">
        <v>4</v>
      </c>
      <c r="D10117" s="3" t="s">
        <v>543</v>
      </c>
      <c r="E10117" s="3" t="s">
        <v>258</v>
      </c>
      <c r="F10117" s="3" t="s">
        <v>1093</v>
      </c>
      <c r="G10117" s="3" t="s">
        <v>103</v>
      </c>
      <c r="H10117" s="3" t="s">
        <v>103</v>
      </c>
    </row>
    <row r="10118" spans="1:8" x14ac:dyDescent="0.3">
      <c r="A10118" t="s">
        <v>26</v>
      </c>
      <c r="B10118" t="s">
        <v>311</v>
      </c>
      <c r="C10118">
        <v>95</v>
      </c>
      <c r="D10118" t="s">
        <v>94</v>
      </c>
      <c r="E10118" t="s">
        <v>1212</v>
      </c>
      <c r="F10118" t="s">
        <v>387</v>
      </c>
      <c r="G10118" t="s">
        <v>216</v>
      </c>
      <c r="H10118" t="s">
        <v>103</v>
      </c>
    </row>
    <row r="10119" spans="1:8" s="3" customFormat="1" x14ac:dyDescent="0.3">
      <c r="A10119" s="3" t="s">
        <v>26</v>
      </c>
      <c r="B10119" s="3" t="s">
        <v>312</v>
      </c>
      <c r="C10119" s="3">
        <v>16</v>
      </c>
      <c r="D10119" s="3" t="s">
        <v>103</v>
      </c>
      <c r="E10119" s="3" t="s">
        <v>1325</v>
      </c>
      <c r="F10119" s="3" t="s">
        <v>1226</v>
      </c>
      <c r="G10119" s="3" t="s">
        <v>103</v>
      </c>
      <c r="H10119" s="3" t="s">
        <v>103</v>
      </c>
    </row>
    <row r="10120" spans="1:8" x14ac:dyDescent="0.3">
      <c r="A10120" t="s">
        <v>26</v>
      </c>
      <c r="B10120" t="s">
        <v>308</v>
      </c>
      <c r="C10120">
        <v>6</v>
      </c>
      <c r="D10120" t="s">
        <v>540</v>
      </c>
      <c r="E10120" t="s">
        <v>1418</v>
      </c>
      <c r="F10120" t="s">
        <v>103</v>
      </c>
      <c r="G10120" t="s">
        <v>103</v>
      </c>
      <c r="H10120" t="s">
        <v>103</v>
      </c>
    </row>
    <row r="10121" spans="1:8" x14ac:dyDescent="0.3">
      <c r="A10121" t="s">
        <v>29</v>
      </c>
      <c r="B10121" t="s">
        <v>311</v>
      </c>
      <c r="C10121">
        <v>85</v>
      </c>
      <c r="D10121" t="s">
        <v>32</v>
      </c>
      <c r="E10121" t="s">
        <v>790</v>
      </c>
      <c r="F10121" t="s">
        <v>525</v>
      </c>
      <c r="G10121" t="s">
        <v>128</v>
      </c>
      <c r="H10121" t="s">
        <v>341</v>
      </c>
    </row>
    <row r="10122" spans="1:8" s="3" customFormat="1" x14ac:dyDescent="0.3">
      <c r="A10122" s="3" t="s">
        <v>29</v>
      </c>
      <c r="B10122" s="3" t="s">
        <v>312</v>
      </c>
      <c r="C10122" s="3">
        <v>16</v>
      </c>
      <c r="D10122" s="3" t="s">
        <v>544</v>
      </c>
      <c r="E10122" s="3" t="s">
        <v>202</v>
      </c>
      <c r="F10122" s="3" t="s">
        <v>33</v>
      </c>
      <c r="G10122" s="3" t="s">
        <v>103</v>
      </c>
      <c r="H10122" s="3" t="s">
        <v>103</v>
      </c>
    </row>
    <row r="10123" spans="1:8" x14ac:dyDescent="0.3">
      <c r="A10123" t="s">
        <v>29</v>
      </c>
      <c r="B10123" t="s">
        <v>308</v>
      </c>
      <c r="C10123">
        <v>3</v>
      </c>
      <c r="D10123" t="s">
        <v>103</v>
      </c>
      <c r="E10123" t="s">
        <v>103</v>
      </c>
      <c r="F10123" t="s">
        <v>410</v>
      </c>
      <c r="G10123" t="s">
        <v>411</v>
      </c>
      <c r="H10123" t="s">
        <v>103</v>
      </c>
    </row>
    <row r="10124" spans="1:8" x14ac:dyDescent="0.3">
      <c r="A10124" t="s">
        <v>28</v>
      </c>
      <c r="B10124" t="s">
        <v>311</v>
      </c>
      <c r="C10124">
        <v>66</v>
      </c>
      <c r="D10124" t="s">
        <v>341</v>
      </c>
      <c r="E10124" t="s">
        <v>267</v>
      </c>
      <c r="F10124" t="s">
        <v>472</v>
      </c>
      <c r="G10124" t="s">
        <v>103</v>
      </c>
      <c r="H10124" t="s">
        <v>103</v>
      </c>
    </row>
    <row r="10125" spans="1:8" s="3" customFormat="1" x14ac:dyDescent="0.3">
      <c r="A10125" s="3" t="s">
        <v>28</v>
      </c>
      <c r="B10125" s="3" t="s">
        <v>312</v>
      </c>
      <c r="C10125" s="3">
        <v>25</v>
      </c>
      <c r="D10125" s="3" t="s">
        <v>119</v>
      </c>
      <c r="E10125" s="3" t="s">
        <v>423</v>
      </c>
      <c r="F10125" s="3" t="s">
        <v>367</v>
      </c>
      <c r="G10125" s="3" t="s">
        <v>103</v>
      </c>
      <c r="H10125" s="3" t="s">
        <v>103</v>
      </c>
    </row>
    <row r="10126" spans="1:8" x14ac:dyDescent="0.3">
      <c r="A10126" t="s">
        <v>27</v>
      </c>
      <c r="B10126" t="s">
        <v>311</v>
      </c>
      <c r="C10126">
        <v>43</v>
      </c>
      <c r="D10126" t="s">
        <v>1084</v>
      </c>
      <c r="E10126" t="s">
        <v>826</v>
      </c>
      <c r="F10126" t="s">
        <v>135</v>
      </c>
      <c r="G10126" t="s">
        <v>93</v>
      </c>
      <c r="H10126" t="s">
        <v>103</v>
      </c>
    </row>
    <row r="10127" spans="1:8" s="3" customFormat="1" x14ac:dyDescent="0.3">
      <c r="A10127" s="3" t="s">
        <v>27</v>
      </c>
      <c r="B10127" s="3" t="s">
        <v>312</v>
      </c>
      <c r="C10127" s="3">
        <v>8</v>
      </c>
      <c r="D10127" s="3" t="s">
        <v>301</v>
      </c>
      <c r="E10127" s="3" t="s">
        <v>302</v>
      </c>
      <c r="F10127" s="3" t="s">
        <v>103</v>
      </c>
      <c r="G10127" s="3" t="s">
        <v>103</v>
      </c>
      <c r="H10127" s="3" t="s">
        <v>103</v>
      </c>
    </row>
    <row r="10128" spans="1:8" x14ac:dyDescent="0.3">
      <c r="A10128" t="s">
        <v>41</v>
      </c>
      <c r="B10128" t="s">
        <v>311</v>
      </c>
      <c r="C10128">
        <v>330</v>
      </c>
      <c r="D10128" t="s">
        <v>594</v>
      </c>
      <c r="E10128" t="s">
        <v>722</v>
      </c>
      <c r="F10128" t="s">
        <v>906</v>
      </c>
      <c r="G10128" t="s">
        <v>216</v>
      </c>
      <c r="H10128" t="s">
        <v>98</v>
      </c>
    </row>
    <row r="10129" spans="1:8" x14ac:dyDescent="0.3">
      <c r="A10129" t="s">
        <v>41</v>
      </c>
      <c r="B10129" t="s">
        <v>312</v>
      </c>
      <c r="C10129">
        <v>69</v>
      </c>
      <c r="D10129" t="s">
        <v>99</v>
      </c>
      <c r="E10129" t="s">
        <v>1063</v>
      </c>
      <c r="F10129" t="s">
        <v>515</v>
      </c>
      <c r="G10129" t="s">
        <v>103</v>
      </c>
      <c r="H10129" t="s">
        <v>103</v>
      </c>
    </row>
    <row r="10130" spans="1:8" x14ac:dyDescent="0.3">
      <c r="A10130" t="s">
        <v>41</v>
      </c>
      <c r="B10130" t="s">
        <v>308</v>
      </c>
      <c r="C10130">
        <v>9</v>
      </c>
      <c r="D10130" t="s">
        <v>569</v>
      </c>
      <c r="E10130" t="s">
        <v>561</v>
      </c>
      <c r="F10130" t="s">
        <v>875</v>
      </c>
      <c r="G10130" t="s">
        <v>486</v>
      </c>
      <c r="H10130" t="s">
        <v>103</v>
      </c>
    </row>
    <row r="10132" spans="1:8" x14ac:dyDescent="0.3">
      <c r="A10132" t="s">
        <v>2697</v>
      </c>
    </row>
    <row r="10133" spans="1:8" x14ac:dyDescent="0.3">
      <c r="A10133" t="s">
        <v>36</v>
      </c>
      <c r="B10133" t="s">
        <v>310</v>
      </c>
      <c r="C10133" t="s">
        <v>24</v>
      </c>
      <c r="D10133" t="s">
        <v>2682</v>
      </c>
      <c r="E10133" t="s">
        <v>2683</v>
      </c>
      <c r="F10133" t="s">
        <v>2685</v>
      </c>
      <c r="G10133" t="s">
        <v>2684</v>
      </c>
      <c r="H10133" t="s">
        <v>2681</v>
      </c>
    </row>
    <row r="10134" spans="1:8" x14ac:dyDescent="0.3">
      <c r="A10134" t="s">
        <v>25</v>
      </c>
      <c r="B10134" t="s">
        <v>311</v>
      </c>
      <c r="C10134">
        <v>43</v>
      </c>
      <c r="D10134" t="s">
        <v>281</v>
      </c>
      <c r="E10134" t="s">
        <v>383</v>
      </c>
      <c r="F10134" t="s">
        <v>564</v>
      </c>
      <c r="G10134" t="s">
        <v>103</v>
      </c>
      <c r="H10134" t="s">
        <v>103</v>
      </c>
    </row>
    <row r="10135" spans="1:8" s="3" customFormat="1" x14ac:dyDescent="0.3">
      <c r="A10135" s="3" t="s">
        <v>25</v>
      </c>
      <c r="B10135" s="3" t="s">
        <v>312</v>
      </c>
      <c r="C10135" s="3">
        <v>8</v>
      </c>
      <c r="D10135" s="3" t="s">
        <v>103</v>
      </c>
      <c r="E10135" s="3" t="s">
        <v>1019</v>
      </c>
      <c r="F10135" s="3" t="s">
        <v>813</v>
      </c>
      <c r="G10135" s="3" t="s">
        <v>103</v>
      </c>
      <c r="H10135" s="3" t="s">
        <v>103</v>
      </c>
    </row>
    <row r="10136" spans="1:8" x14ac:dyDescent="0.3">
      <c r="A10136" t="s">
        <v>25</v>
      </c>
      <c r="B10136" t="s">
        <v>308</v>
      </c>
      <c r="C10136">
        <v>1</v>
      </c>
      <c r="D10136" t="s">
        <v>103</v>
      </c>
      <c r="E10136" t="s">
        <v>103</v>
      </c>
      <c r="F10136" t="s">
        <v>192</v>
      </c>
      <c r="G10136" t="s">
        <v>103</v>
      </c>
      <c r="H10136" t="s">
        <v>103</v>
      </c>
    </row>
    <row r="10137" spans="1:8" x14ac:dyDescent="0.3">
      <c r="A10137" t="s">
        <v>26</v>
      </c>
      <c r="B10137" t="s">
        <v>311</v>
      </c>
      <c r="C10137">
        <v>46</v>
      </c>
      <c r="D10137" t="s">
        <v>112</v>
      </c>
      <c r="E10137" t="s">
        <v>374</v>
      </c>
      <c r="F10137" t="s">
        <v>492</v>
      </c>
      <c r="G10137" t="s">
        <v>239</v>
      </c>
      <c r="H10137" t="s">
        <v>103</v>
      </c>
    </row>
    <row r="10138" spans="1:8" s="3" customFormat="1" x14ac:dyDescent="0.3">
      <c r="A10138" s="3" t="s">
        <v>26</v>
      </c>
      <c r="B10138" s="3" t="s">
        <v>312</v>
      </c>
      <c r="C10138" s="3">
        <v>16</v>
      </c>
      <c r="D10138" s="3" t="s">
        <v>247</v>
      </c>
      <c r="E10138" s="3" t="s">
        <v>826</v>
      </c>
      <c r="F10138" s="3" t="s">
        <v>525</v>
      </c>
      <c r="G10138" s="3" t="s">
        <v>103</v>
      </c>
      <c r="H10138" s="3" t="s">
        <v>102</v>
      </c>
    </row>
    <row r="10139" spans="1:8" x14ac:dyDescent="0.3">
      <c r="A10139" t="s">
        <v>26</v>
      </c>
      <c r="B10139" t="s">
        <v>308</v>
      </c>
      <c r="C10139">
        <v>3</v>
      </c>
      <c r="D10139" t="s">
        <v>296</v>
      </c>
      <c r="E10139" t="s">
        <v>295</v>
      </c>
      <c r="F10139" t="s">
        <v>103</v>
      </c>
      <c r="G10139" t="s">
        <v>103</v>
      </c>
      <c r="H10139" t="s">
        <v>103</v>
      </c>
    </row>
    <row r="10140" spans="1:8" x14ac:dyDescent="0.3">
      <c r="A10140" t="s">
        <v>29</v>
      </c>
      <c r="B10140" t="s">
        <v>311</v>
      </c>
      <c r="C10140">
        <v>61</v>
      </c>
      <c r="D10140" t="s">
        <v>459</v>
      </c>
      <c r="E10140" t="s">
        <v>501</v>
      </c>
      <c r="F10140" t="s">
        <v>1089</v>
      </c>
      <c r="G10140" t="s">
        <v>103</v>
      </c>
      <c r="H10140" t="s">
        <v>103</v>
      </c>
    </row>
    <row r="10141" spans="1:8" s="3" customFormat="1" x14ac:dyDescent="0.3">
      <c r="A10141" s="3" t="s">
        <v>29</v>
      </c>
      <c r="B10141" s="3" t="s">
        <v>312</v>
      </c>
      <c r="C10141" s="3">
        <v>13</v>
      </c>
      <c r="D10141" s="3" t="s">
        <v>236</v>
      </c>
      <c r="E10141" s="3" t="s">
        <v>1032</v>
      </c>
      <c r="F10141" s="3" t="s">
        <v>228</v>
      </c>
      <c r="G10141" s="3" t="s">
        <v>103</v>
      </c>
      <c r="H10141" s="3" t="s">
        <v>103</v>
      </c>
    </row>
    <row r="10142" spans="1:8" x14ac:dyDescent="0.3">
      <c r="A10142" t="s">
        <v>29</v>
      </c>
      <c r="B10142" t="s">
        <v>308</v>
      </c>
      <c r="C10142">
        <v>2</v>
      </c>
      <c r="D10142" t="s">
        <v>103</v>
      </c>
      <c r="E10142" t="s">
        <v>192</v>
      </c>
      <c r="F10142" t="s">
        <v>103</v>
      </c>
      <c r="G10142" t="s">
        <v>103</v>
      </c>
      <c r="H10142" t="s">
        <v>103</v>
      </c>
    </row>
    <row r="10143" spans="1:8" x14ac:dyDescent="0.3">
      <c r="A10143" t="s">
        <v>28</v>
      </c>
      <c r="B10143" t="s">
        <v>311</v>
      </c>
      <c r="C10143">
        <v>81</v>
      </c>
      <c r="D10143" t="s">
        <v>282</v>
      </c>
      <c r="E10143" t="s">
        <v>903</v>
      </c>
      <c r="F10143" t="s">
        <v>106</v>
      </c>
      <c r="G10143" t="s">
        <v>103</v>
      </c>
      <c r="H10143" t="s">
        <v>103</v>
      </c>
    </row>
    <row r="10144" spans="1:8" x14ac:dyDescent="0.3">
      <c r="A10144" t="s">
        <v>28</v>
      </c>
      <c r="B10144" t="s">
        <v>312</v>
      </c>
      <c r="C10144">
        <v>44</v>
      </c>
      <c r="D10144" t="s">
        <v>103</v>
      </c>
      <c r="E10144" t="s">
        <v>711</v>
      </c>
      <c r="F10144" t="s">
        <v>570</v>
      </c>
      <c r="G10144" t="s">
        <v>103</v>
      </c>
      <c r="H10144" t="s">
        <v>103</v>
      </c>
    </row>
    <row r="10145" spans="1:8" x14ac:dyDescent="0.3">
      <c r="A10145" t="s">
        <v>28</v>
      </c>
      <c r="B10145" t="s">
        <v>308</v>
      </c>
      <c r="C10145">
        <v>1</v>
      </c>
      <c r="D10145" t="s">
        <v>103</v>
      </c>
      <c r="E10145" t="s">
        <v>192</v>
      </c>
      <c r="F10145" t="s">
        <v>103</v>
      </c>
      <c r="G10145" t="s">
        <v>103</v>
      </c>
      <c r="H10145" t="s">
        <v>103</v>
      </c>
    </row>
    <row r="10146" spans="1:8" s="3" customFormat="1" x14ac:dyDescent="0.3">
      <c r="A10146" s="3" t="s">
        <v>27</v>
      </c>
      <c r="B10146" s="3" t="s">
        <v>311</v>
      </c>
      <c r="C10146" s="3">
        <v>12</v>
      </c>
      <c r="D10146" s="3" t="s">
        <v>112</v>
      </c>
      <c r="E10146" s="3" t="s">
        <v>1398</v>
      </c>
      <c r="F10146" s="3" t="s">
        <v>707</v>
      </c>
      <c r="G10146" s="3" t="s">
        <v>103</v>
      </c>
      <c r="H10146" s="3" t="s">
        <v>103</v>
      </c>
    </row>
    <row r="10147" spans="1:8" x14ac:dyDescent="0.3">
      <c r="A10147" t="s">
        <v>41</v>
      </c>
      <c r="B10147" t="s">
        <v>311</v>
      </c>
      <c r="C10147">
        <v>243</v>
      </c>
      <c r="D10147" t="s">
        <v>607</v>
      </c>
      <c r="E10147" t="s">
        <v>572</v>
      </c>
      <c r="F10147" t="s">
        <v>513</v>
      </c>
      <c r="G10147" t="s">
        <v>122</v>
      </c>
      <c r="H10147" t="s">
        <v>103</v>
      </c>
    </row>
    <row r="10148" spans="1:8" x14ac:dyDescent="0.3">
      <c r="A10148" t="s">
        <v>41</v>
      </c>
      <c r="B10148" t="s">
        <v>312</v>
      </c>
      <c r="C10148">
        <v>81</v>
      </c>
      <c r="D10148" t="s">
        <v>813</v>
      </c>
      <c r="E10148" t="s">
        <v>717</v>
      </c>
      <c r="F10148" t="s">
        <v>142</v>
      </c>
      <c r="G10148" t="s">
        <v>103</v>
      </c>
      <c r="H10148" t="s">
        <v>282</v>
      </c>
    </row>
    <row r="10149" spans="1:8" x14ac:dyDescent="0.3">
      <c r="A10149" t="s">
        <v>41</v>
      </c>
      <c r="B10149" t="s">
        <v>308</v>
      </c>
      <c r="C10149">
        <v>7</v>
      </c>
      <c r="D10149" t="s">
        <v>458</v>
      </c>
      <c r="E10149" t="s">
        <v>1021</v>
      </c>
      <c r="F10149" t="s">
        <v>570</v>
      </c>
      <c r="G10149" t="s">
        <v>103</v>
      </c>
      <c r="H10149" t="s">
        <v>103</v>
      </c>
    </row>
    <row r="10151" spans="1:8" x14ac:dyDescent="0.3">
      <c r="A10151" t="s">
        <v>2698</v>
      </c>
    </row>
    <row r="10152" spans="1:8" x14ac:dyDescent="0.3">
      <c r="A10152" t="s">
        <v>36</v>
      </c>
      <c r="B10152" t="s">
        <v>310</v>
      </c>
      <c r="C10152" t="s">
        <v>24</v>
      </c>
      <c r="D10152" t="s">
        <v>2683</v>
      </c>
      <c r="E10152" t="s">
        <v>2685</v>
      </c>
      <c r="F10152" t="s">
        <v>181</v>
      </c>
    </row>
    <row r="10153" spans="1:8" s="3" customFormat="1" x14ac:dyDescent="0.3">
      <c r="A10153" s="3" t="s">
        <v>25</v>
      </c>
      <c r="B10153" s="3" t="s">
        <v>311</v>
      </c>
      <c r="C10153" s="3">
        <v>3</v>
      </c>
      <c r="D10153" s="3" t="s">
        <v>192</v>
      </c>
      <c r="E10153" s="3" t="s">
        <v>103</v>
      </c>
      <c r="F10153" s="3" t="s">
        <v>103</v>
      </c>
    </row>
    <row r="10154" spans="1:8" s="3" customFormat="1" x14ac:dyDescent="0.3">
      <c r="A10154" s="3" t="s">
        <v>25</v>
      </c>
      <c r="B10154" s="3" t="s">
        <v>312</v>
      </c>
      <c r="C10154" s="3">
        <v>3</v>
      </c>
      <c r="D10154" s="3" t="s">
        <v>394</v>
      </c>
      <c r="E10154" s="3" t="s">
        <v>393</v>
      </c>
      <c r="F10154" s="3" t="s">
        <v>103</v>
      </c>
    </row>
    <row r="10155" spans="1:8" x14ac:dyDescent="0.3">
      <c r="A10155" t="s">
        <v>25</v>
      </c>
      <c r="B10155" t="s">
        <v>308</v>
      </c>
      <c r="C10155">
        <v>1</v>
      </c>
      <c r="D10155" t="s">
        <v>192</v>
      </c>
      <c r="E10155" t="s">
        <v>103</v>
      </c>
      <c r="F10155" t="s">
        <v>103</v>
      </c>
    </row>
    <row r="10156" spans="1:8" s="3" customFormat="1" x14ac:dyDescent="0.3">
      <c r="A10156" s="3" t="s">
        <v>26</v>
      </c>
      <c r="B10156" s="3" t="s">
        <v>311</v>
      </c>
      <c r="C10156" s="3">
        <v>2</v>
      </c>
      <c r="D10156" s="3" t="s">
        <v>399</v>
      </c>
      <c r="E10156" s="3" t="s">
        <v>400</v>
      </c>
      <c r="F10156" s="3" t="s">
        <v>103</v>
      </c>
    </row>
    <row r="10157" spans="1:8" s="3" customFormat="1" x14ac:dyDescent="0.3">
      <c r="A10157" s="3" t="s">
        <v>29</v>
      </c>
      <c r="B10157" s="3" t="s">
        <v>311</v>
      </c>
      <c r="C10157" s="3">
        <v>13</v>
      </c>
      <c r="D10157" s="3" t="s">
        <v>647</v>
      </c>
      <c r="E10157" s="3" t="s">
        <v>1439</v>
      </c>
      <c r="F10157" s="3" t="s">
        <v>103</v>
      </c>
    </row>
    <row r="10158" spans="1:8" s="3" customFormat="1" x14ac:dyDescent="0.3">
      <c r="A10158" s="3" t="s">
        <v>28</v>
      </c>
      <c r="B10158" s="3" t="s">
        <v>311</v>
      </c>
      <c r="C10158" s="3">
        <v>5</v>
      </c>
      <c r="D10158" s="3" t="s">
        <v>799</v>
      </c>
      <c r="E10158" s="3" t="s">
        <v>1207</v>
      </c>
      <c r="F10158" s="3" t="s">
        <v>103</v>
      </c>
    </row>
    <row r="10159" spans="1:8" s="3" customFormat="1" x14ac:dyDescent="0.3">
      <c r="A10159" s="3" t="s">
        <v>27</v>
      </c>
      <c r="B10159" s="3" t="s">
        <v>311</v>
      </c>
      <c r="C10159" s="3">
        <v>9</v>
      </c>
      <c r="D10159" s="3" t="s">
        <v>390</v>
      </c>
      <c r="E10159" s="3" t="s">
        <v>1049</v>
      </c>
      <c r="F10159" s="3" t="s">
        <v>123</v>
      </c>
    </row>
    <row r="10160" spans="1:8" s="3" customFormat="1" x14ac:dyDescent="0.3">
      <c r="A10160" s="3" t="s">
        <v>27</v>
      </c>
      <c r="B10160" s="3" t="s">
        <v>312</v>
      </c>
      <c r="C10160" s="3">
        <v>1</v>
      </c>
      <c r="D10160" s="3" t="s">
        <v>192</v>
      </c>
      <c r="E10160" s="3" t="s">
        <v>103</v>
      </c>
      <c r="F10160" s="3" t="s">
        <v>103</v>
      </c>
    </row>
    <row r="10161" spans="1:8" x14ac:dyDescent="0.3">
      <c r="A10161" t="s">
        <v>41</v>
      </c>
      <c r="B10161" t="s">
        <v>311</v>
      </c>
      <c r="C10161">
        <v>32</v>
      </c>
      <c r="D10161" t="s">
        <v>659</v>
      </c>
      <c r="E10161" t="s">
        <v>300</v>
      </c>
      <c r="F10161" t="s">
        <v>98</v>
      </c>
    </row>
    <row r="10162" spans="1:8" s="3" customFormat="1" x14ac:dyDescent="0.3">
      <c r="A10162" s="3" t="s">
        <v>41</v>
      </c>
      <c r="B10162" s="3" t="s">
        <v>312</v>
      </c>
      <c r="C10162" s="3">
        <v>4</v>
      </c>
      <c r="D10162" s="3" t="s">
        <v>726</v>
      </c>
      <c r="E10162" s="3" t="s">
        <v>357</v>
      </c>
      <c r="F10162" s="3" t="s">
        <v>103</v>
      </c>
    </row>
    <row r="10163" spans="1:8" x14ac:dyDescent="0.3">
      <c r="A10163" t="s">
        <v>41</v>
      </c>
      <c r="B10163" t="s">
        <v>308</v>
      </c>
      <c r="C10163">
        <v>1</v>
      </c>
      <c r="D10163" t="s">
        <v>192</v>
      </c>
      <c r="E10163" t="s">
        <v>103</v>
      </c>
      <c r="F10163" t="s">
        <v>103</v>
      </c>
    </row>
    <row r="10165" spans="1:8" x14ac:dyDescent="0.3">
      <c r="A10165" t="s">
        <v>2699</v>
      </c>
    </row>
    <row r="10166" spans="1:8" x14ac:dyDescent="0.3">
      <c r="A10166" t="s">
        <v>36</v>
      </c>
      <c r="B10166" t="s">
        <v>197</v>
      </c>
      <c r="C10166" t="s">
        <v>24</v>
      </c>
      <c r="D10166" t="s">
        <v>2681</v>
      </c>
      <c r="E10166" t="s">
        <v>2682</v>
      </c>
      <c r="F10166" t="s">
        <v>2683</v>
      </c>
      <c r="G10166" t="s">
        <v>2685</v>
      </c>
      <c r="H10166" t="s">
        <v>2684</v>
      </c>
    </row>
    <row r="10167" spans="1:8" x14ac:dyDescent="0.3">
      <c r="A10167" t="s">
        <v>25</v>
      </c>
      <c r="B10167" t="s">
        <v>198</v>
      </c>
      <c r="C10167">
        <v>68</v>
      </c>
      <c r="D10167" t="s">
        <v>607</v>
      </c>
      <c r="E10167" t="s">
        <v>56</v>
      </c>
      <c r="F10167" t="s">
        <v>678</v>
      </c>
      <c r="G10167" t="s">
        <v>160</v>
      </c>
      <c r="H10167" t="s">
        <v>103</v>
      </c>
    </row>
    <row r="10168" spans="1:8" x14ac:dyDescent="0.3">
      <c r="A10168" t="s">
        <v>25</v>
      </c>
      <c r="B10168" t="s">
        <v>199</v>
      </c>
      <c r="C10168">
        <v>225</v>
      </c>
      <c r="D10168" t="s">
        <v>102</v>
      </c>
      <c r="E10168" t="s">
        <v>175</v>
      </c>
      <c r="F10168" t="s">
        <v>1676</v>
      </c>
      <c r="G10168" t="s">
        <v>651</v>
      </c>
      <c r="H10168" t="s">
        <v>66</v>
      </c>
    </row>
    <row r="10169" spans="1:8" s="3" customFormat="1" x14ac:dyDescent="0.3">
      <c r="A10169" s="3" t="s">
        <v>26</v>
      </c>
      <c r="B10169" s="3" t="s">
        <v>198</v>
      </c>
      <c r="C10169" s="3">
        <v>30</v>
      </c>
      <c r="D10169" s="3" t="s">
        <v>214</v>
      </c>
      <c r="E10169" s="3" t="s">
        <v>809</v>
      </c>
      <c r="F10169" s="3" t="s">
        <v>491</v>
      </c>
      <c r="G10169" s="3" t="s">
        <v>225</v>
      </c>
      <c r="H10169" s="3" t="s">
        <v>103</v>
      </c>
    </row>
    <row r="10170" spans="1:8" x14ac:dyDescent="0.3">
      <c r="A10170" t="s">
        <v>26</v>
      </c>
      <c r="B10170" t="s">
        <v>199</v>
      </c>
      <c r="C10170">
        <v>361</v>
      </c>
      <c r="D10170" t="s">
        <v>70</v>
      </c>
      <c r="E10170" t="s">
        <v>483</v>
      </c>
      <c r="F10170" t="s">
        <v>1577</v>
      </c>
      <c r="G10170" t="s">
        <v>155</v>
      </c>
      <c r="H10170" t="s">
        <v>345</v>
      </c>
    </row>
    <row r="10171" spans="1:8" x14ac:dyDescent="0.3">
      <c r="A10171" t="s">
        <v>29</v>
      </c>
      <c r="B10171" t="s">
        <v>198</v>
      </c>
      <c r="C10171">
        <v>110</v>
      </c>
      <c r="D10171" t="s">
        <v>282</v>
      </c>
      <c r="E10171" t="s">
        <v>205</v>
      </c>
      <c r="F10171" t="s">
        <v>1180</v>
      </c>
      <c r="G10171" t="s">
        <v>900</v>
      </c>
      <c r="H10171" t="s">
        <v>245</v>
      </c>
    </row>
    <row r="10172" spans="1:8" x14ac:dyDescent="0.3">
      <c r="A10172" t="s">
        <v>29</v>
      </c>
      <c r="B10172" t="s">
        <v>199</v>
      </c>
      <c r="C10172">
        <v>230</v>
      </c>
      <c r="D10172" t="s">
        <v>245</v>
      </c>
      <c r="E10172" t="s">
        <v>111</v>
      </c>
      <c r="F10172" t="s">
        <v>1329</v>
      </c>
      <c r="G10172" t="s">
        <v>109</v>
      </c>
      <c r="H10172" t="s">
        <v>66</v>
      </c>
    </row>
    <row r="10173" spans="1:8" x14ac:dyDescent="0.3">
      <c r="A10173" t="s">
        <v>28</v>
      </c>
      <c r="B10173" t="s">
        <v>198</v>
      </c>
      <c r="C10173">
        <v>64</v>
      </c>
      <c r="D10173" t="s">
        <v>103</v>
      </c>
      <c r="E10173" t="s">
        <v>103</v>
      </c>
      <c r="F10173" t="s">
        <v>924</v>
      </c>
      <c r="G10173" t="s">
        <v>537</v>
      </c>
      <c r="H10173" t="s">
        <v>103</v>
      </c>
    </row>
    <row r="10174" spans="1:8" x14ac:dyDescent="0.3">
      <c r="A10174" t="s">
        <v>28</v>
      </c>
      <c r="B10174" t="s">
        <v>199</v>
      </c>
      <c r="C10174">
        <v>174</v>
      </c>
      <c r="D10174" t="s">
        <v>103</v>
      </c>
      <c r="E10174" t="s">
        <v>662</v>
      </c>
      <c r="F10174" t="s">
        <v>622</v>
      </c>
      <c r="G10174" t="s">
        <v>62</v>
      </c>
      <c r="H10174" t="s">
        <v>103</v>
      </c>
    </row>
    <row r="10175" spans="1:8" x14ac:dyDescent="0.3">
      <c r="A10175" t="s">
        <v>27</v>
      </c>
      <c r="B10175" t="s">
        <v>198</v>
      </c>
      <c r="C10175">
        <v>68</v>
      </c>
      <c r="D10175" t="s">
        <v>103</v>
      </c>
      <c r="E10175" t="s">
        <v>674</v>
      </c>
      <c r="F10175" t="s">
        <v>508</v>
      </c>
      <c r="G10175" t="s">
        <v>90</v>
      </c>
      <c r="H10175" t="s">
        <v>103</v>
      </c>
    </row>
    <row r="10176" spans="1:8" x14ac:dyDescent="0.3">
      <c r="A10176" t="s">
        <v>27</v>
      </c>
      <c r="B10176" t="s">
        <v>199</v>
      </c>
      <c r="C10176">
        <v>102</v>
      </c>
      <c r="D10176" t="s">
        <v>438</v>
      </c>
      <c r="E10176" t="s">
        <v>727</v>
      </c>
      <c r="F10176" t="s">
        <v>1390</v>
      </c>
      <c r="G10176" t="s">
        <v>470</v>
      </c>
      <c r="H10176" t="s">
        <v>103</v>
      </c>
    </row>
    <row r="10177" spans="1:8" x14ac:dyDescent="0.3">
      <c r="A10177" t="s">
        <v>41</v>
      </c>
      <c r="B10177" t="s">
        <v>198</v>
      </c>
      <c r="C10177">
        <v>340</v>
      </c>
      <c r="D10177" t="s">
        <v>329</v>
      </c>
      <c r="E10177" t="s">
        <v>111</v>
      </c>
      <c r="F10177" t="s">
        <v>417</v>
      </c>
      <c r="G10177" t="s">
        <v>557</v>
      </c>
      <c r="H10177" t="s">
        <v>345</v>
      </c>
    </row>
    <row r="10178" spans="1:8" x14ac:dyDescent="0.3">
      <c r="A10178" t="s">
        <v>41</v>
      </c>
      <c r="B10178" t="s">
        <v>199</v>
      </c>
      <c r="C10178">
        <v>1092</v>
      </c>
      <c r="D10178" t="s">
        <v>467</v>
      </c>
      <c r="E10178" t="s">
        <v>162</v>
      </c>
      <c r="F10178" t="s">
        <v>1401</v>
      </c>
      <c r="G10178" t="s">
        <v>875</v>
      </c>
      <c r="H10178" t="s">
        <v>97</v>
      </c>
    </row>
    <row r="10180" spans="1:8" x14ac:dyDescent="0.3">
      <c r="A10180" t="s">
        <v>2700</v>
      </c>
    </row>
    <row r="10181" spans="1:8" x14ac:dyDescent="0.3">
      <c r="A10181" t="s">
        <v>36</v>
      </c>
      <c r="B10181" t="s">
        <v>197</v>
      </c>
      <c r="C10181" t="s">
        <v>24</v>
      </c>
      <c r="D10181" t="s">
        <v>2683</v>
      </c>
      <c r="E10181" t="s">
        <v>2681</v>
      </c>
      <c r="F10181" t="s">
        <v>2682</v>
      </c>
      <c r="G10181" t="s">
        <v>2685</v>
      </c>
      <c r="H10181" t="s">
        <v>181</v>
      </c>
    </row>
    <row r="10182" spans="1:8" s="3" customFormat="1" x14ac:dyDescent="0.3">
      <c r="A10182" s="3" t="s">
        <v>25</v>
      </c>
      <c r="B10182" s="3" t="s">
        <v>198</v>
      </c>
      <c r="C10182" s="3">
        <v>2</v>
      </c>
      <c r="D10182" s="3" t="s">
        <v>192</v>
      </c>
      <c r="E10182" s="3" t="s">
        <v>103</v>
      </c>
      <c r="F10182" s="3" t="s">
        <v>103</v>
      </c>
      <c r="G10182" s="3" t="s">
        <v>103</v>
      </c>
      <c r="H10182" s="3" t="s">
        <v>103</v>
      </c>
    </row>
    <row r="10183" spans="1:8" s="3" customFormat="1" x14ac:dyDescent="0.3">
      <c r="A10183" s="3" t="s">
        <v>25</v>
      </c>
      <c r="B10183" s="3" t="s">
        <v>199</v>
      </c>
      <c r="C10183" s="3">
        <v>17</v>
      </c>
      <c r="D10183" s="3" t="s">
        <v>1358</v>
      </c>
      <c r="E10183" s="3" t="s">
        <v>201</v>
      </c>
      <c r="F10183" s="3" t="s">
        <v>205</v>
      </c>
      <c r="G10183" s="3" t="s">
        <v>604</v>
      </c>
      <c r="H10183" s="3" t="s">
        <v>103</v>
      </c>
    </row>
    <row r="10184" spans="1:8" s="3" customFormat="1" x14ac:dyDescent="0.3">
      <c r="A10184" s="3" t="s">
        <v>26</v>
      </c>
      <c r="B10184" s="3" t="s">
        <v>198</v>
      </c>
      <c r="C10184" s="3">
        <v>4</v>
      </c>
      <c r="D10184" s="3" t="s">
        <v>1319</v>
      </c>
      <c r="E10184" s="3" t="s">
        <v>103</v>
      </c>
      <c r="F10184" s="3" t="s">
        <v>1319</v>
      </c>
      <c r="G10184" s="3" t="s">
        <v>790</v>
      </c>
      <c r="H10184" s="3" t="s">
        <v>103</v>
      </c>
    </row>
    <row r="10185" spans="1:8" x14ac:dyDescent="0.3">
      <c r="A10185" t="s">
        <v>26</v>
      </c>
      <c r="B10185" t="s">
        <v>199</v>
      </c>
      <c r="C10185">
        <v>65</v>
      </c>
      <c r="D10185" t="s">
        <v>1210</v>
      </c>
      <c r="E10185" t="s">
        <v>103</v>
      </c>
      <c r="F10185" t="s">
        <v>232</v>
      </c>
      <c r="G10185" t="s">
        <v>385</v>
      </c>
      <c r="H10185" t="s">
        <v>103</v>
      </c>
    </row>
    <row r="10186" spans="1:8" s="3" customFormat="1" x14ac:dyDescent="0.3">
      <c r="A10186" s="3" t="s">
        <v>29</v>
      </c>
      <c r="B10186" s="3" t="s">
        <v>198</v>
      </c>
      <c r="C10186" s="3">
        <v>29</v>
      </c>
      <c r="D10186" s="3" t="s">
        <v>628</v>
      </c>
      <c r="E10186" s="3" t="s">
        <v>103</v>
      </c>
      <c r="F10186" s="3" t="s">
        <v>99</v>
      </c>
      <c r="G10186" s="3" t="s">
        <v>805</v>
      </c>
      <c r="H10186" s="3" t="s">
        <v>737</v>
      </c>
    </row>
    <row r="10187" spans="1:8" x14ac:dyDescent="0.3">
      <c r="A10187" t="s">
        <v>29</v>
      </c>
      <c r="B10187" t="s">
        <v>199</v>
      </c>
      <c r="C10187">
        <v>39</v>
      </c>
      <c r="D10187" t="s">
        <v>1180</v>
      </c>
      <c r="E10187" t="s">
        <v>97</v>
      </c>
      <c r="F10187" t="s">
        <v>278</v>
      </c>
      <c r="G10187" t="s">
        <v>1008</v>
      </c>
      <c r="H10187" t="s">
        <v>103</v>
      </c>
    </row>
    <row r="10188" spans="1:8" s="3" customFormat="1" x14ac:dyDescent="0.3">
      <c r="A10188" s="3" t="s">
        <v>28</v>
      </c>
      <c r="B10188" s="3" t="s">
        <v>199</v>
      </c>
      <c r="C10188" s="3">
        <v>4</v>
      </c>
      <c r="D10188" s="3" t="s">
        <v>192</v>
      </c>
      <c r="E10188" s="3" t="s">
        <v>103</v>
      </c>
      <c r="F10188" s="3" t="s">
        <v>103</v>
      </c>
      <c r="G10188" s="3" t="s">
        <v>103</v>
      </c>
      <c r="H10188" s="3" t="s">
        <v>103</v>
      </c>
    </row>
    <row r="10189" spans="1:8" s="3" customFormat="1" x14ac:dyDescent="0.3">
      <c r="A10189" s="3" t="s">
        <v>27</v>
      </c>
      <c r="B10189" s="3" t="s">
        <v>198</v>
      </c>
      <c r="C10189" s="3">
        <v>4</v>
      </c>
      <c r="D10189" s="3" t="s">
        <v>1441</v>
      </c>
      <c r="E10189" s="3" t="s">
        <v>103</v>
      </c>
      <c r="F10189" s="3" t="s">
        <v>103</v>
      </c>
      <c r="G10189" s="3" t="s">
        <v>660</v>
      </c>
      <c r="H10189" s="3" t="s">
        <v>103</v>
      </c>
    </row>
    <row r="10190" spans="1:8" s="3" customFormat="1" x14ac:dyDescent="0.3">
      <c r="A10190" s="3" t="s">
        <v>27</v>
      </c>
      <c r="B10190" s="3" t="s">
        <v>199</v>
      </c>
      <c r="C10190" s="3">
        <v>2</v>
      </c>
      <c r="D10190" s="3" t="s">
        <v>353</v>
      </c>
      <c r="E10190" s="3" t="s">
        <v>103</v>
      </c>
      <c r="F10190" s="3" t="s">
        <v>103</v>
      </c>
      <c r="G10190" s="3" t="s">
        <v>354</v>
      </c>
      <c r="H10190" s="3" t="s">
        <v>103</v>
      </c>
    </row>
    <row r="10191" spans="1:8" x14ac:dyDescent="0.3">
      <c r="A10191" t="s">
        <v>41</v>
      </c>
      <c r="B10191" t="s">
        <v>198</v>
      </c>
      <c r="C10191">
        <v>39</v>
      </c>
      <c r="D10191" t="s">
        <v>300</v>
      </c>
      <c r="E10191" t="s">
        <v>103</v>
      </c>
      <c r="F10191" t="s">
        <v>629</v>
      </c>
      <c r="G10191" t="s">
        <v>547</v>
      </c>
      <c r="H10191" t="s">
        <v>126</v>
      </c>
    </row>
    <row r="10192" spans="1:8" x14ac:dyDescent="0.3">
      <c r="A10192" t="s">
        <v>41</v>
      </c>
      <c r="B10192" t="s">
        <v>199</v>
      </c>
      <c r="C10192">
        <v>127</v>
      </c>
      <c r="D10192" t="s">
        <v>374</v>
      </c>
      <c r="E10192" t="s">
        <v>139</v>
      </c>
      <c r="F10192" t="s">
        <v>558</v>
      </c>
      <c r="G10192" t="s">
        <v>490</v>
      </c>
      <c r="H10192" t="s">
        <v>103</v>
      </c>
    </row>
    <row r="10194" spans="1:8" x14ac:dyDescent="0.3">
      <c r="A10194" t="s">
        <v>2701</v>
      </c>
    </row>
    <row r="10195" spans="1:8" x14ac:dyDescent="0.3">
      <c r="A10195" t="s">
        <v>36</v>
      </c>
      <c r="B10195" t="s">
        <v>197</v>
      </c>
      <c r="C10195" t="s">
        <v>24</v>
      </c>
      <c r="D10195" t="s">
        <v>2683</v>
      </c>
      <c r="E10195" t="s">
        <v>2685</v>
      </c>
      <c r="F10195" t="s">
        <v>2681</v>
      </c>
      <c r="G10195" t="s">
        <v>2682</v>
      </c>
      <c r="H10195" t="s">
        <v>2684</v>
      </c>
    </row>
    <row r="10196" spans="1:8" s="3" customFormat="1" x14ac:dyDescent="0.3">
      <c r="A10196" s="3" t="s">
        <v>25</v>
      </c>
      <c r="B10196" s="3" t="s">
        <v>198</v>
      </c>
      <c r="C10196" s="3">
        <v>5</v>
      </c>
      <c r="D10196" s="3" t="s">
        <v>707</v>
      </c>
      <c r="E10196" s="3" t="s">
        <v>1040</v>
      </c>
      <c r="F10196" s="3" t="s">
        <v>103</v>
      </c>
      <c r="G10196" s="3" t="s">
        <v>103</v>
      </c>
      <c r="H10196" s="3" t="s">
        <v>103</v>
      </c>
    </row>
    <row r="10197" spans="1:8" x14ac:dyDescent="0.3">
      <c r="A10197" t="s">
        <v>25</v>
      </c>
      <c r="B10197" t="s">
        <v>199</v>
      </c>
      <c r="C10197">
        <v>32</v>
      </c>
      <c r="D10197" t="s">
        <v>1070</v>
      </c>
      <c r="E10197" t="s">
        <v>604</v>
      </c>
      <c r="F10197" t="s">
        <v>601</v>
      </c>
      <c r="G10197" t="s">
        <v>927</v>
      </c>
      <c r="H10197" t="s">
        <v>103</v>
      </c>
    </row>
    <row r="10198" spans="1:8" s="3" customFormat="1" x14ac:dyDescent="0.3">
      <c r="A10198" s="3" t="s">
        <v>26</v>
      </c>
      <c r="B10198" s="3" t="s">
        <v>198</v>
      </c>
      <c r="C10198" s="3">
        <v>16</v>
      </c>
      <c r="D10198" s="3" t="s">
        <v>976</v>
      </c>
      <c r="E10198" s="3" t="s">
        <v>1319</v>
      </c>
      <c r="F10198" s="3" t="s">
        <v>103</v>
      </c>
      <c r="G10198" s="3" t="s">
        <v>108</v>
      </c>
      <c r="H10198" s="3" t="s">
        <v>103</v>
      </c>
    </row>
    <row r="10199" spans="1:8" x14ac:dyDescent="0.3">
      <c r="A10199" t="s">
        <v>26</v>
      </c>
      <c r="B10199" t="s">
        <v>199</v>
      </c>
      <c r="C10199">
        <v>117</v>
      </c>
      <c r="D10199" t="s">
        <v>1087</v>
      </c>
      <c r="E10199" t="s">
        <v>906</v>
      </c>
      <c r="F10199" t="s">
        <v>186</v>
      </c>
      <c r="G10199" t="s">
        <v>167</v>
      </c>
      <c r="H10199" t="s">
        <v>139</v>
      </c>
    </row>
    <row r="10200" spans="1:8" s="3" customFormat="1" x14ac:dyDescent="0.3">
      <c r="A10200" s="3" t="s">
        <v>29</v>
      </c>
      <c r="B10200" s="3" t="s">
        <v>198</v>
      </c>
      <c r="C10200" s="3">
        <v>28</v>
      </c>
      <c r="D10200" s="3" t="s">
        <v>1390</v>
      </c>
      <c r="E10200" s="3" t="s">
        <v>569</v>
      </c>
      <c r="F10200" s="3" t="s">
        <v>103</v>
      </c>
      <c r="G10200" s="3" t="s">
        <v>519</v>
      </c>
      <c r="H10200" s="3" t="s">
        <v>103</v>
      </c>
    </row>
    <row r="10201" spans="1:8" x14ac:dyDescent="0.3">
      <c r="A10201" t="s">
        <v>29</v>
      </c>
      <c r="B10201" t="s">
        <v>199</v>
      </c>
      <c r="C10201">
        <v>55</v>
      </c>
      <c r="D10201" t="s">
        <v>400</v>
      </c>
      <c r="E10201" t="s">
        <v>1082</v>
      </c>
      <c r="F10201" t="s">
        <v>103</v>
      </c>
      <c r="G10201" t="s">
        <v>514</v>
      </c>
      <c r="H10201" t="s">
        <v>103</v>
      </c>
    </row>
    <row r="10202" spans="1:8" s="3" customFormat="1" x14ac:dyDescent="0.3">
      <c r="A10202" s="3" t="s">
        <v>28</v>
      </c>
      <c r="B10202" s="3" t="s">
        <v>198</v>
      </c>
      <c r="C10202" s="3">
        <v>4</v>
      </c>
      <c r="D10202" s="3" t="s">
        <v>819</v>
      </c>
      <c r="E10202" s="3" t="s">
        <v>1144</v>
      </c>
      <c r="F10202" s="3" t="s">
        <v>103</v>
      </c>
      <c r="G10202" s="3" t="s">
        <v>103</v>
      </c>
      <c r="H10202" s="3" t="s">
        <v>103</v>
      </c>
    </row>
    <row r="10203" spans="1:8" x14ac:dyDescent="0.3">
      <c r="A10203" t="s">
        <v>28</v>
      </c>
      <c r="B10203" t="s">
        <v>199</v>
      </c>
      <c r="C10203">
        <v>80</v>
      </c>
      <c r="D10203" t="s">
        <v>870</v>
      </c>
      <c r="E10203" t="s">
        <v>281</v>
      </c>
      <c r="F10203" t="s">
        <v>139</v>
      </c>
      <c r="G10203" t="s">
        <v>254</v>
      </c>
      <c r="H10203" t="s">
        <v>103</v>
      </c>
    </row>
    <row r="10204" spans="1:8" s="3" customFormat="1" x14ac:dyDescent="0.3">
      <c r="A10204" s="3" t="s">
        <v>27</v>
      </c>
      <c r="B10204" s="3" t="s">
        <v>198</v>
      </c>
      <c r="C10204" s="3">
        <v>5</v>
      </c>
      <c r="D10204" s="3" t="s">
        <v>1378</v>
      </c>
      <c r="E10204" s="3" t="s">
        <v>471</v>
      </c>
      <c r="F10204" s="3" t="s">
        <v>103</v>
      </c>
      <c r="G10204" s="3" t="s">
        <v>103</v>
      </c>
      <c r="H10204" s="3" t="s">
        <v>103</v>
      </c>
    </row>
    <row r="10205" spans="1:8" s="3" customFormat="1" x14ac:dyDescent="0.3">
      <c r="A10205" s="3" t="s">
        <v>27</v>
      </c>
      <c r="B10205" s="3" t="s">
        <v>199</v>
      </c>
      <c r="C10205" s="3">
        <v>11</v>
      </c>
      <c r="D10205" s="3" t="s">
        <v>929</v>
      </c>
      <c r="E10205" s="3" t="s">
        <v>582</v>
      </c>
      <c r="F10205" s="3" t="s">
        <v>103</v>
      </c>
      <c r="G10205" s="3" t="s">
        <v>556</v>
      </c>
      <c r="H10205" s="3" t="s">
        <v>103</v>
      </c>
    </row>
    <row r="10206" spans="1:8" x14ac:dyDescent="0.3">
      <c r="A10206" t="s">
        <v>41</v>
      </c>
      <c r="B10206" t="s">
        <v>198</v>
      </c>
      <c r="C10206">
        <v>58</v>
      </c>
      <c r="D10206" t="s">
        <v>722</v>
      </c>
      <c r="E10206" t="s">
        <v>1008</v>
      </c>
      <c r="F10206" t="s">
        <v>103</v>
      </c>
      <c r="G10206" t="s">
        <v>918</v>
      </c>
      <c r="H10206" t="s">
        <v>103</v>
      </c>
    </row>
    <row r="10207" spans="1:8" x14ac:dyDescent="0.3">
      <c r="A10207" t="s">
        <v>41</v>
      </c>
      <c r="B10207" t="s">
        <v>199</v>
      </c>
      <c r="C10207">
        <v>295</v>
      </c>
      <c r="D10207" t="s">
        <v>1558</v>
      </c>
      <c r="E10207" t="s">
        <v>503</v>
      </c>
      <c r="F10207" t="s">
        <v>270</v>
      </c>
      <c r="G10207" t="s">
        <v>469</v>
      </c>
      <c r="H10207" t="s">
        <v>122</v>
      </c>
    </row>
    <row r="10209" spans="1:8" x14ac:dyDescent="0.3">
      <c r="A10209" t="s">
        <v>2702</v>
      </c>
    </row>
    <row r="10210" spans="1:8" x14ac:dyDescent="0.3">
      <c r="A10210" t="s">
        <v>36</v>
      </c>
      <c r="B10210" t="s">
        <v>197</v>
      </c>
      <c r="C10210" t="s">
        <v>24</v>
      </c>
      <c r="D10210" t="s">
        <v>2682</v>
      </c>
      <c r="E10210" t="s">
        <v>2683</v>
      </c>
      <c r="F10210" t="s">
        <v>2685</v>
      </c>
      <c r="G10210" t="s">
        <v>2681</v>
      </c>
      <c r="H10210" t="s">
        <v>2684</v>
      </c>
    </row>
    <row r="10211" spans="1:8" x14ac:dyDescent="0.3">
      <c r="A10211" t="s">
        <v>25</v>
      </c>
      <c r="B10211" t="s">
        <v>198</v>
      </c>
      <c r="C10211">
        <v>49</v>
      </c>
      <c r="D10211" t="s">
        <v>532</v>
      </c>
      <c r="E10211" t="s">
        <v>618</v>
      </c>
      <c r="F10211" t="s">
        <v>548</v>
      </c>
      <c r="G10211" t="s">
        <v>103</v>
      </c>
      <c r="H10211" t="s">
        <v>103</v>
      </c>
    </row>
    <row r="10212" spans="1:8" x14ac:dyDescent="0.3">
      <c r="A10212" t="s">
        <v>25</v>
      </c>
      <c r="B10212" t="s">
        <v>199</v>
      </c>
      <c r="C10212">
        <v>129</v>
      </c>
      <c r="D10212" t="s">
        <v>649</v>
      </c>
      <c r="E10212" t="s">
        <v>717</v>
      </c>
      <c r="F10212" t="s">
        <v>658</v>
      </c>
      <c r="G10212" t="s">
        <v>97</v>
      </c>
      <c r="H10212" t="s">
        <v>103</v>
      </c>
    </row>
    <row r="10213" spans="1:8" s="3" customFormat="1" x14ac:dyDescent="0.3">
      <c r="A10213" s="3" t="s">
        <v>26</v>
      </c>
      <c r="B10213" s="3" t="s">
        <v>198</v>
      </c>
      <c r="C10213" s="3">
        <v>15</v>
      </c>
      <c r="D10213" s="3" t="s">
        <v>93</v>
      </c>
      <c r="E10213" s="3" t="s">
        <v>878</v>
      </c>
      <c r="F10213" s="3" t="s">
        <v>807</v>
      </c>
      <c r="G10213" s="3" t="s">
        <v>103</v>
      </c>
      <c r="H10213" s="3" t="s">
        <v>103</v>
      </c>
    </row>
    <row r="10214" spans="1:8" x14ac:dyDescent="0.3">
      <c r="A10214" t="s">
        <v>26</v>
      </c>
      <c r="B10214" t="s">
        <v>199</v>
      </c>
      <c r="C10214">
        <v>186</v>
      </c>
      <c r="D10214" t="s">
        <v>452</v>
      </c>
      <c r="E10214" t="s">
        <v>434</v>
      </c>
      <c r="F10214" t="s">
        <v>1023</v>
      </c>
      <c r="G10214" t="s">
        <v>103</v>
      </c>
      <c r="H10214" t="s">
        <v>97</v>
      </c>
    </row>
    <row r="10215" spans="1:8" x14ac:dyDescent="0.3">
      <c r="A10215" t="s">
        <v>29</v>
      </c>
      <c r="B10215" t="s">
        <v>198</v>
      </c>
      <c r="C10215">
        <v>84</v>
      </c>
      <c r="D10215" t="s">
        <v>54</v>
      </c>
      <c r="E10215" t="s">
        <v>1071</v>
      </c>
      <c r="F10215" t="s">
        <v>522</v>
      </c>
      <c r="G10215" t="s">
        <v>341</v>
      </c>
      <c r="H10215" t="s">
        <v>103</v>
      </c>
    </row>
    <row r="10216" spans="1:8" x14ac:dyDescent="0.3">
      <c r="A10216" t="s">
        <v>29</v>
      </c>
      <c r="B10216" t="s">
        <v>199</v>
      </c>
      <c r="C10216">
        <v>145</v>
      </c>
      <c r="D10216" t="s">
        <v>571</v>
      </c>
      <c r="E10216" t="s">
        <v>866</v>
      </c>
      <c r="F10216" t="s">
        <v>539</v>
      </c>
      <c r="G10216" t="s">
        <v>118</v>
      </c>
      <c r="H10216" t="s">
        <v>103</v>
      </c>
    </row>
    <row r="10217" spans="1:8" x14ac:dyDescent="0.3">
      <c r="A10217" t="s">
        <v>28</v>
      </c>
      <c r="B10217" t="s">
        <v>198</v>
      </c>
      <c r="C10217">
        <v>52</v>
      </c>
      <c r="D10217" t="s">
        <v>103</v>
      </c>
      <c r="E10217" t="s">
        <v>2185</v>
      </c>
      <c r="F10217" t="s">
        <v>432</v>
      </c>
      <c r="G10217" t="s">
        <v>103</v>
      </c>
      <c r="H10217" t="s">
        <v>103</v>
      </c>
    </row>
    <row r="10218" spans="1:8" x14ac:dyDescent="0.3">
      <c r="A10218" t="s">
        <v>28</v>
      </c>
      <c r="B10218" t="s">
        <v>199</v>
      </c>
      <c r="C10218">
        <v>176</v>
      </c>
      <c r="D10218" t="s">
        <v>278</v>
      </c>
      <c r="E10218" t="s">
        <v>1305</v>
      </c>
      <c r="F10218" t="s">
        <v>570</v>
      </c>
      <c r="G10218" t="s">
        <v>103</v>
      </c>
      <c r="H10218" t="s">
        <v>103</v>
      </c>
    </row>
    <row r="10219" spans="1:8" x14ac:dyDescent="0.3">
      <c r="A10219" t="s">
        <v>27</v>
      </c>
      <c r="B10219" t="s">
        <v>198</v>
      </c>
      <c r="C10219">
        <v>68</v>
      </c>
      <c r="D10219" t="s">
        <v>925</v>
      </c>
      <c r="E10219" t="s">
        <v>678</v>
      </c>
      <c r="F10219" t="s">
        <v>477</v>
      </c>
      <c r="G10219" t="s">
        <v>103</v>
      </c>
      <c r="H10219" t="s">
        <v>103</v>
      </c>
    </row>
    <row r="10220" spans="1:8" x14ac:dyDescent="0.3">
      <c r="A10220" t="s">
        <v>27</v>
      </c>
      <c r="B10220" t="s">
        <v>199</v>
      </c>
      <c r="C10220">
        <v>45</v>
      </c>
      <c r="D10220" t="s">
        <v>175</v>
      </c>
      <c r="E10220" t="s">
        <v>1679</v>
      </c>
      <c r="F10220" t="s">
        <v>331</v>
      </c>
      <c r="G10220" t="s">
        <v>103</v>
      </c>
      <c r="H10220" t="s">
        <v>103</v>
      </c>
    </row>
    <row r="10221" spans="1:8" x14ac:dyDescent="0.3">
      <c r="A10221" t="s">
        <v>41</v>
      </c>
      <c r="B10221" t="s">
        <v>198</v>
      </c>
      <c r="C10221">
        <v>268</v>
      </c>
      <c r="D10221" t="s">
        <v>481</v>
      </c>
      <c r="E10221" t="s">
        <v>2106</v>
      </c>
      <c r="F10221" t="s">
        <v>820</v>
      </c>
      <c r="G10221" t="s">
        <v>468</v>
      </c>
      <c r="H10221" t="s">
        <v>103</v>
      </c>
    </row>
    <row r="10222" spans="1:8" x14ac:dyDescent="0.3">
      <c r="A10222" t="s">
        <v>41</v>
      </c>
      <c r="B10222" t="s">
        <v>199</v>
      </c>
      <c r="C10222">
        <v>681</v>
      </c>
      <c r="D10222" t="s">
        <v>126</v>
      </c>
      <c r="E10222" t="s">
        <v>717</v>
      </c>
      <c r="F10222" t="s">
        <v>557</v>
      </c>
      <c r="G10222" t="s">
        <v>282</v>
      </c>
      <c r="H10222" t="s">
        <v>91</v>
      </c>
    </row>
    <row r="10224" spans="1:8" x14ac:dyDescent="0.3">
      <c r="A10224" t="s">
        <v>2703</v>
      </c>
    </row>
    <row r="10225" spans="1:8" x14ac:dyDescent="0.3">
      <c r="A10225" t="s">
        <v>36</v>
      </c>
      <c r="B10225" t="s">
        <v>197</v>
      </c>
      <c r="C10225" t="s">
        <v>24</v>
      </c>
      <c r="D10225" t="s">
        <v>2682</v>
      </c>
      <c r="E10225" t="s">
        <v>2683</v>
      </c>
      <c r="F10225" t="s">
        <v>2685</v>
      </c>
      <c r="G10225" t="s">
        <v>2681</v>
      </c>
      <c r="H10225" t="s">
        <v>181</v>
      </c>
    </row>
    <row r="10226" spans="1:8" s="3" customFormat="1" x14ac:dyDescent="0.3">
      <c r="A10226" s="3" t="s">
        <v>25</v>
      </c>
      <c r="B10226" s="3" t="s">
        <v>198</v>
      </c>
      <c r="C10226" s="3">
        <v>6</v>
      </c>
      <c r="D10226" s="3" t="s">
        <v>681</v>
      </c>
      <c r="E10226" s="3" t="s">
        <v>975</v>
      </c>
      <c r="F10226" s="3" t="s">
        <v>782</v>
      </c>
      <c r="G10226" s="3" t="s">
        <v>103</v>
      </c>
      <c r="H10226" s="3" t="s">
        <v>103</v>
      </c>
    </row>
    <row r="10227" spans="1:8" x14ac:dyDescent="0.3">
      <c r="A10227" t="s">
        <v>25</v>
      </c>
      <c r="B10227" t="s">
        <v>199</v>
      </c>
      <c r="C10227">
        <v>39</v>
      </c>
      <c r="D10227" t="s">
        <v>70</v>
      </c>
      <c r="E10227" t="s">
        <v>1062</v>
      </c>
      <c r="F10227" t="s">
        <v>565</v>
      </c>
      <c r="G10227" t="s">
        <v>103</v>
      </c>
      <c r="H10227" t="s">
        <v>103</v>
      </c>
    </row>
    <row r="10228" spans="1:8" s="3" customFormat="1" x14ac:dyDescent="0.3">
      <c r="A10228" s="3" t="s">
        <v>26</v>
      </c>
      <c r="B10228" s="3" t="s">
        <v>198</v>
      </c>
      <c r="C10228" s="3">
        <v>16</v>
      </c>
      <c r="D10228" s="3" t="s">
        <v>743</v>
      </c>
      <c r="E10228" s="3" t="s">
        <v>249</v>
      </c>
      <c r="F10228" s="3" t="s">
        <v>582</v>
      </c>
      <c r="G10228" s="3" t="s">
        <v>103</v>
      </c>
      <c r="H10228" s="3" t="s">
        <v>103</v>
      </c>
    </row>
    <row r="10229" spans="1:8" x14ac:dyDescent="0.3">
      <c r="A10229" t="s">
        <v>26</v>
      </c>
      <c r="B10229" t="s">
        <v>199</v>
      </c>
      <c r="C10229">
        <v>101</v>
      </c>
      <c r="D10229" t="s">
        <v>124</v>
      </c>
      <c r="E10229" t="s">
        <v>1049</v>
      </c>
      <c r="F10229" t="s">
        <v>1425</v>
      </c>
      <c r="G10229" t="s">
        <v>110</v>
      </c>
      <c r="H10229" t="s">
        <v>103</v>
      </c>
    </row>
    <row r="10230" spans="1:8" x14ac:dyDescent="0.3">
      <c r="A10230" t="s">
        <v>29</v>
      </c>
      <c r="B10230" t="s">
        <v>198</v>
      </c>
      <c r="C10230">
        <v>55</v>
      </c>
      <c r="D10230" t="s">
        <v>125</v>
      </c>
      <c r="E10230" t="s">
        <v>796</v>
      </c>
      <c r="F10230" t="s">
        <v>900</v>
      </c>
      <c r="G10230" t="s">
        <v>493</v>
      </c>
      <c r="H10230" t="s">
        <v>195</v>
      </c>
    </row>
    <row r="10231" spans="1:8" x14ac:dyDescent="0.3">
      <c r="A10231" t="s">
        <v>29</v>
      </c>
      <c r="B10231" t="s">
        <v>199</v>
      </c>
      <c r="C10231">
        <v>49</v>
      </c>
      <c r="D10231" t="s">
        <v>205</v>
      </c>
      <c r="E10231" t="s">
        <v>1291</v>
      </c>
      <c r="F10231" t="s">
        <v>50</v>
      </c>
      <c r="G10231" t="s">
        <v>93</v>
      </c>
      <c r="H10231" t="s">
        <v>103</v>
      </c>
    </row>
    <row r="10232" spans="1:8" s="3" customFormat="1" x14ac:dyDescent="0.3">
      <c r="A10232" s="3" t="s">
        <v>28</v>
      </c>
      <c r="B10232" s="3" t="s">
        <v>198</v>
      </c>
      <c r="C10232" s="3">
        <v>7</v>
      </c>
      <c r="D10232" s="3" t="s">
        <v>103</v>
      </c>
      <c r="E10232" s="3" t="s">
        <v>1025</v>
      </c>
      <c r="F10232" s="3" t="s">
        <v>1214</v>
      </c>
      <c r="G10232" s="3" t="s">
        <v>103</v>
      </c>
      <c r="H10232" s="3" t="s">
        <v>103</v>
      </c>
    </row>
    <row r="10233" spans="1:8" x14ac:dyDescent="0.3">
      <c r="A10233" t="s">
        <v>28</v>
      </c>
      <c r="B10233" t="s">
        <v>199</v>
      </c>
      <c r="C10233">
        <v>84</v>
      </c>
      <c r="D10233" t="s">
        <v>214</v>
      </c>
      <c r="E10233" t="s">
        <v>1046</v>
      </c>
      <c r="F10233" t="s">
        <v>732</v>
      </c>
      <c r="G10233" t="s">
        <v>103</v>
      </c>
      <c r="H10233" t="s">
        <v>103</v>
      </c>
    </row>
    <row r="10234" spans="1:8" s="3" customFormat="1" x14ac:dyDescent="0.3">
      <c r="A10234" s="3" t="s">
        <v>27</v>
      </c>
      <c r="B10234" s="3" t="s">
        <v>198</v>
      </c>
      <c r="C10234" s="3">
        <v>26</v>
      </c>
      <c r="D10234" s="3" t="s">
        <v>659</v>
      </c>
      <c r="E10234" s="3" t="s">
        <v>1545</v>
      </c>
      <c r="F10234" s="3" t="s">
        <v>136</v>
      </c>
      <c r="G10234" s="3" t="s">
        <v>114</v>
      </c>
      <c r="H10234" s="3" t="s">
        <v>103</v>
      </c>
    </row>
    <row r="10235" spans="1:8" s="3" customFormat="1" x14ac:dyDescent="0.3">
      <c r="A10235" s="3" t="s">
        <v>27</v>
      </c>
      <c r="B10235" s="3" t="s">
        <v>199</v>
      </c>
      <c r="C10235" s="3">
        <v>25</v>
      </c>
      <c r="D10235" s="3" t="s">
        <v>459</v>
      </c>
      <c r="E10235" s="3" t="s">
        <v>189</v>
      </c>
      <c r="F10235" s="3" t="s">
        <v>94</v>
      </c>
      <c r="G10235" s="3" t="s">
        <v>103</v>
      </c>
      <c r="H10235" s="3" t="s">
        <v>103</v>
      </c>
    </row>
    <row r="10236" spans="1:8" x14ac:dyDescent="0.3">
      <c r="A10236" t="s">
        <v>41</v>
      </c>
      <c r="B10236" t="s">
        <v>198</v>
      </c>
      <c r="C10236">
        <v>110</v>
      </c>
      <c r="D10236" t="s">
        <v>494</v>
      </c>
      <c r="E10236" t="s">
        <v>1379</v>
      </c>
      <c r="F10236" t="s">
        <v>409</v>
      </c>
      <c r="G10236" t="s">
        <v>272</v>
      </c>
      <c r="H10236" t="s">
        <v>118</v>
      </c>
    </row>
    <row r="10237" spans="1:8" x14ac:dyDescent="0.3">
      <c r="A10237" t="s">
        <v>41</v>
      </c>
      <c r="B10237" t="s">
        <v>199</v>
      </c>
      <c r="C10237">
        <v>298</v>
      </c>
      <c r="D10237" t="s">
        <v>60</v>
      </c>
      <c r="E10237" t="s">
        <v>1390</v>
      </c>
      <c r="F10237" t="s">
        <v>480</v>
      </c>
      <c r="G10237" t="s">
        <v>194</v>
      </c>
      <c r="H10237" t="s">
        <v>103</v>
      </c>
    </row>
    <row r="10239" spans="1:8" x14ac:dyDescent="0.3">
      <c r="A10239" t="s">
        <v>2704</v>
      </c>
    </row>
    <row r="10240" spans="1:8" x14ac:dyDescent="0.3">
      <c r="A10240" t="s">
        <v>36</v>
      </c>
      <c r="B10240" t="s">
        <v>197</v>
      </c>
      <c r="C10240" t="s">
        <v>24</v>
      </c>
      <c r="D10240" t="s">
        <v>2683</v>
      </c>
      <c r="E10240" t="s">
        <v>2685</v>
      </c>
      <c r="F10240" t="s">
        <v>2682</v>
      </c>
      <c r="G10240" t="s">
        <v>2681</v>
      </c>
      <c r="H10240" t="s">
        <v>2684</v>
      </c>
    </row>
    <row r="10241" spans="1:8" s="3" customFormat="1" x14ac:dyDescent="0.3">
      <c r="A10241" s="3" t="s">
        <v>25</v>
      </c>
      <c r="B10241" s="3" t="s">
        <v>198</v>
      </c>
      <c r="C10241" s="3">
        <v>12</v>
      </c>
      <c r="D10241" s="3" t="s">
        <v>1056</v>
      </c>
      <c r="E10241" s="3" t="s">
        <v>256</v>
      </c>
      <c r="F10241" s="3" t="s">
        <v>103</v>
      </c>
      <c r="G10241" s="3" t="s">
        <v>103</v>
      </c>
      <c r="H10241" s="3" t="s">
        <v>103</v>
      </c>
    </row>
    <row r="10242" spans="1:8" x14ac:dyDescent="0.3">
      <c r="A10242" t="s">
        <v>25</v>
      </c>
      <c r="B10242" t="s">
        <v>199</v>
      </c>
      <c r="C10242">
        <v>40</v>
      </c>
      <c r="D10242" t="s">
        <v>675</v>
      </c>
      <c r="E10242" t="s">
        <v>373</v>
      </c>
      <c r="F10242" t="s">
        <v>133</v>
      </c>
      <c r="G10242" t="s">
        <v>103</v>
      </c>
      <c r="H10242" t="s">
        <v>103</v>
      </c>
    </row>
    <row r="10243" spans="1:8" s="3" customFormat="1" x14ac:dyDescent="0.3">
      <c r="A10243" s="3" t="s">
        <v>26</v>
      </c>
      <c r="B10243" s="3" t="s">
        <v>198</v>
      </c>
      <c r="C10243" s="3">
        <v>8</v>
      </c>
      <c r="D10243" s="3" t="s">
        <v>620</v>
      </c>
      <c r="E10243" s="3" t="s">
        <v>601</v>
      </c>
      <c r="F10243" s="3" t="s">
        <v>261</v>
      </c>
      <c r="G10243" s="3" t="s">
        <v>103</v>
      </c>
      <c r="H10243" s="3" t="s">
        <v>103</v>
      </c>
    </row>
    <row r="10244" spans="1:8" x14ac:dyDescent="0.3">
      <c r="A10244" t="s">
        <v>26</v>
      </c>
      <c r="B10244" t="s">
        <v>199</v>
      </c>
      <c r="C10244">
        <v>57</v>
      </c>
      <c r="D10244" t="s">
        <v>392</v>
      </c>
      <c r="E10244" t="s">
        <v>1097</v>
      </c>
      <c r="F10244" t="s">
        <v>571</v>
      </c>
      <c r="G10244" t="s">
        <v>139</v>
      </c>
      <c r="H10244" t="s">
        <v>468</v>
      </c>
    </row>
    <row r="10245" spans="1:8" x14ac:dyDescent="0.3">
      <c r="A10245" t="s">
        <v>29</v>
      </c>
      <c r="B10245" t="s">
        <v>198</v>
      </c>
      <c r="C10245">
        <v>33</v>
      </c>
      <c r="D10245" t="s">
        <v>355</v>
      </c>
      <c r="E10245" t="s">
        <v>386</v>
      </c>
      <c r="F10245" t="s">
        <v>60</v>
      </c>
      <c r="G10245" t="s">
        <v>103</v>
      </c>
      <c r="H10245" t="s">
        <v>103</v>
      </c>
    </row>
    <row r="10246" spans="1:8" x14ac:dyDescent="0.3">
      <c r="A10246" t="s">
        <v>29</v>
      </c>
      <c r="B10246" t="s">
        <v>199</v>
      </c>
      <c r="C10246">
        <v>43</v>
      </c>
      <c r="D10246" t="s">
        <v>453</v>
      </c>
      <c r="E10246" t="s">
        <v>1060</v>
      </c>
      <c r="F10246" t="s">
        <v>331</v>
      </c>
      <c r="G10246" t="s">
        <v>103</v>
      </c>
      <c r="H10246" t="s">
        <v>103</v>
      </c>
    </row>
    <row r="10247" spans="1:8" s="3" customFormat="1" x14ac:dyDescent="0.3">
      <c r="A10247" s="3" t="s">
        <v>28</v>
      </c>
      <c r="B10247" s="3" t="s">
        <v>198</v>
      </c>
      <c r="C10247" s="3">
        <v>16</v>
      </c>
      <c r="D10247" s="3" t="s">
        <v>1142</v>
      </c>
      <c r="E10247" s="3" t="s">
        <v>261</v>
      </c>
      <c r="F10247" s="3" t="s">
        <v>103</v>
      </c>
      <c r="G10247" s="3" t="s">
        <v>103</v>
      </c>
      <c r="H10247" s="3" t="s">
        <v>103</v>
      </c>
    </row>
    <row r="10248" spans="1:8" x14ac:dyDescent="0.3">
      <c r="A10248" t="s">
        <v>28</v>
      </c>
      <c r="B10248" t="s">
        <v>199</v>
      </c>
      <c r="C10248">
        <v>110</v>
      </c>
      <c r="D10248" t="s">
        <v>612</v>
      </c>
      <c r="E10248" t="s">
        <v>566</v>
      </c>
      <c r="F10248" t="s">
        <v>139</v>
      </c>
      <c r="G10248" t="s">
        <v>103</v>
      </c>
      <c r="H10248" t="s">
        <v>103</v>
      </c>
    </row>
    <row r="10249" spans="1:8" s="3" customFormat="1" x14ac:dyDescent="0.3">
      <c r="A10249" s="3" t="s">
        <v>27</v>
      </c>
      <c r="B10249" s="3" t="s">
        <v>198</v>
      </c>
      <c r="C10249" s="3">
        <v>5</v>
      </c>
      <c r="D10249" s="3" t="s">
        <v>989</v>
      </c>
      <c r="E10249" s="3" t="s">
        <v>539</v>
      </c>
      <c r="F10249" s="3" t="s">
        <v>103</v>
      </c>
      <c r="G10249" s="3" t="s">
        <v>103</v>
      </c>
      <c r="H10249" s="3" t="s">
        <v>103</v>
      </c>
    </row>
    <row r="10250" spans="1:8" s="3" customFormat="1" x14ac:dyDescent="0.3">
      <c r="A10250" s="3" t="s">
        <v>27</v>
      </c>
      <c r="B10250" s="3" t="s">
        <v>199</v>
      </c>
      <c r="C10250" s="3">
        <v>7</v>
      </c>
      <c r="D10250" s="3" t="s">
        <v>1354</v>
      </c>
      <c r="E10250" s="3" t="s">
        <v>471</v>
      </c>
      <c r="F10250" s="3" t="s">
        <v>652</v>
      </c>
      <c r="G10250" s="3" t="s">
        <v>103</v>
      </c>
      <c r="H10250" s="3" t="s">
        <v>103</v>
      </c>
    </row>
    <row r="10251" spans="1:8" x14ac:dyDescent="0.3">
      <c r="A10251" t="s">
        <v>41</v>
      </c>
      <c r="B10251" t="s">
        <v>198</v>
      </c>
      <c r="C10251">
        <v>74</v>
      </c>
      <c r="D10251" t="s">
        <v>1556</v>
      </c>
      <c r="E10251" t="s">
        <v>1637</v>
      </c>
      <c r="F10251" t="s">
        <v>594</v>
      </c>
      <c r="G10251" t="s">
        <v>103</v>
      </c>
      <c r="H10251" t="s">
        <v>103</v>
      </c>
    </row>
    <row r="10252" spans="1:8" x14ac:dyDescent="0.3">
      <c r="A10252" t="s">
        <v>41</v>
      </c>
      <c r="B10252" t="s">
        <v>199</v>
      </c>
      <c r="C10252">
        <v>257</v>
      </c>
      <c r="D10252" t="s">
        <v>392</v>
      </c>
      <c r="E10252" t="s">
        <v>1224</v>
      </c>
      <c r="F10252" t="s">
        <v>99</v>
      </c>
      <c r="G10252" t="s">
        <v>116</v>
      </c>
      <c r="H10252" t="s">
        <v>122</v>
      </c>
    </row>
    <row r="10254" spans="1:8" x14ac:dyDescent="0.3">
      <c r="A10254" t="s">
        <v>2705</v>
      </c>
    </row>
    <row r="10255" spans="1:8" x14ac:dyDescent="0.3">
      <c r="A10255" t="s">
        <v>36</v>
      </c>
      <c r="B10255" t="s">
        <v>197</v>
      </c>
      <c r="C10255" t="s">
        <v>24</v>
      </c>
      <c r="D10255" t="s">
        <v>2683</v>
      </c>
      <c r="E10255" t="s">
        <v>2685</v>
      </c>
      <c r="F10255" t="s">
        <v>181</v>
      </c>
    </row>
    <row r="10256" spans="1:8" s="3" customFormat="1" x14ac:dyDescent="0.3">
      <c r="A10256" s="3" t="s">
        <v>25</v>
      </c>
      <c r="B10256" s="3" t="s">
        <v>198</v>
      </c>
      <c r="C10256" s="3">
        <v>3</v>
      </c>
      <c r="D10256" s="3" t="s">
        <v>192</v>
      </c>
      <c r="E10256" s="3" t="s">
        <v>103</v>
      </c>
      <c r="F10256" s="3" t="s">
        <v>103</v>
      </c>
    </row>
    <row r="10257" spans="1:8" s="3" customFormat="1" x14ac:dyDescent="0.3">
      <c r="A10257" s="3" t="s">
        <v>25</v>
      </c>
      <c r="B10257" s="3" t="s">
        <v>199</v>
      </c>
      <c r="C10257" s="3">
        <v>4</v>
      </c>
      <c r="D10257" s="3" t="s">
        <v>835</v>
      </c>
      <c r="E10257" s="3" t="s">
        <v>655</v>
      </c>
      <c r="F10257" s="3" t="s">
        <v>103</v>
      </c>
    </row>
    <row r="10258" spans="1:8" s="3" customFormat="1" x14ac:dyDescent="0.3">
      <c r="A10258" s="3" t="s">
        <v>26</v>
      </c>
      <c r="B10258" s="3" t="s">
        <v>199</v>
      </c>
      <c r="C10258" s="3">
        <v>2</v>
      </c>
      <c r="D10258" s="3" t="s">
        <v>399</v>
      </c>
      <c r="E10258" s="3" t="s">
        <v>400</v>
      </c>
      <c r="F10258" s="3" t="s">
        <v>103</v>
      </c>
    </row>
    <row r="10259" spans="1:8" s="3" customFormat="1" x14ac:dyDescent="0.3">
      <c r="A10259" s="3" t="s">
        <v>29</v>
      </c>
      <c r="B10259" s="3" t="s">
        <v>198</v>
      </c>
      <c r="C10259" s="3">
        <v>7</v>
      </c>
      <c r="D10259" s="3" t="s">
        <v>135</v>
      </c>
      <c r="E10259" s="3" t="s">
        <v>193</v>
      </c>
      <c r="F10259" s="3" t="s">
        <v>103</v>
      </c>
    </row>
    <row r="10260" spans="1:8" s="3" customFormat="1" x14ac:dyDescent="0.3">
      <c r="A10260" s="3" t="s">
        <v>29</v>
      </c>
      <c r="B10260" s="3" t="s">
        <v>199</v>
      </c>
      <c r="C10260" s="3">
        <v>6</v>
      </c>
      <c r="D10260" s="3" t="s">
        <v>1018</v>
      </c>
      <c r="E10260" s="3" t="s">
        <v>1205</v>
      </c>
      <c r="F10260" s="3" t="s">
        <v>103</v>
      </c>
    </row>
    <row r="10261" spans="1:8" s="3" customFormat="1" x14ac:dyDescent="0.3">
      <c r="A10261" s="3" t="s">
        <v>28</v>
      </c>
      <c r="B10261" s="3" t="s">
        <v>198</v>
      </c>
      <c r="C10261" s="3">
        <v>3</v>
      </c>
      <c r="D10261" s="3" t="s">
        <v>1050</v>
      </c>
      <c r="E10261" s="3" t="s">
        <v>831</v>
      </c>
      <c r="F10261" s="3" t="s">
        <v>103</v>
      </c>
    </row>
    <row r="10262" spans="1:8" s="3" customFormat="1" x14ac:dyDescent="0.3">
      <c r="A10262" s="3" t="s">
        <v>28</v>
      </c>
      <c r="B10262" s="3" t="s">
        <v>199</v>
      </c>
      <c r="C10262" s="3">
        <v>2</v>
      </c>
      <c r="D10262" s="3" t="s">
        <v>192</v>
      </c>
      <c r="E10262" s="3" t="s">
        <v>103</v>
      </c>
      <c r="F10262" s="3" t="s">
        <v>103</v>
      </c>
    </row>
    <row r="10263" spans="1:8" s="3" customFormat="1" x14ac:dyDescent="0.3">
      <c r="A10263" s="3" t="s">
        <v>27</v>
      </c>
      <c r="B10263" s="3" t="s">
        <v>198</v>
      </c>
      <c r="C10263" s="3">
        <v>8</v>
      </c>
      <c r="D10263" s="3" t="s">
        <v>655</v>
      </c>
      <c r="E10263" s="3" t="s">
        <v>1220</v>
      </c>
      <c r="F10263" s="3" t="s">
        <v>144</v>
      </c>
    </row>
    <row r="10264" spans="1:8" s="3" customFormat="1" x14ac:dyDescent="0.3">
      <c r="A10264" s="3" t="s">
        <v>27</v>
      </c>
      <c r="B10264" s="3" t="s">
        <v>199</v>
      </c>
      <c r="C10264" s="3">
        <v>2</v>
      </c>
      <c r="D10264" s="3" t="s">
        <v>192</v>
      </c>
      <c r="E10264" s="3" t="s">
        <v>103</v>
      </c>
      <c r="F10264" s="3" t="s">
        <v>103</v>
      </c>
    </row>
    <row r="10265" spans="1:8" s="3" customFormat="1" x14ac:dyDescent="0.3">
      <c r="A10265" s="3" t="s">
        <v>41</v>
      </c>
      <c r="B10265" s="3" t="s">
        <v>198</v>
      </c>
      <c r="C10265" s="3">
        <v>21</v>
      </c>
      <c r="D10265" s="3" t="s">
        <v>1227</v>
      </c>
      <c r="E10265" s="3" t="s">
        <v>1062</v>
      </c>
      <c r="F10265" s="3" t="s">
        <v>239</v>
      </c>
    </row>
    <row r="10266" spans="1:8" s="3" customFormat="1" x14ac:dyDescent="0.3">
      <c r="A10266" s="3" t="s">
        <v>41</v>
      </c>
      <c r="B10266" s="3" t="s">
        <v>199</v>
      </c>
      <c r="C10266" s="3">
        <v>16</v>
      </c>
      <c r="D10266" s="3" t="s">
        <v>1172</v>
      </c>
      <c r="E10266" s="3" t="s">
        <v>490</v>
      </c>
      <c r="F10266" s="3" t="s">
        <v>103</v>
      </c>
    </row>
    <row r="10268" spans="1:8" x14ac:dyDescent="0.3">
      <c r="A10268" t="s">
        <v>2706</v>
      </c>
    </row>
    <row r="10269" spans="1:8" x14ac:dyDescent="0.3">
      <c r="A10269" t="s">
        <v>36</v>
      </c>
      <c r="B10269" t="s">
        <v>2677</v>
      </c>
      <c r="C10269" t="s">
        <v>24</v>
      </c>
      <c r="D10269" t="s">
        <v>2681</v>
      </c>
      <c r="E10269" t="s">
        <v>2682</v>
      </c>
      <c r="F10269" t="s">
        <v>2683</v>
      </c>
      <c r="G10269" t="s">
        <v>2684</v>
      </c>
      <c r="H10269" t="s">
        <v>2685</v>
      </c>
    </row>
    <row r="10270" spans="1:8" x14ac:dyDescent="0.3">
      <c r="A10270" t="s">
        <v>25</v>
      </c>
      <c r="B10270" t="s">
        <v>2678</v>
      </c>
      <c r="C10270">
        <v>289</v>
      </c>
      <c r="D10270" t="s">
        <v>107</v>
      </c>
      <c r="E10270" t="s">
        <v>92</v>
      </c>
      <c r="F10270" t="s">
        <v>793</v>
      </c>
      <c r="G10270" t="s">
        <v>91</v>
      </c>
      <c r="H10270" t="s">
        <v>975</v>
      </c>
    </row>
    <row r="10271" spans="1:8" s="3" customFormat="1" x14ac:dyDescent="0.3">
      <c r="A10271" s="3" t="s">
        <v>25</v>
      </c>
      <c r="B10271" s="3" t="s">
        <v>2679</v>
      </c>
      <c r="C10271" s="3">
        <v>2</v>
      </c>
      <c r="D10271" s="3" t="s">
        <v>103</v>
      </c>
      <c r="E10271" s="3" t="s">
        <v>1199</v>
      </c>
      <c r="F10271" s="3" t="s">
        <v>1284</v>
      </c>
      <c r="G10271" s="3" t="s">
        <v>103</v>
      </c>
      <c r="H10271" s="3" t="s">
        <v>103</v>
      </c>
    </row>
    <row r="10272" spans="1:8" x14ac:dyDescent="0.3">
      <c r="A10272" t="s">
        <v>25</v>
      </c>
      <c r="B10272" t="s">
        <v>308</v>
      </c>
      <c r="C10272">
        <v>2</v>
      </c>
      <c r="D10272" t="s">
        <v>103</v>
      </c>
      <c r="E10272" t="s">
        <v>352</v>
      </c>
      <c r="F10272" t="s">
        <v>1058</v>
      </c>
      <c r="G10272" t="s">
        <v>103</v>
      </c>
      <c r="H10272" t="s">
        <v>103</v>
      </c>
    </row>
    <row r="10273" spans="1:8" x14ac:dyDescent="0.3">
      <c r="A10273" t="s">
        <v>26</v>
      </c>
      <c r="B10273" t="s">
        <v>2678</v>
      </c>
      <c r="C10273">
        <v>328</v>
      </c>
      <c r="D10273" t="s">
        <v>201</v>
      </c>
      <c r="E10273" t="s">
        <v>518</v>
      </c>
      <c r="F10273" t="s">
        <v>1240</v>
      </c>
      <c r="G10273" t="s">
        <v>194</v>
      </c>
      <c r="H10273" t="s">
        <v>264</v>
      </c>
    </row>
    <row r="10274" spans="1:8" s="3" customFormat="1" x14ac:dyDescent="0.3">
      <c r="A10274" s="3" t="s">
        <v>26</v>
      </c>
      <c r="B10274" s="3" t="s">
        <v>2679</v>
      </c>
      <c r="C10274" s="3">
        <v>2</v>
      </c>
      <c r="D10274" s="3" t="s">
        <v>103</v>
      </c>
      <c r="E10274" s="3" t="s">
        <v>103</v>
      </c>
      <c r="F10274" s="3" t="s">
        <v>192</v>
      </c>
      <c r="G10274" s="3" t="s">
        <v>103</v>
      </c>
      <c r="H10274" s="3" t="s">
        <v>103</v>
      </c>
    </row>
    <row r="10275" spans="1:8" x14ac:dyDescent="0.3">
      <c r="A10275" t="s">
        <v>26</v>
      </c>
      <c r="B10275" t="s">
        <v>308</v>
      </c>
      <c r="C10275">
        <v>61</v>
      </c>
      <c r="D10275" t="s">
        <v>117</v>
      </c>
      <c r="E10275" t="s">
        <v>380</v>
      </c>
      <c r="F10275" t="s">
        <v>109</v>
      </c>
      <c r="G10275" t="s">
        <v>103</v>
      </c>
      <c r="H10275" t="s">
        <v>667</v>
      </c>
    </row>
    <row r="10276" spans="1:8" x14ac:dyDescent="0.3">
      <c r="A10276" t="s">
        <v>29</v>
      </c>
      <c r="B10276" t="s">
        <v>2678</v>
      </c>
      <c r="C10276">
        <v>314</v>
      </c>
      <c r="D10276" t="s">
        <v>194</v>
      </c>
      <c r="E10276" t="s">
        <v>117</v>
      </c>
      <c r="F10276" t="s">
        <v>1278</v>
      </c>
      <c r="G10276" t="s">
        <v>95</v>
      </c>
      <c r="H10276" t="s">
        <v>574</v>
      </c>
    </row>
    <row r="10277" spans="1:8" x14ac:dyDescent="0.3">
      <c r="A10277" t="s">
        <v>29</v>
      </c>
      <c r="B10277" t="s">
        <v>308</v>
      </c>
      <c r="C10277">
        <v>26</v>
      </c>
      <c r="D10277" t="s">
        <v>467</v>
      </c>
      <c r="E10277" t="s">
        <v>33</v>
      </c>
      <c r="F10277" t="s">
        <v>231</v>
      </c>
      <c r="G10277" t="s">
        <v>103</v>
      </c>
      <c r="H10277" t="s">
        <v>510</v>
      </c>
    </row>
    <row r="10278" spans="1:8" x14ac:dyDescent="0.3">
      <c r="A10278" t="s">
        <v>28</v>
      </c>
      <c r="B10278" t="s">
        <v>2678</v>
      </c>
      <c r="C10278">
        <v>203</v>
      </c>
      <c r="D10278" t="s">
        <v>103</v>
      </c>
      <c r="E10278" t="s">
        <v>107</v>
      </c>
      <c r="F10278" t="s">
        <v>733</v>
      </c>
      <c r="G10278" t="s">
        <v>103</v>
      </c>
      <c r="H10278" t="s">
        <v>550</v>
      </c>
    </row>
    <row r="10279" spans="1:8" s="3" customFormat="1" x14ac:dyDescent="0.3">
      <c r="A10279" s="3" t="s">
        <v>28</v>
      </c>
      <c r="B10279" s="3" t="s">
        <v>2679</v>
      </c>
      <c r="C10279" s="3">
        <v>1</v>
      </c>
      <c r="D10279" s="3" t="s">
        <v>103</v>
      </c>
      <c r="E10279" s="3" t="s">
        <v>103</v>
      </c>
      <c r="F10279" s="3" t="s">
        <v>192</v>
      </c>
      <c r="G10279" s="3" t="s">
        <v>103</v>
      </c>
      <c r="H10279" s="3" t="s">
        <v>103</v>
      </c>
    </row>
    <row r="10280" spans="1:8" x14ac:dyDescent="0.3">
      <c r="A10280" t="s">
        <v>28</v>
      </c>
      <c r="B10280" t="s">
        <v>308</v>
      </c>
      <c r="C10280">
        <v>34</v>
      </c>
      <c r="D10280" t="s">
        <v>103</v>
      </c>
      <c r="E10280" t="s">
        <v>270</v>
      </c>
      <c r="F10280" t="s">
        <v>2111</v>
      </c>
      <c r="G10280" t="s">
        <v>103</v>
      </c>
      <c r="H10280" t="s">
        <v>686</v>
      </c>
    </row>
    <row r="10281" spans="1:8" x14ac:dyDescent="0.3">
      <c r="A10281" t="s">
        <v>27</v>
      </c>
      <c r="B10281" t="s">
        <v>2678</v>
      </c>
      <c r="C10281">
        <v>108</v>
      </c>
      <c r="D10281" t="s">
        <v>128</v>
      </c>
      <c r="E10281" t="s">
        <v>56</v>
      </c>
      <c r="F10281" t="s">
        <v>417</v>
      </c>
      <c r="G10281" t="s">
        <v>103</v>
      </c>
      <c r="H10281" t="s">
        <v>807</v>
      </c>
    </row>
    <row r="10282" spans="1:8" x14ac:dyDescent="0.3">
      <c r="A10282" t="s">
        <v>27</v>
      </c>
      <c r="B10282" t="s">
        <v>308</v>
      </c>
      <c r="C10282">
        <v>62</v>
      </c>
      <c r="D10282" t="s">
        <v>239</v>
      </c>
      <c r="E10282" t="s">
        <v>455</v>
      </c>
      <c r="F10282" t="s">
        <v>1240</v>
      </c>
      <c r="G10282" t="s">
        <v>103</v>
      </c>
      <c r="H10282" t="s">
        <v>60</v>
      </c>
    </row>
    <row r="10283" spans="1:8" x14ac:dyDescent="0.3">
      <c r="A10283" t="s">
        <v>41</v>
      </c>
      <c r="B10283" t="s">
        <v>2678</v>
      </c>
      <c r="C10283">
        <v>1242</v>
      </c>
      <c r="D10283" t="s">
        <v>266</v>
      </c>
      <c r="E10283" t="s">
        <v>271</v>
      </c>
      <c r="F10283" t="s">
        <v>430</v>
      </c>
      <c r="G10283" t="s">
        <v>95</v>
      </c>
      <c r="H10283" t="s">
        <v>569</v>
      </c>
    </row>
    <row r="10284" spans="1:8" s="3" customFormat="1" x14ac:dyDescent="0.3">
      <c r="A10284" s="3" t="s">
        <v>41</v>
      </c>
      <c r="B10284" s="3" t="s">
        <v>2679</v>
      </c>
      <c r="C10284" s="3">
        <v>5</v>
      </c>
      <c r="D10284" s="3" t="s">
        <v>103</v>
      </c>
      <c r="E10284" s="3" t="s">
        <v>820</v>
      </c>
      <c r="F10284" s="3" t="s">
        <v>1239</v>
      </c>
      <c r="G10284" s="3" t="s">
        <v>103</v>
      </c>
      <c r="H10284" s="3" t="s">
        <v>103</v>
      </c>
    </row>
    <row r="10285" spans="1:8" x14ac:dyDescent="0.3">
      <c r="A10285" t="s">
        <v>41</v>
      </c>
      <c r="B10285" t="s">
        <v>308</v>
      </c>
      <c r="C10285">
        <v>185</v>
      </c>
      <c r="D10285" t="s">
        <v>206</v>
      </c>
      <c r="E10285" t="s">
        <v>646</v>
      </c>
      <c r="F10285" t="s">
        <v>873</v>
      </c>
      <c r="G10285" t="s">
        <v>103</v>
      </c>
      <c r="H10285" t="s">
        <v>691</v>
      </c>
    </row>
    <row r="10287" spans="1:8" x14ac:dyDescent="0.3">
      <c r="A10287" t="s">
        <v>2707</v>
      </c>
    </row>
    <row r="10288" spans="1:8" x14ac:dyDescent="0.3">
      <c r="A10288" t="s">
        <v>36</v>
      </c>
      <c r="B10288" t="s">
        <v>2677</v>
      </c>
      <c r="C10288" t="s">
        <v>24</v>
      </c>
      <c r="D10288" t="s">
        <v>2681</v>
      </c>
      <c r="E10288" t="s">
        <v>2682</v>
      </c>
      <c r="F10288" t="s">
        <v>2683</v>
      </c>
      <c r="G10288" t="s">
        <v>2685</v>
      </c>
      <c r="H10288" t="s">
        <v>181</v>
      </c>
    </row>
    <row r="10289" spans="1:8" s="3" customFormat="1" x14ac:dyDescent="0.3">
      <c r="A10289" s="3" t="s">
        <v>25</v>
      </c>
      <c r="B10289" s="3" t="s">
        <v>2678</v>
      </c>
      <c r="C10289" s="3">
        <v>19</v>
      </c>
      <c r="D10289" s="3" t="s">
        <v>186</v>
      </c>
      <c r="E10289" s="3" t="s">
        <v>575</v>
      </c>
      <c r="F10289" s="3" t="s">
        <v>1577</v>
      </c>
      <c r="G10289" s="3" t="s">
        <v>109</v>
      </c>
      <c r="H10289" s="3" t="s">
        <v>103</v>
      </c>
    </row>
    <row r="10290" spans="1:8" x14ac:dyDescent="0.3">
      <c r="A10290" t="s">
        <v>26</v>
      </c>
      <c r="B10290" t="s">
        <v>2678</v>
      </c>
      <c r="C10290">
        <v>51</v>
      </c>
      <c r="D10290" t="s">
        <v>103</v>
      </c>
      <c r="E10290" t="s">
        <v>113</v>
      </c>
      <c r="F10290" t="s">
        <v>425</v>
      </c>
      <c r="G10290" t="s">
        <v>932</v>
      </c>
      <c r="H10290" t="s">
        <v>103</v>
      </c>
    </row>
    <row r="10291" spans="1:8" x14ac:dyDescent="0.3">
      <c r="A10291" t="s">
        <v>26</v>
      </c>
      <c r="B10291" t="s">
        <v>308</v>
      </c>
      <c r="C10291">
        <v>18</v>
      </c>
      <c r="D10291" t="s">
        <v>103</v>
      </c>
      <c r="E10291" t="s">
        <v>269</v>
      </c>
      <c r="F10291" t="s">
        <v>259</v>
      </c>
      <c r="G10291" t="s">
        <v>260</v>
      </c>
      <c r="H10291" t="s">
        <v>103</v>
      </c>
    </row>
    <row r="10292" spans="1:8" x14ac:dyDescent="0.3">
      <c r="A10292" t="s">
        <v>29</v>
      </c>
      <c r="B10292" t="s">
        <v>2678</v>
      </c>
      <c r="C10292">
        <v>64</v>
      </c>
      <c r="D10292" t="s">
        <v>116</v>
      </c>
      <c r="E10292" t="s">
        <v>140</v>
      </c>
      <c r="F10292" t="s">
        <v>260</v>
      </c>
      <c r="G10292" t="s">
        <v>1143</v>
      </c>
      <c r="H10292" t="s">
        <v>125</v>
      </c>
    </row>
    <row r="10293" spans="1:8" x14ac:dyDescent="0.3">
      <c r="A10293" t="s">
        <v>29</v>
      </c>
      <c r="B10293" t="s">
        <v>308</v>
      </c>
      <c r="C10293">
        <v>4</v>
      </c>
      <c r="D10293" t="s">
        <v>103</v>
      </c>
      <c r="E10293" t="s">
        <v>488</v>
      </c>
      <c r="F10293" t="s">
        <v>1175</v>
      </c>
      <c r="G10293" t="s">
        <v>568</v>
      </c>
      <c r="H10293" t="s">
        <v>103</v>
      </c>
    </row>
    <row r="10294" spans="1:8" s="3" customFormat="1" x14ac:dyDescent="0.3">
      <c r="A10294" s="3" t="s">
        <v>28</v>
      </c>
      <c r="B10294" s="3" t="s">
        <v>2678</v>
      </c>
      <c r="C10294" s="3">
        <v>3</v>
      </c>
      <c r="D10294" s="3" t="s">
        <v>103</v>
      </c>
      <c r="E10294" s="3" t="s">
        <v>103</v>
      </c>
      <c r="F10294" s="3" t="s">
        <v>192</v>
      </c>
      <c r="G10294" s="3" t="s">
        <v>103</v>
      </c>
      <c r="H10294" s="3" t="s">
        <v>103</v>
      </c>
    </row>
    <row r="10295" spans="1:8" x14ac:dyDescent="0.3">
      <c r="A10295" t="s">
        <v>28</v>
      </c>
      <c r="B10295" t="s">
        <v>308</v>
      </c>
      <c r="C10295">
        <v>1</v>
      </c>
      <c r="D10295" t="s">
        <v>103</v>
      </c>
      <c r="E10295" t="s">
        <v>103</v>
      </c>
      <c r="F10295" t="s">
        <v>192</v>
      </c>
      <c r="G10295" t="s">
        <v>103</v>
      </c>
      <c r="H10295" t="s">
        <v>103</v>
      </c>
    </row>
    <row r="10296" spans="1:8" s="3" customFormat="1" x14ac:dyDescent="0.3">
      <c r="A10296" s="3" t="s">
        <v>27</v>
      </c>
      <c r="B10296" s="3" t="s">
        <v>2678</v>
      </c>
      <c r="C10296" s="3">
        <v>4</v>
      </c>
      <c r="D10296" s="3" t="s">
        <v>103</v>
      </c>
      <c r="E10296" s="3" t="s">
        <v>103</v>
      </c>
      <c r="F10296" s="3" t="s">
        <v>1136</v>
      </c>
      <c r="G10296" s="3" t="s">
        <v>684</v>
      </c>
      <c r="H10296" s="3" t="s">
        <v>103</v>
      </c>
    </row>
    <row r="10297" spans="1:8" x14ac:dyDescent="0.3">
      <c r="A10297" t="s">
        <v>27</v>
      </c>
      <c r="B10297" t="s">
        <v>308</v>
      </c>
      <c r="C10297">
        <v>2</v>
      </c>
      <c r="D10297" t="s">
        <v>103</v>
      </c>
      <c r="E10297" t="s">
        <v>103</v>
      </c>
      <c r="F10297" t="s">
        <v>1250</v>
      </c>
      <c r="G10297" t="s">
        <v>572</v>
      </c>
      <c r="H10297" t="s">
        <v>103</v>
      </c>
    </row>
    <row r="10298" spans="1:8" x14ac:dyDescent="0.3">
      <c r="A10298" t="s">
        <v>41</v>
      </c>
      <c r="B10298" t="s">
        <v>2678</v>
      </c>
      <c r="C10298">
        <v>141</v>
      </c>
      <c r="D10298" t="s">
        <v>120</v>
      </c>
      <c r="E10298" t="s">
        <v>452</v>
      </c>
      <c r="F10298" t="s">
        <v>1009</v>
      </c>
      <c r="G10298" t="s">
        <v>402</v>
      </c>
      <c r="H10298" t="s">
        <v>329</v>
      </c>
    </row>
    <row r="10299" spans="1:8" x14ac:dyDescent="0.3">
      <c r="A10299" t="s">
        <v>41</v>
      </c>
      <c r="B10299" t="s">
        <v>308</v>
      </c>
      <c r="C10299">
        <v>25</v>
      </c>
      <c r="D10299" t="s">
        <v>103</v>
      </c>
      <c r="E10299" t="s">
        <v>117</v>
      </c>
      <c r="F10299" t="s">
        <v>1211</v>
      </c>
      <c r="G10299" t="s">
        <v>1404</v>
      </c>
      <c r="H10299" t="s">
        <v>103</v>
      </c>
    </row>
    <row r="10301" spans="1:8" x14ac:dyDescent="0.3">
      <c r="A10301" t="s">
        <v>2708</v>
      </c>
    </row>
    <row r="10302" spans="1:8" x14ac:dyDescent="0.3">
      <c r="A10302" t="s">
        <v>36</v>
      </c>
      <c r="B10302" t="s">
        <v>2677</v>
      </c>
      <c r="C10302" t="s">
        <v>24</v>
      </c>
      <c r="D10302" t="s">
        <v>2681</v>
      </c>
      <c r="E10302" t="s">
        <v>2682</v>
      </c>
      <c r="F10302" t="s">
        <v>2683</v>
      </c>
      <c r="G10302" t="s">
        <v>2685</v>
      </c>
      <c r="H10302" t="s">
        <v>2684</v>
      </c>
    </row>
    <row r="10303" spans="1:8" x14ac:dyDescent="0.3">
      <c r="A10303" t="s">
        <v>25</v>
      </c>
      <c r="B10303" t="s">
        <v>2678</v>
      </c>
      <c r="C10303">
        <v>37</v>
      </c>
      <c r="D10303" t="s">
        <v>126</v>
      </c>
      <c r="E10303" t="s">
        <v>48</v>
      </c>
      <c r="F10303" t="s">
        <v>1218</v>
      </c>
      <c r="G10303" t="s">
        <v>627</v>
      </c>
      <c r="H10303" t="s">
        <v>103</v>
      </c>
    </row>
    <row r="10304" spans="1:8" x14ac:dyDescent="0.3">
      <c r="A10304" t="s">
        <v>26</v>
      </c>
      <c r="B10304" t="s">
        <v>2678</v>
      </c>
      <c r="C10304">
        <v>109</v>
      </c>
      <c r="D10304" t="s">
        <v>114</v>
      </c>
      <c r="E10304" t="s">
        <v>144</v>
      </c>
      <c r="F10304" t="s">
        <v>1329</v>
      </c>
      <c r="G10304" t="s">
        <v>1227</v>
      </c>
      <c r="H10304" t="s">
        <v>103</v>
      </c>
    </row>
    <row r="10305" spans="1:8" x14ac:dyDescent="0.3">
      <c r="A10305" t="s">
        <v>26</v>
      </c>
      <c r="B10305" t="s">
        <v>308</v>
      </c>
      <c r="C10305">
        <v>24</v>
      </c>
      <c r="D10305" t="s">
        <v>102</v>
      </c>
      <c r="E10305" t="s">
        <v>469</v>
      </c>
      <c r="F10305" t="s">
        <v>676</v>
      </c>
      <c r="G10305" t="s">
        <v>541</v>
      </c>
      <c r="H10305" t="s">
        <v>186</v>
      </c>
    </row>
    <row r="10306" spans="1:8" x14ac:dyDescent="0.3">
      <c r="A10306" t="s">
        <v>29</v>
      </c>
      <c r="B10306" t="s">
        <v>2678</v>
      </c>
      <c r="C10306">
        <v>76</v>
      </c>
      <c r="D10306" t="s">
        <v>103</v>
      </c>
      <c r="E10306" t="s">
        <v>132</v>
      </c>
      <c r="F10306" t="s">
        <v>810</v>
      </c>
      <c r="G10306" t="s">
        <v>477</v>
      </c>
      <c r="H10306" t="s">
        <v>103</v>
      </c>
    </row>
    <row r="10307" spans="1:8" x14ac:dyDescent="0.3">
      <c r="A10307" t="s">
        <v>29</v>
      </c>
      <c r="B10307" t="s">
        <v>308</v>
      </c>
      <c r="C10307">
        <v>7</v>
      </c>
      <c r="D10307" t="s">
        <v>103</v>
      </c>
      <c r="E10307" t="s">
        <v>103</v>
      </c>
      <c r="F10307" t="s">
        <v>1134</v>
      </c>
      <c r="G10307" t="s">
        <v>482</v>
      </c>
      <c r="H10307" t="s">
        <v>103</v>
      </c>
    </row>
    <row r="10308" spans="1:8" x14ac:dyDescent="0.3">
      <c r="A10308" t="s">
        <v>28</v>
      </c>
      <c r="B10308" t="s">
        <v>2678</v>
      </c>
      <c r="C10308">
        <v>60</v>
      </c>
      <c r="D10308" t="s">
        <v>282</v>
      </c>
      <c r="E10308" t="s">
        <v>737</v>
      </c>
      <c r="F10308" t="s">
        <v>1138</v>
      </c>
      <c r="G10308" t="s">
        <v>482</v>
      </c>
      <c r="H10308" t="s">
        <v>103</v>
      </c>
    </row>
    <row r="10309" spans="1:8" x14ac:dyDescent="0.3">
      <c r="A10309" t="s">
        <v>28</v>
      </c>
      <c r="B10309" t="s">
        <v>308</v>
      </c>
      <c r="C10309">
        <v>24</v>
      </c>
      <c r="D10309" t="s">
        <v>103</v>
      </c>
      <c r="E10309" t="s">
        <v>205</v>
      </c>
      <c r="F10309" t="s">
        <v>1154</v>
      </c>
      <c r="G10309" t="s">
        <v>743</v>
      </c>
      <c r="H10309" t="s">
        <v>103</v>
      </c>
    </row>
    <row r="10310" spans="1:8" s="3" customFormat="1" x14ac:dyDescent="0.3">
      <c r="A10310" s="3" t="s">
        <v>27</v>
      </c>
      <c r="B10310" s="3" t="s">
        <v>2678</v>
      </c>
      <c r="C10310" s="3">
        <v>9</v>
      </c>
      <c r="D10310" s="3" t="s">
        <v>103</v>
      </c>
      <c r="E10310" s="3" t="s">
        <v>583</v>
      </c>
      <c r="F10310" s="3" t="s">
        <v>932</v>
      </c>
      <c r="G10310" s="3" t="s">
        <v>658</v>
      </c>
      <c r="H10310" s="3" t="s">
        <v>103</v>
      </c>
    </row>
    <row r="10311" spans="1:8" x14ac:dyDescent="0.3">
      <c r="A10311" t="s">
        <v>27</v>
      </c>
      <c r="B10311" t="s">
        <v>308</v>
      </c>
      <c r="C10311">
        <v>7</v>
      </c>
      <c r="D10311" t="s">
        <v>103</v>
      </c>
      <c r="E10311" t="s">
        <v>103</v>
      </c>
      <c r="F10311" t="s">
        <v>944</v>
      </c>
      <c r="G10311" t="s">
        <v>920</v>
      </c>
      <c r="H10311" t="s">
        <v>103</v>
      </c>
    </row>
    <row r="10312" spans="1:8" x14ac:dyDescent="0.3">
      <c r="A10312" t="s">
        <v>41</v>
      </c>
      <c r="B10312" t="s">
        <v>2678</v>
      </c>
      <c r="C10312">
        <v>291</v>
      </c>
      <c r="D10312" t="s">
        <v>118</v>
      </c>
      <c r="E10312" t="s">
        <v>160</v>
      </c>
      <c r="F10312" t="s">
        <v>1032</v>
      </c>
      <c r="G10312" t="s">
        <v>920</v>
      </c>
      <c r="H10312" t="s">
        <v>103</v>
      </c>
    </row>
    <row r="10313" spans="1:8" x14ac:dyDescent="0.3">
      <c r="A10313" t="s">
        <v>41</v>
      </c>
      <c r="B10313" t="s">
        <v>308</v>
      </c>
      <c r="C10313">
        <v>62</v>
      </c>
      <c r="D10313" t="s">
        <v>341</v>
      </c>
      <c r="E10313" t="s">
        <v>191</v>
      </c>
      <c r="F10313" t="s">
        <v>593</v>
      </c>
      <c r="G10313" t="s">
        <v>1023</v>
      </c>
      <c r="H10313" t="s">
        <v>93</v>
      </c>
    </row>
    <row r="10315" spans="1:8" x14ac:dyDescent="0.3">
      <c r="A10315" t="s">
        <v>2709</v>
      </c>
    </row>
    <row r="10316" spans="1:8" x14ac:dyDescent="0.3">
      <c r="A10316" t="s">
        <v>36</v>
      </c>
      <c r="B10316" t="s">
        <v>2677</v>
      </c>
      <c r="C10316" t="s">
        <v>24</v>
      </c>
      <c r="D10316" t="s">
        <v>2681</v>
      </c>
      <c r="E10316" t="s">
        <v>2682</v>
      </c>
      <c r="F10316" t="s">
        <v>2683</v>
      </c>
      <c r="G10316" t="s">
        <v>2685</v>
      </c>
      <c r="H10316" t="s">
        <v>2684</v>
      </c>
    </row>
    <row r="10317" spans="1:8" x14ac:dyDescent="0.3">
      <c r="A10317" t="s">
        <v>25</v>
      </c>
      <c r="B10317" t="s">
        <v>2678</v>
      </c>
      <c r="C10317">
        <v>176</v>
      </c>
      <c r="D10317" t="s">
        <v>122</v>
      </c>
      <c r="E10317" t="s">
        <v>549</v>
      </c>
      <c r="F10317" t="s">
        <v>1679</v>
      </c>
      <c r="G10317" t="s">
        <v>927</v>
      </c>
      <c r="H10317" t="s">
        <v>103</v>
      </c>
    </row>
    <row r="10318" spans="1:8" s="3" customFormat="1" x14ac:dyDescent="0.3">
      <c r="A10318" s="3" t="s">
        <v>25</v>
      </c>
      <c r="B10318" s="3" t="s">
        <v>2679</v>
      </c>
      <c r="C10318" s="3">
        <v>1</v>
      </c>
      <c r="D10318" s="3" t="s">
        <v>103</v>
      </c>
      <c r="E10318" s="3" t="s">
        <v>103</v>
      </c>
      <c r="F10318" s="3" t="s">
        <v>192</v>
      </c>
      <c r="G10318" s="3" t="s">
        <v>103</v>
      </c>
      <c r="H10318" s="3" t="s">
        <v>103</v>
      </c>
    </row>
    <row r="10319" spans="1:8" x14ac:dyDescent="0.3">
      <c r="A10319" t="s">
        <v>25</v>
      </c>
      <c r="B10319" t="s">
        <v>308</v>
      </c>
      <c r="C10319">
        <v>1</v>
      </c>
      <c r="D10319" t="s">
        <v>103</v>
      </c>
      <c r="E10319" t="s">
        <v>103</v>
      </c>
      <c r="F10319" t="s">
        <v>192</v>
      </c>
      <c r="G10319" t="s">
        <v>103</v>
      </c>
      <c r="H10319" t="s">
        <v>103</v>
      </c>
    </row>
    <row r="10320" spans="1:8" x14ac:dyDescent="0.3">
      <c r="A10320" t="s">
        <v>26</v>
      </c>
      <c r="B10320" t="s">
        <v>2678</v>
      </c>
      <c r="C10320">
        <v>162</v>
      </c>
      <c r="D10320" t="s">
        <v>103</v>
      </c>
      <c r="E10320" t="s">
        <v>466</v>
      </c>
      <c r="F10320" t="s">
        <v>1031</v>
      </c>
      <c r="G10320" t="s">
        <v>927</v>
      </c>
      <c r="H10320" t="s">
        <v>103</v>
      </c>
    </row>
    <row r="10321" spans="1:8" s="3" customFormat="1" x14ac:dyDescent="0.3">
      <c r="A10321" s="3" t="s">
        <v>26</v>
      </c>
      <c r="B10321" s="3" t="s">
        <v>2679</v>
      </c>
      <c r="C10321" s="3">
        <v>1</v>
      </c>
      <c r="D10321" s="3" t="s">
        <v>103</v>
      </c>
      <c r="E10321" s="3" t="s">
        <v>103</v>
      </c>
      <c r="F10321" s="3" t="s">
        <v>192</v>
      </c>
      <c r="G10321" s="3" t="s">
        <v>103</v>
      </c>
      <c r="H10321" s="3" t="s">
        <v>103</v>
      </c>
    </row>
    <row r="10322" spans="1:8" x14ac:dyDescent="0.3">
      <c r="A10322" t="s">
        <v>26</v>
      </c>
      <c r="B10322" t="s">
        <v>308</v>
      </c>
      <c r="C10322">
        <v>38</v>
      </c>
      <c r="D10322" t="s">
        <v>103</v>
      </c>
      <c r="E10322" t="s">
        <v>107</v>
      </c>
      <c r="F10322" t="s">
        <v>1172</v>
      </c>
      <c r="G10322" t="s">
        <v>559</v>
      </c>
      <c r="H10322" t="s">
        <v>266</v>
      </c>
    </row>
    <row r="10323" spans="1:8" x14ac:dyDescent="0.3">
      <c r="A10323" t="s">
        <v>29</v>
      </c>
      <c r="B10323" t="s">
        <v>2678</v>
      </c>
      <c r="C10323">
        <v>208</v>
      </c>
      <c r="D10323" t="s">
        <v>118</v>
      </c>
      <c r="E10323" t="s">
        <v>601</v>
      </c>
      <c r="F10323" t="s">
        <v>1245</v>
      </c>
      <c r="G10323" t="s">
        <v>461</v>
      </c>
      <c r="H10323" t="s">
        <v>103</v>
      </c>
    </row>
    <row r="10324" spans="1:8" x14ac:dyDescent="0.3">
      <c r="A10324" t="s">
        <v>29</v>
      </c>
      <c r="B10324" t="s">
        <v>308</v>
      </c>
      <c r="C10324">
        <v>21</v>
      </c>
      <c r="D10324" t="s">
        <v>103</v>
      </c>
      <c r="E10324" t="s">
        <v>574</v>
      </c>
      <c r="F10324" t="s">
        <v>892</v>
      </c>
      <c r="G10324" t="s">
        <v>127</v>
      </c>
      <c r="H10324" t="s">
        <v>103</v>
      </c>
    </row>
    <row r="10325" spans="1:8" x14ac:dyDescent="0.3">
      <c r="A10325" t="s">
        <v>28</v>
      </c>
      <c r="B10325" t="s">
        <v>2678</v>
      </c>
      <c r="C10325">
        <v>183</v>
      </c>
      <c r="D10325" t="s">
        <v>103</v>
      </c>
      <c r="E10325" t="s">
        <v>186</v>
      </c>
      <c r="F10325" t="s">
        <v>1281</v>
      </c>
      <c r="G10325" t="s">
        <v>1083</v>
      </c>
      <c r="H10325" t="s">
        <v>103</v>
      </c>
    </row>
    <row r="10326" spans="1:8" s="3" customFormat="1" x14ac:dyDescent="0.3">
      <c r="A10326" s="3" t="s">
        <v>28</v>
      </c>
      <c r="B10326" s="3" t="s">
        <v>2679</v>
      </c>
      <c r="C10326" s="3">
        <v>1</v>
      </c>
      <c r="D10326" s="3" t="s">
        <v>103</v>
      </c>
      <c r="E10326" s="3" t="s">
        <v>103</v>
      </c>
      <c r="F10326" s="3" t="s">
        <v>192</v>
      </c>
      <c r="G10326" s="3" t="s">
        <v>103</v>
      </c>
      <c r="H10326" s="3" t="s">
        <v>103</v>
      </c>
    </row>
    <row r="10327" spans="1:8" x14ac:dyDescent="0.3">
      <c r="A10327" t="s">
        <v>28</v>
      </c>
      <c r="B10327" t="s">
        <v>308</v>
      </c>
      <c r="C10327">
        <v>44</v>
      </c>
      <c r="D10327" t="s">
        <v>103</v>
      </c>
      <c r="E10327" t="s">
        <v>128</v>
      </c>
      <c r="F10327" t="s">
        <v>730</v>
      </c>
      <c r="G10327" t="s">
        <v>1218</v>
      </c>
      <c r="H10327" t="s">
        <v>103</v>
      </c>
    </row>
    <row r="10328" spans="1:8" x14ac:dyDescent="0.3">
      <c r="A10328" t="s">
        <v>27</v>
      </c>
      <c r="B10328" t="s">
        <v>2678</v>
      </c>
      <c r="C10328">
        <v>54</v>
      </c>
      <c r="D10328" t="s">
        <v>103</v>
      </c>
      <c r="E10328" t="s">
        <v>132</v>
      </c>
      <c r="F10328" t="s">
        <v>835</v>
      </c>
      <c r="G10328" t="s">
        <v>56</v>
      </c>
      <c r="H10328" t="s">
        <v>103</v>
      </c>
    </row>
    <row r="10329" spans="1:8" s="3" customFormat="1" x14ac:dyDescent="0.3">
      <c r="A10329" s="3" t="s">
        <v>27</v>
      </c>
      <c r="B10329" s="3" t="s">
        <v>2679</v>
      </c>
      <c r="C10329" s="3">
        <v>1</v>
      </c>
      <c r="D10329" s="3" t="s">
        <v>103</v>
      </c>
      <c r="E10329" s="3" t="s">
        <v>192</v>
      </c>
      <c r="F10329" s="3" t="s">
        <v>103</v>
      </c>
      <c r="G10329" s="3" t="s">
        <v>103</v>
      </c>
      <c r="H10329" s="3" t="s">
        <v>103</v>
      </c>
    </row>
    <row r="10330" spans="1:8" x14ac:dyDescent="0.3">
      <c r="A10330" t="s">
        <v>27</v>
      </c>
      <c r="B10330" t="s">
        <v>308</v>
      </c>
      <c r="C10330">
        <v>58</v>
      </c>
      <c r="D10330" t="s">
        <v>103</v>
      </c>
      <c r="E10330" t="s">
        <v>460</v>
      </c>
      <c r="F10330" t="s">
        <v>726</v>
      </c>
      <c r="G10330" t="s">
        <v>477</v>
      </c>
      <c r="H10330" t="s">
        <v>103</v>
      </c>
    </row>
    <row r="10331" spans="1:8" x14ac:dyDescent="0.3">
      <c r="A10331" t="s">
        <v>41</v>
      </c>
      <c r="B10331" t="s">
        <v>2678</v>
      </c>
      <c r="C10331">
        <v>783</v>
      </c>
      <c r="D10331" t="s">
        <v>468</v>
      </c>
      <c r="E10331" t="s">
        <v>90</v>
      </c>
      <c r="F10331" t="s">
        <v>1047</v>
      </c>
      <c r="G10331" t="s">
        <v>1084</v>
      </c>
      <c r="H10331" t="s">
        <v>103</v>
      </c>
    </row>
    <row r="10332" spans="1:8" s="3" customFormat="1" x14ac:dyDescent="0.3">
      <c r="A10332" s="3" t="s">
        <v>41</v>
      </c>
      <c r="B10332" s="3" t="s">
        <v>2679</v>
      </c>
      <c r="C10332" s="3">
        <v>4</v>
      </c>
      <c r="D10332" s="3" t="s">
        <v>103</v>
      </c>
      <c r="E10332" s="3" t="s">
        <v>481</v>
      </c>
      <c r="F10332" s="3" t="s">
        <v>783</v>
      </c>
      <c r="G10332" s="3" t="s">
        <v>103</v>
      </c>
      <c r="H10332" s="3" t="s">
        <v>103</v>
      </c>
    </row>
    <row r="10333" spans="1:8" x14ac:dyDescent="0.3">
      <c r="A10333" t="s">
        <v>41</v>
      </c>
      <c r="B10333" t="s">
        <v>308</v>
      </c>
      <c r="C10333">
        <v>162</v>
      </c>
      <c r="D10333" t="s">
        <v>103</v>
      </c>
      <c r="E10333" t="s">
        <v>175</v>
      </c>
      <c r="F10333" t="s">
        <v>260</v>
      </c>
      <c r="G10333" t="s">
        <v>654</v>
      </c>
      <c r="H10333" t="s">
        <v>98</v>
      </c>
    </row>
    <row r="10335" spans="1:8" x14ac:dyDescent="0.3">
      <c r="A10335" t="s">
        <v>2710</v>
      </c>
    </row>
    <row r="10336" spans="1:8" x14ac:dyDescent="0.3">
      <c r="A10336" t="s">
        <v>36</v>
      </c>
      <c r="B10336" t="s">
        <v>2677</v>
      </c>
      <c r="C10336" t="s">
        <v>24</v>
      </c>
      <c r="D10336" t="s">
        <v>2682</v>
      </c>
      <c r="E10336" t="s">
        <v>2683</v>
      </c>
      <c r="F10336" t="s">
        <v>2685</v>
      </c>
      <c r="G10336" t="s">
        <v>2681</v>
      </c>
      <c r="H10336" t="s">
        <v>181</v>
      </c>
    </row>
    <row r="10337" spans="1:8" x14ac:dyDescent="0.3">
      <c r="A10337" t="s">
        <v>25</v>
      </c>
      <c r="B10337" t="s">
        <v>2678</v>
      </c>
      <c r="C10337">
        <v>45</v>
      </c>
      <c r="D10337" t="s">
        <v>607</v>
      </c>
      <c r="E10337" t="s">
        <v>866</v>
      </c>
      <c r="F10337" t="s">
        <v>301</v>
      </c>
      <c r="G10337" t="s">
        <v>103</v>
      </c>
      <c r="H10337" t="s">
        <v>103</v>
      </c>
    </row>
    <row r="10338" spans="1:8" x14ac:dyDescent="0.3">
      <c r="A10338" t="s">
        <v>26</v>
      </c>
      <c r="B10338" t="s">
        <v>2678</v>
      </c>
      <c r="C10338">
        <v>89</v>
      </c>
      <c r="D10338" t="s">
        <v>124</v>
      </c>
      <c r="E10338" t="s">
        <v>462</v>
      </c>
      <c r="F10338" t="s">
        <v>405</v>
      </c>
      <c r="G10338" t="s">
        <v>245</v>
      </c>
      <c r="H10338" t="s">
        <v>103</v>
      </c>
    </row>
    <row r="10339" spans="1:8" x14ac:dyDescent="0.3">
      <c r="A10339" t="s">
        <v>26</v>
      </c>
      <c r="B10339" t="s">
        <v>308</v>
      </c>
      <c r="C10339">
        <v>28</v>
      </c>
      <c r="D10339" t="s">
        <v>224</v>
      </c>
      <c r="E10339" t="s">
        <v>374</v>
      </c>
      <c r="F10339" t="s">
        <v>729</v>
      </c>
      <c r="G10339" t="s">
        <v>103</v>
      </c>
      <c r="H10339" t="s">
        <v>103</v>
      </c>
    </row>
    <row r="10340" spans="1:8" x14ac:dyDescent="0.3">
      <c r="A10340" t="s">
        <v>29</v>
      </c>
      <c r="B10340" t="s">
        <v>2678</v>
      </c>
      <c r="C10340">
        <v>94</v>
      </c>
      <c r="D10340" t="s">
        <v>114</v>
      </c>
      <c r="E10340" t="s">
        <v>1443</v>
      </c>
      <c r="F10340" t="s">
        <v>789</v>
      </c>
      <c r="G10340" t="s">
        <v>467</v>
      </c>
      <c r="H10340" t="s">
        <v>245</v>
      </c>
    </row>
    <row r="10341" spans="1:8" x14ac:dyDescent="0.3">
      <c r="A10341" t="s">
        <v>29</v>
      </c>
      <c r="B10341" t="s">
        <v>308</v>
      </c>
      <c r="C10341">
        <v>10</v>
      </c>
      <c r="D10341" t="s">
        <v>702</v>
      </c>
      <c r="E10341" t="s">
        <v>1328</v>
      </c>
      <c r="F10341" t="s">
        <v>524</v>
      </c>
      <c r="G10341" t="s">
        <v>103</v>
      </c>
      <c r="H10341" t="s">
        <v>103</v>
      </c>
    </row>
    <row r="10342" spans="1:8" x14ac:dyDescent="0.3">
      <c r="A10342" t="s">
        <v>28</v>
      </c>
      <c r="B10342" t="s">
        <v>2678</v>
      </c>
      <c r="C10342">
        <v>59</v>
      </c>
      <c r="D10342" t="s">
        <v>188</v>
      </c>
      <c r="E10342" t="s">
        <v>1456</v>
      </c>
      <c r="F10342" t="s">
        <v>273</v>
      </c>
      <c r="G10342" t="s">
        <v>103</v>
      </c>
      <c r="H10342" t="s">
        <v>103</v>
      </c>
    </row>
    <row r="10343" spans="1:8" x14ac:dyDescent="0.3">
      <c r="A10343" t="s">
        <v>28</v>
      </c>
      <c r="B10343" t="s">
        <v>308</v>
      </c>
      <c r="C10343">
        <v>32</v>
      </c>
      <c r="D10343" t="s">
        <v>278</v>
      </c>
      <c r="E10343" t="s">
        <v>414</v>
      </c>
      <c r="F10343" t="s">
        <v>453</v>
      </c>
      <c r="G10343" t="s">
        <v>103</v>
      </c>
      <c r="H10343" t="s">
        <v>103</v>
      </c>
    </row>
    <row r="10344" spans="1:8" s="3" customFormat="1" x14ac:dyDescent="0.3">
      <c r="A10344" s="3" t="s">
        <v>27</v>
      </c>
      <c r="B10344" s="3" t="s">
        <v>2678</v>
      </c>
      <c r="C10344" s="3">
        <v>25</v>
      </c>
      <c r="D10344" s="3" t="s">
        <v>927</v>
      </c>
      <c r="E10344" s="3" t="s">
        <v>502</v>
      </c>
      <c r="F10344" s="3" t="s">
        <v>566</v>
      </c>
      <c r="G10344" s="3" t="s">
        <v>103</v>
      </c>
      <c r="H10344" s="3" t="s">
        <v>103</v>
      </c>
    </row>
    <row r="10345" spans="1:8" x14ac:dyDescent="0.3">
      <c r="A10345" t="s">
        <v>27</v>
      </c>
      <c r="B10345" t="s">
        <v>308</v>
      </c>
      <c r="C10345">
        <v>26</v>
      </c>
      <c r="D10345" t="s">
        <v>1082</v>
      </c>
      <c r="E10345" t="s">
        <v>801</v>
      </c>
      <c r="F10345" t="s">
        <v>467</v>
      </c>
      <c r="G10345" t="s">
        <v>188</v>
      </c>
      <c r="H10345" t="s">
        <v>103</v>
      </c>
    </row>
    <row r="10346" spans="1:8" x14ac:dyDescent="0.3">
      <c r="A10346" t="s">
        <v>41</v>
      </c>
      <c r="B10346" t="s">
        <v>2678</v>
      </c>
      <c r="C10346">
        <v>312</v>
      </c>
      <c r="D10346" t="s">
        <v>558</v>
      </c>
      <c r="E10346" t="s">
        <v>1058</v>
      </c>
      <c r="F10346" t="s">
        <v>1213</v>
      </c>
      <c r="G10346" t="s">
        <v>329</v>
      </c>
      <c r="H10346" t="s">
        <v>98</v>
      </c>
    </row>
    <row r="10347" spans="1:8" x14ac:dyDescent="0.3">
      <c r="A10347" t="s">
        <v>41</v>
      </c>
      <c r="B10347" t="s">
        <v>308</v>
      </c>
      <c r="C10347">
        <v>96</v>
      </c>
      <c r="D10347" t="s">
        <v>54</v>
      </c>
      <c r="E10347" t="s">
        <v>678</v>
      </c>
      <c r="F10347" t="s">
        <v>295</v>
      </c>
      <c r="G10347" t="s">
        <v>120</v>
      </c>
      <c r="H10347" t="s">
        <v>103</v>
      </c>
    </row>
    <row r="10349" spans="1:8" x14ac:dyDescent="0.3">
      <c r="A10349" t="s">
        <v>2711</v>
      </c>
    </row>
    <row r="10350" spans="1:8" x14ac:dyDescent="0.3">
      <c r="A10350" t="s">
        <v>36</v>
      </c>
      <c r="B10350" t="s">
        <v>2677</v>
      </c>
      <c r="C10350" t="s">
        <v>24</v>
      </c>
      <c r="D10350" t="s">
        <v>2682</v>
      </c>
      <c r="E10350" t="s">
        <v>2683</v>
      </c>
      <c r="F10350" t="s">
        <v>2685</v>
      </c>
      <c r="G10350" t="s">
        <v>2681</v>
      </c>
      <c r="H10350" t="s">
        <v>2684</v>
      </c>
    </row>
    <row r="10351" spans="1:8" x14ac:dyDescent="0.3">
      <c r="A10351" t="s">
        <v>25</v>
      </c>
      <c r="B10351" t="s">
        <v>2678</v>
      </c>
      <c r="C10351">
        <v>52</v>
      </c>
      <c r="D10351" t="s">
        <v>107</v>
      </c>
      <c r="E10351" t="s">
        <v>1172</v>
      </c>
      <c r="F10351" t="s">
        <v>1097</v>
      </c>
      <c r="G10351" t="s">
        <v>103</v>
      </c>
      <c r="H10351" t="s">
        <v>103</v>
      </c>
    </row>
    <row r="10352" spans="1:8" x14ac:dyDescent="0.3">
      <c r="A10352" t="s">
        <v>26</v>
      </c>
      <c r="B10352" t="s">
        <v>2678</v>
      </c>
      <c r="C10352">
        <v>52</v>
      </c>
      <c r="D10352" t="s">
        <v>191</v>
      </c>
      <c r="E10352" t="s">
        <v>372</v>
      </c>
      <c r="F10352" t="s">
        <v>456</v>
      </c>
      <c r="G10352" t="s">
        <v>282</v>
      </c>
      <c r="H10352" t="s">
        <v>103</v>
      </c>
    </row>
    <row r="10353" spans="1:8" x14ac:dyDescent="0.3">
      <c r="A10353" t="s">
        <v>26</v>
      </c>
      <c r="B10353" t="s">
        <v>308</v>
      </c>
      <c r="C10353">
        <v>13</v>
      </c>
      <c r="D10353" t="s">
        <v>549</v>
      </c>
      <c r="E10353" t="s">
        <v>420</v>
      </c>
      <c r="F10353" t="s">
        <v>928</v>
      </c>
      <c r="G10353" t="s">
        <v>103</v>
      </c>
      <c r="H10353" t="s">
        <v>112</v>
      </c>
    </row>
    <row r="10354" spans="1:8" x14ac:dyDescent="0.3">
      <c r="A10354" t="s">
        <v>29</v>
      </c>
      <c r="B10354" t="s">
        <v>2678</v>
      </c>
      <c r="C10354">
        <v>74</v>
      </c>
      <c r="D10354" t="s">
        <v>175</v>
      </c>
      <c r="E10354" t="s">
        <v>427</v>
      </c>
      <c r="F10354" t="s">
        <v>500</v>
      </c>
      <c r="G10354" t="s">
        <v>103</v>
      </c>
      <c r="H10354" t="s">
        <v>103</v>
      </c>
    </row>
    <row r="10355" spans="1:8" x14ac:dyDescent="0.3">
      <c r="A10355" t="s">
        <v>29</v>
      </c>
      <c r="B10355" t="s">
        <v>308</v>
      </c>
      <c r="C10355">
        <v>2</v>
      </c>
      <c r="D10355" t="s">
        <v>103</v>
      </c>
      <c r="E10355" t="s">
        <v>562</v>
      </c>
      <c r="F10355" t="s">
        <v>628</v>
      </c>
      <c r="G10355" t="s">
        <v>103</v>
      </c>
      <c r="H10355" t="s">
        <v>103</v>
      </c>
    </row>
    <row r="10356" spans="1:8" x14ac:dyDescent="0.3">
      <c r="A10356" t="s">
        <v>28</v>
      </c>
      <c r="B10356" t="s">
        <v>2678</v>
      </c>
      <c r="C10356">
        <v>92</v>
      </c>
      <c r="D10356" t="s">
        <v>139</v>
      </c>
      <c r="E10356" t="s">
        <v>827</v>
      </c>
      <c r="F10356" t="s">
        <v>108</v>
      </c>
      <c r="G10356" t="s">
        <v>103</v>
      </c>
      <c r="H10356" t="s">
        <v>103</v>
      </c>
    </row>
    <row r="10357" spans="1:8" s="3" customFormat="1" x14ac:dyDescent="0.3">
      <c r="A10357" s="3" t="s">
        <v>28</v>
      </c>
      <c r="B10357" s="3" t="s">
        <v>2679</v>
      </c>
      <c r="C10357" s="3">
        <v>1</v>
      </c>
      <c r="D10357" s="3" t="s">
        <v>103</v>
      </c>
      <c r="E10357" s="3" t="s">
        <v>192</v>
      </c>
      <c r="F10357" s="3" t="s">
        <v>103</v>
      </c>
      <c r="G10357" s="3" t="s">
        <v>103</v>
      </c>
      <c r="H10357" s="3" t="s">
        <v>103</v>
      </c>
    </row>
    <row r="10358" spans="1:8" x14ac:dyDescent="0.3">
      <c r="A10358" t="s">
        <v>28</v>
      </c>
      <c r="B10358" t="s">
        <v>308</v>
      </c>
      <c r="C10358">
        <v>33</v>
      </c>
      <c r="D10358" t="s">
        <v>103</v>
      </c>
      <c r="E10358" t="s">
        <v>2185</v>
      </c>
      <c r="F10358" t="s">
        <v>432</v>
      </c>
      <c r="G10358" t="s">
        <v>103</v>
      </c>
      <c r="H10358" t="s">
        <v>103</v>
      </c>
    </row>
    <row r="10359" spans="1:8" s="3" customFormat="1" x14ac:dyDescent="0.3">
      <c r="A10359" s="3" t="s">
        <v>27</v>
      </c>
      <c r="B10359" s="3" t="s">
        <v>2678</v>
      </c>
      <c r="C10359" s="3">
        <v>5</v>
      </c>
      <c r="D10359" s="3" t="s">
        <v>131</v>
      </c>
      <c r="E10359" s="3" t="s">
        <v>984</v>
      </c>
      <c r="F10359" s="3" t="s">
        <v>103</v>
      </c>
      <c r="G10359" s="3" t="s">
        <v>103</v>
      </c>
      <c r="H10359" s="3" t="s">
        <v>103</v>
      </c>
    </row>
    <row r="10360" spans="1:8" x14ac:dyDescent="0.3">
      <c r="A10360" t="s">
        <v>27</v>
      </c>
      <c r="B10360" t="s">
        <v>308</v>
      </c>
      <c r="C10360">
        <v>7</v>
      </c>
      <c r="D10360" t="s">
        <v>103</v>
      </c>
      <c r="E10360" t="s">
        <v>924</v>
      </c>
      <c r="F10360" t="s">
        <v>537</v>
      </c>
      <c r="G10360" t="s">
        <v>103</v>
      </c>
      <c r="H10360" t="s">
        <v>103</v>
      </c>
    </row>
    <row r="10361" spans="1:8" x14ac:dyDescent="0.3">
      <c r="A10361" t="s">
        <v>41</v>
      </c>
      <c r="B10361" t="s">
        <v>2678</v>
      </c>
      <c r="C10361">
        <v>275</v>
      </c>
      <c r="D10361" t="s">
        <v>247</v>
      </c>
      <c r="E10361" t="s">
        <v>1549</v>
      </c>
      <c r="F10361" t="s">
        <v>303</v>
      </c>
      <c r="G10361" t="s">
        <v>66</v>
      </c>
      <c r="H10361" t="s">
        <v>103</v>
      </c>
    </row>
    <row r="10362" spans="1:8" s="3" customFormat="1" x14ac:dyDescent="0.3">
      <c r="A10362" s="3" t="s">
        <v>41</v>
      </c>
      <c r="B10362" s="3" t="s">
        <v>2679</v>
      </c>
      <c r="C10362" s="3">
        <v>1</v>
      </c>
      <c r="D10362" s="3" t="s">
        <v>103</v>
      </c>
      <c r="E10362" s="3" t="s">
        <v>192</v>
      </c>
      <c r="F10362" s="3" t="s">
        <v>103</v>
      </c>
      <c r="G10362" s="3" t="s">
        <v>103</v>
      </c>
      <c r="H10362" s="3" t="s">
        <v>103</v>
      </c>
    </row>
    <row r="10363" spans="1:8" x14ac:dyDescent="0.3">
      <c r="A10363" t="s">
        <v>41</v>
      </c>
      <c r="B10363" t="s">
        <v>308</v>
      </c>
      <c r="C10363">
        <v>55</v>
      </c>
      <c r="D10363" t="s">
        <v>113</v>
      </c>
      <c r="E10363" t="s">
        <v>929</v>
      </c>
      <c r="F10363" t="s">
        <v>1024</v>
      </c>
      <c r="G10363" t="s">
        <v>103</v>
      </c>
      <c r="H10363" t="s">
        <v>64</v>
      </c>
    </row>
    <row r="10365" spans="1:8" x14ac:dyDescent="0.3">
      <c r="A10365" t="s">
        <v>2712</v>
      </c>
    </row>
    <row r="10366" spans="1:8" x14ac:dyDescent="0.3">
      <c r="A10366" t="s">
        <v>36</v>
      </c>
      <c r="B10366" t="s">
        <v>2677</v>
      </c>
      <c r="C10366" t="s">
        <v>24</v>
      </c>
      <c r="D10366" t="s">
        <v>2683</v>
      </c>
      <c r="E10366" t="s">
        <v>2685</v>
      </c>
      <c r="F10366" t="s">
        <v>181</v>
      </c>
    </row>
    <row r="10367" spans="1:8" s="3" customFormat="1" x14ac:dyDescent="0.3">
      <c r="A10367" s="3" t="s">
        <v>25</v>
      </c>
      <c r="B10367" s="3" t="s">
        <v>2678</v>
      </c>
      <c r="C10367" s="3">
        <v>7</v>
      </c>
      <c r="D10367" s="3" t="s">
        <v>728</v>
      </c>
      <c r="E10367" s="3" t="s">
        <v>727</v>
      </c>
      <c r="F10367" s="3" t="s">
        <v>103</v>
      </c>
    </row>
    <row r="10368" spans="1:8" s="3" customFormat="1" x14ac:dyDescent="0.3">
      <c r="A10368" s="3" t="s">
        <v>26</v>
      </c>
      <c r="B10368" s="3" t="s">
        <v>2678</v>
      </c>
      <c r="C10368" s="3">
        <v>1</v>
      </c>
      <c r="D10368" s="3" t="s">
        <v>192</v>
      </c>
      <c r="E10368" s="3" t="s">
        <v>103</v>
      </c>
      <c r="F10368" s="3" t="s">
        <v>103</v>
      </c>
    </row>
    <row r="10369" spans="1:14" x14ac:dyDescent="0.3">
      <c r="A10369" t="s">
        <v>26</v>
      </c>
      <c r="B10369" t="s">
        <v>308</v>
      </c>
      <c r="C10369">
        <v>1</v>
      </c>
      <c r="D10369" t="s">
        <v>103</v>
      </c>
      <c r="E10369" t="s">
        <v>192</v>
      </c>
      <c r="F10369" t="s">
        <v>103</v>
      </c>
    </row>
    <row r="10370" spans="1:14" s="3" customFormat="1" x14ac:dyDescent="0.3">
      <c r="A10370" s="3" t="s">
        <v>29</v>
      </c>
      <c r="B10370" s="3" t="s">
        <v>2678</v>
      </c>
      <c r="C10370" s="3">
        <v>12</v>
      </c>
      <c r="D10370" s="3" t="s">
        <v>556</v>
      </c>
      <c r="E10370" s="3" t="s">
        <v>1282</v>
      </c>
      <c r="F10370" s="3" t="s">
        <v>103</v>
      </c>
    </row>
    <row r="10371" spans="1:14" x14ac:dyDescent="0.3">
      <c r="A10371" t="s">
        <v>29</v>
      </c>
      <c r="B10371" t="s">
        <v>308</v>
      </c>
      <c r="C10371">
        <v>1</v>
      </c>
      <c r="D10371" t="s">
        <v>192</v>
      </c>
      <c r="E10371" t="s">
        <v>103</v>
      </c>
      <c r="F10371" t="s">
        <v>103</v>
      </c>
    </row>
    <row r="10372" spans="1:14" s="3" customFormat="1" x14ac:dyDescent="0.3">
      <c r="A10372" s="3" t="s">
        <v>28</v>
      </c>
      <c r="B10372" s="3" t="s">
        <v>2678</v>
      </c>
      <c r="C10372" s="3">
        <v>5</v>
      </c>
      <c r="D10372" s="3" t="s">
        <v>799</v>
      </c>
      <c r="E10372" s="3" t="s">
        <v>1207</v>
      </c>
      <c r="F10372" s="3" t="s">
        <v>103</v>
      </c>
    </row>
    <row r="10373" spans="1:14" s="3" customFormat="1" x14ac:dyDescent="0.3">
      <c r="A10373" s="3" t="s">
        <v>27</v>
      </c>
      <c r="B10373" s="3" t="s">
        <v>2678</v>
      </c>
      <c r="C10373" s="3">
        <v>2</v>
      </c>
      <c r="D10373" s="3" t="s">
        <v>103</v>
      </c>
      <c r="E10373" s="3" t="s">
        <v>572</v>
      </c>
      <c r="F10373" s="3" t="s">
        <v>1250</v>
      </c>
    </row>
    <row r="10374" spans="1:14" x14ac:dyDescent="0.3">
      <c r="A10374" t="s">
        <v>27</v>
      </c>
      <c r="B10374" t="s">
        <v>308</v>
      </c>
      <c r="C10374">
        <v>8</v>
      </c>
      <c r="D10374" t="s">
        <v>2103</v>
      </c>
      <c r="E10374" t="s">
        <v>635</v>
      </c>
      <c r="F10374" t="s">
        <v>103</v>
      </c>
    </row>
    <row r="10375" spans="1:14" s="3" customFormat="1" x14ac:dyDescent="0.3">
      <c r="A10375" s="3" t="s">
        <v>41</v>
      </c>
      <c r="B10375" s="3" t="s">
        <v>2678</v>
      </c>
      <c r="C10375" s="3">
        <v>27</v>
      </c>
      <c r="D10375" s="3" t="s">
        <v>1015</v>
      </c>
      <c r="E10375" s="3" t="s">
        <v>748</v>
      </c>
      <c r="F10375" s="3" t="s">
        <v>98</v>
      </c>
    </row>
    <row r="10376" spans="1:14" x14ac:dyDescent="0.3">
      <c r="A10376" t="s">
        <v>41</v>
      </c>
      <c r="B10376" t="s">
        <v>308</v>
      </c>
      <c r="C10376">
        <v>10</v>
      </c>
      <c r="D10376" t="s">
        <v>414</v>
      </c>
      <c r="E10376" t="s">
        <v>413</v>
      </c>
      <c r="F10376" t="s">
        <v>103</v>
      </c>
    </row>
    <row r="10378" spans="1:14" x14ac:dyDescent="0.3">
      <c r="A10378" t="s">
        <v>2713</v>
      </c>
    </row>
    <row r="10379" spans="1:14" x14ac:dyDescent="0.3">
      <c r="A10379" t="s">
        <v>36</v>
      </c>
      <c r="B10379" t="s">
        <v>24</v>
      </c>
      <c r="C10379" t="s">
        <v>2714</v>
      </c>
      <c r="D10379" t="s">
        <v>2715</v>
      </c>
      <c r="E10379" t="s">
        <v>2716</v>
      </c>
      <c r="F10379" t="s">
        <v>2717</v>
      </c>
      <c r="G10379" t="s">
        <v>2718</v>
      </c>
      <c r="H10379" t="s">
        <v>2719</v>
      </c>
      <c r="I10379" t="s">
        <v>2720</v>
      </c>
      <c r="J10379" t="s">
        <v>2721</v>
      </c>
      <c r="K10379" t="s">
        <v>2722</v>
      </c>
      <c r="L10379" t="s">
        <v>2723</v>
      </c>
      <c r="M10379" t="s">
        <v>181</v>
      </c>
      <c r="N10379" t="s">
        <v>183</v>
      </c>
    </row>
    <row r="10380" spans="1:14" s="3" customFormat="1" x14ac:dyDescent="0.3">
      <c r="A10380" s="3" t="s">
        <v>25</v>
      </c>
      <c r="B10380" s="3">
        <v>17</v>
      </c>
      <c r="C10380" s="3" t="s">
        <v>931</v>
      </c>
      <c r="D10380" s="3" t="s">
        <v>782</v>
      </c>
      <c r="E10380" s="3" t="s">
        <v>770</v>
      </c>
      <c r="F10380" s="3" t="s">
        <v>103</v>
      </c>
      <c r="G10380" s="3" t="s">
        <v>191</v>
      </c>
      <c r="H10380" s="3" t="s">
        <v>103</v>
      </c>
      <c r="I10380" s="3" t="s">
        <v>103</v>
      </c>
      <c r="J10380" s="3" t="s">
        <v>103</v>
      </c>
      <c r="K10380" s="3" t="s">
        <v>103</v>
      </c>
      <c r="L10380" s="3" t="s">
        <v>103</v>
      </c>
      <c r="M10380" s="3" t="s">
        <v>103</v>
      </c>
      <c r="N10380" s="3" t="s">
        <v>103</v>
      </c>
    </row>
    <row r="10381" spans="1:14" s="3" customFormat="1" x14ac:dyDescent="0.3">
      <c r="A10381" s="3" t="s">
        <v>26</v>
      </c>
      <c r="B10381" s="3">
        <v>24</v>
      </c>
      <c r="C10381" s="3" t="s">
        <v>1226</v>
      </c>
      <c r="D10381" s="3" t="s">
        <v>1373</v>
      </c>
      <c r="E10381" s="3" t="s">
        <v>419</v>
      </c>
      <c r="F10381" s="3" t="s">
        <v>103</v>
      </c>
      <c r="G10381" s="3" t="s">
        <v>173</v>
      </c>
      <c r="H10381" s="3" t="s">
        <v>126</v>
      </c>
      <c r="I10381" s="3" t="s">
        <v>117</v>
      </c>
      <c r="J10381" s="3" t="s">
        <v>460</v>
      </c>
      <c r="K10381" s="3" t="s">
        <v>103</v>
      </c>
      <c r="L10381" s="3" t="s">
        <v>103</v>
      </c>
      <c r="M10381" s="3" t="s">
        <v>103</v>
      </c>
      <c r="N10381" s="3" t="s">
        <v>103</v>
      </c>
    </row>
    <row r="10382" spans="1:14" s="3" customFormat="1" x14ac:dyDescent="0.3">
      <c r="A10382" s="3" t="s">
        <v>29</v>
      </c>
      <c r="B10382" s="3">
        <v>10</v>
      </c>
      <c r="C10382" s="3" t="s">
        <v>188</v>
      </c>
      <c r="D10382" s="3" t="s">
        <v>1545</v>
      </c>
      <c r="E10382" s="3" t="s">
        <v>673</v>
      </c>
      <c r="F10382" s="3" t="s">
        <v>341</v>
      </c>
      <c r="G10382" s="3" t="s">
        <v>815</v>
      </c>
      <c r="H10382" s="3" t="s">
        <v>473</v>
      </c>
      <c r="I10382" s="3" t="s">
        <v>341</v>
      </c>
      <c r="J10382" s="3" t="s">
        <v>164</v>
      </c>
      <c r="K10382" s="3" t="s">
        <v>103</v>
      </c>
      <c r="L10382" s="3" t="s">
        <v>481</v>
      </c>
      <c r="M10382" s="3" t="s">
        <v>103</v>
      </c>
      <c r="N10382" s="3" t="s">
        <v>103</v>
      </c>
    </row>
    <row r="10383" spans="1:14" x14ac:dyDescent="0.3">
      <c r="A10383" t="s">
        <v>28</v>
      </c>
    </row>
    <row r="10384" spans="1:14" s="3" customFormat="1" x14ac:dyDescent="0.3">
      <c r="A10384" s="3" t="s">
        <v>27</v>
      </c>
      <c r="B10384" s="3">
        <v>5</v>
      </c>
      <c r="C10384" s="3" t="s">
        <v>1245</v>
      </c>
      <c r="D10384" s="3" t="s">
        <v>831</v>
      </c>
      <c r="E10384" s="3" t="s">
        <v>501</v>
      </c>
      <c r="F10384" s="3" t="s">
        <v>103</v>
      </c>
      <c r="G10384" s="3" t="s">
        <v>103</v>
      </c>
      <c r="H10384" s="3" t="s">
        <v>103</v>
      </c>
      <c r="I10384" s="3" t="s">
        <v>746</v>
      </c>
      <c r="J10384" s="3" t="s">
        <v>103</v>
      </c>
      <c r="K10384" s="3" t="s">
        <v>103</v>
      </c>
      <c r="L10384" s="3" t="s">
        <v>103</v>
      </c>
      <c r="M10384" s="3" t="s">
        <v>103</v>
      </c>
      <c r="N10384" s="3" t="s">
        <v>103</v>
      </c>
    </row>
    <row r="10385" spans="1:14" x14ac:dyDescent="0.3">
      <c r="A10385" t="s">
        <v>41</v>
      </c>
      <c r="B10385">
        <v>56</v>
      </c>
      <c r="C10385" t="s">
        <v>920</v>
      </c>
      <c r="D10385" t="s">
        <v>419</v>
      </c>
      <c r="E10385" t="s">
        <v>374</v>
      </c>
      <c r="F10385" t="s">
        <v>97</v>
      </c>
      <c r="G10385" t="s">
        <v>253</v>
      </c>
      <c r="H10385" t="s">
        <v>90</v>
      </c>
      <c r="I10385" t="s">
        <v>594</v>
      </c>
      <c r="J10385" t="s">
        <v>607</v>
      </c>
      <c r="K10385" t="s">
        <v>103</v>
      </c>
      <c r="L10385" t="s">
        <v>270</v>
      </c>
      <c r="M10385" t="s">
        <v>103</v>
      </c>
      <c r="N10385" t="s">
        <v>103</v>
      </c>
    </row>
    <row r="10387" spans="1:14" x14ac:dyDescent="0.3">
      <c r="A10387" t="s">
        <v>2724</v>
      </c>
    </row>
    <row r="10388" spans="1:14" x14ac:dyDescent="0.3">
      <c r="A10388" t="s">
        <v>36</v>
      </c>
      <c r="B10388" t="s">
        <v>24</v>
      </c>
      <c r="C10388" t="s">
        <v>2714</v>
      </c>
      <c r="D10388" t="s">
        <v>2715</v>
      </c>
      <c r="E10388" t="s">
        <v>2716</v>
      </c>
      <c r="F10388" t="s">
        <v>2717</v>
      </c>
      <c r="G10388" t="s">
        <v>2718</v>
      </c>
      <c r="H10388" t="s">
        <v>2719</v>
      </c>
      <c r="I10388" t="s">
        <v>2720</v>
      </c>
      <c r="J10388" t="s">
        <v>2721</v>
      </c>
      <c r="K10388" t="s">
        <v>2722</v>
      </c>
      <c r="L10388" t="s">
        <v>2723</v>
      </c>
      <c r="M10388" t="s">
        <v>181</v>
      </c>
      <c r="N10388" t="s">
        <v>183</v>
      </c>
    </row>
    <row r="10389" spans="1:14" s="3" customFormat="1" x14ac:dyDescent="0.3">
      <c r="A10389" s="3" t="s">
        <v>25</v>
      </c>
      <c r="B10389" s="3">
        <v>1</v>
      </c>
      <c r="C10389" s="3" t="s">
        <v>103</v>
      </c>
      <c r="D10389" s="3" t="s">
        <v>192</v>
      </c>
      <c r="E10389" s="3" t="s">
        <v>103</v>
      </c>
      <c r="F10389" s="3" t="s">
        <v>103</v>
      </c>
      <c r="G10389" s="3" t="s">
        <v>103</v>
      </c>
      <c r="H10389" s="3" t="s">
        <v>103</v>
      </c>
      <c r="I10389" s="3" t="s">
        <v>103</v>
      </c>
      <c r="J10389" s="3" t="s">
        <v>103</v>
      </c>
      <c r="K10389" s="3" t="s">
        <v>103</v>
      </c>
      <c r="L10389" s="3" t="s">
        <v>103</v>
      </c>
      <c r="M10389" s="3" t="s">
        <v>103</v>
      </c>
      <c r="N10389" s="3" t="s">
        <v>103</v>
      </c>
    </row>
    <row r="10390" spans="1:14" x14ac:dyDescent="0.3">
      <c r="A10390" t="s">
        <v>26</v>
      </c>
    </row>
    <row r="10391" spans="1:14" s="3" customFormat="1" x14ac:dyDescent="0.3">
      <c r="A10391" s="3" t="s">
        <v>29</v>
      </c>
      <c r="B10391" s="3">
        <v>1</v>
      </c>
      <c r="C10391" s="3" t="s">
        <v>103</v>
      </c>
      <c r="D10391" s="3" t="s">
        <v>103</v>
      </c>
      <c r="E10391" s="3" t="s">
        <v>192</v>
      </c>
      <c r="F10391" s="3" t="s">
        <v>103</v>
      </c>
      <c r="G10391" s="3" t="s">
        <v>103</v>
      </c>
      <c r="H10391" s="3" t="s">
        <v>103</v>
      </c>
      <c r="I10391" s="3" t="s">
        <v>103</v>
      </c>
      <c r="J10391" s="3" t="s">
        <v>103</v>
      </c>
      <c r="K10391" s="3" t="s">
        <v>103</v>
      </c>
      <c r="L10391" s="3" t="s">
        <v>103</v>
      </c>
      <c r="M10391" s="3" t="s">
        <v>103</v>
      </c>
      <c r="N10391" s="3" t="s">
        <v>103</v>
      </c>
    </row>
    <row r="10392" spans="1:14" x14ac:dyDescent="0.3">
      <c r="A10392" t="s">
        <v>28</v>
      </c>
    </row>
    <row r="10393" spans="1:14" x14ac:dyDescent="0.3">
      <c r="A10393" t="s">
        <v>27</v>
      </c>
    </row>
    <row r="10394" spans="1:14" s="3" customFormat="1" x14ac:dyDescent="0.3">
      <c r="A10394" s="3" t="s">
        <v>41</v>
      </c>
      <c r="B10394" s="3">
        <v>2</v>
      </c>
      <c r="C10394" s="3" t="s">
        <v>103</v>
      </c>
      <c r="D10394" s="3" t="s">
        <v>821</v>
      </c>
      <c r="E10394" s="3" t="s">
        <v>477</v>
      </c>
      <c r="F10394" s="3" t="s">
        <v>103</v>
      </c>
      <c r="G10394" s="3" t="s">
        <v>103</v>
      </c>
      <c r="H10394" s="3" t="s">
        <v>103</v>
      </c>
      <c r="I10394" s="3" t="s">
        <v>103</v>
      </c>
      <c r="J10394" s="3" t="s">
        <v>103</v>
      </c>
      <c r="K10394" s="3" t="s">
        <v>103</v>
      </c>
      <c r="L10394" s="3" t="s">
        <v>103</v>
      </c>
      <c r="M10394" s="3" t="s">
        <v>103</v>
      </c>
      <c r="N10394" s="3" t="s">
        <v>103</v>
      </c>
    </row>
    <row r="10396" spans="1:14" x14ac:dyDescent="0.3">
      <c r="A10396" t="s">
        <v>2725</v>
      </c>
    </row>
    <row r="10397" spans="1:14" x14ac:dyDescent="0.3">
      <c r="A10397" t="s">
        <v>36</v>
      </c>
      <c r="B10397" t="s">
        <v>24</v>
      </c>
      <c r="C10397" t="s">
        <v>2714</v>
      </c>
      <c r="D10397" t="s">
        <v>2715</v>
      </c>
      <c r="E10397" t="s">
        <v>2716</v>
      </c>
      <c r="F10397" t="s">
        <v>2717</v>
      </c>
      <c r="G10397" t="s">
        <v>2718</v>
      </c>
      <c r="H10397" t="s">
        <v>2719</v>
      </c>
      <c r="I10397" t="s">
        <v>2720</v>
      </c>
      <c r="J10397" t="s">
        <v>2721</v>
      </c>
      <c r="K10397" t="s">
        <v>2722</v>
      </c>
      <c r="L10397" t="s">
        <v>2723</v>
      </c>
      <c r="M10397" t="s">
        <v>181</v>
      </c>
      <c r="N10397" t="s">
        <v>183</v>
      </c>
    </row>
    <row r="10398" spans="1:14" s="3" customFormat="1" x14ac:dyDescent="0.3">
      <c r="A10398" s="3" t="s">
        <v>25</v>
      </c>
      <c r="B10398" s="3">
        <v>3</v>
      </c>
      <c r="C10398" s="3" t="s">
        <v>363</v>
      </c>
      <c r="D10398" s="3" t="s">
        <v>362</v>
      </c>
      <c r="E10398" s="3" t="s">
        <v>362</v>
      </c>
      <c r="F10398" s="3" t="s">
        <v>362</v>
      </c>
      <c r="G10398" s="3" t="s">
        <v>103</v>
      </c>
      <c r="H10398" s="3" t="s">
        <v>103</v>
      </c>
      <c r="I10398" s="3" t="s">
        <v>103</v>
      </c>
      <c r="J10398" s="3" t="s">
        <v>103</v>
      </c>
      <c r="K10398" s="3" t="s">
        <v>103</v>
      </c>
      <c r="L10398" s="3" t="s">
        <v>103</v>
      </c>
      <c r="M10398" s="3" t="s">
        <v>103</v>
      </c>
      <c r="N10398" s="3" t="s">
        <v>103</v>
      </c>
    </row>
    <row r="10399" spans="1:14" s="3" customFormat="1" x14ac:dyDescent="0.3">
      <c r="A10399" s="3" t="s">
        <v>26</v>
      </c>
      <c r="B10399" s="3">
        <v>5</v>
      </c>
      <c r="C10399" s="3" t="s">
        <v>1308</v>
      </c>
      <c r="D10399" s="3" t="s">
        <v>103</v>
      </c>
      <c r="E10399" s="3" t="s">
        <v>1319</v>
      </c>
      <c r="F10399" s="3" t="s">
        <v>103</v>
      </c>
      <c r="G10399" s="3" t="s">
        <v>478</v>
      </c>
      <c r="H10399" s="3" t="s">
        <v>103</v>
      </c>
      <c r="I10399" s="3" t="s">
        <v>103</v>
      </c>
      <c r="J10399" s="3" t="s">
        <v>103</v>
      </c>
      <c r="K10399" s="3" t="s">
        <v>103</v>
      </c>
      <c r="L10399" s="3" t="s">
        <v>103</v>
      </c>
      <c r="M10399" s="3" t="s">
        <v>103</v>
      </c>
      <c r="N10399" s="3" t="s">
        <v>103</v>
      </c>
    </row>
    <row r="10400" spans="1:14" x14ac:dyDescent="0.3">
      <c r="A10400" t="s">
        <v>29</v>
      </c>
    </row>
    <row r="10401" spans="1:14" s="3" customFormat="1" x14ac:dyDescent="0.3">
      <c r="A10401" s="3" t="s">
        <v>28</v>
      </c>
      <c r="B10401" s="3">
        <v>1</v>
      </c>
      <c r="C10401" s="3" t="s">
        <v>192</v>
      </c>
      <c r="D10401" s="3" t="s">
        <v>103</v>
      </c>
      <c r="E10401" s="3" t="s">
        <v>103</v>
      </c>
      <c r="F10401" s="3" t="s">
        <v>103</v>
      </c>
      <c r="G10401" s="3" t="s">
        <v>103</v>
      </c>
      <c r="H10401" s="3" t="s">
        <v>103</v>
      </c>
      <c r="I10401" s="3" t="s">
        <v>103</v>
      </c>
      <c r="J10401" s="3" t="s">
        <v>103</v>
      </c>
      <c r="K10401" s="3" t="s">
        <v>103</v>
      </c>
      <c r="L10401" s="3" t="s">
        <v>103</v>
      </c>
      <c r="M10401" s="3" t="s">
        <v>103</v>
      </c>
      <c r="N10401" s="3" t="s">
        <v>103</v>
      </c>
    </row>
    <row r="10402" spans="1:14" x14ac:dyDescent="0.3">
      <c r="A10402" t="s">
        <v>27</v>
      </c>
    </row>
    <row r="10403" spans="1:14" s="3" customFormat="1" x14ac:dyDescent="0.3">
      <c r="A10403" s="3" t="s">
        <v>41</v>
      </c>
      <c r="B10403" s="3">
        <v>9</v>
      </c>
      <c r="C10403" s="3" t="s">
        <v>1393</v>
      </c>
      <c r="D10403" s="3" t="s">
        <v>150</v>
      </c>
      <c r="E10403" s="3" t="s">
        <v>569</v>
      </c>
      <c r="F10403" s="3" t="s">
        <v>150</v>
      </c>
      <c r="G10403" s="3" t="s">
        <v>106</v>
      </c>
      <c r="H10403" s="3" t="s">
        <v>103</v>
      </c>
      <c r="I10403" s="3" t="s">
        <v>103</v>
      </c>
      <c r="J10403" s="3" t="s">
        <v>103</v>
      </c>
      <c r="K10403" s="3" t="s">
        <v>103</v>
      </c>
      <c r="L10403" s="3" t="s">
        <v>103</v>
      </c>
      <c r="M10403" s="3" t="s">
        <v>103</v>
      </c>
      <c r="N10403" s="3" t="s">
        <v>103</v>
      </c>
    </row>
    <row r="10405" spans="1:14" x14ac:dyDescent="0.3">
      <c r="A10405" t="s">
        <v>2726</v>
      </c>
    </row>
    <row r="10406" spans="1:14" x14ac:dyDescent="0.3">
      <c r="A10406" t="s">
        <v>36</v>
      </c>
      <c r="B10406" t="s">
        <v>24</v>
      </c>
      <c r="C10406" t="s">
        <v>2714</v>
      </c>
      <c r="D10406" t="s">
        <v>2715</v>
      </c>
      <c r="E10406" t="s">
        <v>2716</v>
      </c>
      <c r="F10406" t="s">
        <v>2717</v>
      </c>
      <c r="G10406" t="s">
        <v>2718</v>
      </c>
      <c r="H10406" t="s">
        <v>2719</v>
      </c>
      <c r="I10406" t="s">
        <v>2720</v>
      </c>
      <c r="J10406" t="s">
        <v>2721</v>
      </c>
      <c r="K10406" t="s">
        <v>2722</v>
      </c>
      <c r="L10406" t="s">
        <v>2723</v>
      </c>
      <c r="M10406" t="s">
        <v>181</v>
      </c>
      <c r="N10406" t="s">
        <v>183</v>
      </c>
    </row>
    <row r="10407" spans="1:14" s="3" customFormat="1" x14ac:dyDescent="0.3">
      <c r="A10407" s="3" t="s">
        <v>25</v>
      </c>
      <c r="B10407" s="3">
        <v>1</v>
      </c>
      <c r="C10407" s="3" t="s">
        <v>103</v>
      </c>
      <c r="D10407" s="3" t="s">
        <v>192</v>
      </c>
      <c r="E10407" s="3" t="s">
        <v>103</v>
      </c>
      <c r="F10407" s="3" t="s">
        <v>103</v>
      </c>
      <c r="G10407" s="3" t="s">
        <v>103</v>
      </c>
      <c r="H10407" s="3" t="s">
        <v>103</v>
      </c>
      <c r="I10407" s="3" t="s">
        <v>103</v>
      </c>
      <c r="J10407" s="3" t="s">
        <v>103</v>
      </c>
      <c r="K10407" s="3" t="s">
        <v>103</v>
      </c>
      <c r="L10407" s="3" t="s">
        <v>103</v>
      </c>
      <c r="M10407" s="3" t="s">
        <v>103</v>
      </c>
      <c r="N10407" s="3" t="s">
        <v>103</v>
      </c>
    </row>
    <row r="10408" spans="1:14" s="3" customFormat="1" x14ac:dyDescent="0.3">
      <c r="A10408" s="3" t="s">
        <v>26</v>
      </c>
      <c r="B10408" s="3">
        <v>1</v>
      </c>
      <c r="C10408" s="3" t="s">
        <v>103</v>
      </c>
      <c r="D10408" s="3" t="s">
        <v>192</v>
      </c>
      <c r="E10408" s="3" t="s">
        <v>103</v>
      </c>
      <c r="F10408" s="3" t="s">
        <v>103</v>
      </c>
      <c r="G10408" s="3" t="s">
        <v>103</v>
      </c>
      <c r="H10408" s="3" t="s">
        <v>103</v>
      </c>
      <c r="I10408" s="3" t="s">
        <v>103</v>
      </c>
      <c r="J10408" s="3" t="s">
        <v>103</v>
      </c>
      <c r="K10408" s="3" t="s">
        <v>103</v>
      </c>
      <c r="L10408" s="3" t="s">
        <v>103</v>
      </c>
      <c r="M10408" s="3" t="s">
        <v>103</v>
      </c>
      <c r="N10408" s="3" t="s">
        <v>103</v>
      </c>
    </row>
    <row r="10409" spans="1:14" s="3" customFormat="1" x14ac:dyDescent="0.3">
      <c r="A10409" s="3" t="s">
        <v>29</v>
      </c>
      <c r="B10409" s="3">
        <v>6</v>
      </c>
      <c r="C10409" s="3" t="s">
        <v>364</v>
      </c>
      <c r="D10409" s="3" t="s">
        <v>1244</v>
      </c>
      <c r="E10409" s="3" t="s">
        <v>135</v>
      </c>
      <c r="F10409" s="3" t="s">
        <v>420</v>
      </c>
      <c r="G10409" s="3" t="s">
        <v>126</v>
      </c>
      <c r="H10409" s="3" t="s">
        <v>231</v>
      </c>
      <c r="I10409" s="3" t="s">
        <v>522</v>
      </c>
      <c r="J10409" s="3" t="s">
        <v>103</v>
      </c>
      <c r="K10409" s="3" t="s">
        <v>103</v>
      </c>
      <c r="L10409" s="3" t="s">
        <v>103</v>
      </c>
      <c r="M10409" s="3" t="s">
        <v>103</v>
      </c>
      <c r="N10409" s="3" t="s">
        <v>103</v>
      </c>
    </row>
    <row r="10410" spans="1:14" x14ac:dyDescent="0.3">
      <c r="A10410" t="s">
        <v>28</v>
      </c>
    </row>
    <row r="10411" spans="1:14" x14ac:dyDescent="0.3">
      <c r="A10411" t="s">
        <v>27</v>
      </c>
    </row>
    <row r="10412" spans="1:14" s="3" customFormat="1" x14ac:dyDescent="0.3">
      <c r="A10412" s="3" t="s">
        <v>41</v>
      </c>
      <c r="B10412" s="3">
        <v>8</v>
      </c>
      <c r="C10412" s="3" t="s">
        <v>1032</v>
      </c>
      <c r="D10412" s="3" t="s">
        <v>618</v>
      </c>
      <c r="E10412" s="3" t="s">
        <v>737</v>
      </c>
      <c r="F10412" s="3" t="s">
        <v>402</v>
      </c>
      <c r="G10412" s="3" t="s">
        <v>140</v>
      </c>
      <c r="H10412" s="3" t="s">
        <v>405</v>
      </c>
      <c r="I10412" s="3" t="s">
        <v>50</v>
      </c>
      <c r="J10412" s="3" t="s">
        <v>103</v>
      </c>
      <c r="K10412" s="3" t="s">
        <v>103</v>
      </c>
      <c r="L10412" s="3" t="s">
        <v>103</v>
      </c>
      <c r="M10412" s="3" t="s">
        <v>103</v>
      </c>
      <c r="N10412" s="3" t="s">
        <v>103</v>
      </c>
    </row>
    <row r="10414" spans="1:14" x14ac:dyDescent="0.3">
      <c r="A10414" t="s">
        <v>2727</v>
      </c>
    </row>
    <row r="10415" spans="1:14" x14ac:dyDescent="0.3">
      <c r="A10415" t="s">
        <v>36</v>
      </c>
      <c r="B10415" t="s">
        <v>24</v>
      </c>
      <c r="C10415" t="s">
        <v>2714</v>
      </c>
      <c r="D10415" t="s">
        <v>2715</v>
      </c>
      <c r="E10415" t="s">
        <v>2716</v>
      </c>
      <c r="F10415" t="s">
        <v>2717</v>
      </c>
      <c r="G10415" t="s">
        <v>2718</v>
      </c>
      <c r="H10415" t="s">
        <v>2719</v>
      </c>
      <c r="I10415" t="s">
        <v>2720</v>
      </c>
      <c r="J10415" t="s">
        <v>2721</v>
      </c>
      <c r="K10415" t="s">
        <v>2722</v>
      </c>
      <c r="L10415" t="s">
        <v>2723</v>
      </c>
      <c r="M10415" t="s">
        <v>181</v>
      </c>
      <c r="N10415" t="s">
        <v>183</v>
      </c>
    </row>
    <row r="10416" spans="1:14" x14ac:dyDescent="0.3">
      <c r="A10416" t="s">
        <v>25</v>
      </c>
    </row>
    <row r="10417" spans="1:14" s="3" customFormat="1" x14ac:dyDescent="0.3">
      <c r="A10417" s="3" t="s">
        <v>26</v>
      </c>
      <c r="B10417" s="3">
        <v>2</v>
      </c>
      <c r="C10417" s="3" t="s">
        <v>103</v>
      </c>
      <c r="D10417" s="3" t="s">
        <v>103</v>
      </c>
      <c r="E10417" s="3" t="s">
        <v>103</v>
      </c>
      <c r="F10417" s="3" t="s">
        <v>103</v>
      </c>
      <c r="G10417" s="3" t="s">
        <v>192</v>
      </c>
      <c r="H10417" s="3" t="s">
        <v>496</v>
      </c>
      <c r="I10417" s="3" t="s">
        <v>103</v>
      </c>
      <c r="J10417" s="3" t="s">
        <v>103</v>
      </c>
      <c r="K10417" s="3" t="s">
        <v>103</v>
      </c>
      <c r="L10417" s="3" t="s">
        <v>103</v>
      </c>
      <c r="M10417" s="3" t="s">
        <v>103</v>
      </c>
      <c r="N10417" s="3" t="s">
        <v>103</v>
      </c>
    </row>
    <row r="10418" spans="1:14" s="3" customFormat="1" x14ac:dyDescent="0.3">
      <c r="A10418" s="3" t="s">
        <v>29</v>
      </c>
      <c r="B10418" s="3">
        <v>4</v>
      </c>
      <c r="C10418" s="3" t="s">
        <v>810</v>
      </c>
      <c r="D10418" s="3" t="s">
        <v>472</v>
      </c>
      <c r="E10418" s="3" t="s">
        <v>1057</v>
      </c>
      <c r="F10418" s="3" t="s">
        <v>620</v>
      </c>
      <c r="G10418" s="3" t="s">
        <v>103</v>
      </c>
      <c r="H10418" s="3" t="s">
        <v>103</v>
      </c>
      <c r="I10418" s="3" t="s">
        <v>103</v>
      </c>
      <c r="J10418" s="3" t="s">
        <v>103</v>
      </c>
      <c r="K10418" s="3" t="s">
        <v>103</v>
      </c>
      <c r="L10418" s="3" t="s">
        <v>103</v>
      </c>
      <c r="M10418" s="3" t="s">
        <v>103</v>
      </c>
      <c r="N10418" s="3" t="s">
        <v>103</v>
      </c>
    </row>
    <row r="10419" spans="1:14" x14ac:dyDescent="0.3">
      <c r="A10419" t="s">
        <v>28</v>
      </c>
    </row>
    <row r="10420" spans="1:14" s="3" customFormat="1" x14ac:dyDescent="0.3">
      <c r="A10420" s="3" t="s">
        <v>27</v>
      </c>
      <c r="B10420" s="3">
        <v>1</v>
      </c>
      <c r="C10420" s="3" t="s">
        <v>103</v>
      </c>
      <c r="D10420" s="3" t="s">
        <v>103</v>
      </c>
      <c r="E10420" s="3" t="s">
        <v>103</v>
      </c>
      <c r="F10420" s="3" t="s">
        <v>103</v>
      </c>
      <c r="G10420" s="3" t="s">
        <v>192</v>
      </c>
      <c r="H10420" s="3" t="s">
        <v>103</v>
      </c>
      <c r="I10420" s="3" t="s">
        <v>103</v>
      </c>
      <c r="J10420" s="3" t="s">
        <v>103</v>
      </c>
      <c r="K10420" s="3" t="s">
        <v>103</v>
      </c>
      <c r="L10420" s="3" t="s">
        <v>103</v>
      </c>
      <c r="M10420" s="3" t="s">
        <v>103</v>
      </c>
      <c r="N10420" s="3" t="s">
        <v>103</v>
      </c>
    </row>
    <row r="10421" spans="1:14" s="3" customFormat="1" x14ac:dyDescent="0.3">
      <c r="A10421" s="3" t="s">
        <v>41</v>
      </c>
      <c r="B10421" s="3">
        <v>7</v>
      </c>
      <c r="C10421" s="3" t="s">
        <v>299</v>
      </c>
      <c r="D10421" s="3" t="s">
        <v>809</v>
      </c>
      <c r="E10421" s="3" t="s">
        <v>1082</v>
      </c>
      <c r="F10421" s="3" t="s">
        <v>873</v>
      </c>
      <c r="G10421" s="3" t="s">
        <v>684</v>
      </c>
      <c r="H10421" s="3" t="s">
        <v>482</v>
      </c>
      <c r="I10421" s="3" t="s">
        <v>103</v>
      </c>
      <c r="J10421" s="3" t="s">
        <v>103</v>
      </c>
      <c r="K10421" s="3" t="s">
        <v>103</v>
      </c>
      <c r="L10421" s="3" t="s">
        <v>103</v>
      </c>
      <c r="M10421" s="3" t="s">
        <v>103</v>
      </c>
      <c r="N10421" s="3" t="s">
        <v>103</v>
      </c>
    </row>
    <row r="10423" spans="1:14" x14ac:dyDescent="0.3">
      <c r="A10423" t="s">
        <v>2728</v>
      </c>
    </row>
    <row r="10424" spans="1:14" x14ac:dyDescent="0.3">
      <c r="A10424" t="s">
        <v>36</v>
      </c>
      <c r="B10424" t="s">
        <v>24</v>
      </c>
      <c r="C10424" t="s">
        <v>2714</v>
      </c>
      <c r="D10424" t="s">
        <v>2715</v>
      </c>
      <c r="E10424" t="s">
        <v>2716</v>
      </c>
      <c r="F10424" t="s">
        <v>2717</v>
      </c>
      <c r="G10424" t="s">
        <v>2718</v>
      </c>
      <c r="H10424" t="s">
        <v>2719</v>
      </c>
      <c r="I10424" t="s">
        <v>2720</v>
      </c>
      <c r="J10424" t="s">
        <v>2721</v>
      </c>
      <c r="K10424" t="s">
        <v>2722</v>
      </c>
      <c r="L10424" t="s">
        <v>2723</v>
      </c>
      <c r="M10424" t="s">
        <v>181</v>
      </c>
      <c r="N10424" t="s">
        <v>183</v>
      </c>
    </row>
    <row r="10425" spans="1:14" x14ac:dyDescent="0.3">
      <c r="A10425" t="s">
        <v>25</v>
      </c>
    </row>
    <row r="10426" spans="1:14" s="3" customFormat="1" x14ac:dyDescent="0.3">
      <c r="A10426" s="3" t="s">
        <v>26</v>
      </c>
      <c r="B10426" s="3">
        <v>2</v>
      </c>
      <c r="C10426" s="3" t="s">
        <v>103</v>
      </c>
      <c r="D10426" s="3" t="s">
        <v>370</v>
      </c>
      <c r="E10426" s="3" t="s">
        <v>103</v>
      </c>
      <c r="F10426" s="3" t="s">
        <v>371</v>
      </c>
      <c r="G10426" s="3" t="s">
        <v>103</v>
      </c>
      <c r="H10426" s="3" t="s">
        <v>103</v>
      </c>
      <c r="I10426" s="3" t="s">
        <v>103</v>
      </c>
      <c r="J10426" s="3" t="s">
        <v>103</v>
      </c>
      <c r="K10426" s="3" t="s">
        <v>103</v>
      </c>
      <c r="L10426" s="3" t="s">
        <v>103</v>
      </c>
      <c r="M10426" s="3" t="s">
        <v>103</v>
      </c>
      <c r="N10426" s="3" t="s">
        <v>103</v>
      </c>
    </row>
    <row r="10427" spans="1:14" x14ac:dyDescent="0.3">
      <c r="A10427" t="s">
        <v>29</v>
      </c>
    </row>
    <row r="10428" spans="1:14" x14ac:dyDescent="0.3">
      <c r="A10428" t="s">
        <v>28</v>
      </c>
    </row>
    <row r="10429" spans="1:14" x14ac:dyDescent="0.3">
      <c r="A10429" t="s">
        <v>27</v>
      </c>
    </row>
    <row r="10430" spans="1:14" s="3" customFormat="1" x14ac:dyDescent="0.3">
      <c r="A10430" s="3" t="s">
        <v>41</v>
      </c>
      <c r="B10430" s="3">
        <v>2</v>
      </c>
      <c r="C10430" s="3" t="s">
        <v>103</v>
      </c>
      <c r="D10430" s="3" t="s">
        <v>370</v>
      </c>
      <c r="E10430" s="3" t="s">
        <v>103</v>
      </c>
      <c r="F10430" s="3" t="s">
        <v>371</v>
      </c>
      <c r="G10430" s="3" t="s">
        <v>103</v>
      </c>
      <c r="H10430" s="3" t="s">
        <v>103</v>
      </c>
      <c r="I10430" s="3" t="s">
        <v>103</v>
      </c>
      <c r="J10430" s="3" t="s">
        <v>103</v>
      </c>
      <c r="K10430" s="3" t="s">
        <v>103</v>
      </c>
      <c r="L10430" s="3" t="s">
        <v>103</v>
      </c>
      <c r="M10430" s="3" t="s">
        <v>103</v>
      </c>
      <c r="N10430" s="3" t="s">
        <v>103</v>
      </c>
    </row>
    <row r="10432" spans="1:14" x14ac:dyDescent="0.3">
      <c r="A10432" t="s">
        <v>2729</v>
      </c>
    </row>
    <row r="10433" spans="1:15" x14ac:dyDescent="0.3">
      <c r="A10433" t="s">
        <v>36</v>
      </c>
      <c r="B10433" t="s">
        <v>310</v>
      </c>
      <c r="C10433" t="s">
        <v>24</v>
      </c>
      <c r="D10433" t="s">
        <v>2714</v>
      </c>
      <c r="E10433" t="s">
        <v>2715</v>
      </c>
      <c r="F10433" t="s">
        <v>2716</v>
      </c>
      <c r="G10433" t="s">
        <v>2717</v>
      </c>
      <c r="H10433" t="s">
        <v>2718</v>
      </c>
      <c r="I10433" t="s">
        <v>2719</v>
      </c>
      <c r="J10433" t="s">
        <v>2720</v>
      </c>
      <c r="K10433" t="s">
        <v>2721</v>
      </c>
      <c r="L10433" t="s">
        <v>2722</v>
      </c>
      <c r="M10433" t="s">
        <v>2723</v>
      </c>
      <c r="N10433" t="s">
        <v>181</v>
      </c>
      <c r="O10433" t="s">
        <v>183</v>
      </c>
    </row>
    <row r="10434" spans="1:15" s="3" customFormat="1" x14ac:dyDescent="0.3">
      <c r="A10434" s="3" t="s">
        <v>25</v>
      </c>
      <c r="B10434" s="3" t="s">
        <v>311</v>
      </c>
      <c r="C10434" s="3">
        <v>14</v>
      </c>
      <c r="D10434" s="3" t="s">
        <v>424</v>
      </c>
      <c r="E10434" s="3" t="s">
        <v>1221</v>
      </c>
      <c r="F10434" s="3" t="s">
        <v>906</v>
      </c>
      <c r="G10434" s="3" t="s">
        <v>103</v>
      </c>
      <c r="H10434" s="3" t="s">
        <v>571</v>
      </c>
      <c r="I10434" s="3" t="s">
        <v>103</v>
      </c>
      <c r="J10434" s="3" t="s">
        <v>103</v>
      </c>
      <c r="K10434" s="3" t="s">
        <v>103</v>
      </c>
      <c r="L10434" s="3" t="s">
        <v>103</v>
      </c>
      <c r="M10434" s="3" t="s">
        <v>103</v>
      </c>
      <c r="N10434" s="3" t="s">
        <v>103</v>
      </c>
      <c r="O10434" s="3" t="s">
        <v>103</v>
      </c>
    </row>
    <row r="10435" spans="1:15" s="3" customFormat="1" x14ac:dyDescent="0.3">
      <c r="A10435" s="3" t="s">
        <v>25</v>
      </c>
      <c r="B10435" s="3" t="s">
        <v>312</v>
      </c>
      <c r="C10435" s="3">
        <v>2</v>
      </c>
      <c r="D10435" s="3" t="s">
        <v>553</v>
      </c>
      <c r="E10435" s="3" t="s">
        <v>192</v>
      </c>
      <c r="F10435" s="3" t="s">
        <v>1322</v>
      </c>
      <c r="G10435" s="3" t="s">
        <v>103</v>
      </c>
      <c r="H10435" s="3" t="s">
        <v>553</v>
      </c>
      <c r="I10435" s="3" t="s">
        <v>103</v>
      </c>
      <c r="J10435" s="3" t="s">
        <v>103</v>
      </c>
      <c r="K10435" s="3" t="s">
        <v>103</v>
      </c>
      <c r="L10435" s="3" t="s">
        <v>103</v>
      </c>
      <c r="M10435" s="3" t="s">
        <v>103</v>
      </c>
      <c r="N10435" s="3" t="s">
        <v>103</v>
      </c>
      <c r="O10435" s="3" t="s">
        <v>103</v>
      </c>
    </row>
    <row r="10436" spans="1:15" x14ac:dyDescent="0.3">
      <c r="A10436" t="s">
        <v>25</v>
      </c>
      <c r="B10436" t="s">
        <v>308</v>
      </c>
      <c r="C10436">
        <v>1</v>
      </c>
      <c r="D10436" t="s">
        <v>192</v>
      </c>
      <c r="E10436" t="s">
        <v>103</v>
      </c>
      <c r="F10436" t="s">
        <v>192</v>
      </c>
      <c r="G10436" t="s">
        <v>103</v>
      </c>
      <c r="H10436" t="s">
        <v>103</v>
      </c>
      <c r="I10436" t="s">
        <v>103</v>
      </c>
      <c r="J10436" t="s">
        <v>103</v>
      </c>
      <c r="K10436" t="s">
        <v>103</v>
      </c>
      <c r="L10436" t="s">
        <v>103</v>
      </c>
      <c r="M10436" t="s">
        <v>103</v>
      </c>
      <c r="N10436" t="s">
        <v>103</v>
      </c>
      <c r="O10436" t="s">
        <v>103</v>
      </c>
    </row>
    <row r="10437" spans="1:15" s="3" customFormat="1" x14ac:dyDescent="0.3">
      <c r="A10437" s="3" t="s">
        <v>26</v>
      </c>
      <c r="B10437" s="3" t="s">
        <v>311</v>
      </c>
      <c r="C10437" s="3">
        <v>19</v>
      </c>
      <c r="D10437" s="3" t="s">
        <v>409</v>
      </c>
      <c r="E10437" s="3" t="s">
        <v>822</v>
      </c>
      <c r="F10437" s="3" t="s">
        <v>395</v>
      </c>
      <c r="G10437" s="3" t="s">
        <v>103</v>
      </c>
      <c r="H10437" s="3" t="s">
        <v>46</v>
      </c>
      <c r="I10437" s="3" t="s">
        <v>629</v>
      </c>
      <c r="J10437" s="3" t="s">
        <v>115</v>
      </c>
      <c r="K10437" s="3" t="s">
        <v>224</v>
      </c>
      <c r="L10437" s="3" t="s">
        <v>103</v>
      </c>
      <c r="M10437" s="3" t="s">
        <v>103</v>
      </c>
      <c r="N10437" s="3" t="s">
        <v>103</v>
      </c>
      <c r="O10437" s="3" t="s">
        <v>103</v>
      </c>
    </row>
    <row r="10438" spans="1:15" s="3" customFormat="1" x14ac:dyDescent="0.3">
      <c r="A10438" s="3" t="s">
        <v>26</v>
      </c>
      <c r="B10438" s="3" t="s">
        <v>312</v>
      </c>
      <c r="C10438" s="3">
        <v>3</v>
      </c>
      <c r="D10438" s="3" t="s">
        <v>1142</v>
      </c>
      <c r="E10438" s="3" t="s">
        <v>1017</v>
      </c>
      <c r="F10438" s="3" t="s">
        <v>349</v>
      </c>
      <c r="G10438" s="3" t="s">
        <v>103</v>
      </c>
      <c r="H10438" s="3" t="s">
        <v>103</v>
      </c>
      <c r="I10438" s="3" t="s">
        <v>103</v>
      </c>
      <c r="J10438" s="3" t="s">
        <v>103</v>
      </c>
      <c r="K10438" s="3" t="s">
        <v>103</v>
      </c>
      <c r="L10438" s="3" t="s">
        <v>103</v>
      </c>
      <c r="M10438" s="3" t="s">
        <v>103</v>
      </c>
      <c r="N10438" s="3" t="s">
        <v>103</v>
      </c>
      <c r="O10438" s="3" t="s">
        <v>103</v>
      </c>
    </row>
    <row r="10439" spans="1:15" x14ac:dyDescent="0.3">
      <c r="A10439" t="s">
        <v>26</v>
      </c>
      <c r="B10439" t="s">
        <v>308</v>
      </c>
      <c r="C10439">
        <v>2</v>
      </c>
      <c r="D10439" t="s">
        <v>103</v>
      </c>
      <c r="E10439" t="s">
        <v>192</v>
      </c>
      <c r="F10439" t="s">
        <v>192</v>
      </c>
      <c r="G10439" t="s">
        <v>103</v>
      </c>
      <c r="H10439" t="s">
        <v>103</v>
      </c>
      <c r="I10439" t="s">
        <v>103</v>
      </c>
      <c r="J10439" t="s">
        <v>103</v>
      </c>
      <c r="K10439" t="s">
        <v>103</v>
      </c>
      <c r="L10439" t="s">
        <v>103</v>
      </c>
      <c r="M10439" t="s">
        <v>103</v>
      </c>
      <c r="N10439" t="s">
        <v>103</v>
      </c>
      <c r="O10439" t="s">
        <v>103</v>
      </c>
    </row>
    <row r="10440" spans="1:15" s="3" customFormat="1" x14ac:dyDescent="0.3">
      <c r="A10440" s="3" t="s">
        <v>29</v>
      </c>
      <c r="B10440" s="3" t="s">
        <v>311</v>
      </c>
      <c r="C10440" s="3">
        <v>9</v>
      </c>
      <c r="D10440" s="3" t="s">
        <v>208</v>
      </c>
      <c r="E10440" s="3" t="s">
        <v>1559</v>
      </c>
      <c r="F10440" s="3" t="s">
        <v>1556</v>
      </c>
      <c r="G10440" s="3" t="s">
        <v>208</v>
      </c>
      <c r="H10440" s="3" t="s">
        <v>129</v>
      </c>
      <c r="I10440" s="3" t="s">
        <v>819</v>
      </c>
      <c r="J10440" s="3" t="s">
        <v>208</v>
      </c>
      <c r="K10440" s="3" t="s">
        <v>175</v>
      </c>
      <c r="L10440" s="3" t="s">
        <v>103</v>
      </c>
      <c r="M10440" s="3" t="s">
        <v>244</v>
      </c>
      <c r="N10440" s="3" t="s">
        <v>103</v>
      </c>
      <c r="O10440" s="3" t="s">
        <v>103</v>
      </c>
    </row>
    <row r="10441" spans="1:15" s="3" customFormat="1" x14ac:dyDescent="0.3">
      <c r="A10441" s="3" t="s">
        <v>29</v>
      </c>
      <c r="B10441" s="3" t="s">
        <v>312</v>
      </c>
      <c r="C10441" s="3">
        <v>1</v>
      </c>
      <c r="D10441" s="3" t="s">
        <v>192</v>
      </c>
      <c r="E10441" s="3" t="s">
        <v>192</v>
      </c>
      <c r="F10441" s="3" t="s">
        <v>103</v>
      </c>
      <c r="G10441" s="3" t="s">
        <v>103</v>
      </c>
      <c r="H10441" s="3" t="s">
        <v>103</v>
      </c>
      <c r="I10441" s="3" t="s">
        <v>103</v>
      </c>
      <c r="J10441" s="3" t="s">
        <v>103</v>
      </c>
      <c r="K10441" s="3" t="s">
        <v>103</v>
      </c>
      <c r="L10441" s="3" t="s">
        <v>103</v>
      </c>
      <c r="M10441" s="3" t="s">
        <v>103</v>
      </c>
      <c r="N10441" s="3" t="s">
        <v>103</v>
      </c>
      <c r="O10441" s="3" t="s">
        <v>103</v>
      </c>
    </row>
    <row r="10442" spans="1:15" x14ac:dyDescent="0.3">
      <c r="A10442" t="s">
        <v>28</v>
      </c>
      <c r="B10442" t="s">
        <v>308</v>
      </c>
    </row>
    <row r="10443" spans="1:15" s="3" customFormat="1" x14ac:dyDescent="0.3">
      <c r="A10443" s="3" t="s">
        <v>27</v>
      </c>
      <c r="B10443" s="3" t="s">
        <v>311</v>
      </c>
      <c r="C10443" s="3">
        <v>4</v>
      </c>
      <c r="D10443" s="3" t="s">
        <v>1356</v>
      </c>
      <c r="E10443" s="3" t="s">
        <v>1546</v>
      </c>
      <c r="F10443" s="3" t="s">
        <v>1546</v>
      </c>
      <c r="G10443" s="3" t="s">
        <v>103</v>
      </c>
      <c r="H10443" s="3" t="s">
        <v>103</v>
      </c>
      <c r="I10443" s="3" t="s">
        <v>103</v>
      </c>
      <c r="J10443" s="3" t="s">
        <v>380</v>
      </c>
      <c r="K10443" s="3" t="s">
        <v>103</v>
      </c>
      <c r="L10443" s="3" t="s">
        <v>103</v>
      </c>
      <c r="M10443" s="3" t="s">
        <v>103</v>
      </c>
      <c r="N10443" s="3" t="s">
        <v>103</v>
      </c>
      <c r="O10443" s="3" t="s">
        <v>103</v>
      </c>
    </row>
    <row r="10444" spans="1:15" s="3" customFormat="1" x14ac:dyDescent="0.3">
      <c r="A10444" s="3" t="s">
        <v>27</v>
      </c>
      <c r="B10444" s="3" t="s">
        <v>312</v>
      </c>
      <c r="C10444" s="3">
        <v>1</v>
      </c>
      <c r="D10444" s="3" t="s">
        <v>192</v>
      </c>
      <c r="E10444" s="3" t="s">
        <v>192</v>
      </c>
      <c r="F10444" s="3" t="s">
        <v>103</v>
      </c>
      <c r="G10444" s="3" t="s">
        <v>103</v>
      </c>
      <c r="H10444" s="3" t="s">
        <v>103</v>
      </c>
      <c r="I10444" s="3" t="s">
        <v>103</v>
      </c>
      <c r="J10444" s="3" t="s">
        <v>103</v>
      </c>
      <c r="K10444" s="3" t="s">
        <v>103</v>
      </c>
      <c r="L10444" s="3" t="s">
        <v>103</v>
      </c>
      <c r="M10444" s="3" t="s">
        <v>103</v>
      </c>
      <c r="N10444" s="3" t="s">
        <v>103</v>
      </c>
      <c r="O10444" s="3" t="s">
        <v>103</v>
      </c>
    </row>
    <row r="10445" spans="1:15" x14ac:dyDescent="0.3">
      <c r="A10445" t="s">
        <v>41</v>
      </c>
      <c r="B10445" t="s">
        <v>311</v>
      </c>
      <c r="C10445">
        <v>46</v>
      </c>
      <c r="D10445" t="s">
        <v>581</v>
      </c>
      <c r="E10445" t="s">
        <v>258</v>
      </c>
      <c r="F10445" t="s">
        <v>527</v>
      </c>
      <c r="G10445" t="s">
        <v>120</v>
      </c>
      <c r="H10445" t="s">
        <v>50</v>
      </c>
      <c r="I10445" t="s">
        <v>649</v>
      </c>
      <c r="J10445" t="s">
        <v>494</v>
      </c>
      <c r="K10445" t="s">
        <v>242</v>
      </c>
      <c r="L10445" t="s">
        <v>103</v>
      </c>
      <c r="M10445" t="s">
        <v>438</v>
      </c>
      <c r="N10445" t="s">
        <v>103</v>
      </c>
      <c r="O10445" t="s">
        <v>103</v>
      </c>
    </row>
    <row r="10446" spans="1:15" s="3" customFormat="1" x14ac:dyDescent="0.3">
      <c r="A10446" s="3" t="s">
        <v>41</v>
      </c>
      <c r="B10446" s="3" t="s">
        <v>312</v>
      </c>
      <c r="C10446" s="3">
        <v>7</v>
      </c>
      <c r="D10446" s="3" t="s">
        <v>508</v>
      </c>
      <c r="E10446" s="3" t="s">
        <v>172</v>
      </c>
      <c r="F10446" s="3" t="s">
        <v>1030</v>
      </c>
      <c r="G10446" s="3" t="s">
        <v>103</v>
      </c>
      <c r="H10446" s="3" t="s">
        <v>99</v>
      </c>
      <c r="I10446" s="3" t="s">
        <v>103</v>
      </c>
      <c r="J10446" s="3" t="s">
        <v>103</v>
      </c>
      <c r="K10446" s="3" t="s">
        <v>103</v>
      </c>
      <c r="L10446" s="3" t="s">
        <v>103</v>
      </c>
      <c r="M10446" s="3" t="s">
        <v>103</v>
      </c>
      <c r="N10446" s="3" t="s">
        <v>103</v>
      </c>
      <c r="O10446" s="3" t="s">
        <v>103</v>
      </c>
    </row>
    <row r="10447" spans="1:15" x14ac:dyDescent="0.3">
      <c r="A10447" t="s">
        <v>41</v>
      </c>
      <c r="B10447" t="s">
        <v>308</v>
      </c>
      <c r="C10447">
        <v>3</v>
      </c>
      <c r="D10447" t="s">
        <v>362</v>
      </c>
      <c r="E10447" t="s">
        <v>363</v>
      </c>
      <c r="F10447" t="s">
        <v>192</v>
      </c>
      <c r="G10447" t="s">
        <v>103</v>
      </c>
      <c r="H10447" t="s">
        <v>103</v>
      </c>
      <c r="I10447" t="s">
        <v>103</v>
      </c>
      <c r="J10447" t="s">
        <v>103</v>
      </c>
      <c r="K10447" t="s">
        <v>103</v>
      </c>
      <c r="L10447" t="s">
        <v>103</v>
      </c>
      <c r="M10447" t="s">
        <v>103</v>
      </c>
      <c r="N10447" t="s">
        <v>103</v>
      </c>
      <c r="O10447" t="s">
        <v>103</v>
      </c>
    </row>
    <row r="10449" spans="1:15" x14ac:dyDescent="0.3">
      <c r="A10449" t="s">
        <v>2730</v>
      </c>
    </row>
    <row r="10450" spans="1:15" x14ac:dyDescent="0.3">
      <c r="A10450" t="s">
        <v>36</v>
      </c>
      <c r="B10450" t="s">
        <v>310</v>
      </c>
      <c r="C10450" t="s">
        <v>24</v>
      </c>
      <c r="D10450" t="s">
        <v>2714</v>
      </c>
      <c r="E10450" t="s">
        <v>2715</v>
      </c>
      <c r="F10450" t="s">
        <v>2716</v>
      </c>
      <c r="G10450" t="s">
        <v>2717</v>
      </c>
      <c r="H10450" t="s">
        <v>2718</v>
      </c>
      <c r="I10450" t="s">
        <v>2719</v>
      </c>
      <c r="J10450" t="s">
        <v>2720</v>
      </c>
      <c r="K10450" t="s">
        <v>2721</v>
      </c>
      <c r="L10450" t="s">
        <v>2722</v>
      </c>
      <c r="M10450" t="s">
        <v>2723</v>
      </c>
      <c r="N10450" t="s">
        <v>181</v>
      </c>
      <c r="O10450" t="s">
        <v>183</v>
      </c>
    </row>
    <row r="10451" spans="1:15" s="3" customFormat="1" x14ac:dyDescent="0.3">
      <c r="A10451" s="3" t="s">
        <v>25</v>
      </c>
      <c r="B10451" s="3" t="s">
        <v>311</v>
      </c>
      <c r="C10451" s="3">
        <v>1</v>
      </c>
      <c r="D10451" s="3" t="s">
        <v>103</v>
      </c>
      <c r="E10451" s="3" t="s">
        <v>192</v>
      </c>
      <c r="F10451" s="3" t="s">
        <v>103</v>
      </c>
      <c r="G10451" s="3" t="s">
        <v>103</v>
      </c>
      <c r="H10451" s="3" t="s">
        <v>103</v>
      </c>
      <c r="I10451" s="3" t="s">
        <v>103</v>
      </c>
      <c r="J10451" s="3" t="s">
        <v>103</v>
      </c>
      <c r="K10451" s="3" t="s">
        <v>103</v>
      </c>
      <c r="L10451" s="3" t="s">
        <v>103</v>
      </c>
      <c r="M10451" s="3" t="s">
        <v>103</v>
      </c>
      <c r="N10451" s="3" t="s">
        <v>103</v>
      </c>
      <c r="O10451" s="3" t="s">
        <v>103</v>
      </c>
    </row>
    <row r="10452" spans="1:15" x14ac:dyDescent="0.3">
      <c r="A10452" t="s">
        <v>26</v>
      </c>
      <c r="B10452" t="s">
        <v>308</v>
      </c>
    </row>
    <row r="10453" spans="1:15" s="3" customFormat="1" x14ac:dyDescent="0.3">
      <c r="A10453" s="3" t="s">
        <v>29</v>
      </c>
      <c r="B10453" s="3" t="s">
        <v>311</v>
      </c>
      <c r="C10453" s="3">
        <v>1</v>
      </c>
      <c r="D10453" s="3" t="s">
        <v>103</v>
      </c>
      <c r="E10453" s="3" t="s">
        <v>103</v>
      </c>
      <c r="F10453" s="3" t="s">
        <v>192</v>
      </c>
      <c r="G10453" s="3" t="s">
        <v>103</v>
      </c>
      <c r="H10453" s="3" t="s">
        <v>103</v>
      </c>
      <c r="I10453" s="3" t="s">
        <v>103</v>
      </c>
      <c r="J10453" s="3" t="s">
        <v>103</v>
      </c>
      <c r="K10453" s="3" t="s">
        <v>103</v>
      </c>
      <c r="L10453" s="3" t="s">
        <v>103</v>
      </c>
      <c r="M10453" s="3" t="s">
        <v>103</v>
      </c>
      <c r="N10453" s="3" t="s">
        <v>103</v>
      </c>
      <c r="O10453" s="3" t="s">
        <v>103</v>
      </c>
    </row>
    <row r="10454" spans="1:15" x14ac:dyDescent="0.3">
      <c r="A10454" t="s">
        <v>28</v>
      </c>
      <c r="B10454" t="s">
        <v>308</v>
      </c>
    </row>
    <row r="10455" spans="1:15" x14ac:dyDescent="0.3">
      <c r="A10455" t="s">
        <v>27</v>
      </c>
      <c r="B10455" t="s">
        <v>308</v>
      </c>
    </row>
    <row r="10456" spans="1:15" s="3" customFormat="1" x14ac:dyDescent="0.3">
      <c r="A10456" s="3" t="s">
        <v>41</v>
      </c>
      <c r="B10456" s="3" t="s">
        <v>311</v>
      </c>
      <c r="C10456" s="3">
        <v>2</v>
      </c>
      <c r="D10456" s="3" t="s">
        <v>103</v>
      </c>
      <c r="E10456" s="3" t="s">
        <v>821</v>
      </c>
      <c r="F10456" s="3" t="s">
        <v>477</v>
      </c>
      <c r="G10456" s="3" t="s">
        <v>103</v>
      </c>
      <c r="H10456" s="3" t="s">
        <v>103</v>
      </c>
      <c r="I10456" s="3" t="s">
        <v>103</v>
      </c>
      <c r="J10456" s="3" t="s">
        <v>103</v>
      </c>
      <c r="K10456" s="3" t="s">
        <v>103</v>
      </c>
      <c r="L10456" s="3" t="s">
        <v>103</v>
      </c>
      <c r="M10456" s="3" t="s">
        <v>103</v>
      </c>
      <c r="N10456" s="3" t="s">
        <v>103</v>
      </c>
      <c r="O10456" s="3" t="s">
        <v>103</v>
      </c>
    </row>
    <row r="10458" spans="1:15" x14ac:dyDescent="0.3">
      <c r="A10458" t="s">
        <v>2731</v>
      </c>
    </row>
    <row r="10459" spans="1:15" x14ac:dyDescent="0.3">
      <c r="A10459" t="s">
        <v>36</v>
      </c>
      <c r="B10459" t="s">
        <v>310</v>
      </c>
      <c r="C10459" t="s">
        <v>24</v>
      </c>
      <c r="D10459" t="s">
        <v>2714</v>
      </c>
      <c r="E10459" t="s">
        <v>2715</v>
      </c>
      <c r="F10459" t="s">
        <v>2716</v>
      </c>
      <c r="G10459" t="s">
        <v>2717</v>
      </c>
      <c r="H10459" t="s">
        <v>2718</v>
      </c>
      <c r="I10459" t="s">
        <v>2719</v>
      </c>
      <c r="J10459" t="s">
        <v>2720</v>
      </c>
      <c r="K10459" t="s">
        <v>2721</v>
      </c>
      <c r="L10459" t="s">
        <v>2722</v>
      </c>
      <c r="M10459" t="s">
        <v>2723</v>
      </c>
      <c r="N10459" t="s">
        <v>181</v>
      </c>
      <c r="O10459" t="s">
        <v>183</v>
      </c>
    </row>
    <row r="10460" spans="1:15" s="3" customFormat="1" x14ac:dyDescent="0.3">
      <c r="A10460" s="3" t="s">
        <v>25</v>
      </c>
      <c r="B10460" s="3" t="s">
        <v>311</v>
      </c>
      <c r="C10460" s="3">
        <v>3</v>
      </c>
      <c r="D10460" s="3" t="s">
        <v>363</v>
      </c>
      <c r="E10460" s="3" t="s">
        <v>362</v>
      </c>
      <c r="F10460" s="3" t="s">
        <v>362</v>
      </c>
      <c r="G10460" s="3" t="s">
        <v>362</v>
      </c>
      <c r="H10460" s="3" t="s">
        <v>103</v>
      </c>
      <c r="I10460" s="3" t="s">
        <v>103</v>
      </c>
      <c r="J10460" s="3" t="s">
        <v>103</v>
      </c>
      <c r="K10460" s="3" t="s">
        <v>103</v>
      </c>
      <c r="L10460" s="3" t="s">
        <v>103</v>
      </c>
      <c r="M10460" s="3" t="s">
        <v>103</v>
      </c>
      <c r="N10460" s="3" t="s">
        <v>103</v>
      </c>
      <c r="O10460" s="3" t="s">
        <v>103</v>
      </c>
    </row>
    <row r="10461" spans="1:15" s="3" customFormat="1" x14ac:dyDescent="0.3">
      <c r="A10461" s="3" t="s">
        <v>26</v>
      </c>
      <c r="B10461" s="3" t="s">
        <v>311</v>
      </c>
      <c r="C10461" s="3">
        <v>4</v>
      </c>
      <c r="D10461" s="3" t="s">
        <v>1154</v>
      </c>
      <c r="E10461" s="3" t="s">
        <v>103</v>
      </c>
      <c r="F10461" s="3" t="s">
        <v>526</v>
      </c>
      <c r="G10461" s="3" t="s">
        <v>103</v>
      </c>
      <c r="H10461" s="3" t="s">
        <v>103</v>
      </c>
      <c r="I10461" s="3" t="s">
        <v>103</v>
      </c>
      <c r="J10461" s="3" t="s">
        <v>103</v>
      </c>
      <c r="K10461" s="3" t="s">
        <v>103</v>
      </c>
      <c r="L10461" s="3" t="s">
        <v>103</v>
      </c>
      <c r="M10461" s="3" t="s">
        <v>103</v>
      </c>
      <c r="N10461" s="3" t="s">
        <v>103</v>
      </c>
      <c r="O10461" s="3" t="s">
        <v>103</v>
      </c>
    </row>
    <row r="10462" spans="1:15" s="3" customFormat="1" x14ac:dyDescent="0.3">
      <c r="A10462" s="3" t="s">
        <v>26</v>
      </c>
      <c r="B10462" s="3" t="s">
        <v>312</v>
      </c>
      <c r="C10462" s="3">
        <v>1</v>
      </c>
      <c r="D10462" s="3" t="s">
        <v>192</v>
      </c>
      <c r="E10462" s="3" t="s">
        <v>103</v>
      </c>
      <c r="F10462" s="3" t="s">
        <v>103</v>
      </c>
      <c r="G10462" s="3" t="s">
        <v>103</v>
      </c>
      <c r="H10462" s="3" t="s">
        <v>192</v>
      </c>
      <c r="I10462" s="3" t="s">
        <v>103</v>
      </c>
      <c r="J10462" s="3" t="s">
        <v>103</v>
      </c>
      <c r="K10462" s="3" t="s">
        <v>103</v>
      </c>
      <c r="L10462" s="3" t="s">
        <v>103</v>
      </c>
      <c r="M10462" s="3" t="s">
        <v>103</v>
      </c>
      <c r="N10462" s="3" t="s">
        <v>103</v>
      </c>
      <c r="O10462" s="3" t="s">
        <v>103</v>
      </c>
    </row>
    <row r="10463" spans="1:15" x14ac:dyDescent="0.3">
      <c r="A10463" t="s">
        <v>29</v>
      </c>
      <c r="B10463" t="s">
        <v>308</v>
      </c>
    </row>
    <row r="10464" spans="1:15" s="3" customFormat="1" x14ac:dyDescent="0.3">
      <c r="A10464" s="3" t="s">
        <v>28</v>
      </c>
      <c r="B10464" s="3" t="s">
        <v>311</v>
      </c>
      <c r="C10464" s="3">
        <v>1</v>
      </c>
      <c r="D10464" s="3" t="s">
        <v>192</v>
      </c>
      <c r="E10464" s="3" t="s">
        <v>103</v>
      </c>
      <c r="F10464" s="3" t="s">
        <v>103</v>
      </c>
      <c r="G10464" s="3" t="s">
        <v>103</v>
      </c>
      <c r="H10464" s="3" t="s">
        <v>103</v>
      </c>
      <c r="I10464" s="3" t="s">
        <v>103</v>
      </c>
      <c r="J10464" s="3" t="s">
        <v>103</v>
      </c>
      <c r="K10464" s="3" t="s">
        <v>103</v>
      </c>
      <c r="L10464" s="3" t="s">
        <v>103</v>
      </c>
      <c r="M10464" s="3" t="s">
        <v>103</v>
      </c>
      <c r="N10464" s="3" t="s">
        <v>103</v>
      </c>
      <c r="O10464" s="3" t="s">
        <v>103</v>
      </c>
    </row>
    <row r="10465" spans="1:15" x14ac:dyDescent="0.3">
      <c r="A10465" t="s">
        <v>27</v>
      </c>
      <c r="B10465" t="s">
        <v>308</v>
      </c>
    </row>
    <row r="10466" spans="1:15" s="3" customFormat="1" x14ac:dyDescent="0.3">
      <c r="A10466" s="3" t="s">
        <v>41</v>
      </c>
      <c r="B10466" s="3" t="s">
        <v>311</v>
      </c>
      <c r="C10466" s="3">
        <v>8</v>
      </c>
      <c r="D10466" s="3" t="s">
        <v>1317</v>
      </c>
      <c r="E10466" s="3" t="s">
        <v>1319</v>
      </c>
      <c r="F10466" s="3" t="s">
        <v>685</v>
      </c>
      <c r="G10466" s="3" t="s">
        <v>1319</v>
      </c>
      <c r="H10466" s="3" t="s">
        <v>103</v>
      </c>
      <c r="I10466" s="3" t="s">
        <v>103</v>
      </c>
      <c r="J10466" s="3" t="s">
        <v>103</v>
      </c>
      <c r="K10466" s="3" t="s">
        <v>103</v>
      </c>
      <c r="L10466" s="3" t="s">
        <v>103</v>
      </c>
      <c r="M10466" s="3" t="s">
        <v>103</v>
      </c>
      <c r="N10466" s="3" t="s">
        <v>103</v>
      </c>
      <c r="O10466" s="3" t="s">
        <v>103</v>
      </c>
    </row>
    <row r="10467" spans="1:15" s="3" customFormat="1" x14ac:dyDescent="0.3">
      <c r="A10467" s="3" t="s">
        <v>41</v>
      </c>
      <c r="B10467" s="3" t="s">
        <v>312</v>
      </c>
      <c r="C10467" s="3">
        <v>1</v>
      </c>
      <c r="D10467" s="3" t="s">
        <v>192</v>
      </c>
      <c r="E10467" s="3" t="s">
        <v>103</v>
      </c>
      <c r="F10467" s="3" t="s">
        <v>103</v>
      </c>
      <c r="G10467" s="3" t="s">
        <v>103</v>
      </c>
      <c r="H10467" s="3" t="s">
        <v>192</v>
      </c>
      <c r="I10467" s="3" t="s">
        <v>103</v>
      </c>
      <c r="J10467" s="3" t="s">
        <v>103</v>
      </c>
      <c r="K10467" s="3" t="s">
        <v>103</v>
      </c>
      <c r="L10467" s="3" t="s">
        <v>103</v>
      </c>
      <c r="M10467" s="3" t="s">
        <v>103</v>
      </c>
      <c r="N10467" s="3" t="s">
        <v>103</v>
      </c>
      <c r="O10467" s="3" t="s">
        <v>103</v>
      </c>
    </row>
    <row r="10469" spans="1:15" x14ac:dyDescent="0.3">
      <c r="A10469" t="s">
        <v>2732</v>
      </c>
    </row>
    <row r="10470" spans="1:15" x14ac:dyDescent="0.3">
      <c r="A10470" t="s">
        <v>36</v>
      </c>
      <c r="B10470" t="s">
        <v>310</v>
      </c>
      <c r="C10470" t="s">
        <v>24</v>
      </c>
      <c r="D10470" t="s">
        <v>2714</v>
      </c>
      <c r="E10470" t="s">
        <v>2715</v>
      </c>
      <c r="F10470" t="s">
        <v>2716</v>
      </c>
      <c r="G10470" t="s">
        <v>2717</v>
      </c>
      <c r="H10470" t="s">
        <v>2718</v>
      </c>
      <c r="I10470" t="s">
        <v>2719</v>
      </c>
      <c r="J10470" t="s">
        <v>2720</v>
      </c>
      <c r="K10470" t="s">
        <v>2721</v>
      </c>
      <c r="L10470" t="s">
        <v>2722</v>
      </c>
      <c r="M10470" t="s">
        <v>2723</v>
      </c>
      <c r="N10470" t="s">
        <v>181</v>
      </c>
      <c r="O10470" t="s">
        <v>183</v>
      </c>
    </row>
    <row r="10471" spans="1:15" s="3" customFormat="1" x14ac:dyDescent="0.3">
      <c r="A10471" s="3" t="s">
        <v>25</v>
      </c>
      <c r="B10471" s="3" t="s">
        <v>311</v>
      </c>
      <c r="C10471" s="3">
        <v>1</v>
      </c>
      <c r="D10471" s="3" t="s">
        <v>103</v>
      </c>
      <c r="E10471" s="3" t="s">
        <v>192</v>
      </c>
      <c r="F10471" s="3" t="s">
        <v>103</v>
      </c>
      <c r="G10471" s="3" t="s">
        <v>103</v>
      </c>
      <c r="H10471" s="3" t="s">
        <v>103</v>
      </c>
      <c r="I10471" s="3" t="s">
        <v>103</v>
      </c>
      <c r="J10471" s="3" t="s">
        <v>103</v>
      </c>
      <c r="K10471" s="3" t="s">
        <v>103</v>
      </c>
      <c r="L10471" s="3" t="s">
        <v>103</v>
      </c>
      <c r="M10471" s="3" t="s">
        <v>103</v>
      </c>
      <c r="N10471" s="3" t="s">
        <v>103</v>
      </c>
      <c r="O10471" s="3" t="s">
        <v>103</v>
      </c>
    </row>
    <row r="10472" spans="1:15" s="3" customFormat="1" x14ac:dyDescent="0.3">
      <c r="A10472" s="3" t="s">
        <v>26</v>
      </c>
      <c r="B10472" s="3" t="s">
        <v>311</v>
      </c>
      <c r="C10472" s="3">
        <v>1</v>
      </c>
      <c r="D10472" s="3" t="s">
        <v>103</v>
      </c>
      <c r="E10472" s="3" t="s">
        <v>192</v>
      </c>
      <c r="F10472" s="3" t="s">
        <v>103</v>
      </c>
      <c r="G10472" s="3" t="s">
        <v>103</v>
      </c>
      <c r="H10472" s="3" t="s">
        <v>103</v>
      </c>
      <c r="I10472" s="3" t="s">
        <v>103</v>
      </c>
      <c r="J10472" s="3" t="s">
        <v>103</v>
      </c>
      <c r="K10472" s="3" t="s">
        <v>103</v>
      </c>
      <c r="L10472" s="3" t="s">
        <v>103</v>
      </c>
      <c r="M10472" s="3" t="s">
        <v>103</v>
      </c>
      <c r="N10472" s="3" t="s">
        <v>103</v>
      </c>
      <c r="O10472" s="3" t="s">
        <v>103</v>
      </c>
    </row>
    <row r="10473" spans="1:15" s="3" customFormat="1" x14ac:dyDescent="0.3">
      <c r="A10473" s="3" t="s">
        <v>29</v>
      </c>
      <c r="B10473" s="3" t="s">
        <v>311</v>
      </c>
      <c r="C10473" s="3">
        <v>6</v>
      </c>
      <c r="D10473" s="3" t="s">
        <v>364</v>
      </c>
      <c r="E10473" s="3" t="s">
        <v>1244</v>
      </c>
      <c r="F10473" s="3" t="s">
        <v>135</v>
      </c>
      <c r="G10473" s="3" t="s">
        <v>420</v>
      </c>
      <c r="H10473" s="3" t="s">
        <v>126</v>
      </c>
      <c r="I10473" s="3" t="s">
        <v>231</v>
      </c>
      <c r="J10473" s="3" t="s">
        <v>522</v>
      </c>
      <c r="K10473" s="3" t="s">
        <v>103</v>
      </c>
      <c r="L10473" s="3" t="s">
        <v>103</v>
      </c>
      <c r="M10473" s="3" t="s">
        <v>103</v>
      </c>
      <c r="N10473" s="3" t="s">
        <v>103</v>
      </c>
      <c r="O10473" s="3" t="s">
        <v>103</v>
      </c>
    </row>
    <row r="10474" spans="1:15" x14ac:dyDescent="0.3">
      <c r="A10474" t="s">
        <v>28</v>
      </c>
      <c r="B10474" t="s">
        <v>308</v>
      </c>
    </row>
    <row r="10475" spans="1:15" x14ac:dyDescent="0.3">
      <c r="A10475" t="s">
        <v>27</v>
      </c>
      <c r="B10475" t="s">
        <v>308</v>
      </c>
    </row>
    <row r="10476" spans="1:15" s="3" customFormat="1" x14ac:dyDescent="0.3">
      <c r="A10476" s="3" t="s">
        <v>41</v>
      </c>
      <c r="B10476" s="3" t="s">
        <v>311</v>
      </c>
      <c r="C10476" s="3">
        <v>8</v>
      </c>
      <c r="D10476" s="3" t="s">
        <v>1032</v>
      </c>
      <c r="E10476" s="3" t="s">
        <v>618</v>
      </c>
      <c r="F10476" s="3" t="s">
        <v>737</v>
      </c>
      <c r="G10476" s="3" t="s">
        <v>402</v>
      </c>
      <c r="H10476" s="3" t="s">
        <v>140</v>
      </c>
      <c r="I10476" s="3" t="s">
        <v>405</v>
      </c>
      <c r="J10476" s="3" t="s">
        <v>50</v>
      </c>
      <c r="K10476" s="3" t="s">
        <v>103</v>
      </c>
      <c r="L10476" s="3" t="s">
        <v>103</v>
      </c>
      <c r="M10476" s="3" t="s">
        <v>103</v>
      </c>
      <c r="N10476" s="3" t="s">
        <v>103</v>
      </c>
      <c r="O10476" s="3" t="s">
        <v>103</v>
      </c>
    </row>
    <row r="10478" spans="1:15" x14ac:dyDescent="0.3">
      <c r="A10478" t="s">
        <v>2733</v>
      </c>
    </row>
    <row r="10479" spans="1:15" x14ac:dyDescent="0.3">
      <c r="A10479" t="s">
        <v>36</v>
      </c>
      <c r="B10479" t="s">
        <v>310</v>
      </c>
      <c r="C10479" t="s">
        <v>24</v>
      </c>
      <c r="D10479" t="s">
        <v>2714</v>
      </c>
      <c r="E10479" t="s">
        <v>2715</v>
      </c>
      <c r="F10479" t="s">
        <v>2716</v>
      </c>
      <c r="G10479" t="s">
        <v>2717</v>
      </c>
      <c r="H10479" t="s">
        <v>2718</v>
      </c>
      <c r="I10479" t="s">
        <v>2719</v>
      </c>
      <c r="J10479" t="s">
        <v>2720</v>
      </c>
      <c r="K10479" t="s">
        <v>2721</v>
      </c>
      <c r="L10479" t="s">
        <v>2722</v>
      </c>
      <c r="M10479" t="s">
        <v>2723</v>
      </c>
      <c r="N10479" t="s">
        <v>181</v>
      </c>
      <c r="O10479" t="s">
        <v>183</v>
      </c>
    </row>
    <row r="10480" spans="1:15" x14ac:dyDescent="0.3">
      <c r="A10480" t="s">
        <v>25</v>
      </c>
      <c r="B10480" t="s">
        <v>308</v>
      </c>
    </row>
    <row r="10481" spans="1:15" s="3" customFormat="1" x14ac:dyDescent="0.3">
      <c r="A10481" s="3" t="s">
        <v>26</v>
      </c>
      <c r="B10481" s="3" t="s">
        <v>311</v>
      </c>
      <c r="C10481" s="3">
        <v>2</v>
      </c>
      <c r="D10481" s="3" t="s">
        <v>103</v>
      </c>
      <c r="E10481" s="3" t="s">
        <v>103</v>
      </c>
      <c r="F10481" s="3" t="s">
        <v>103</v>
      </c>
      <c r="G10481" s="3" t="s">
        <v>103</v>
      </c>
      <c r="H10481" s="3" t="s">
        <v>192</v>
      </c>
      <c r="I10481" s="3" t="s">
        <v>496</v>
      </c>
      <c r="J10481" s="3" t="s">
        <v>103</v>
      </c>
      <c r="K10481" s="3" t="s">
        <v>103</v>
      </c>
      <c r="L10481" s="3" t="s">
        <v>103</v>
      </c>
      <c r="M10481" s="3" t="s">
        <v>103</v>
      </c>
      <c r="N10481" s="3" t="s">
        <v>103</v>
      </c>
      <c r="O10481" s="3" t="s">
        <v>103</v>
      </c>
    </row>
    <row r="10482" spans="1:15" s="3" customFormat="1" x14ac:dyDescent="0.3">
      <c r="A10482" s="3" t="s">
        <v>29</v>
      </c>
      <c r="B10482" s="3" t="s">
        <v>311</v>
      </c>
      <c r="C10482" s="3">
        <v>2</v>
      </c>
      <c r="D10482" s="3" t="s">
        <v>1394</v>
      </c>
      <c r="E10482" s="3" t="s">
        <v>103</v>
      </c>
      <c r="F10482" s="3" t="s">
        <v>103</v>
      </c>
      <c r="G10482" s="3" t="s">
        <v>192</v>
      </c>
      <c r="H10482" s="3" t="s">
        <v>103</v>
      </c>
      <c r="I10482" s="3" t="s">
        <v>103</v>
      </c>
      <c r="J10482" s="3" t="s">
        <v>103</v>
      </c>
      <c r="K10482" s="3" t="s">
        <v>103</v>
      </c>
      <c r="L10482" s="3" t="s">
        <v>103</v>
      </c>
      <c r="M10482" s="3" t="s">
        <v>103</v>
      </c>
      <c r="N10482" s="3" t="s">
        <v>103</v>
      </c>
      <c r="O10482" s="3" t="s">
        <v>103</v>
      </c>
    </row>
    <row r="10483" spans="1:15" x14ac:dyDescent="0.3">
      <c r="A10483" t="s">
        <v>29</v>
      </c>
      <c r="B10483" t="s">
        <v>308</v>
      </c>
      <c r="C10483">
        <v>2</v>
      </c>
      <c r="D10483" t="s">
        <v>993</v>
      </c>
      <c r="E10483" t="s">
        <v>993</v>
      </c>
      <c r="F10483" t="s">
        <v>192</v>
      </c>
      <c r="G10483" t="s">
        <v>103</v>
      </c>
      <c r="H10483" t="s">
        <v>103</v>
      </c>
      <c r="I10483" t="s">
        <v>103</v>
      </c>
      <c r="J10483" t="s">
        <v>103</v>
      </c>
      <c r="K10483" t="s">
        <v>103</v>
      </c>
      <c r="L10483" t="s">
        <v>103</v>
      </c>
      <c r="M10483" t="s">
        <v>103</v>
      </c>
      <c r="N10483" t="s">
        <v>103</v>
      </c>
      <c r="O10483" t="s">
        <v>103</v>
      </c>
    </row>
    <row r="10484" spans="1:15" x14ac:dyDescent="0.3">
      <c r="A10484" t="s">
        <v>28</v>
      </c>
      <c r="B10484" t="s">
        <v>308</v>
      </c>
    </row>
    <row r="10485" spans="1:15" s="3" customFormat="1" x14ac:dyDescent="0.3">
      <c r="A10485" s="3" t="s">
        <v>27</v>
      </c>
      <c r="B10485" s="3" t="s">
        <v>311</v>
      </c>
      <c r="C10485" s="3">
        <v>1</v>
      </c>
      <c r="D10485" s="3" t="s">
        <v>103</v>
      </c>
      <c r="E10485" s="3" t="s">
        <v>103</v>
      </c>
      <c r="F10485" s="3" t="s">
        <v>103</v>
      </c>
      <c r="G10485" s="3" t="s">
        <v>103</v>
      </c>
      <c r="H10485" s="3" t="s">
        <v>192</v>
      </c>
      <c r="I10485" s="3" t="s">
        <v>103</v>
      </c>
      <c r="J10485" s="3" t="s">
        <v>103</v>
      </c>
      <c r="K10485" s="3" t="s">
        <v>103</v>
      </c>
      <c r="L10485" s="3" t="s">
        <v>103</v>
      </c>
      <c r="M10485" s="3" t="s">
        <v>103</v>
      </c>
      <c r="N10485" s="3" t="s">
        <v>103</v>
      </c>
      <c r="O10485" s="3" t="s">
        <v>103</v>
      </c>
    </row>
    <row r="10486" spans="1:15" s="3" customFormat="1" x14ac:dyDescent="0.3">
      <c r="A10486" s="3" t="s">
        <v>41</v>
      </c>
      <c r="B10486" s="3" t="s">
        <v>311</v>
      </c>
      <c r="C10486" s="3">
        <v>5</v>
      </c>
      <c r="D10486" s="3" t="s">
        <v>464</v>
      </c>
      <c r="E10486" s="3" t="s">
        <v>103</v>
      </c>
      <c r="F10486" s="3" t="s">
        <v>103</v>
      </c>
      <c r="G10486" s="3" t="s">
        <v>924</v>
      </c>
      <c r="H10486" s="3" t="s">
        <v>537</v>
      </c>
      <c r="I10486" s="3" t="s">
        <v>271</v>
      </c>
      <c r="J10486" s="3" t="s">
        <v>103</v>
      </c>
      <c r="K10486" s="3" t="s">
        <v>103</v>
      </c>
      <c r="L10486" s="3" t="s">
        <v>103</v>
      </c>
      <c r="M10486" s="3" t="s">
        <v>103</v>
      </c>
      <c r="N10486" s="3" t="s">
        <v>103</v>
      </c>
      <c r="O10486" s="3" t="s">
        <v>103</v>
      </c>
    </row>
    <row r="10487" spans="1:15" x14ac:dyDescent="0.3">
      <c r="A10487" t="s">
        <v>41</v>
      </c>
      <c r="B10487" t="s">
        <v>308</v>
      </c>
      <c r="C10487">
        <v>2</v>
      </c>
      <c r="D10487" t="s">
        <v>993</v>
      </c>
      <c r="E10487" t="s">
        <v>993</v>
      </c>
      <c r="F10487" t="s">
        <v>192</v>
      </c>
      <c r="G10487" t="s">
        <v>103</v>
      </c>
      <c r="H10487" t="s">
        <v>103</v>
      </c>
      <c r="I10487" t="s">
        <v>103</v>
      </c>
      <c r="J10487" t="s">
        <v>103</v>
      </c>
      <c r="K10487" t="s">
        <v>103</v>
      </c>
      <c r="L10487" t="s">
        <v>103</v>
      </c>
      <c r="M10487" t="s">
        <v>103</v>
      </c>
      <c r="N10487" t="s">
        <v>103</v>
      </c>
      <c r="O10487" t="s">
        <v>103</v>
      </c>
    </row>
    <row r="10489" spans="1:15" x14ac:dyDescent="0.3">
      <c r="A10489" t="s">
        <v>2734</v>
      </c>
    </row>
    <row r="10490" spans="1:15" x14ac:dyDescent="0.3">
      <c r="A10490" t="s">
        <v>36</v>
      </c>
      <c r="B10490" t="s">
        <v>310</v>
      </c>
      <c r="C10490" t="s">
        <v>24</v>
      </c>
      <c r="D10490" t="s">
        <v>2714</v>
      </c>
      <c r="E10490" t="s">
        <v>2715</v>
      </c>
      <c r="F10490" t="s">
        <v>2716</v>
      </c>
      <c r="G10490" t="s">
        <v>2717</v>
      </c>
      <c r="H10490" t="s">
        <v>2718</v>
      </c>
      <c r="I10490" t="s">
        <v>2719</v>
      </c>
      <c r="J10490" t="s">
        <v>2720</v>
      </c>
      <c r="K10490" t="s">
        <v>2721</v>
      </c>
      <c r="L10490" t="s">
        <v>2722</v>
      </c>
      <c r="M10490" t="s">
        <v>2723</v>
      </c>
      <c r="N10490" t="s">
        <v>181</v>
      </c>
      <c r="O10490" t="s">
        <v>183</v>
      </c>
    </row>
    <row r="10491" spans="1:15" x14ac:dyDescent="0.3">
      <c r="A10491" t="s">
        <v>25</v>
      </c>
      <c r="B10491" t="s">
        <v>308</v>
      </c>
    </row>
    <row r="10492" spans="1:15" s="3" customFormat="1" x14ac:dyDescent="0.3">
      <c r="A10492" s="3" t="s">
        <v>26</v>
      </c>
      <c r="B10492" s="3" t="s">
        <v>311</v>
      </c>
      <c r="C10492" s="3">
        <v>1</v>
      </c>
      <c r="D10492" s="3" t="s">
        <v>103</v>
      </c>
      <c r="E10492" s="3" t="s">
        <v>103</v>
      </c>
      <c r="F10492" s="3" t="s">
        <v>103</v>
      </c>
      <c r="G10492" s="3" t="s">
        <v>192</v>
      </c>
      <c r="H10492" s="3" t="s">
        <v>103</v>
      </c>
      <c r="I10492" s="3" t="s">
        <v>103</v>
      </c>
      <c r="J10492" s="3" t="s">
        <v>103</v>
      </c>
      <c r="K10492" s="3" t="s">
        <v>103</v>
      </c>
      <c r="L10492" s="3" t="s">
        <v>103</v>
      </c>
      <c r="M10492" s="3" t="s">
        <v>103</v>
      </c>
      <c r="N10492" s="3" t="s">
        <v>103</v>
      </c>
      <c r="O10492" s="3" t="s">
        <v>103</v>
      </c>
    </row>
    <row r="10493" spans="1:15" s="3" customFormat="1" x14ac:dyDescent="0.3">
      <c r="A10493" s="3" t="s">
        <v>26</v>
      </c>
      <c r="B10493" s="3" t="s">
        <v>312</v>
      </c>
      <c r="C10493" s="3">
        <v>1</v>
      </c>
      <c r="D10493" s="3" t="s">
        <v>103</v>
      </c>
      <c r="E10493" s="3" t="s">
        <v>192</v>
      </c>
      <c r="F10493" s="3" t="s">
        <v>103</v>
      </c>
      <c r="G10493" s="3" t="s">
        <v>103</v>
      </c>
      <c r="H10493" s="3" t="s">
        <v>103</v>
      </c>
      <c r="I10493" s="3" t="s">
        <v>103</v>
      </c>
      <c r="J10493" s="3" t="s">
        <v>103</v>
      </c>
      <c r="K10493" s="3" t="s">
        <v>103</v>
      </c>
      <c r="L10493" s="3" t="s">
        <v>103</v>
      </c>
      <c r="M10493" s="3" t="s">
        <v>103</v>
      </c>
      <c r="N10493" s="3" t="s">
        <v>103</v>
      </c>
      <c r="O10493" s="3" t="s">
        <v>103</v>
      </c>
    </row>
    <row r="10494" spans="1:15" x14ac:dyDescent="0.3">
      <c r="A10494" t="s">
        <v>29</v>
      </c>
      <c r="B10494" t="s">
        <v>308</v>
      </c>
    </row>
    <row r="10495" spans="1:15" x14ac:dyDescent="0.3">
      <c r="A10495" t="s">
        <v>28</v>
      </c>
      <c r="B10495" t="s">
        <v>308</v>
      </c>
    </row>
    <row r="10496" spans="1:15" x14ac:dyDescent="0.3">
      <c r="A10496" t="s">
        <v>27</v>
      </c>
      <c r="B10496" t="s">
        <v>308</v>
      </c>
    </row>
    <row r="10497" spans="1:15" s="3" customFormat="1" x14ac:dyDescent="0.3">
      <c r="A10497" s="3" t="s">
        <v>41</v>
      </c>
      <c r="B10497" s="3" t="s">
        <v>311</v>
      </c>
      <c r="C10497" s="3">
        <v>1</v>
      </c>
      <c r="D10497" s="3" t="s">
        <v>103</v>
      </c>
      <c r="E10497" s="3" t="s">
        <v>103</v>
      </c>
      <c r="F10497" s="3" t="s">
        <v>103</v>
      </c>
      <c r="G10497" s="3" t="s">
        <v>192</v>
      </c>
      <c r="H10497" s="3" t="s">
        <v>103</v>
      </c>
      <c r="I10497" s="3" t="s">
        <v>103</v>
      </c>
      <c r="J10497" s="3" t="s">
        <v>103</v>
      </c>
      <c r="K10497" s="3" t="s">
        <v>103</v>
      </c>
      <c r="L10497" s="3" t="s">
        <v>103</v>
      </c>
      <c r="M10497" s="3" t="s">
        <v>103</v>
      </c>
      <c r="N10497" s="3" t="s">
        <v>103</v>
      </c>
      <c r="O10497" s="3" t="s">
        <v>103</v>
      </c>
    </row>
    <row r="10498" spans="1:15" s="3" customFormat="1" x14ac:dyDescent="0.3">
      <c r="A10498" s="3" t="s">
        <v>41</v>
      </c>
      <c r="B10498" s="3" t="s">
        <v>312</v>
      </c>
      <c r="C10498" s="3">
        <v>1</v>
      </c>
      <c r="D10498" s="3" t="s">
        <v>103</v>
      </c>
      <c r="E10498" s="3" t="s">
        <v>192</v>
      </c>
      <c r="F10498" s="3" t="s">
        <v>103</v>
      </c>
      <c r="G10498" s="3" t="s">
        <v>103</v>
      </c>
      <c r="H10498" s="3" t="s">
        <v>103</v>
      </c>
      <c r="I10498" s="3" t="s">
        <v>103</v>
      </c>
      <c r="J10498" s="3" t="s">
        <v>103</v>
      </c>
      <c r="K10498" s="3" t="s">
        <v>103</v>
      </c>
      <c r="L10498" s="3" t="s">
        <v>103</v>
      </c>
      <c r="M10498" s="3" t="s">
        <v>103</v>
      </c>
      <c r="N10498" s="3" t="s">
        <v>103</v>
      </c>
      <c r="O10498" s="3" t="s">
        <v>103</v>
      </c>
    </row>
    <row r="10500" spans="1:15" x14ac:dyDescent="0.3">
      <c r="A10500" t="s">
        <v>2735</v>
      </c>
    </row>
    <row r="10501" spans="1:15" x14ac:dyDescent="0.3">
      <c r="A10501" t="s">
        <v>36</v>
      </c>
      <c r="B10501" t="s">
        <v>197</v>
      </c>
      <c r="C10501" t="s">
        <v>24</v>
      </c>
      <c r="D10501" t="s">
        <v>2714</v>
      </c>
      <c r="E10501" t="s">
        <v>2715</v>
      </c>
      <c r="F10501" t="s">
        <v>2716</v>
      </c>
      <c r="G10501" t="s">
        <v>2717</v>
      </c>
      <c r="H10501" t="s">
        <v>2718</v>
      </c>
      <c r="I10501" t="s">
        <v>2719</v>
      </c>
      <c r="J10501" t="s">
        <v>2720</v>
      </c>
      <c r="K10501" t="s">
        <v>2721</v>
      </c>
      <c r="L10501" t="s">
        <v>2722</v>
      </c>
      <c r="M10501" t="s">
        <v>2723</v>
      </c>
      <c r="N10501" t="s">
        <v>181</v>
      </c>
      <c r="O10501" t="s">
        <v>183</v>
      </c>
    </row>
    <row r="10502" spans="1:15" s="3" customFormat="1" x14ac:dyDescent="0.3">
      <c r="A10502" s="3" t="s">
        <v>25</v>
      </c>
      <c r="B10502" s="3" t="s">
        <v>198</v>
      </c>
      <c r="C10502" s="3">
        <v>5</v>
      </c>
      <c r="D10502" s="3" t="s">
        <v>604</v>
      </c>
      <c r="E10502" s="3" t="s">
        <v>989</v>
      </c>
      <c r="F10502" s="3" t="s">
        <v>736</v>
      </c>
      <c r="G10502" s="3" t="s">
        <v>103</v>
      </c>
      <c r="H10502" s="3" t="s">
        <v>103</v>
      </c>
      <c r="I10502" s="3" t="s">
        <v>103</v>
      </c>
      <c r="J10502" s="3" t="s">
        <v>103</v>
      </c>
      <c r="K10502" s="3" t="s">
        <v>103</v>
      </c>
      <c r="L10502" s="3" t="s">
        <v>103</v>
      </c>
      <c r="M10502" s="3" t="s">
        <v>103</v>
      </c>
      <c r="N10502" s="3" t="s">
        <v>103</v>
      </c>
      <c r="O10502" s="3" t="s">
        <v>103</v>
      </c>
    </row>
    <row r="10503" spans="1:15" s="3" customFormat="1" x14ac:dyDescent="0.3">
      <c r="A10503" s="3" t="s">
        <v>25</v>
      </c>
      <c r="B10503" s="3" t="s">
        <v>199</v>
      </c>
      <c r="C10503" s="3">
        <v>12</v>
      </c>
      <c r="D10503" s="3" t="s">
        <v>1397</v>
      </c>
      <c r="E10503" s="3" t="s">
        <v>838</v>
      </c>
      <c r="F10503" s="3" t="s">
        <v>567</v>
      </c>
      <c r="G10503" s="3" t="s">
        <v>103</v>
      </c>
      <c r="H10503" s="3" t="s">
        <v>566</v>
      </c>
      <c r="I10503" s="3" t="s">
        <v>103</v>
      </c>
      <c r="J10503" s="3" t="s">
        <v>103</v>
      </c>
      <c r="K10503" s="3" t="s">
        <v>103</v>
      </c>
      <c r="L10503" s="3" t="s">
        <v>103</v>
      </c>
      <c r="M10503" s="3" t="s">
        <v>103</v>
      </c>
      <c r="N10503" s="3" t="s">
        <v>103</v>
      </c>
      <c r="O10503" s="3" t="s">
        <v>103</v>
      </c>
    </row>
    <row r="10504" spans="1:15" s="3" customFormat="1" x14ac:dyDescent="0.3">
      <c r="A10504" s="3" t="s">
        <v>26</v>
      </c>
      <c r="B10504" s="3" t="s">
        <v>198</v>
      </c>
      <c r="C10504" s="3">
        <v>1</v>
      </c>
      <c r="D10504" s="3" t="s">
        <v>192</v>
      </c>
      <c r="E10504" s="3" t="s">
        <v>103</v>
      </c>
      <c r="F10504" s="3" t="s">
        <v>192</v>
      </c>
      <c r="G10504" s="3" t="s">
        <v>103</v>
      </c>
      <c r="H10504" s="3" t="s">
        <v>103</v>
      </c>
      <c r="I10504" s="3" t="s">
        <v>103</v>
      </c>
      <c r="J10504" s="3" t="s">
        <v>103</v>
      </c>
      <c r="K10504" s="3" t="s">
        <v>103</v>
      </c>
      <c r="L10504" s="3" t="s">
        <v>103</v>
      </c>
      <c r="M10504" s="3" t="s">
        <v>103</v>
      </c>
      <c r="N10504" s="3" t="s">
        <v>103</v>
      </c>
      <c r="O10504" s="3" t="s">
        <v>103</v>
      </c>
    </row>
    <row r="10505" spans="1:15" s="3" customFormat="1" x14ac:dyDescent="0.3">
      <c r="A10505" s="3" t="s">
        <v>26</v>
      </c>
      <c r="B10505" s="3" t="s">
        <v>199</v>
      </c>
      <c r="C10505" s="3">
        <v>23</v>
      </c>
      <c r="D10505" s="3" t="s">
        <v>1023</v>
      </c>
      <c r="E10505" s="3" t="s">
        <v>1013</v>
      </c>
      <c r="F10505" s="3" t="s">
        <v>258</v>
      </c>
      <c r="G10505" s="3" t="s">
        <v>103</v>
      </c>
      <c r="H10505" s="3" t="s">
        <v>54</v>
      </c>
      <c r="I10505" s="3" t="s">
        <v>205</v>
      </c>
      <c r="J10505" s="3" t="s">
        <v>119</v>
      </c>
      <c r="K10505" s="3" t="s">
        <v>100</v>
      </c>
      <c r="L10505" s="3" t="s">
        <v>103</v>
      </c>
      <c r="M10505" s="3" t="s">
        <v>103</v>
      </c>
      <c r="N10505" s="3" t="s">
        <v>103</v>
      </c>
      <c r="O10505" s="3" t="s">
        <v>103</v>
      </c>
    </row>
    <row r="10506" spans="1:15" s="3" customFormat="1" x14ac:dyDescent="0.3">
      <c r="A10506" s="3" t="s">
        <v>29</v>
      </c>
      <c r="B10506" s="3" t="s">
        <v>198</v>
      </c>
      <c r="C10506" s="3">
        <v>3</v>
      </c>
      <c r="D10506" s="3" t="s">
        <v>103</v>
      </c>
      <c r="E10506" s="3" t="s">
        <v>982</v>
      </c>
      <c r="F10506" s="3" t="s">
        <v>982</v>
      </c>
      <c r="G10506" s="3" t="s">
        <v>103</v>
      </c>
      <c r="H10506" s="3" t="s">
        <v>736</v>
      </c>
      <c r="I10506" s="3" t="s">
        <v>103</v>
      </c>
      <c r="J10506" s="3" t="s">
        <v>103</v>
      </c>
      <c r="K10506" s="3" t="s">
        <v>559</v>
      </c>
      <c r="L10506" s="3" t="s">
        <v>103</v>
      </c>
      <c r="M10506" s="3" t="s">
        <v>103</v>
      </c>
      <c r="N10506" s="3" t="s">
        <v>103</v>
      </c>
      <c r="O10506" s="3" t="s">
        <v>103</v>
      </c>
    </row>
    <row r="10507" spans="1:15" s="3" customFormat="1" x14ac:dyDescent="0.3">
      <c r="A10507" s="3" t="s">
        <v>29</v>
      </c>
      <c r="B10507" s="3" t="s">
        <v>199</v>
      </c>
      <c r="C10507" s="3">
        <v>7</v>
      </c>
      <c r="D10507" s="3" t="s">
        <v>251</v>
      </c>
      <c r="E10507" s="3" t="s">
        <v>816</v>
      </c>
      <c r="F10507" s="3" t="s">
        <v>443</v>
      </c>
      <c r="G10507" s="3" t="s">
        <v>467</v>
      </c>
      <c r="H10507" s="3" t="s">
        <v>467</v>
      </c>
      <c r="I10507" s="3" t="s">
        <v>1093</v>
      </c>
      <c r="J10507" s="3" t="s">
        <v>467</v>
      </c>
      <c r="K10507" s="3" t="s">
        <v>103</v>
      </c>
      <c r="L10507" s="3" t="s">
        <v>103</v>
      </c>
      <c r="M10507" s="3" t="s">
        <v>256</v>
      </c>
      <c r="N10507" s="3" t="s">
        <v>103</v>
      </c>
      <c r="O10507" s="3" t="s">
        <v>103</v>
      </c>
    </row>
    <row r="10508" spans="1:15" x14ac:dyDescent="0.3">
      <c r="A10508" t="s">
        <v>28</v>
      </c>
      <c r="B10508" t="s">
        <v>308</v>
      </c>
    </row>
    <row r="10509" spans="1:15" s="3" customFormat="1" x14ac:dyDescent="0.3">
      <c r="A10509" s="3" t="s">
        <v>27</v>
      </c>
      <c r="B10509" s="3" t="s">
        <v>199</v>
      </c>
      <c r="C10509" s="3">
        <v>5</v>
      </c>
      <c r="D10509" s="3" t="s">
        <v>1245</v>
      </c>
      <c r="E10509" s="3" t="s">
        <v>831</v>
      </c>
      <c r="F10509" s="3" t="s">
        <v>501</v>
      </c>
      <c r="G10509" s="3" t="s">
        <v>103</v>
      </c>
      <c r="H10509" s="3" t="s">
        <v>103</v>
      </c>
      <c r="I10509" s="3" t="s">
        <v>103</v>
      </c>
      <c r="J10509" s="3" t="s">
        <v>746</v>
      </c>
      <c r="K10509" s="3" t="s">
        <v>103</v>
      </c>
      <c r="L10509" s="3" t="s">
        <v>103</v>
      </c>
      <c r="M10509" s="3" t="s">
        <v>103</v>
      </c>
      <c r="N10509" s="3" t="s">
        <v>103</v>
      </c>
      <c r="O10509" s="3" t="s">
        <v>103</v>
      </c>
    </row>
    <row r="10510" spans="1:15" s="3" customFormat="1" x14ac:dyDescent="0.3">
      <c r="A10510" s="3" t="s">
        <v>41</v>
      </c>
      <c r="B10510" s="3" t="s">
        <v>198</v>
      </c>
      <c r="C10510" s="3">
        <v>9</v>
      </c>
      <c r="D10510" s="3" t="s">
        <v>522</v>
      </c>
      <c r="E10510" s="3" t="s">
        <v>508</v>
      </c>
      <c r="F10510" s="3" t="s">
        <v>263</v>
      </c>
      <c r="G10510" s="3" t="s">
        <v>103</v>
      </c>
      <c r="H10510" s="3" t="s">
        <v>1057</v>
      </c>
      <c r="I10510" s="3" t="s">
        <v>103</v>
      </c>
      <c r="J10510" s="3" t="s">
        <v>103</v>
      </c>
      <c r="K10510" s="3" t="s">
        <v>578</v>
      </c>
      <c r="L10510" s="3" t="s">
        <v>103</v>
      </c>
      <c r="M10510" s="3" t="s">
        <v>103</v>
      </c>
      <c r="N10510" s="3" t="s">
        <v>103</v>
      </c>
      <c r="O10510" s="3" t="s">
        <v>103</v>
      </c>
    </row>
    <row r="10511" spans="1:15" x14ac:dyDescent="0.3">
      <c r="A10511" t="s">
        <v>41</v>
      </c>
      <c r="B10511" t="s">
        <v>199</v>
      </c>
      <c r="C10511">
        <v>47</v>
      </c>
      <c r="D10511" t="s">
        <v>1090</v>
      </c>
      <c r="E10511" t="s">
        <v>351</v>
      </c>
      <c r="F10511" t="s">
        <v>1000</v>
      </c>
      <c r="G10511" t="s">
        <v>120</v>
      </c>
      <c r="H10511" t="s">
        <v>700</v>
      </c>
      <c r="I10511" t="s">
        <v>62</v>
      </c>
      <c r="J10511" t="s">
        <v>126</v>
      </c>
      <c r="K10511" t="s">
        <v>201</v>
      </c>
      <c r="L10511" t="s">
        <v>103</v>
      </c>
      <c r="M10511" t="s">
        <v>125</v>
      </c>
      <c r="N10511" t="s">
        <v>103</v>
      </c>
      <c r="O10511" t="s">
        <v>103</v>
      </c>
    </row>
    <row r="10513" spans="1:15" x14ac:dyDescent="0.3">
      <c r="A10513" t="s">
        <v>2736</v>
      </c>
    </row>
    <row r="10514" spans="1:15" x14ac:dyDescent="0.3">
      <c r="A10514" t="s">
        <v>36</v>
      </c>
      <c r="B10514" t="s">
        <v>197</v>
      </c>
      <c r="C10514" t="s">
        <v>24</v>
      </c>
      <c r="D10514" t="s">
        <v>2714</v>
      </c>
      <c r="E10514" t="s">
        <v>2715</v>
      </c>
      <c r="F10514" t="s">
        <v>2716</v>
      </c>
      <c r="G10514" t="s">
        <v>2717</v>
      </c>
      <c r="H10514" t="s">
        <v>2718</v>
      </c>
      <c r="I10514" t="s">
        <v>2719</v>
      </c>
      <c r="J10514" t="s">
        <v>2720</v>
      </c>
      <c r="K10514" t="s">
        <v>2721</v>
      </c>
      <c r="L10514" t="s">
        <v>2722</v>
      </c>
      <c r="M10514" t="s">
        <v>2723</v>
      </c>
      <c r="N10514" t="s">
        <v>181</v>
      </c>
      <c r="O10514" t="s">
        <v>183</v>
      </c>
    </row>
    <row r="10515" spans="1:15" s="3" customFormat="1" x14ac:dyDescent="0.3">
      <c r="A10515" s="3" t="s">
        <v>25</v>
      </c>
      <c r="B10515" s="3" t="s">
        <v>199</v>
      </c>
      <c r="C10515" s="3">
        <v>1</v>
      </c>
      <c r="D10515" s="3" t="s">
        <v>103</v>
      </c>
      <c r="E10515" s="3" t="s">
        <v>192</v>
      </c>
      <c r="F10515" s="3" t="s">
        <v>103</v>
      </c>
      <c r="G10515" s="3" t="s">
        <v>103</v>
      </c>
      <c r="H10515" s="3" t="s">
        <v>103</v>
      </c>
      <c r="I10515" s="3" t="s">
        <v>103</v>
      </c>
      <c r="J10515" s="3" t="s">
        <v>103</v>
      </c>
      <c r="K10515" s="3" t="s">
        <v>103</v>
      </c>
      <c r="L10515" s="3" t="s">
        <v>103</v>
      </c>
      <c r="M10515" s="3" t="s">
        <v>103</v>
      </c>
      <c r="N10515" s="3" t="s">
        <v>103</v>
      </c>
      <c r="O10515" s="3" t="s">
        <v>103</v>
      </c>
    </row>
    <row r="10516" spans="1:15" x14ac:dyDescent="0.3">
      <c r="A10516" t="s">
        <v>26</v>
      </c>
      <c r="B10516" t="s">
        <v>308</v>
      </c>
    </row>
    <row r="10517" spans="1:15" s="3" customFormat="1" x14ac:dyDescent="0.3">
      <c r="A10517" s="3" t="s">
        <v>29</v>
      </c>
      <c r="B10517" s="3" t="s">
        <v>199</v>
      </c>
      <c r="C10517" s="3">
        <v>1</v>
      </c>
      <c r="D10517" s="3" t="s">
        <v>103</v>
      </c>
      <c r="E10517" s="3" t="s">
        <v>103</v>
      </c>
      <c r="F10517" s="3" t="s">
        <v>192</v>
      </c>
      <c r="G10517" s="3" t="s">
        <v>103</v>
      </c>
      <c r="H10517" s="3" t="s">
        <v>103</v>
      </c>
      <c r="I10517" s="3" t="s">
        <v>103</v>
      </c>
      <c r="J10517" s="3" t="s">
        <v>103</v>
      </c>
      <c r="K10517" s="3" t="s">
        <v>103</v>
      </c>
      <c r="L10517" s="3" t="s">
        <v>103</v>
      </c>
      <c r="M10517" s="3" t="s">
        <v>103</v>
      </c>
      <c r="N10517" s="3" t="s">
        <v>103</v>
      </c>
      <c r="O10517" s="3" t="s">
        <v>103</v>
      </c>
    </row>
    <row r="10518" spans="1:15" x14ac:dyDescent="0.3">
      <c r="A10518" t="s">
        <v>28</v>
      </c>
      <c r="B10518" t="s">
        <v>308</v>
      </c>
    </row>
    <row r="10519" spans="1:15" x14ac:dyDescent="0.3">
      <c r="A10519" t="s">
        <v>27</v>
      </c>
      <c r="B10519" t="s">
        <v>308</v>
      </c>
    </row>
    <row r="10520" spans="1:15" s="3" customFormat="1" x14ac:dyDescent="0.3">
      <c r="A10520" s="3" t="s">
        <v>41</v>
      </c>
      <c r="B10520" s="3" t="s">
        <v>199</v>
      </c>
      <c r="C10520" s="3">
        <v>2</v>
      </c>
      <c r="D10520" s="3" t="s">
        <v>103</v>
      </c>
      <c r="E10520" s="3" t="s">
        <v>821</v>
      </c>
      <c r="F10520" s="3" t="s">
        <v>477</v>
      </c>
      <c r="G10520" s="3" t="s">
        <v>103</v>
      </c>
      <c r="H10520" s="3" t="s">
        <v>103</v>
      </c>
      <c r="I10520" s="3" t="s">
        <v>103</v>
      </c>
      <c r="J10520" s="3" t="s">
        <v>103</v>
      </c>
      <c r="K10520" s="3" t="s">
        <v>103</v>
      </c>
      <c r="L10520" s="3" t="s">
        <v>103</v>
      </c>
      <c r="M10520" s="3" t="s">
        <v>103</v>
      </c>
      <c r="N10520" s="3" t="s">
        <v>103</v>
      </c>
      <c r="O10520" s="3" t="s">
        <v>103</v>
      </c>
    </row>
    <row r="10522" spans="1:15" x14ac:dyDescent="0.3">
      <c r="A10522" t="s">
        <v>2737</v>
      </c>
    </row>
    <row r="10523" spans="1:15" x14ac:dyDescent="0.3">
      <c r="A10523" t="s">
        <v>36</v>
      </c>
      <c r="B10523" t="s">
        <v>197</v>
      </c>
      <c r="C10523" t="s">
        <v>24</v>
      </c>
      <c r="D10523" t="s">
        <v>2714</v>
      </c>
      <c r="E10523" t="s">
        <v>2715</v>
      </c>
      <c r="F10523" t="s">
        <v>2716</v>
      </c>
      <c r="G10523" t="s">
        <v>2717</v>
      </c>
      <c r="H10523" t="s">
        <v>2718</v>
      </c>
      <c r="I10523" t="s">
        <v>2719</v>
      </c>
      <c r="J10523" t="s">
        <v>2720</v>
      </c>
      <c r="K10523" t="s">
        <v>2721</v>
      </c>
      <c r="L10523" t="s">
        <v>2722</v>
      </c>
      <c r="M10523" t="s">
        <v>2723</v>
      </c>
      <c r="N10523" t="s">
        <v>181</v>
      </c>
      <c r="O10523" t="s">
        <v>183</v>
      </c>
    </row>
    <row r="10524" spans="1:15" s="3" customFormat="1" x14ac:dyDescent="0.3">
      <c r="A10524" s="3" t="s">
        <v>25</v>
      </c>
      <c r="B10524" s="3" t="s">
        <v>199</v>
      </c>
      <c r="C10524" s="3">
        <v>3</v>
      </c>
      <c r="D10524" s="3" t="s">
        <v>363</v>
      </c>
      <c r="E10524" s="3" t="s">
        <v>362</v>
      </c>
      <c r="F10524" s="3" t="s">
        <v>362</v>
      </c>
      <c r="G10524" s="3" t="s">
        <v>362</v>
      </c>
      <c r="H10524" s="3" t="s">
        <v>103</v>
      </c>
      <c r="I10524" s="3" t="s">
        <v>103</v>
      </c>
      <c r="J10524" s="3" t="s">
        <v>103</v>
      </c>
      <c r="K10524" s="3" t="s">
        <v>103</v>
      </c>
      <c r="L10524" s="3" t="s">
        <v>103</v>
      </c>
      <c r="M10524" s="3" t="s">
        <v>103</v>
      </c>
      <c r="N10524" s="3" t="s">
        <v>103</v>
      </c>
      <c r="O10524" s="3" t="s">
        <v>103</v>
      </c>
    </row>
    <row r="10525" spans="1:15" s="3" customFormat="1" x14ac:dyDescent="0.3">
      <c r="A10525" s="3" t="s">
        <v>26</v>
      </c>
      <c r="B10525" s="3" t="s">
        <v>199</v>
      </c>
      <c r="C10525" s="3">
        <v>5</v>
      </c>
      <c r="D10525" s="3" t="s">
        <v>1308</v>
      </c>
      <c r="E10525" s="3" t="s">
        <v>103</v>
      </c>
      <c r="F10525" s="3" t="s">
        <v>1319</v>
      </c>
      <c r="G10525" s="3" t="s">
        <v>103</v>
      </c>
      <c r="H10525" s="3" t="s">
        <v>478</v>
      </c>
      <c r="I10525" s="3" t="s">
        <v>103</v>
      </c>
      <c r="J10525" s="3" t="s">
        <v>103</v>
      </c>
      <c r="K10525" s="3" t="s">
        <v>103</v>
      </c>
      <c r="L10525" s="3" t="s">
        <v>103</v>
      </c>
      <c r="M10525" s="3" t="s">
        <v>103</v>
      </c>
      <c r="N10525" s="3" t="s">
        <v>103</v>
      </c>
      <c r="O10525" s="3" t="s">
        <v>103</v>
      </c>
    </row>
    <row r="10526" spans="1:15" x14ac:dyDescent="0.3">
      <c r="A10526" t="s">
        <v>29</v>
      </c>
      <c r="B10526" t="s">
        <v>308</v>
      </c>
    </row>
    <row r="10527" spans="1:15" s="3" customFormat="1" x14ac:dyDescent="0.3">
      <c r="A10527" s="3" t="s">
        <v>28</v>
      </c>
      <c r="B10527" s="3" t="s">
        <v>199</v>
      </c>
      <c r="C10527" s="3">
        <v>1</v>
      </c>
      <c r="D10527" s="3" t="s">
        <v>192</v>
      </c>
      <c r="E10527" s="3" t="s">
        <v>103</v>
      </c>
      <c r="F10527" s="3" t="s">
        <v>103</v>
      </c>
      <c r="G10527" s="3" t="s">
        <v>103</v>
      </c>
      <c r="H10527" s="3" t="s">
        <v>103</v>
      </c>
      <c r="I10527" s="3" t="s">
        <v>103</v>
      </c>
      <c r="J10527" s="3" t="s">
        <v>103</v>
      </c>
      <c r="K10527" s="3" t="s">
        <v>103</v>
      </c>
      <c r="L10527" s="3" t="s">
        <v>103</v>
      </c>
      <c r="M10527" s="3" t="s">
        <v>103</v>
      </c>
      <c r="N10527" s="3" t="s">
        <v>103</v>
      </c>
      <c r="O10527" s="3" t="s">
        <v>103</v>
      </c>
    </row>
    <row r="10528" spans="1:15" x14ac:dyDescent="0.3">
      <c r="A10528" t="s">
        <v>27</v>
      </c>
      <c r="B10528" t="s">
        <v>308</v>
      </c>
    </row>
    <row r="10529" spans="1:15" s="3" customFormat="1" x14ac:dyDescent="0.3">
      <c r="A10529" s="3" t="s">
        <v>41</v>
      </c>
      <c r="B10529" s="3" t="s">
        <v>199</v>
      </c>
      <c r="C10529" s="3">
        <v>9</v>
      </c>
      <c r="D10529" s="3" t="s">
        <v>1393</v>
      </c>
      <c r="E10529" s="3" t="s">
        <v>150</v>
      </c>
      <c r="F10529" s="3" t="s">
        <v>569</v>
      </c>
      <c r="G10529" s="3" t="s">
        <v>150</v>
      </c>
      <c r="H10529" s="3" t="s">
        <v>106</v>
      </c>
      <c r="I10529" s="3" t="s">
        <v>103</v>
      </c>
      <c r="J10529" s="3" t="s">
        <v>103</v>
      </c>
      <c r="K10529" s="3" t="s">
        <v>103</v>
      </c>
      <c r="L10529" s="3" t="s">
        <v>103</v>
      </c>
      <c r="M10529" s="3" t="s">
        <v>103</v>
      </c>
      <c r="N10529" s="3" t="s">
        <v>103</v>
      </c>
      <c r="O10529" s="3" t="s">
        <v>103</v>
      </c>
    </row>
    <row r="10531" spans="1:15" x14ac:dyDescent="0.3">
      <c r="A10531" t="s">
        <v>2738</v>
      </c>
    </row>
    <row r="10532" spans="1:15" x14ac:dyDescent="0.3">
      <c r="A10532" t="s">
        <v>36</v>
      </c>
      <c r="B10532" t="s">
        <v>197</v>
      </c>
      <c r="C10532" t="s">
        <v>24</v>
      </c>
      <c r="D10532" t="s">
        <v>2714</v>
      </c>
      <c r="E10532" t="s">
        <v>2715</v>
      </c>
      <c r="F10532" t="s">
        <v>2716</v>
      </c>
      <c r="G10532" t="s">
        <v>2717</v>
      </c>
      <c r="H10532" t="s">
        <v>2718</v>
      </c>
      <c r="I10532" t="s">
        <v>2719</v>
      </c>
      <c r="J10532" t="s">
        <v>2720</v>
      </c>
      <c r="K10532" t="s">
        <v>2721</v>
      </c>
      <c r="L10532" t="s">
        <v>2722</v>
      </c>
      <c r="M10532" t="s">
        <v>2723</v>
      </c>
      <c r="N10532" t="s">
        <v>181</v>
      </c>
      <c r="O10532" t="s">
        <v>183</v>
      </c>
    </row>
    <row r="10533" spans="1:15" s="3" customFormat="1" x14ac:dyDescent="0.3">
      <c r="A10533" s="3" t="s">
        <v>25</v>
      </c>
      <c r="B10533" s="3" t="s">
        <v>199</v>
      </c>
      <c r="C10533" s="3">
        <v>1</v>
      </c>
      <c r="D10533" s="3" t="s">
        <v>103</v>
      </c>
      <c r="E10533" s="3" t="s">
        <v>192</v>
      </c>
      <c r="F10533" s="3" t="s">
        <v>103</v>
      </c>
      <c r="G10533" s="3" t="s">
        <v>103</v>
      </c>
      <c r="H10533" s="3" t="s">
        <v>103</v>
      </c>
      <c r="I10533" s="3" t="s">
        <v>103</v>
      </c>
      <c r="J10533" s="3" t="s">
        <v>103</v>
      </c>
      <c r="K10533" s="3" t="s">
        <v>103</v>
      </c>
      <c r="L10533" s="3" t="s">
        <v>103</v>
      </c>
      <c r="M10533" s="3" t="s">
        <v>103</v>
      </c>
      <c r="N10533" s="3" t="s">
        <v>103</v>
      </c>
      <c r="O10533" s="3" t="s">
        <v>103</v>
      </c>
    </row>
    <row r="10534" spans="1:15" s="3" customFormat="1" x14ac:dyDescent="0.3">
      <c r="A10534" s="3" t="s">
        <v>26</v>
      </c>
      <c r="B10534" s="3" t="s">
        <v>199</v>
      </c>
      <c r="C10534" s="3">
        <v>1</v>
      </c>
      <c r="D10534" s="3" t="s">
        <v>103</v>
      </c>
      <c r="E10534" s="3" t="s">
        <v>192</v>
      </c>
      <c r="F10534" s="3" t="s">
        <v>103</v>
      </c>
      <c r="G10534" s="3" t="s">
        <v>103</v>
      </c>
      <c r="H10534" s="3" t="s">
        <v>103</v>
      </c>
      <c r="I10534" s="3" t="s">
        <v>103</v>
      </c>
      <c r="J10534" s="3" t="s">
        <v>103</v>
      </c>
      <c r="K10534" s="3" t="s">
        <v>103</v>
      </c>
      <c r="L10534" s="3" t="s">
        <v>103</v>
      </c>
      <c r="M10534" s="3" t="s">
        <v>103</v>
      </c>
      <c r="N10534" s="3" t="s">
        <v>103</v>
      </c>
      <c r="O10534" s="3" t="s">
        <v>103</v>
      </c>
    </row>
    <row r="10535" spans="1:15" s="3" customFormat="1" x14ac:dyDescent="0.3">
      <c r="A10535" s="3" t="s">
        <v>29</v>
      </c>
      <c r="B10535" s="3" t="s">
        <v>198</v>
      </c>
      <c r="C10535" s="3">
        <v>2</v>
      </c>
      <c r="D10535" s="3" t="s">
        <v>461</v>
      </c>
      <c r="E10535" s="3" t="s">
        <v>192</v>
      </c>
      <c r="F10535" s="3" t="s">
        <v>103</v>
      </c>
      <c r="G10535" s="3" t="s">
        <v>103</v>
      </c>
      <c r="H10535" s="3" t="s">
        <v>461</v>
      </c>
      <c r="I10535" s="3" t="s">
        <v>103</v>
      </c>
      <c r="J10535" s="3" t="s">
        <v>1017</v>
      </c>
      <c r="K10535" s="3" t="s">
        <v>103</v>
      </c>
      <c r="L10535" s="3" t="s">
        <v>103</v>
      </c>
      <c r="M10535" s="3" t="s">
        <v>103</v>
      </c>
      <c r="N10535" s="3" t="s">
        <v>103</v>
      </c>
      <c r="O10535" s="3" t="s">
        <v>103</v>
      </c>
    </row>
    <row r="10536" spans="1:15" s="3" customFormat="1" x14ac:dyDescent="0.3">
      <c r="A10536" s="3" t="s">
        <v>29</v>
      </c>
      <c r="B10536" s="3" t="s">
        <v>199</v>
      </c>
      <c r="C10536" s="3">
        <v>4</v>
      </c>
      <c r="D10536" s="3" t="s">
        <v>156</v>
      </c>
      <c r="E10536" s="3" t="s">
        <v>1209</v>
      </c>
      <c r="F10536" s="3" t="s">
        <v>162</v>
      </c>
      <c r="G10536" s="3" t="s">
        <v>931</v>
      </c>
      <c r="H10536" s="3" t="s">
        <v>103</v>
      </c>
      <c r="I10536" s="3" t="s">
        <v>156</v>
      </c>
      <c r="J10536" s="3" t="s">
        <v>103</v>
      </c>
      <c r="K10536" s="3" t="s">
        <v>103</v>
      </c>
      <c r="L10536" s="3" t="s">
        <v>103</v>
      </c>
      <c r="M10536" s="3" t="s">
        <v>103</v>
      </c>
      <c r="N10536" s="3" t="s">
        <v>103</v>
      </c>
      <c r="O10536" s="3" t="s">
        <v>103</v>
      </c>
    </row>
    <row r="10537" spans="1:15" x14ac:dyDescent="0.3">
      <c r="A10537" t="s">
        <v>28</v>
      </c>
      <c r="B10537" t="s">
        <v>308</v>
      </c>
    </row>
    <row r="10538" spans="1:15" x14ac:dyDescent="0.3">
      <c r="A10538" t="s">
        <v>27</v>
      </c>
      <c r="B10538" t="s">
        <v>308</v>
      </c>
    </row>
    <row r="10539" spans="1:15" s="3" customFormat="1" x14ac:dyDescent="0.3">
      <c r="A10539" s="3" t="s">
        <v>41</v>
      </c>
      <c r="B10539" s="3" t="s">
        <v>198</v>
      </c>
      <c r="C10539" s="3">
        <v>2</v>
      </c>
      <c r="D10539" s="3" t="s">
        <v>461</v>
      </c>
      <c r="E10539" s="3" t="s">
        <v>192</v>
      </c>
      <c r="F10539" s="3" t="s">
        <v>103</v>
      </c>
      <c r="G10539" s="3" t="s">
        <v>103</v>
      </c>
      <c r="H10539" s="3" t="s">
        <v>461</v>
      </c>
      <c r="I10539" s="3" t="s">
        <v>103</v>
      </c>
      <c r="J10539" s="3" t="s">
        <v>1017</v>
      </c>
      <c r="K10539" s="3" t="s">
        <v>103</v>
      </c>
      <c r="L10539" s="3" t="s">
        <v>103</v>
      </c>
      <c r="M10539" s="3" t="s">
        <v>103</v>
      </c>
      <c r="N10539" s="3" t="s">
        <v>103</v>
      </c>
      <c r="O10539" s="3" t="s">
        <v>103</v>
      </c>
    </row>
    <row r="10540" spans="1:15" s="3" customFormat="1" x14ac:dyDescent="0.3">
      <c r="A10540" s="3" t="s">
        <v>41</v>
      </c>
      <c r="B10540" s="3" t="s">
        <v>199</v>
      </c>
      <c r="C10540" s="3">
        <v>6</v>
      </c>
      <c r="D10540" s="3" t="s">
        <v>260</v>
      </c>
      <c r="E10540" s="3" t="s">
        <v>717</v>
      </c>
      <c r="F10540" s="3" t="s">
        <v>119</v>
      </c>
      <c r="G10540" s="3" t="s">
        <v>1216</v>
      </c>
      <c r="H10540" s="3" t="s">
        <v>103</v>
      </c>
      <c r="I10540" s="3" t="s">
        <v>260</v>
      </c>
      <c r="J10540" s="3" t="s">
        <v>103</v>
      </c>
      <c r="K10540" s="3" t="s">
        <v>103</v>
      </c>
      <c r="L10540" s="3" t="s">
        <v>103</v>
      </c>
      <c r="M10540" s="3" t="s">
        <v>103</v>
      </c>
      <c r="N10540" s="3" t="s">
        <v>103</v>
      </c>
      <c r="O10540" s="3" t="s">
        <v>103</v>
      </c>
    </row>
    <row r="10542" spans="1:15" x14ac:dyDescent="0.3">
      <c r="A10542" t="s">
        <v>2739</v>
      </c>
    </row>
    <row r="10543" spans="1:15" x14ac:dyDescent="0.3">
      <c r="A10543" t="s">
        <v>36</v>
      </c>
      <c r="B10543" t="s">
        <v>197</v>
      </c>
      <c r="C10543" t="s">
        <v>24</v>
      </c>
      <c r="D10543" t="s">
        <v>2714</v>
      </c>
      <c r="E10543" t="s">
        <v>2715</v>
      </c>
      <c r="F10543" t="s">
        <v>2716</v>
      </c>
      <c r="G10543" t="s">
        <v>2717</v>
      </c>
      <c r="H10543" t="s">
        <v>2718</v>
      </c>
      <c r="I10543" t="s">
        <v>2719</v>
      </c>
      <c r="J10543" t="s">
        <v>2720</v>
      </c>
      <c r="K10543" t="s">
        <v>2721</v>
      </c>
      <c r="L10543" t="s">
        <v>2722</v>
      </c>
      <c r="M10543" t="s">
        <v>2723</v>
      </c>
      <c r="N10543" t="s">
        <v>181</v>
      </c>
      <c r="O10543" t="s">
        <v>183</v>
      </c>
    </row>
    <row r="10544" spans="1:15" x14ac:dyDescent="0.3">
      <c r="A10544" t="s">
        <v>25</v>
      </c>
      <c r="B10544" t="s">
        <v>308</v>
      </c>
    </row>
    <row r="10545" spans="1:15" s="3" customFormat="1" x14ac:dyDescent="0.3">
      <c r="A10545" s="3" t="s">
        <v>26</v>
      </c>
      <c r="B10545" s="3" t="s">
        <v>199</v>
      </c>
      <c r="C10545" s="3">
        <v>2</v>
      </c>
      <c r="D10545" s="3" t="s">
        <v>103</v>
      </c>
      <c r="E10545" s="3" t="s">
        <v>103</v>
      </c>
      <c r="F10545" s="3" t="s">
        <v>103</v>
      </c>
      <c r="G10545" s="3" t="s">
        <v>103</v>
      </c>
      <c r="H10545" s="3" t="s">
        <v>192</v>
      </c>
      <c r="I10545" s="3" t="s">
        <v>496</v>
      </c>
      <c r="J10545" s="3" t="s">
        <v>103</v>
      </c>
      <c r="K10545" s="3" t="s">
        <v>103</v>
      </c>
      <c r="L10545" s="3" t="s">
        <v>103</v>
      </c>
      <c r="M10545" s="3" t="s">
        <v>103</v>
      </c>
      <c r="N10545" s="3" t="s">
        <v>103</v>
      </c>
      <c r="O10545" s="3" t="s">
        <v>103</v>
      </c>
    </row>
    <row r="10546" spans="1:15" s="3" customFormat="1" x14ac:dyDescent="0.3">
      <c r="A10546" s="3" t="s">
        <v>29</v>
      </c>
      <c r="B10546" s="3" t="s">
        <v>198</v>
      </c>
      <c r="C10546" s="3">
        <v>2</v>
      </c>
      <c r="D10546" s="3" t="s">
        <v>1394</v>
      </c>
      <c r="E10546" s="3" t="s">
        <v>103</v>
      </c>
      <c r="F10546" s="3" t="s">
        <v>103</v>
      </c>
      <c r="G10546" s="3" t="s">
        <v>192</v>
      </c>
      <c r="H10546" s="3" t="s">
        <v>103</v>
      </c>
      <c r="I10546" s="3" t="s">
        <v>103</v>
      </c>
      <c r="J10546" s="3" t="s">
        <v>103</v>
      </c>
      <c r="K10546" s="3" t="s">
        <v>103</v>
      </c>
      <c r="L10546" s="3" t="s">
        <v>103</v>
      </c>
      <c r="M10546" s="3" t="s">
        <v>103</v>
      </c>
      <c r="N10546" s="3" t="s">
        <v>103</v>
      </c>
      <c r="O10546" s="3" t="s">
        <v>103</v>
      </c>
    </row>
    <row r="10547" spans="1:15" s="3" customFormat="1" x14ac:dyDescent="0.3">
      <c r="A10547" s="3" t="s">
        <v>29</v>
      </c>
      <c r="B10547" s="3" t="s">
        <v>199</v>
      </c>
      <c r="C10547" s="3">
        <v>2</v>
      </c>
      <c r="D10547" s="3" t="s">
        <v>993</v>
      </c>
      <c r="E10547" s="3" t="s">
        <v>993</v>
      </c>
      <c r="F10547" s="3" t="s">
        <v>192</v>
      </c>
      <c r="G10547" s="3" t="s">
        <v>103</v>
      </c>
      <c r="H10547" s="3" t="s">
        <v>103</v>
      </c>
      <c r="I10547" s="3" t="s">
        <v>103</v>
      </c>
      <c r="J10547" s="3" t="s">
        <v>103</v>
      </c>
      <c r="K10547" s="3" t="s">
        <v>103</v>
      </c>
      <c r="L10547" s="3" t="s">
        <v>103</v>
      </c>
      <c r="M10547" s="3" t="s">
        <v>103</v>
      </c>
      <c r="N10547" s="3" t="s">
        <v>103</v>
      </c>
      <c r="O10547" s="3" t="s">
        <v>103</v>
      </c>
    </row>
    <row r="10548" spans="1:15" x14ac:dyDescent="0.3">
      <c r="A10548" t="s">
        <v>28</v>
      </c>
      <c r="B10548" t="s">
        <v>308</v>
      </c>
    </row>
    <row r="10549" spans="1:15" s="3" customFormat="1" x14ac:dyDescent="0.3">
      <c r="A10549" s="3" t="s">
        <v>27</v>
      </c>
      <c r="B10549" s="3" t="s">
        <v>198</v>
      </c>
      <c r="C10549" s="3">
        <v>1</v>
      </c>
      <c r="D10549" s="3" t="s">
        <v>103</v>
      </c>
      <c r="E10549" s="3" t="s">
        <v>103</v>
      </c>
      <c r="F10549" s="3" t="s">
        <v>103</v>
      </c>
      <c r="G10549" s="3" t="s">
        <v>103</v>
      </c>
      <c r="H10549" s="3" t="s">
        <v>192</v>
      </c>
      <c r="I10549" s="3" t="s">
        <v>103</v>
      </c>
      <c r="J10549" s="3" t="s">
        <v>103</v>
      </c>
      <c r="K10549" s="3" t="s">
        <v>103</v>
      </c>
      <c r="L10549" s="3" t="s">
        <v>103</v>
      </c>
      <c r="M10549" s="3" t="s">
        <v>103</v>
      </c>
      <c r="N10549" s="3" t="s">
        <v>103</v>
      </c>
      <c r="O10549" s="3" t="s">
        <v>103</v>
      </c>
    </row>
    <row r="10550" spans="1:15" s="3" customFormat="1" x14ac:dyDescent="0.3">
      <c r="A10550" s="3" t="s">
        <v>41</v>
      </c>
      <c r="B10550" s="3" t="s">
        <v>198</v>
      </c>
      <c r="C10550" s="3">
        <v>3</v>
      </c>
      <c r="D10550" s="3" t="s">
        <v>839</v>
      </c>
      <c r="E10550" s="3" t="s">
        <v>103</v>
      </c>
      <c r="F10550" s="3" t="s">
        <v>103</v>
      </c>
      <c r="G10550" s="3" t="s">
        <v>240</v>
      </c>
      <c r="H10550" s="3" t="s">
        <v>693</v>
      </c>
      <c r="I10550" s="3" t="s">
        <v>103</v>
      </c>
      <c r="J10550" s="3" t="s">
        <v>103</v>
      </c>
      <c r="K10550" s="3" t="s">
        <v>103</v>
      </c>
      <c r="L10550" s="3" t="s">
        <v>103</v>
      </c>
      <c r="M10550" s="3" t="s">
        <v>103</v>
      </c>
      <c r="N10550" s="3" t="s">
        <v>103</v>
      </c>
      <c r="O10550" s="3" t="s">
        <v>103</v>
      </c>
    </row>
    <row r="10551" spans="1:15" s="3" customFormat="1" x14ac:dyDescent="0.3">
      <c r="A10551" s="3" t="s">
        <v>41</v>
      </c>
      <c r="B10551" s="3" t="s">
        <v>199</v>
      </c>
      <c r="C10551" s="3">
        <v>4</v>
      </c>
      <c r="D10551" s="3" t="s">
        <v>920</v>
      </c>
      <c r="E10551" s="3" t="s">
        <v>920</v>
      </c>
      <c r="F10551" s="3" t="s">
        <v>1426</v>
      </c>
      <c r="G10551" s="3" t="s">
        <v>103</v>
      </c>
      <c r="H10551" s="3" t="s">
        <v>546</v>
      </c>
      <c r="I10551" s="3" t="s">
        <v>471</v>
      </c>
      <c r="J10551" s="3" t="s">
        <v>103</v>
      </c>
      <c r="K10551" s="3" t="s">
        <v>103</v>
      </c>
      <c r="L10551" s="3" t="s">
        <v>103</v>
      </c>
      <c r="M10551" s="3" t="s">
        <v>103</v>
      </c>
      <c r="N10551" s="3" t="s">
        <v>103</v>
      </c>
      <c r="O10551" s="3" t="s">
        <v>103</v>
      </c>
    </row>
    <row r="10553" spans="1:15" x14ac:dyDescent="0.3">
      <c r="A10553" t="s">
        <v>2740</v>
      </c>
    </row>
    <row r="10554" spans="1:15" x14ac:dyDescent="0.3">
      <c r="A10554" t="s">
        <v>36</v>
      </c>
      <c r="B10554" t="s">
        <v>197</v>
      </c>
      <c r="C10554" t="s">
        <v>24</v>
      </c>
      <c r="D10554" t="s">
        <v>2714</v>
      </c>
      <c r="E10554" t="s">
        <v>2715</v>
      </c>
      <c r="F10554" t="s">
        <v>2716</v>
      </c>
      <c r="G10554" t="s">
        <v>2717</v>
      </c>
      <c r="H10554" t="s">
        <v>2718</v>
      </c>
      <c r="I10554" t="s">
        <v>2719</v>
      </c>
      <c r="J10554" t="s">
        <v>2720</v>
      </c>
      <c r="K10554" t="s">
        <v>2721</v>
      </c>
      <c r="L10554" t="s">
        <v>2722</v>
      </c>
      <c r="M10554" t="s">
        <v>2723</v>
      </c>
      <c r="N10554" t="s">
        <v>181</v>
      </c>
      <c r="O10554" t="s">
        <v>183</v>
      </c>
    </row>
    <row r="10555" spans="1:15" x14ac:dyDescent="0.3">
      <c r="A10555" t="s">
        <v>25</v>
      </c>
      <c r="B10555" t="s">
        <v>308</v>
      </c>
    </row>
    <row r="10556" spans="1:15" s="3" customFormat="1" x14ac:dyDescent="0.3">
      <c r="A10556" s="3" t="s">
        <v>26</v>
      </c>
      <c r="B10556" s="3" t="s">
        <v>199</v>
      </c>
      <c r="C10556" s="3">
        <v>2</v>
      </c>
      <c r="D10556" s="3" t="s">
        <v>103</v>
      </c>
      <c r="E10556" s="3" t="s">
        <v>370</v>
      </c>
      <c r="F10556" s="3" t="s">
        <v>103</v>
      </c>
      <c r="G10556" s="3" t="s">
        <v>371</v>
      </c>
      <c r="H10556" s="3" t="s">
        <v>103</v>
      </c>
      <c r="I10556" s="3" t="s">
        <v>103</v>
      </c>
      <c r="J10556" s="3" t="s">
        <v>103</v>
      </c>
      <c r="K10556" s="3" t="s">
        <v>103</v>
      </c>
      <c r="L10556" s="3" t="s">
        <v>103</v>
      </c>
      <c r="M10556" s="3" t="s">
        <v>103</v>
      </c>
      <c r="N10556" s="3" t="s">
        <v>103</v>
      </c>
      <c r="O10556" s="3" t="s">
        <v>103</v>
      </c>
    </row>
    <row r="10557" spans="1:15" x14ac:dyDescent="0.3">
      <c r="A10557" t="s">
        <v>29</v>
      </c>
      <c r="B10557" t="s">
        <v>308</v>
      </c>
    </row>
    <row r="10558" spans="1:15" x14ac:dyDescent="0.3">
      <c r="A10558" t="s">
        <v>28</v>
      </c>
      <c r="B10558" t="s">
        <v>308</v>
      </c>
    </row>
    <row r="10559" spans="1:15" x14ac:dyDescent="0.3">
      <c r="A10559" t="s">
        <v>27</v>
      </c>
      <c r="B10559" t="s">
        <v>308</v>
      </c>
    </row>
    <row r="10560" spans="1:15" s="3" customFormat="1" x14ac:dyDescent="0.3">
      <c r="A10560" s="3" t="s">
        <v>41</v>
      </c>
      <c r="B10560" s="3" t="s">
        <v>199</v>
      </c>
      <c r="C10560" s="3">
        <v>2</v>
      </c>
      <c r="D10560" s="3" t="s">
        <v>103</v>
      </c>
      <c r="E10560" s="3" t="s">
        <v>370</v>
      </c>
      <c r="F10560" s="3" t="s">
        <v>103</v>
      </c>
      <c r="G10560" s="3" t="s">
        <v>371</v>
      </c>
      <c r="H10560" s="3" t="s">
        <v>103</v>
      </c>
      <c r="I10560" s="3" t="s">
        <v>103</v>
      </c>
      <c r="J10560" s="3" t="s">
        <v>103</v>
      </c>
      <c r="K10560" s="3" t="s">
        <v>103</v>
      </c>
      <c r="L10560" s="3" t="s">
        <v>103</v>
      </c>
      <c r="M10560" s="3" t="s">
        <v>103</v>
      </c>
      <c r="N10560" s="3" t="s">
        <v>103</v>
      </c>
      <c r="O10560" s="3" t="s">
        <v>103</v>
      </c>
    </row>
    <row r="10562" spans="1:15" x14ac:dyDescent="0.3">
      <c r="A10562" t="s">
        <v>2741</v>
      </c>
    </row>
    <row r="10563" spans="1:15" x14ac:dyDescent="0.3">
      <c r="A10563" t="s">
        <v>36</v>
      </c>
      <c r="B10563" t="s">
        <v>2677</v>
      </c>
      <c r="C10563" t="s">
        <v>24</v>
      </c>
      <c r="D10563" t="s">
        <v>2714</v>
      </c>
      <c r="E10563" t="s">
        <v>2715</v>
      </c>
      <c r="F10563" t="s">
        <v>2716</v>
      </c>
      <c r="G10563" t="s">
        <v>2717</v>
      </c>
      <c r="H10563" t="s">
        <v>2718</v>
      </c>
      <c r="I10563" t="s">
        <v>2719</v>
      </c>
      <c r="J10563" t="s">
        <v>2720</v>
      </c>
      <c r="K10563" t="s">
        <v>2721</v>
      </c>
      <c r="L10563" t="s">
        <v>2722</v>
      </c>
      <c r="M10563" t="s">
        <v>2723</v>
      </c>
      <c r="N10563" t="s">
        <v>181</v>
      </c>
      <c r="O10563" t="s">
        <v>183</v>
      </c>
    </row>
    <row r="10564" spans="1:15" s="3" customFormat="1" x14ac:dyDescent="0.3">
      <c r="A10564" s="3" t="s">
        <v>25</v>
      </c>
      <c r="B10564" s="3" t="s">
        <v>2678</v>
      </c>
      <c r="C10564" s="3">
        <v>17</v>
      </c>
      <c r="D10564" s="3" t="s">
        <v>931</v>
      </c>
      <c r="E10564" s="3" t="s">
        <v>782</v>
      </c>
      <c r="F10564" s="3" t="s">
        <v>770</v>
      </c>
      <c r="G10564" s="3" t="s">
        <v>103</v>
      </c>
      <c r="H10564" s="3" t="s">
        <v>191</v>
      </c>
      <c r="I10564" s="3" t="s">
        <v>103</v>
      </c>
      <c r="J10564" s="3" t="s">
        <v>103</v>
      </c>
      <c r="K10564" s="3" t="s">
        <v>103</v>
      </c>
      <c r="L10564" s="3" t="s">
        <v>103</v>
      </c>
      <c r="M10564" s="3" t="s">
        <v>103</v>
      </c>
      <c r="N10564" s="3" t="s">
        <v>103</v>
      </c>
      <c r="O10564" s="3" t="s">
        <v>103</v>
      </c>
    </row>
    <row r="10565" spans="1:15" s="3" customFormat="1" x14ac:dyDescent="0.3">
      <c r="A10565" s="3" t="s">
        <v>26</v>
      </c>
      <c r="B10565" s="3" t="s">
        <v>2678</v>
      </c>
      <c r="C10565" s="3">
        <v>18</v>
      </c>
      <c r="D10565" s="3" t="s">
        <v>647</v>
      </c>
      <c r="E10565" s="3" t="s">
        <v>985</v>
      </c>
      <c r="F10565" s="3" t="s">
        <v>1361</v>
      </c>
      <c r="G10565" s="3" t="s">
        <v>103</v>
      </c>
      <c r="H10565" s="3" t="s">
        <v>615</v>
      </c>
      <c r="I10565" s="3" t="s">
        <v>543</v>
      </c>
      <c r="J10565" s="3" t="s">
        <v>131</v>
      </c>
      <c r="K10565" s="3" t="s">
        <v>99</v>
      </c>
      <c r="L10565" s="3" t="s">
        <v>103</v>
      </c>
      <c r="M10565" s="3" t="s">
        <v>103</v>
      </c>
      <c r="N10565" s="3" t="s">
        <v>103</v>
      </c>
      <c r="O10565" s="3" t="s">
        <v>103</v>
      </c>
    </row>
    <row r="10566" spans="1:15" x14ac:dyDescent="0.3">
      <c r="A10566" t="s">
        <v>26</v>
      </c>
      <c r="B10566" t="s">
        <v>308</v>
      </c>
      <c r="C10566">
        <v>6</v>
      </c>
      <c r="D10566" t="s">
        <v>570</v>
      </c>
      <c r="E10566" t="s">
        <v>1404</v>
      </c>
      <c r="F10566" t="s">
        <v>191</v>
      </c>
      <c r="G10566" t="s">
        <v>103</v>
      </c>
      <c r="H10566" t="s">
        <v>1559</v>
      </c>
      <c r="I10566" t="s">
        <v>103</v>
      </c>
      <c r="J10566" t="s">
        <v>103</v>
      </c>
      <c r="K10566" t="s">
        <v>103</v>
      </c>
      <c r="L10566" t="s">
        <v>103</v>
      </c>
      <c r="M10566" t="s">
        <v>103</v>
      </c>
      <c r="N10566" t="s">
        <v>103</v>
      </c>
      <c r="O10566" t="s">
        <v>103</v>
      </c>
    </row>
    <row r="10567" spans="1:15" s="3" customFormat="1" x14ac:dyDescent="0.3">
      <c r="A10567" s="3" t="s">
        <v>29</v>
      </c>
      <c r="B10567" s="3" t="s">
        <v>2678</v>
      </c>
      <c r="C10567" s="3">
        <v>9</v>
      </c>
      <c r="D10567" s="3" t="s">
        <v>113</v>
      </c>
      <c r="E10567" s="3" t="s">
        <v>663</v>
      </c>
      <c r="F10567" s="3" t="s">
        <v>678</v>
      </c>
      <c r="G10567" s="3" t="s">
        <v>93</v>
      </c>
      <c r="H10567" s="3" t="s">
        <v>1014</v>
      </c>
      <c r="I10567" s="3" t="s">
        <v>256</v>
      </c>
      <c r="J10567" s="3" t="s">
        <v>93</v>
      </c>
      <c r="K10567" s="3" t="s">
        <v>519</v>
      </c>
      <c r="L10567" s="3" t="s">
        <v>103</v>
      </c>
      <c r="M10567" s="3" t="s">
        <v>103</v>
      </c>
      <c r="N10567" s="3" t="s">
        <v>103</v>
      </c>
      <c r="O10567" s="3" t="s">
        <v>103</v>
      </c>
    </row>
    <row r="10568" spans="1:15" x14ac:dyDescent="0.3">
      <c r="A10568" t="s">
        <v>29</v>
      </c>
      <c r="B10568" t="s">
        <v>308</v>
      </c>
      <c r="C10568">
        <v>1</v>
      </c>
      <c r="D10568" t="s">
        <v>103</v>
      </c>
      <c r="E10568" t="s">
        <v>192</v>
      </c>
      <c r="F10568" t="s">
        <v>103</v>
      </c>
      <c r="G10568" t="s">
        <v>103</v>
      </c>
      <c r="H10568" t="s">
        <v>103</v>
      </c>
      <c r="I10568" t="s">
        <v>103</v>
      </c>
      <c r="J10568" t="s">
        <v>103</v>
      </c>
      <c r="K10568" t="s">
        <v>103</v>
      </c>
      <c r="L10568" t="s">
        <v>103</v>
      </c>
      <c r="M10568" t="s">
        <v>192</v>
      </c>
      <c r="N10568" t="s">
        <v>103</v>
      </c>
      <c r="O10568" t="s">
        <v>103</v>
      </c>
    </row>
    <row r="10569" spans="1:15" x14ac:dyDescent="0.3">
      <c r="A10569" t="s">
        <v>28</v>
      </c>
      <c r="B10569" t="s">
        <v>308</v>
      </c>
    </row>
    <row r="10570" spans="1:15" s="3" customFormat="1" x14ac:dyDescent="0.3">
      <c r="A10570" s="3" t="s">
        <v>27</v>
      </c>
      <c r="B10570" s="3" t="s">
        <v>2678</v>
      </c>
      <c r="C10570" s="3">
        <v>4</v>
      </c>
      <c r="D10570" s="3" t="s">
        <v>1356</v>
      </c>
      <c r="E10570" s="3" t="s">
        <v>1546</v>
      </c>
      <c r="F10570" s="3" t="s">
        <v>1546</v>
      </c>
      <c r="G10570" s="3" t="s">
        <v>103</v>
      </c>
      <c r="H10570" s="3" t="s">
        <v>103</v>
      </c>
      <c r="I10570" s="3" t="s">
        <v>103</v>
      </c>
      <c r="J10570" s="3" t="s">
        <v>380</v>
      </c>
      <c r="K10570" s="3" t="s">
        <v>103</v>
      </c>
      <c r="L10570" s="3" t="s">
        <v>103</v>
      </c>
      <c r="M10570" s="3" t="s">
        <v>103</v>
      </c>
      <c r="N10570" s="3" t="s">
        <v>103</v>
      </c>
      <c r="O10570" s="3" t="s">
        <v>103</v>
      </c>
    </row>
    <row r="10571" spans="1:15" x14ac:dyDescent="0.3">
      <c r="A10571" t="s">
        <v>27</v>
      </c>
      <c r="B10571" t="s">
        <v>308</v>
      </c>
      <c r="C10571">
        <v>1</v>
      </c>
      <c r="D10571" t="s">
        <v>192</v>
      </c>
      <c r="E10571" t="s">
        <v>192</v>
      </c>
      <c r="F10571" t="s">
        <v>103</v>
      </c>
      <c r="G10571" t="s">
        <v>103</v>
      </c>
      <c r="H10571" t="s">
        <v>103</v>
      </c>
      <c r="I10571" t="s">
        <v>103</v>
      </c>
      <c r="J10571" t="s">
        <v>103</v>
      </c>
      <c r="K10571" t="s">
        <v>103</v>
      </c>
      <c r="L10571" t="s">
        <v>103</v>
      </c>
      <c r="M10571" t="s">
        <v>103</v>
      </c>
      <c r="N10571" t="s">
        <v>103</v>
      </c>
      <c r="O10571" t="s">
        <v>103</v>
      </c>
    </row>
    <row r="10572" spans="1:15" x14ac:dyDescent="0.3">
      <c r="A10572" t="s">
        <v>41</v>
      </c>
      <c r="B10572" t="s">
        <v>2678</v>
      </c>
      <c r="C10572">
        <v>48</v>
      </c>
      <c r="D10572" t="s">
        <v>645</v>
      </c>
      <c r="E10572" t="s">
        <v>508</v>
      </c>
      <c r="F10572" t="s">
        <v>260</v>
      </c>
      <c r="G10572" t="s">
        <v>120</v>
      </c>
      <c r="H10572" t="s">
        <v>171</v>
      </c>
      <c r="I10572" t="s">
        <v>135</v>
      </c>
      <c r="J10572" t="s">
        <v>100</v>
      </c>
      <c r="K10572" t="s">
        <v>205</v>
      </c>
      <c r="L10572" t="s">
        <v>103</v>
      </c>
      <c r="M10572" t="s">
        <v>103</v>
      </c>
      <c r="N10572" t="s">
        <v>103</v>
      </c>
      <c r="O10572" t="s">
        <v>103</v>
      </c>
    </row>
    <row r="10573" spans="1:15" x14ac:dyDescent="0.3">
      <c r="A10573" t="s">
        <v>41</v>
      </c>
      <c r="B10573" t="s">
        <v>308</v>
      </c>
      <c r="C10573">
        <v>8</v>
      </c>
      <c r="D10573" t="s">
        <v>578</v>
      </c>
      <c r="E10573" t="s">
        <v>379</v>
      </c>
      <c r="F10573" t="s">
        <v>494</v>
      </c>
      <c r="G10573" t="s">
        <v>103</v>
      </c>
      <c r="H10573" t="s">
        <v>380</v>
      </c>
      <c r="I10573" t="s">
        <v>103</v>
      </c>
      <c r="J10573" t="s">
        <v>103</v>
      </c>
      <c r="K10573" t="s">
        <v>103</v>
      </c>
      <c r="L10573" t="s">
        <v>103</v>
      </c>
      <c r="M10573" t="s">
        <v>579</v>
      </c>
      <c r="N10573" t="s">
        <v>103</v>
      </c>
      <c r="O10573" t="s">
        <v>103</v>
      </c>
    </row>
    <row r="10575" spans="1:15" x14ac:dyDescent="0.3">
      <c r="A10575" t="s">
        <v>2742</v>
      </c>
    </row>
    <row r="10576" spans="1:15" x14ac:dyDescent="0.3">
      <c r="A10576" t="s">
        <v>36</v>
      </c>
      <c r="B10576" t="s">
        <v>2677</v>
      </c>
      <c r="C10576" t="s">
        <v>24</v>
      </c>
      <c r="D10576" t="s">
        <v>2714</v>
      </c>
      <c r="E10576" t="s">
        <v>2715</v>
      </c>
      <c r="F10576" t="s">
        <v>2716</v>
      </c>
      <c r="G10576" t="s">
        <v>2717</v>
      </c>
      <c r="H10576" t="s">
        <v>2718</v>
      </c>
      <c r="I10576" t="s">
        <v>2719</v>
      </c>
      <c r="J10576" t="s">
        <v>2720</v>
      </c>
      <c r="K10576" t="s">
        <v>2721</v>
      </c>
      <c r="L10576" t="s">
        <v>2722</v>
      </c>
      <c r="M10576" t="s">
        <v>2723</v>
      </c>
      <c r="N10576" t="s">
        <v>181</v>
      </c>
      <c r="O10576" t="s">
        <v>183</v>
      </c>
    </row>
    <row r="10577" spans="1:15" s="3" customFormat="1" x14ac:dyDescent="0.3">
      <c r="A10577" s="3" t="s">
        <v>25</v>
      </c>
      <c r="B10577" s="3" t="s">
        <v>2678</v>
      </c>
      <c r="C10577" s="3">
        <v>1</v>
      </c>
      <c r="D10577" s="3" t="s">
        <v>103</v>
      </c>
      <c r="E10577" s="3" t="s">
        <v>192</v>
      </c>
      <c r="F10577" s="3" t="s">
        <v>103</v>
      </c>
      <c r="G10577" s="3" t="s">
        <v>103</v>
      </c>
      <c r="H10577" s="3" t="s">
        <v>103</v>
      </c>
      <c r="I10577" s="3" t="s">
        <v>103</v>
      </c>
      <c r="J10577" s="3" t="s">
        <v>103</v>
      </c>
      <c r="K10577" s="3" t="s">
        <v>103</v>
      </c>
      <c r="L10577" s="3" t="s">
        <v>103</v>
      </c>
      <c r="M10577" s="3" t="s">
        <v>103</v>
      </c>
      <c r="N10577" s="3" t="s">
        <v>103</v>
      </c>
      <c r="O10577" s="3" t="s">
        <v>103</v>
      </c>
    </row>
    <row r="10578" spans="1:15" x14ac:dyDescent="0.3">
      <c r="A10578" t="s">
        <v>26</v>
      </c>
      <c r="B10578" t="s">
        <v>308</v>
      </c>
    </row>
    <row r="10579" spans="1:15" s="3" customFormat="1" x14ac:dyDescent="0.3">
      <c r="A10579" s="3" t="s">
        <v>29</v>
      </c>
      <c r="B10579" s="3" t="s">
        <v>2678</v>
      </c>
      <c r="C10579" s="3">
        <v>1</v>
      </c>
      <c r="D10579" s="3" t="s">
        <v>103</v>
      </c>
      <c r="E10579" s="3" t="s">
        <v>103</v>
      </c>
      <c r="F10579" s="3" t="s">
        <v>192</v>
      </c>
      <c r="G10579" s="3" t="s">
        <v>103</v>
      </c>
      <c r="H10579" s="3" t="s">
        <v>103</v>
      </c>
      <c r="I10579" s="3" t="s">
        <v>103</v>
      </c>
      <c r="J10579" s="3" t="s">
        <v>103</v>
      </c>
      <c r="K10579" s="3" t="s">
        <v>103</v>
      </c>
      <c r="L10579" s="3" t="s">
        <v>103</v>
      </c>
      <c r="M10579" s="3" t="s">
        <v>103</v>
      </c>
      <c r="N10579" s="3" t="s">
        <v>103</v>
      </c>
      <c r="O10579" s="3" t="s">
        <v>103</v>
      </c>
    </row>
    <row r="10580" spans="1:15" x14ac:dyDescent="0.3">
      <c r="A10580" t="s">
        <v>28</v>
      </c>
      <c r="B10580" t="s">
        <v>308</v>
      </c>
    </row>
    <row r="10581" spans="1:15" x14ac:dyDescent="0.3">
      <c r="A10581" t="s">
        <v>27</v>
      </c>
      <c r="B10581" t="s">
        <v>308</v>
      </c>
    </row>
    <row r="10582" spans="1:15" s="3" customFormat="1" x14ac:dyDescent="0.3">
      <c r="A10582" s="3" t="s">
        <v>41</v>
      </c>
      <c r="B10582" s="3" t="s">
        <v>2678</v>
      </c>
      <c r="C10582" s="3">
        <v>2</v>
      </c>
      <c r="D10582" s="3" t="s">
        <v>103</v>
      </c>
      <c r="E10582" s="3" t="s">
        <v>821</v>
      </c>
      <c r="F10582" s="3" t="s">
        <v>477</v>
      </c>
      <c r="G10582" s="3" t="s">
        <v>103</v>
      </c>
      <c r="H10582" s="3" t="s">
        <v>103</v>
      </c>
      <c r="I10582" s="3" t="s">
        <v>103</v>
      </c>
      <c r="J10582" s="3" t="s">
        <v>103</v>
      </c>
      <c r="K10582" s="3" t="s">
        <v>103</v>
      </c>
      <c r="L10582" s="3" t="s">
        <v>103</v>
      </c>
      <c r="M10582" s="3" t="s">
        <v>103</v>
      </c>
      <c r="N10582" s="3" t="s">
        <v>103</v>
      </c>
      <c r="O10582" s="3" t="s">
        <v>103</v>
      </c>
    </row>
    <row r="10584" spans="1:15" x14ac:dyDescent="0.3">
      <c r="A10584" t="s">
        <v>2743</v>
      </c>
    </row>
    <row r="10585" spans="1:15" x14ac:dyDescent="0.3">
      <c r="A10585" t="s">
        <v>36</v>
      </c>
      <c r="B10585" t="s">
        <v>2677</v>
      </c>
      <c r="C10585" t="s">
        <v>24</v>
      </c>
      <c r="D10585" t="s">
        <v>2714</v>
      </c>
      <c r="E10585" t="s">
        <v>2715</v>
      </c>
      <c r="F10585" t="s">
        <v>2716</v>
      </c>
      <c r="G10585" t="s">
        <v>2717</v>
      </c>
      <c r="H10585" t="s">
        <v>2718</v>
      </c>
      <c r="I10585" t="s">
        <v>2719</v>
      </c>
      <c r="J10585" t="s">
        <v>2720</v>
      </c>
      <c r="K10585" t="s">
        <v>2721</v>
      </c>
      <c r="L10585" t="s">
        <v>2722</v>
      </c>
      <c r="M10585" t="s">
        <v>2723</v>
      </c>
      <c r="N10585" t="s">
        <v>181</v>
      </c>
      <c r="O10585" t="s">
        <v>183</v>
      </c>
    </row>
    <row r="10586" spans="1:15" s="3" customFormat="1" x14ac:dyDescent="0.3">
      <c r="A10586" s="3" t="s">
        <v>25</v>
      </c>
      <c r="B10586" s="3" t="s">
        <v>2678</v>
      </c>
      <c r="C10586" s="3">
        <v>3</v>
      </c>
      <c r="D10586" s="3" t="s">
        <v>363</v>
      </c>
      <c r="E10586" s="3" t="s">
        <v>362</v>
      </c>
      <c r="F10586" s="3" t="s">
        <v>362</v>
      </c>
      <c r="G10586" s="3" t="s">
        <v>362</v>
      </c>
      <c r="H10586" s="3" t="s">
        <v>103</v>
      </c>
      <c r="I10586" s="3" t="s">
        <v>103</v>
      </c>
      <c r="J10586" s="3" t="s">
        <v>103</v>
      </c>
      <c r="K10586" s="3" t="s">
        <v>103</v>
      </c>
      <c r="L10586" s="3" t="s">
        <v>103</v>
      </c>
      <c r="M10586" s="3" t="s">
        <v>103</v>
      </c>
      <c r="N10586" s="3" t="s">
        <v>103</v>
      </c>
      <c r="O10586" s="3" t="s">
        <v>103</v>
      </c>
    </row>
    <row r="10587" spans="1:15" s="3" customFormat="1" x14ac:dyDescent="0.3">
      <c r="A10587" s="3" t="s">
        <v>26</v>
      </c>
      <c r="B10587" s="3" t="s">
        <v>2678</v>
      </c>
      <c r="C10587" s="3">
        <v>3</v>
      </c>
      <c r="D10587" s="3" t="s">
        <v>192</v>
      </c>
      <c r="E10587" s="3" t="s">
        <v>103</v>
      </c>
      <c r="F10587" s="3" t="s">
        <v>103</v>
      </c>
      <c r="G10587" s="3" t="s">
        <v>103</v>
      </c>
      <c r="H10587" s="3" t="s">
        <v>906</v>
      </c>
      <c r="I10587" s="3" t="s">
        <v>103</v>
      </c>
      <c r="J10587" s="3" t="s">
        <v>103</v>
      </c>
      <c r="K10587" s="3" t="s">
        <v>103</v>
      </c>
      <c r="L10587" s="3" t="s">
        <v>103</v>
      </c>
      <c r="M10587" s="3" t="s">
        <v>103</v>
      </c>
      <c r="N10587" s="3" t="s">
        <v>103</v>
      </c>
      <c r="O10587" s="3" t="s">
        <v>103</v>
      </c>
    </row>
    <row r="10588" spans="1:15" x14ac:dyDescent="0.3">
      <c r="A10588" t="s">
        <v>26</v>
      </c>
      <c r="B10588" t="s">
        <v>308</v>
      </c>
      <c r="C10588">
        <v>2</v>
      </c>
      <c r="D10588" t="s">
        <v>369</v>
      </c>
      <c r="E10588" t="s">
        <v>103</v>
      </c>
      <c r="F10588" t="s">
        <v>368</v>
      </c>
      <c r="G10588" t="s">
        <v>103</v>
      </c>
      <c r="H10588" t="s">
        <v>103</v>
      </c>
      <c r="I10588" t="s">
        <v>103</v>
      </c>
      <c r="J10588" t="s">
        <v>103</v>
      </c>
      <c r="K10588" t="s">
        <v>103</v>
      </c>
      <c r="L10588" t="s">
        <v>103</v>
      </c>
      <c r="M10588" t="s">
        <v>103</v>
      </c>
      <c r="N10588" t="s">
        <v>103</v>
      </c>
      <c r="O10588" t="s">
        <v>103</v>
      </c>
    </row>
    <row r="10589" spans="1:15" x14ac:dyDescent="0.3">
      <c r="A10589" t="s">
        <v>29</v>
      </c>
      <c r="B10589" t="s">
        <v>308</v>
      </c>
    </row>
    <row r="10590" spans="1:15" s="3" customFormat="1" x14ac:dyDescent="0.3">
      <c r="A10590" s="3" t="s">
        <v>28</v>
      </c>
      <c r="B10590" s="3" t="s">
        <v>2678</v>
      </c>
      <c r="C10590" s="3">
        <v>1</v>
      </c>
      <c r="D10590" s="3" t="s">
        <v>192</v>
      </c>
      <c r="E10590" s="3" t="s">
        <v>103</v>
      </c>
      <c r="F10590" s="3" t="s">
        <v>103</v>
      </c>
      <c r="G10590" s="3" t="s">
        <v>103</v>
      </c>
      <c r="H10590" s="3" t="s">
        <v>103</v>
      </c>
      <c r="I10590" s="3" t="s">
        <v>103</v>
      </c>
      <c r="J10590" s="3" t="s">
        <v>103</v>
      </c>
      <c r="K10590" s="3" t="s">
        <v>103</v>
      </c>
      <c r="L10590" s="3" t="s">
        <v>103</v>
      </c>
      <c r="M10590" s="3" t="s">
        <v>103</v>
      </c>
      <c r="N10590" s="3" t="s">
        <v>103</v>
      </c>
      <c r="O10590" s="3" t="s">
        <v>103</v>
      </c>
    </row>
    <row r="10591" spans="1:15" x14ac:dyDescent="0.3">
      <c r="A10591" t="s">
        <v>27</v>
      </c>
      <c r="B10591" t="s">
        <v>308</v>
      </c>
    </row>
    <row r="10592" spans="1:15" s="3" customFormat="1" x14ac:dyDescent="0.3">
      <c r="A10592" s="3" t="s">
        <v>41</v>
      </c>
      <c r="B10592" s="3" t="s">
        <v>2678</v>
      </c>
      <c r="C10592" s="3">
        <v>7</v>
      </c>
      <c r="D10592" s="3" t="s">
        <v>243</v>
      </c>
      <c r="E10592" s="3" t="s">
        <v>578</v>
      </c>
      <c r="F10592" s="3" t="s">
        <v>578</v>
      </c>
      <c r="G10592" s="3" t="s">
        <v>578</v>
      </c>
      <c r="H10592" s="3" t="s">
        <v>555</v>
      </c>
      <c r="I10592" s="3" t="s">
        <v>103</v>
      </c>
      <c r="J10592" s="3" t="s">
        <v>103</v>
      </c>
      <c r="K10592" s="3" t="s">
        <v>103</v>
      </c>
      <c r="L10592" s="3" t="s">
        <v>103</v>
      </c>
      <c r="M10592" s="3" t="s">
        <v>103</v>
      </c>
      <c r="N10592" s="3" t="s">
        <v>103</v>
      </c>
      <c r="O10592" s="3" t="s">
        <v>103</v>
      </c>
    </row>
    <row r="10593" spans="1:15" x14ac:dyDescent="0.3">
      <c r="A10593" t="s">
        <v>41</v>
      </c>
      <c r="B10593" t="s">
        <v>308</v>
      </c>
      <c r="C10593">
        <v>2</v>
      </c>
      <c r="D10593" t="s">
        <v>369</v>
      </c>
      <c r="E10593" t="s">
        <v>103</v>
      </c>
      <c r="F10593" t="s">
        <v>368</v>
      </c>
      <c r="G10593" t="s">
        <v>103</v>
      </c>
      <c r="H10593" t="s">
        <v>103</v>
      </c>
      <c r="I10593" t="s">
        <v>103</v>
      </c>
      <c r="J10593" t="s">
        <v>103</v>
      </c>
      <c r="K10593" t="s">
        <v>103</v>
      </c>
      <c r="L10593" t="s">
        <v>103</v>
      </c>
      <c r="M10593" t="s">
        <v>103</v>
      </c>
      <c r="N10593" t="s">
        <v>103</v>
      </c>
      <c r="O10593" t="s">
        <v>103</v>
      </c>
    </row>
    <row r="10595" spans="1:15" x14ac:dyDescent="0.3">
      <c r="A10595" t="s">
        <v>2744</v>
      </c>
    </row>
    <row r="10596" spans="1:15" x14ac:dyDescent="0.3">
      <c r="A10596" t="s">
        <v>36</v>
      </c>
      <c r="B10596" t="s">
        <v>2677</v>
      </c>
      <c r="C10596" t="s">
        <v>24</v>
      </c>
      <c r="D10596" t="s">
        <v>2714</v>
      </c>
      <c r="E10596" t="s">
        <v>2715</v>
      </c>
      <c r="F10596" t="s">
        <v>2716</v>
      </c>
      <c r="G10596" t="s">
        <v>2717</v>
      </c>
      <c r="H10596" t="s">
        <v>2718</v>
      </c>
      <c r="I10596" t="s">
        <v>2719</v>
      </c>
      <c r="J10596" t="s">
        <v>2720</v>
      </c>
      <c r="K10596" t="s">
        <v>2721</v>
      </c>
      <c r="L10596" t="s">
        <v>2722</v>
      </c>
      <c r="M10596" t="s">
        <v>2723</v>
      </c>
      <c r="N10596" t="s">
        <v>181</v>
      </c>
      <c r="O10596" t="s">
        <v>183</v>
      </c>
    </row>
    <row r="10597" spans="1:15" s="3" customFormat="1" x14ac:dyDescent="0.3">
      <c r="A10597" s="3" t="s">
        <v>25</v>
      </c>
      <c r="B10597" s="3" t="s">
        <v>2678</v>
      </c>
      <c r="C10597" s="3">
        <v>1</v>
      </c>
      <c r="D10597" s="3" t="s">
        <v>103</v>
      </c>
      <c r="E10597" s="3" t="s">
        <v>192</v>
      </c>
      <c r="F10597" s="3" t="s">
        <v>103</v>
      </c>
      <c r="G10597" s="3" t="s">
        <v>103</v>
      </c>
      <c r="H10597" s="3" t="s">
        <v>103</v>
      </c>
      <c r="I10597" s="3" t="s">
        <v>103</v>
      </c>
      <c r="J10597" s="3" t="s">
        <v>103</v>
      </c>
      <c r="K10597" s="3" t="s">
        <v>103</v>
      </c>
      <c r="L10597" s="3" t="s">
        <v>103</v>
      </c>
      <c r="M10597" s="3" t="s">
        <v>103</v>
      </c>
      <c r="N10597" s="3" t="s">
        <v>103</v>
      </c>
      <c r="O10597" s="3" t="s">
        <v>103</v>
      </c>
    </row>
    <row r="10598" spans="1:15" x14ac:dyDescent="0.3">
      <c r="A10598" t="s">
        <v>26</v>
      </c>
      <c r="B10598" t="s">
        <v>308</v>
      </c>
      <c r="C10598">
        <v>1</v>
      </c>
      <c r="D10598" t="s">
        <v>103</v>
      </c>
      <c r="E10598" t="s">
        <v>192</v>
      </c>
      <c r="F10598" t="s">
        <v>103</v>
      </c>
      <c r="G10598" t="s">
        <v>103</v>
      </c>
      <c r="H10598" t="s">
        <v>103</v>
      </c>
      <c r="I10598" t="s">
        <v>103</v>
      </c>
      <c r="J10598" t="s">
        <v>103</v>
      </c>
      <c r="K10598" t="s">
        <v>103</v>
      </c>
      <c r="L10598" t="s">
        <v>103</v>
      </c>
      <c r="M10598" t="s">
        <v>103</v>
      </c>
      <c r="N10598" t="s">
        <v>103</v>
      </c>
      <c r="O10598" t="s">
        <v>103</v>
      </c>
    </row>
    <row r="10599" spans="1:15" s="3" customFormat="1" x14ac:dyDescent="0.3">
      <c r="A10599" s="3" t="s">
        <v>29</v>
      </c>
      <c r="B10599" s="3" t="s">
        <v>2678</v>
      </c>
      <c r="C10599" s="3">
        <v>6</v>
      </c>
      <c r="D10599" s="3" t="s">
        <v>364</v>
      </c>
      <c r="E10599" s="3" t="s">
        <v>1244</v>
      </c>
      <c r="F10599" s="3" t="s">
        <v>135</v>
      </c>
      <c r="G10599" s="3" t="s">
        <v>420</v>
      </c>
      <c r="H10599" s="3" t="s">
        <v>126</v>
      </c>
      <c r="I10599" s="3" t="s">
        <v>231</v>
      </c>
      <c r="J10599" s="3" t="s">
        <v>522</v>
      </c>
      <c r="K10599" s="3" t="s">
        <v>103</v>
      </c>
      <c r="L10599" s="3" t="s">
        <v>103</v>
      </c>
      <c r="M10599" s="3" t="s">
        <v>103</v>
      </c>
      <c r="N10599" s="3" t="s">
        <v>103</v>
      </c>
      <c r="O10599" s="3" t="s">
        <v>103</v>
      </c>
    </row>
    <row r="10600" spans="1:15" x14ac:dyDescent="0.3">
      <c r="A10600" t="s">
        <v>28</v>
      </c>
      <c r="B10600" t="s">
        <v>308</v>
      </c>
    </row>
    <row r="10601" spans="1:15" x14ac:dyDescent="0.3">
      <c r="A10601" t="s">
        <v>27</v>
      </c>
      <c r="B10601" t="s">
        <v>308</v>
      </c>
    </row>
    <row r="10602" spans="1:15" s="3" customFormat="1" x14ac:dyDescent="0.3">
      <c r="A10602" s="3" t="s">
        <v>41</v>
      </c>
      <c r="B10602" s="3" t="s">
        <v>2678</v>
      </c>
      <c r="C10602" s="3">
        <v>7</v>
      </c>
      <c r="D10602" s="3" t="s">
        <v>621</v>
      </c>
      <c r="E10602" s="3" t="s">
        <v>1178</v>
      </c>
      <c r="F10602" s="3" t="s">
        <v>482</v>
      </c>
      <c r="G10602" s="3" t="s">
        <v>1200</v>
      </c>
      <c r="H10602" s="3" t="s">
        <v>124</v>
      </c>
      <c r="I10602" s="3" t="s">
        <v>363</v>
      </c>
      <c r="J10602" s="3" t="s">
        <v>264</v>
      </c>
      <c r="K10602" s="3" t="s">
        <v>103</v>
      </c>
      <c r="L10602" s="3" t="s">
        <v>103</v>
      </c>
      <c r="M10602" s="3" t="s">
        <v>103</v>
      </c>
      <c r="N10602" s="3" t="s">
        <v>103</v>
      </c>
      <c r="O10602" s="3" t="s">
        <v>103</v>
      </c>
    </row>
    <row r="10603" spans="1:15" x14ac:dyDescent="0.3">
      <c r="A10603" t="s">
        <v>41</v>
      </c>
      <c r="B10603" t="s">
        <v>308</v>
      </c>
      <c r="C10603">
        <v>1</v>
      </c>
      <c r="D10603" t="s">
        <v>103</v>
      </c>
      <c r="E10603" t="s">
        <v>192</v>
      </c>
      <c r="F10603" t="s">
        <v>103</v>
      </c>
      <c r="G10603" t="s">
        <v>103</v>
      </c>
      <c r="H10603" t="s">
        <v>103</v>
      </c>
      <c r="I10603" t="s">
        <v>103</v>
      </c>
      <c r="J10603" t="s">
        <v>103</v>
      </c>
      <c r="K10603" t="s">
        <v>103</v>
      </c>
      <c r="L10603" t="s">
        <v>103</v>
      </c>
      <c r="M10603" t="s">
        <v>103</v>
      </c>
      <c r="N10603" t="s">
        <v>103</v>
      </c>
      <c r="O10603" t="s">
        <v>103</v>
      </c>
    </row>
    <row r="10605" spans="1:15" x14ac:dyDescent="0.3">
      <c r="A10605" t="s">
        <v>2745</v>
      </c>
    </row>
    <row r="10606" spans="1:15" x14ac:dyDescent="0.3">
      <c r="A10606" t="s">
        <v>36</v>
      </c>
      <c r="B10606" t="s">
        <v>2677</v>
      </c>
      <c r="C10606" t="s">
        <v>24</v>
      </c>
      <c r="D10606" t="s">
        <v>2714</v>
      </c>
      <c r="E10606" t="s">
        <v>2715</v>
      </c>
      <c r="F10606" t="s">
        <v>2716</v>
      </c>
      <c r="G10606" t="s">
        <v>2717</v>
      </c>
      <c r="H10606" t="s">
        <v>2718</v>
      </c>
      <c r="I10606" t="s">
        <v>2719</v>
      </c>
      <c r="J10606" t="s">
        <v>2720</v>
      </c>
      <c r="K10606" t="s">
        <v>2721</v>
      </c>
      <c r="L10606" t="s">
        <v>2722</v>
      </c>
      <c r="M10606" t="s">
        <v>2723</v>
      </c>
      <c r="N10606" t="s">
        <v>181</v>
      </c>
      <c r="O10606" t="s">
        <v>183</v>
      </c>
    </row>
    <row r="10607" spans="1:15" x14ac:dyDescent="0.3">
      <c r="A10607" t="s">
        <v>25</v>
      </c>
      <c r="B10607" t="s">
        <v>308</v>
      </c>
    </row>
    <row r="10608" spans="1:15" s="3" customFormat="1" x14ac:dyDescent="0.3">
      <c r="A10608" s="3" t="s">
        <v>26</v>
      </c>
      <c r="B10608" s="3" t="s">
        <v>2678</v>
      </c>
      <c r="C10608" s="3">
        <v>2</v>
      </c>
      <c r="D10608" s="3" t="s">
        <v>103</v>
      </c>
      <c r="E10608" s="3" t="s">
        <v>103</v>
      </c>
      <c r="F10608" s="3" t="s">
        <v>103</v>
      </c>
      <c r="G10608" s="3" t="s">
        <v>103</v>
      </c>
      <c r="H10608" s="3" t="s">
        <v>192</v>
      </c>
      <c r="I10608" s="3" t="s">
        <v>496</v>
      </c>
      <c r="J10608" s="3" t="s">
        <v>103</v>
      </c>
      <c r="K10608" s="3" t="s">
        <v>103</v>
      </c>
      <c r="L10608" s="3" t="s">
        <v>103</v>
      </c>
      <c r="M10608" s="3" t="s">
        <v>103</v>
      </c>
      <c r="N10608" s="3" t="s">
        <v>103</v>
      </c>
      <c r="O10608" s="3" t="s">
        <v>103</v>
      </c>
    </row>
    <row r="10609" spans="1:15" s="3" customFormat="1" x14ac:dyDescent="0.3">
      <c r="A10609" s="3" t="s">
        <v>29</v>
      </c>
      <c r="B10609" s="3" t="s">
        <v>2678</v>
      </c>
      <c r="C10609" s="3">
        <v>4</v>
      </c>
      <c r="D10609" s="3" t="s">
        <v>810</v>
      </c>
      <c r="E10609" s="3" t="s">
        <v>472</v>
      </c>
      <c r="F10609" s="3" t="s">
        <v>1057</v>
      </c>
      <c r="G10609" s="3" t="s">
        <v>620</v>
      </c>
      <c r="H10609" s="3" t="s">
        <v>103</v>
      </c>
      <c r="I10609" s="3" t="s">
        <v>103</v>
      </c>
      <c r="J10609" s="3" t="s">
        <v>103</v>
      </c>
      <c r="K10609" s="3" t="s">
        <v>103</v>
      </c>
      <c r="L10609" s="3" t="s">
        <v>103</v>
      </c>
      <c r="M10609" s="3" t="s">
        <v>103</v>
      </c>
      <c r="N10609" s="3" t="s">
        <v>103</v>
      </c>
      <c r="O10609" s="3" t="s">
        <v>103</v>
      </c>
    </row>
    <row r="10610" spans="1:15" x14ac:dyDescent="0.3">
      <c r="A10610" t="s">
        <v>28</v>
      </c>
      <c r="B10610" t="s">
        <v>308</v>
      </c>
    </row>
    <row r="10611" spans="1:15" x14ac:dyDescent="0.3">
      <c r="A10611" t="s">
        <v>27</v>
      </c>
      <c r="B10611" t="s">
        <v>308</v>
      </c>
      <c r="C10611">
        <v>1</v>
      </c>
      <c r="D10611" t="s">
        <v>103</v>
      </c>
      <c r="E10611" t="s">
        <v>103</v>
      </c>
      <c r="F10611" t="s">
        <v>103</v>
      </c>
      <c r="G10611" t="s">
        <v>103</v>
      </c>
      <c r="H10611" t="s">
        <v>192</v>
      </c>
      <c r="I10611" t="s">
        <v>103</v>
      </c>
      <c r="J10611" t="s">
        <v>103</v>
      </c>
      <c r="K10611" t="s">
        <v>103</v>
      </c>
      <c r="L10611" t="s">
        <v>103</v>
      </c>
      <c r="M10611" t="s">
        <v>103</v>
      </c>
      <c r="N10611" t="s">
        <v>103</v>
      </c>
      <c r="O10611" t="s">
        <v>103</v>
      </c>
    </row>
    <row r="10612" spans="1:15" s="3" customFormat="1" x14ac:dyDescent="0.3">
      <c r="A10612" s="3" t="s">
        <v>41</v>
      </c>
      <c r="B10612" s="3" t="s">
        <v>2678</v>
      </c>
      <c r="C10612" s="3">
        <v>6</v>
      </c>
      <c r="D10612" s="3" t="s">
        <v>1015</v>
      </c>
      <c r="E10612" s="3" t="s">
        <v>131</v>
      </c>
      <c r="F10612" s="3" t="s">
        <v>574</v>
      </c>
      <c r="G10612" s="3" t="s">
        <v>225</v>
      </c>
      <c r="H10612" s="3" t="s">
        <v>706</v>
      </c>
      <c r="I10612" s="3" t="s">
        <v>99</v>
      </c>
      <c r="J10612" s="3" t="s">
        <v>103</v>
      </c>
      <c r="K10612" s="3" t="s">
        <v>103</v>
      </c>
      <c r="L10612" s="3" t="s">
        <v>103</v>
      </c>
      <c r="M10612" s="3" t="s">
        <v>103</v>
      </c>
      <c r="N10612" s="3" t="s">
        <v>103</v>
      </c>
      <c r="O10612" s="3" t="s">
        <v>103</v>
      </c>
    </row>
    <row r="10613" spans="1:15" x14ac:dyDescent="0.3">
      <c r="A10613" t="s">
        <v>41</v>
      </c>
      <c r="B10613" t="s">
        <v>308</v>
      </c>
      <c r="C10613">
        <v>1</v>
      </c>
      <c r="D10613" t="s">
        <v>103</v>
      </c>
      <c r="E10613" t="s">
        <v>103</v>
      </c>
      <c r="F10613" t="s">
        <v>103</v>
      </c>
      <c r="G10613" t="s">
        <v>103</v>
      </c>
      <c r="H10613" t="s">
        <v>192</v>
      </c>
      <c r="I10613" t="s">
        <v>103</v>
      </c>
      <c r="J10613" t="s">
        <v>103</v>
      </c>
      <c r="K10613" t="s">
        <v>103</v>
      </c>
      <c r="L10613" t="s">
        <v>103</v>
      </c>
      <c r="M10613" t="s">
        <v>103</v>
      </c>
      <c r="N10613" t="s">
        <v>103</v>
      </c>
      <c r="O10613" t="s">
        <v>103</v>
      </c>
    </row>
    <row r="10615" spans="1:15" x14ac:dyDescent="0.3">
      <c r="A10615" t="s">
        <v>2746</v>
      </c>
    </row>
    <row r="10616" spans="1:15" x14ac:dyDescent="0.3">
      <c r="A10616" t="s">
        <v>36</v>
      </c>
      <c r="B10616" t="s">
        <v>2677</v>
      </c>
      <c r="C10616" t="s">
        <v>24</v>
      </c>
      <c r="D10616" t="s">
        <v>2714</v>
      </c>
      <c r="E10616" t="s">
        <v>2715</v>
      </c>
      <c r="F10616" t="s">
        <v>2716</v>
      </c>
      <c r="G10616" t="s">
        <v>2717</v>
      </c>
      <c r="H10616" t="s">
        <v>2718</v>
      </c>
      <c r="I10616" t="s">
        <v>2719</v>
      </c>
      <c r="J10616" t="s">
        <v>2720</v>
      </c>
      <c r="K10616" t="s">
        <v>2721</v>
      </c>
      <c r="L10616" t="s">
        <v>2722</v>
      </c>
      <c r="M10616" t="s">
        <v>2723</v>
      </c>
      <c r="N10616" t="s">
        <v>181</v>
      </c>
      <c r="O10616" t="s">
        <v>183</v>
      </c>
    </row>
    <row r="10617" spans="1:15" x14ac:dyDescent="0.3">
      <c r="A10617" t="s">
        <v>25</v>
      </c>
      <c r="B10617" t="s">
        <v>308</v>
      </c>
    </row>
    <row r="10618" spans="1:15" s="3" customFormat="1" x14ac:dyDescent="0.3">
      <c r="A10618" s="3" t="s">
        <v>26</v>
      </c>
      <c r="B10618" s="3" t="s">
        <v>2678</v>
      </c>
      <c r="C10618" s="3">
        <v>1</v>
      </c>
      <c r="D10618" s="3" t="s">
        <v>103</v>
      </c>
      <c r="E10618" s="3" t="s">
        <v>192</v>
      </c>
      <c r="F10618" s="3" t="s">
        <v>103</v>
      </c>
      <c r="G10618" s="3" t="s">
        <v>103</v>
      </c>
      <c r="H10618" s="3" t="s">
        <v>103</v>
      </c>
      <c r="I10618" s="3" t="s">
        <v>103</v>
      </c>
      <c r="J10618" s="3" t="s">
        <v>103</v>
      </c>
      <c r="K10618" s="3" t="s">
        <v>103</v>
      </c>
      <c r="L10618" s="3" t="s">
        <v>103</v>
      </c>
      <c r="M10618" s="3" t="s">
        <v>103</v>
      </c>
      <c r="N10618" s="3" t="s">
        <v>103</v>
      </c>
      <c r="O10618" s="3" t="s">
        <v>103</v>
      </c>
    </row>
    <row r="10619" spans="1:15" x14ac:dyDescent="0.3">
      <c r="A10619" t="s">
        <v>26</v>
      </c>
      <c r="B10619" t="s">
        <v>308</v>
      </c>
      <c r="C10619">
        <v>1</v>
      </c>
      <c r="D10619" t="s">
        <v>103</v>
      </c>
      <c r="E10619" t="s">
        <v>103</v>
      </c>
      <c r="F10619" t="s">
        <v>103</v>
      </c>
      <c r="G10619" t="s">
        <v>192</v>
      </c>
      <c r="H10619" t="s">
        <v>103</v>
      </c>
      <c r="I10619" t="s">
        <v>103</v>
      </c>
      <c r="J10619" t="s">
        <v>103</v>
      </c>
      <c r="K10619" t="s">
        <v>103</v>
      </c>
      <c r="L10619" t="s">
        <v>103</v>
      </c>
      <c r="M10619" t="s">
        <v>103</v>
      </c>
      <c r="N10619" t="s">
        <v>103</v>
      </c>
      <c r="O10619" t="s">
        <v>103</v>
      </c>
    </row>
    <row r="10620" spans="1:15" x14ac:dyDescent="0.3">
      <c r="A10620" t="s">
        <v>29</v>
      </c>
      <c r="B10620" t="s">
        <v>308</v>
      </c>
    </row>
    <row r="10621" spans="1:15" x14ac:dyDescent="0.3">
      <c r="A10621" t="s">
        <v>28</v>
      </c>
      <c r="B10621" t="s">
        <v>308</v>
      </c>
    </row>
    <row r="10622" spans="1:15" x14ac:dyDescent="0.3">
      <c r="A10622" t="s">
        <v>27</v>
      </c>
      <c r="B10622" t="s">
        <v>308</v>
      </c>
    </row>
    <row r="10623" spans="1:15" s="3" customFormat="1" x14ac:dyDescent="0.3">
      <c r="A10623" s="3" t="s">
        <v>41</v>
      </c>
      <c r="B10623" s="3" t="s">
        <v>2678</v>
      </c>
      <c r="C10623" s="3">
        <v>1</v>
      </c>
      <c r="D10623" s="3" t="s">
        <v>103</v>
      </c>
      <c r="E10623" s="3" t="s">
        <v>192</v>
      </c>
      <c r="F10623" s="3" t="s">
        <v>103</v>
      </c>
      <c r="G10623" s="3" t="s">
        <v>103</v>
      </c>
      <c r="H10623" s="3" t="s">
        <v>103</v>
      </c>
      <c r="I10623" s="3" t="s">
        <v>103</v>
      </c>
      <c r="J10623" s="3" t="s">
        <v>103</v>
      </c>
      <c r="K10623" s="3" t="s">
        <v>103</v>
      </c>
      <c r="L10623" s="3" t="s">
        <v>103</v>
      </c>
      <c r="M10623" s="3" t="s">
        <v>103</v>
      </c>
      <c r="N10623" s="3" t="s">
        <v>103</v>
      </c>
      <c r="O10623" s="3" t="s">
        <v>103</v>
      </c>
    </row>
    <row r="10624" spans="1:15" x14ac:dyDescent="0.3">
      <c r="A10624" t="s">
        <v>41</v>
      </c>
      <c r="B10624" t="s">
        <v>308</v>
      </c>
      <c r="C10624">
        <v>1</v>
      </c>
      <c r="D10624" t="s">
        <v>103</v>
      </c>
      <c r="E10624" t="s">
        <v>103</v>
      </c>
      <c r="F10624" t="s">
        <v>103</v>
      </c>
      <c r="G10624" t="s">
        <v>192</v>
      </c>
      <c r="H10624" t="s">
        <v>103</v>
      </c>
      <c r="I10624" t="s">
        <v>103</v>
      </c>
      <c r="J10624" t="s">
        <v>103</v>
      </c>
      <c r="K10624" t="s">
        <v>103</v>
      </c>
      <c r="L10624" t="s">
        <v>103</v>
      </c>
      <c r="M10624" t="s">
        <v>103</v>
      </c>
      <c r="N10624" t="s">
        <v>103</v>
      </c>
      <c r="O10624" t="s">
        <v>103</v>
      </c>
    </row>
    <row r="10626" spans="1:7" x14ac:dyDescent="0.3">
      <c r="A10626" t="s">
        <v>2747</v>
      </c>
    </row>
    <row r="10627" spans="1:7" x14ac:dyDescent="0.3">
      <c r="A10627" t="s">
        <v>36</v>
      </c>
      <c r="B10627" t="s">
        <v>24</v>
      </c>
      <c r="C10627" t="s">
        <v>2748</v>
      </c>
      <c r="D10627" t="s">
        <v>2749</v>
      </c>
      <c r="E10627" t="s">
        <v>2750</v>
      </c>
      <c r="F10627" t="s">
        <v>2751</v>
      </c>
    </row>
    <row r="10628" spans="1:7" x14ac:dyDescent="0.3">
      <c r="A10628" t="s">
        <v>25</v>
      </c>
      <c r="B10628">
        <v>414</v>
      </c>
      <c r="C10628" t="s">
        <v>438</v>
      </c>
      <c r="D10628" t="s">
        <v>795</v>
      </c>
      <c r="E10628" t="s">
        <v>530</v>
      </c>
      <c r="F10628" t="s">
        <v>118</v>
      </c>
    </row>
    <row r="10629" spans="1:7" x14ac:dyDescent="0.3">
      <c r="A10629" t="s">
        <v>26</v>
      </c>
      <c r="B10629">
        <v>477</v>
      </c>
      <c r="C10629" t="s">
        <v>282</v>
      </c>
      <c r="D10629" t="s">
        <v>413</v>
      </c>
      <c r="E10629" t="s">
        <v>376</v>
      </c>
      <c r="F10629" t="s">
        <v>552</v>
      </c>
    </row>
    <row r="10630" spans="1:7" x14ac:dyDescent="0.3">
      <c r="A10630" t="s">
        <v>29</v>
      </c>
      <c r="B10630">
        <v>530</v>
      </c>
      <c r="C10630" t="s">
        <v>493</v>
      </c>
      <c r="D10630" t="s">
        <v>453</v>
      </c>
      <c r="E10630" t="s">
        <v>442</v>
      </c>
      <c r="F10630" t="s">
        <v>601</v>
      </c>
    </row>
    <row r="10631" spans="1:7" x14ac:dyDescent="0.3">
      <c r="A10631" t="s">
        <v>28</v>
      </c>
      <c r="B10631">
        <v>317</v>
      </c>
      <c r="C10631" t="s">
        <v>257</v>
      </c>
      <c r="D10631" t="s">
        <v>152</v>
      </c>
      <c r="E10631" t="s">
        <v>53</v>
      </c>
      <c r="F10631" t="s">
        <v>66</v>
      </c>
    </row>
    <row r="10632" spans="1:7" x14ac:dyDescent="0.3">
      <c r="A10632" t="s">
        <v>27</v>
      </c>
      <c r="B10632">
        <v>300</v>
      </c>
      <c r="C10632" t="s">
        <v>103</v>
      </c>
      <c r="D10632" t="s">
        <v>542</v>
      </c>
      <c r="E10632" t="s">
        <v>784</v>
      </c>
      <c r="F10632" t="s">
        <v>105</v>
      </c>
    </row>
    <row r="10633" spans="1:7" x14ac:dyDescent="0.3">
      <c r="A10633" t="s">
        <v>41</v>
      </c>
      <c r="B10633">
        <v>2038</v>
      </c>
      <c r="C10633" t="s">
        <v>266</v>
      </c>
      <c r="D10633" t="s">
        <v>512</v>
      </c>
      <c r="E10633" t="s">
        <v>1049</v>
      </c>
      <c r="F10633" t="s">
        <v>649</v>
      </c>
    </row>
    <row r="10635" spans="1:7" x14ac:dyDescent="0.3">
      <c r="A10635" t="s">
        <v>2752</v>
      </c>
    </row>
    <row r="10636" spans="1:7" x14ac:dyDescent="0.3">
      <c r="A10636" t="s">
        <v>36</v>
      </c>
      <c r="B10636" t="s">
        <v>307</v>
      </c>
      <c r="C10636" t="s">
        <v>24</v>
      </c>
      <c r="D10636" t="s">
        <v>2748</v>
      </c>
      <c r="E10636" t="s">
        <v>2749</v>
      </c>
      <c r="F10636" t="s">
        <v>2750</v>
      </c>
      <c r="G10636" t="s">
        <v>2751</v>
      </c>
    </row>
    <row r="10637" spans="1:7" x14ac:dyDescent="0.3">
      <c r="A10637" t="s">
        <v>25</v>
      </c>
      <c r="B10637" t="s">
        <v>291</v>
      </c>
      <c r="C10637">
        <v>156</v>
      </c>
      <c r="D10637" t="s">
        <v>113</v>
      </c>
      <c r="E10637" t="s">
        <v>1257</v>
      </c>
      <c r="F10637" t="s">
        <v>1028</v>
      </c>
      <c r="G10637" t="s">
        <v>341</v>
      </c>
    </row>
    <row r="10638" spans="1:7" x14ac:dyDescent="0.3">
      <c r="A10638" t="s">
        <v>25</v>
      </c>
      <c r="B10638" t="s">
        <v>292</v>
      </c>
      <c r="C10638">
        <v>254</v>
      </c>
      <c r="D10638" t="s">
        <v>195</v>
      </c>
      <c r="E10638" t="s">
        <v>298</v>
      </c>
      <c r="F10638" t="s">
        <v>561</v>
      </c>
      <c r="G10638" t="s">
        <v>64</v>
      </c>
    </row>
    <row r="10639" spans="1:7" x14ac:dyDescent="0.3">
      <c r="A10639" t="s">
        <v>25</v>
      </c>
      <c r="B10639" t="s">
        <v>308</v>
      </c>
      <c r="C10639">
        <v>4</v>
      </c>
      <c r="D10639" t="s">
        <v>103</v>
      </c>
      <c r="E10639" t="s">
        <v>1018</v>
      </c>
      <c r="F10639" t="s">
        <v>1205</v>
      </c>
      <c r="G10639" t="s">
        <v>103</v>
      </c>
    </row>
    <row r="10640" spans="1:7" x14ac:dyDescent="0.3">
      <c r="A10640" t="s">
        <v>26</v>
      </c>
      <c r="B10640" t="s">
        <v>291</v>
      </c>
      <c r="C10640">
        <v>122</v>
      </c>
      <c r="D10640" t="s">
        <v>103</v>
      </c>
      <c r="E10640" t="s">
        <v>362</v>
      </c>
      <c r="F10640" t="s">
        <v>1229</v>
      </c>
      <c r="G10640" t="s">
        <v>528</v>
      </c>
    </row>
    <row r="10641" spans="1:7" x14ac:dyDescent="0.3">
      <c r="A10641" t="s">
        <v>26</v>
      </c>
      <c r="B10641" t="s">
        <v>292</v>
      </c>
      <c r="C10641">
        <v>352</v>
      </c>
      <c r="D10641" t="s">
        <v>194</v>
      </c>
      <c r="E10641" t="s">
        <v>1293</v>
      </c>
      <c r="F10641" t="s">
        <v>1196</v>
      </c>
      <c r="G10641" t="s">
        <v>706</v>
      </c>
    </row>
    <row r="10642" spans="1:7" x14ac:dyDescent="0.3">
      <c r="A10642" t="s">
        <v>26</v>
      </c>
      <c r="B10642" t="s">
        <v>308</v>
      </c>
      <c r="C10642">
        <v>3</v>
      </c>
      <c r="D10642" t="s">
        <v>103</v>
      </c>
      <c r="E10642" t="s">
        <v>921</v>
      </c>
      <c r="F10642" t="s">
        <v>1202</v>
      </c>
      <c r="G10642" t="s">
        <v>699</v>
      </c>
    </row>
    <row r="10643" spans="1:7" x14ac:dyDescent="0.3">
      <c r="A10643" t="s">
        <v>29</v>
      </c>
      <c r="B10643" t="s">
        <v>291</v>
      </c>
      <c r="C10643">
        <v>205</v>
      </c>
      <c r="D10643" t="s">
        <v>257</v>
      </c>
      <c r="E10643" t="s">
        <v>1545</v>
      </c>
      <c r="F10643" t="s">
        <v>661</v>
      </c>
      <c r="G10643" t="s">
        <v>549</v>
      </c>
    </row>
    <row r="10644" spans="1:7" x14ac:dyDescent="0.3">
      <c r="A10644" t="s">
        <v>29</v>
      </c>
      <c r="B10644" t="s">
        <v>292</v>
      </c>
      <c r="C10644">
        <v>325</v>
      </c>
      <c r="D10644" t="s">
        <v>532</v>
      </c>
      <c r="E10644" t="s">
        <v>1200</v>
      </c>
      <c r="F10644" t="s">
        <v>1087</v>
      </c>
      <c r="G10644" t="s">
        <v>247</v>
      </c>
    </row>
    <row r="10645" spans="1:7" x14ac:dyDescent="0.3">
      <c r="A10645" t="s">
        <v>28</v>
      </c>
      <c r="B10645" t="s">
        <v>291</v>
      </c>
      <c r="C10645">
        <v>114</v>
      </c>
      <c r="D10645" t="s">
        <v>64</v>
      </c>
      <c r="E10645" t="s">
        <v>687</v>
      </c>
      <c r="F10645" t="s">
        <v>1456</v>
      </c>
      <c r="G10645" t="s">
        <v>122</v>
      </c>
    </row>
    <row r="10646" spans="1:7" x14ac:dyDescent="0.3">
      <c r="A10646" t="s">
        <v>28</v>
      </c>
      <c r="B10646" t="s">
        <v>292</v>
      </c>
      <c r="C10646">
        <v>191</v>
      </c>
      <c r="D10646" t="s">
        <v>208</v>
      </c>
      <c r="E10646" t="s">
        <v>549</v>
      </c>
      <c r="F10646" t="s">
        <v>170</v>
      </c>
      <c r="G10646" t="s">
        <v>103</v>
      </c>
    </row>
    <row r="10647" spans="1:7" x14ac:dyDescent="0.3">
      <c r="A10647" t="s">
        <v>28</v>
      </c>
      <c r="B10647" t="s">
        <v>308</v>
      </c>
      <c r="C10647">
        <v>12</v>
      </c>
      <c r="D10647" t="s">
        <v>466</v>
      </c>
      <c r="E10647" t="s">
        <v>465</v>
      </c>
      <c r="F10647" t="s">
        <v>1002</v>
      </c>
      <c r="G10647" t="s">
        <v>103</v>
      </c>
    </row>
    <row r="10648" spans="1:7" x14ac:dyDescent="0.3">
      <c r="A10648" t="s">
        <v>27</v>
      </c>
      <c r="B10648" t="s">
        <v>291</v>
      </c>
      <c r="C10648">
        <v>95</v>
      </c>
      <c r="D10648" t="s">
        <v>103</v>
      </c>
      <c r="E10648" t="s">
        <v>635</v>
      </c>
      <c r="F10648" t="s">
        <v>2103</v>
      </c>
      <c r="G10648" t="s">
        <v>103</v>
      </c>
    </row>
    <row r="10649" spans="1:7" x14ac:dyDescent="0.3">
      <c r="A10649" t="s">
        <v>27</v>
      </c>
      <c r="B10649" t="s">
        <v>292</v>
      </c>
      <c r="C10649">
        <v>198</v>
      </c>
      <c r="D10649" t="s">
        <v>103</v>
      </c>
      <c r="E10649" t="s">
        <v>683</v>
      </c>
      <c r="F10649" t="s">
        <v>1420</v>
      </c>
      <c r="G10649" t="s">
        <v>266</v>
      </c>
    </row>
    <row r="10650" spans="1:7" x14ac:dyDescent="0.3">
      <c r="A10650" t="s">
        <v>27</v>
      </c>
      <c r="B10650" t="s">
        <v>308</v>
      </c>
      <c r="C10650">
        <v>7</v>
      </c>
      <c r="D10650" t="s">
        <v>103</v>
      </c>
      <c r="E10650" t="s">
        <v>103</v>
      </c>
      <c r="F10650" t="s">
        <v>192</v>
      </c>
      <c r="G10650" t="s">
        <v>103</v>
      </c>
    </row>
    <row r="10651" spans="1:7" x14ac:dyDescent="0.3">
      <c r="A10651" t="s">
        <v>41</v>
      </c>
      <c r="B10651" t="s">
        <v>291</v>
      </c>
      <c r="C10651">
        <v>692</v>
      </c>
      <c r="D10651" t="s">
        <v>128</v>
      </c>
      <c r="E10651" t="s">
        <v>929</v>
      </c>
      <c r="F10651" t="s">
        <v>676</v>
      </c>
      <c r="G10651" t="s">
        <v>100</v>
      </c>
    </row>
    <row r="10652" spans="1:7" x14ac:dyDescent="0.3">
      <c r="A10652" t="s">
        <v>41</v>
      </c>
      <c r="B10652" t="s">
        <v>292</v>
      </c>
      <c r="C10652">
        <v>1320</v>
      </c>
      <c r="D10652" t="s">
        <v>195</v>
      </c>
      <c r="E10652" t="s">
        <v>509</v>
      </c>
      <c r="F10652" t="s">
        <v>1559</v>
      </c>
      <c r="G10652" t="s">
        <v>123</v>
      </c>
    </row>
    <row r="10653" spans="1:7" x14ac:dyDescent="0.3">
      <c r="A10653" t="s">
        <v>41</v>
      </c>
      <c r="B10653" t="s">
        <v>308</v>
      </c>
      <c r="C10653">
        <v>26</v>
      </c>
      <c r="D10653" t="s">
        <v>105</v>
      </c>
      <c r="E10653" t="s">
        <v>561</v>
      </c>
      <c r="F10653" t="s">
        <v>1002</v>
      </c>
      <c r="G10653" t="s">
        <v>737</v>
      </c>
    </row>
    <row r="10655" spans="1:7" x14ac:dyDescent="0.3">
      <c r="A10655" t="s">
        <v>2753</v>
      </c>
    </row>
    <row r="10656" spans="1:7" x14ac:dyDescent="0.3">
      <c r="A10656" t="s">
        <v>36</v>
      </c>
      <c r="B10656" t="s">
        <v>763</v>
      </c>
      <c r="C10656" t="s">
        <v>24</v>
      </c>
      <c r="D10656" t="s">
        <v>2749</v>
      </c>
      <c r="E10656" t="s">
        <v>2750</v>
      </c>
      <c r="F10656" t="s">
        <v>2751</v>
      </c>
      <c r="G10656" t="s">
        <v>2748</v>
      </c>
    </row>
    <row r="10657" spans="1:7" x14ac:dyDescent="0.3">
      <c r="A10657" t="s">
        <v>25</v>
      </c>
      <c r="B10657" t="s">
        <v>764</v>
      </c>
      <c r="C10657">
        <v>31</v>
      </c>
      <c r="D10657" t="s">
        <v>1065</v>
      </c>
      <c r="E10657" t="s">
        <v>1021</v>
      </c>
      <c r="F10657" t="s">
        <v>186</v>
      </c>
      <c r="G10657" t="s">
        <v>103</v>
      </c>
    </row>
    <row r="10658" spans="1:7" x14ac:dyDescent="0.3">
      <c r="A10658" t="s">
        <v>25</v>
      </c>
      <c r="B10658" t="s">
        <v>765</v>
      </c>
      <c r="C10658">
        <v>280</v>
      </c>
      <c r="D10658" t="s">
        <v>748</v>
      </c>
      <c r="E10658" t="s">
        <v>465</v>
      </c>
      <c r="F10658" t="s">
        <v>64</v>
      </c>
      <c r="G10658" t="s">
        <v>438</v>
      </c>
    </row>
    <row r="10659" spans="1:7" x14ac:dyDescent="0.3">
      <c r="A10659" t="s">
        <v>25</v>
      </c>
      <c r="B10659" t="s">
        <v>767</v>
      </c>
      <c r="C10659">
        <v>103</v>
      </c>
      <c r="D10659" t="s">
        <v>502</v>
      </c>
      <c r="E10659" t="s">
        <v>435</v>
      </c>
      <c r="F10659" t="s">
        <v>282</v>
      </c>
      <c r="G10659" t="s">
        <v>201</v>
      </c>
    </row>
    <row r="10660" spans="1:7" x14ac:dyDescent="0.3">
      <c r="A10660" t="s">
        <v>26</v>
      </c>
      <c r="B10660" t="s">
        <v>764</v>
      </c>
      <c r="C10660">
        <v>58</v>
      </c>
      <c r="D10660" t="s">
        <v>699</v>
      </c>
      <c r="E10660" t="s">
        <v>440</v>
      </c>
      <c r="F10660" t="s">
        <v>1207</v>
      </c>
      <c r="G10660" t="s">
        <v>239</v>
      </c>
    </row>
    <row r="10661" spans="1:7" x14ac:dyDescent="0.3">
      <c r="A10661" t="s">
        <v>26</v>
      </c>
      <c r="B10661" t="s">
        <v>765</v>
      </c>
      <c r="C10661">
        <v>278</v>
      </c>
      <c r="D10661" t="s">
        <v>1425</v>
      </c>
      <c r="E10661" t="s">
        <v>1200</v>
      </c>
      <c r="F10661" t="s">
        <v>46</v>
      </c>
      <c r="G10661" t="s">
        <v>282</v>
      </c>
    </row>
    <row r="10662" spans="1:7" x14ac:dyDescent="0.3">
      <c r="A10662" t="s">
        <v>26</v>
      </c>
      <c r="B10662" t="s">
        <v>767</v>
      </c>
      <c r="C10662">
        <v>141</v>
      </c>
      <c r="D10662" t="s">
        <v>1545</v>
      </c>
      <c r="E10662" t="s">
        <v>1088</v>
      </c>
      <c r="F10662" t="s">
        <v>697</v>
      </c>
      <c r="G10662" t="s">
        <v>97</v>
      </c>
    </row>
    <row r="10663" spans="1:7" s="3" customFormat="1" x14ac:dyDescent="0.3">
      <c r="A10663" s="3" t="s">
        <v>29</v>
      </c>
      <c r="B10663" s="3" t="s">
        <v>764</v>
      </c>
      <c r="C10663" s="3">
        <v>11</v>
      </c>
      <c r="D10663" s="3" t="s">
        <v>619</v>
      </c>
      <c r="E10663" s="3" t="s">
        <v>1210</v>
      </c>
      <c r="F10663" s="3" t="s">
        <v>264</v>
      </c>
      <c r="G10663" s="3" t="s">
        <v>103</v>
      </c>
    </row>
    <row r="10664" spans="1:7" x14ac:dyDescent="0.3">
      <c r="A10664" t="s">
        <v>29</v>
      </c>
      <c r="B10664" t="s">
        <v>765</v>
      </c>
      <c r="C10664">
        <v>365</v>
      </c>
      <c r="D10664" t="s">
        <v>293</v>
      </c>
      <c r="E10664" t="s">
        <v>930</v>
      </c>
      <c r="F10664" t="s">
        <v>459</v>
      </c>
      <c r="G10664" t="s">
        <v>188</v>
      </c>
    </row>
    <row r="10665" spans="1:7" x14ac:dyDescent="0.3">
      <c r="A10665" t="s">
        <v>29</v>
      </c>
      <c r="B10665" t="s">
        <v>767</v>
      </c>
      <c r="C10665">
        <v>154</v>
      </c>
      <c r="D10665" t="s">
        <v>694</v>
      </c>
      <c r="E10665" t="s">
        <v>930</v>
      </c>
      <c r="F10665" t="s">
        <v>452</v>
      </c>
      <c r="G10665" t="s">
        <v>188</v>
      </c>
    </row>
    <row r="10666" spans="1:7" s="3" customFormat="1" x14ac:dyDescent="0.3">
      <c r="A10666" s="3" t="s">
        <v>28</v>
      </c>
      <c r="B10666" s="3" t="s">
        <v>764</v>
      </c>
      <c r="C10666" s="3">
        <v>20</v>
      </c>
      <c r="D10666" s="3" t="s">
        <v>124</v>
      </c>
      <c r="E10666" s="3" t="s">
        <v>783</v>
      </c>
      <c r="F10666" s="3" t="s">
        <v>103</v>
      </c>
      <c r="G10666" s="3" t="s">
        <v>107</v>
      </c>
    </row>
    <row r="10667" spans="1:7" x14ac:dyDescent="0.3">
      <c r="A10667" t="s">
        <v>28</v>
      </c>
      <c r="B10667" t="s">
        <v>765</v>
      </c>
      <c r="C10667">
        <v>260</v>
      </c>
      <c r="D10667" t="s">
        <v>809</v>
      </c>
      <c r="E10667" t="s">
        <v>161</v>
      </c>
      <c r="F10667" t="s">
        <v>66</v>
      </c>
      <c r="G10667" t="s">
        <v>208</v>
      </c>
    </row>
    <row r="10668" spans="1:7" x14ac:dyDescent="0.3">
      <c r="A10668" t="s">
        <v>28</v>
      </c>
      <c r="B10668" t="s">
        <v>767</v>
      </c>
      <c r="C10668">
        <v>37</v>
      </c>
      <c r="D10668" t="s">
        <v>629</v>
      </c>
      <c r="E10668" t="s">
        <v>605</v>
      </c>
      <c r="F10668" t="s">
        <v>103</v>
      </c>
      <c r="G10668" t="s">
        <v>532</v>
      </c>
    </row>
    <row r="10669" spans="1:7" s="3" customFormat="1" x14ac:dyDescent="0.3">
      <c r="A10669" s="3" t="s">
        <v>27</v>
      </c>
      <c r="B10669" s="3" t="s">
        <v>764</v>
      </c>
      <c r="C10669" s="3">
        <v>29</v>
      </c>
      <c r="D10669" s="3" t="s">
        <v>268</v>
      </c>
      <c r="E10669" s="3" t="s">
        <v>720</v>
      </c>
      <c r="F10669" s="3" t="s">
        <v>103</v>
      </c>
      <c r="G10669" s="3" t="s">
        <v>103</v>
      </c>
    </row>
    <row r="10670" spans="1:7" x14ac:dyDescent="0.3">
      <c r="A10670" t="s">
        <v>27</v>
      </c>
      <c r="B10670" t="s">
        <v>765</v>
      </c>
      <c r="C10670">
        <v>209</v>
      </c>
      <c r="D10670" t="s">
        <v>382</v>
      </c>
      <c r="E10670" t="s">
        <v>1180</v>
      </c>
      <c r="F10670" t="s">
        <v>98</v>
      </c>
      <c r="G10670" t="s">
        <v>103</v>
      </c>
    </row>
    <row r="10671" spans="1:7" x14ac:dyDescent="0.3">
      <c r="A10671" t="s">
        <v>27</v>
      </c>
      <c r="B10671" t="s">
        <v>767</v>
      </c>
      <c r="C10671">
        <v>62</v>
      </c>
      <c r="D10671" t="s">
        <v>537</v>
      </c>
      <c r="E10671" t="s">
        <v>1009</v>
      </c>
      <c r="F10671" t="s">
        <v>281</v>
      </c>
      <c r="G10671" t="s">
        <v>103</v>
      </c>
    </row>
    <row r="10672" spans="1:7" x14ac:dyDescent="0.3">
      <c r="A10672" t="s">
        <v>41</v>
      </c>
      <c r="B10672" t="s">
        <v>764</v>
      </c>
      <c r="C10672">
        <v>149</v>
      </c>
      <c r="D10672" t="s">
        <v>489</v>
      </c>
      <c r="E10672" t="s">
        <v>932</v>
      </c>
      <c r="F10672" t="s">
        <v>30</v>
      </c>
      <c r="G10672" t="s">
        <v>282</v>
      </c>
    </row>
    <row r="10673" spans="1:7" x14ac:dyDescent="0.3">
      <c r="A10673" t="s">
        <v>41</v>
      </c>
      <c r="B10673" t="s">
        <v>765</v>
      </c>
      <c r="C10673">
        <v>1392</v>
      </c>
      <c r="D10673" t="s">
        <v>1015</v>
      </c>
      <c r="E10673" t="s">
        <v>538</v>
      </c>
      <c r="F10673" t="s">
        <v>137</v>
      </c>
      <c r="G10673" t="s">
        <v>64</v>
      </c>
    </row>
    <row r="10674" spans="1:7" x14ac:dyDescent="0.3">
      <c r="A10674" t="s">
        <v>41</v>
      </c>
      <c r="B10674" t="s">
        <v>767</v>
      </c>
      <c r="C10674">
        <v>497</v>
      </c>
      <c r="D10674" t="s">
        <v>34</v>
      </c>
      <c r="E10674" t="s">
        <v>1043</v>
      </c>
      <c r="F10674" t="s">
        <v>254</v>
      </c>
      <c r="G10674" t="s">
        <v>270</v>
      </c>
    </row>
    <row r="10676" spans="1:7" x14ac:dyDescent="0.3">
      <c r="A10676" t="s">
        <v>2754</v>
      </c>
    </row>
    <row r="10677" spans="1:7" x14ac:dyDescent="0.3">
      <c r="A10677" t="s">
        <v>36</v>
      </c>
      <c r="B10677" t="s">
        <v>1647</v>
      </c>
      <c r="C10677" t="s">
        <v>24</v>
      </c>
      <c r="D10677" t="s">
        <v>2748</v>
      </c>
      <c r="E10677" t="s">
        <v>2749</v>
      </c>
      <c r="F10677" t="s">
        <v>2750</v>
      </c>
      <c r="G10677" t="s">
        <v>2751</v>
      </c>
    </row>
    <row r="10678" spans="1:7" x14ac:dyDescent="0.3">
      <c r="A10678" t="s">
        <v>25</v>
      </c>
      <c r="B10678" t="s">
        <v>1648</v>
      </c>
      <c r="C10678">
        <v>143</v>
      </c>
      <c r="D10678" t="s">
        <v>107</v>
      </c>
      <c r="E10678" t="s">
        <v>1064</v>
      </c>
      <c r="F10678" t="s">
        <v>679</v>
      </c>
      <c r="G10678" t="s">
        <v>216</v>
      </c>
    </row>
    <row r="10679" spans="1:7" x14ac:dyDescent="0.3">
      <c r="A10679" t="s">
        <v>25</v>
      </c>
      <c r="B10679" t="s">
        <v>1649</v>
      </c>
      <c r="C10679">
        <v>271</v>
      </c>
      <c r="D10679" t="s">
        <v>195</v>
      </c>
      <c r="E10679" t="s">
        <v>1002</v>
      </c>
      <c r="F10679" t="s">
        <v>501</v>
      </c>
      <c r="G10679" t="s">
        <v>270</v>
      </c>
    </row>
    <row r="10680" spans="1:7" x14ac:dyDescent="0.3">
      <c r="A10680" t="s">
        <v>26</v>
      </c>
      <c r="B10680" t="s">
        <v>1648</v>
      </c>
      <c r="C10680">
        <v>153</v>
      </c>
      <c r="D10680" t="s">
        <v>341</v>
      </c>
      <c r="E10680" t="s">
        <v>385</v>
      </c>
      <c r="F10680" t="s">
        <v>788</v>
      </c>
      <c r="G10680" t="s">
        <v>472</v>
      </c>
    </row>
    <row r="10681" spans="1:7" x14ac:dyDescent="0.3">
      <c r="A10681" t="s">
        <v>26</v>
      </c>
      <c r="B10681" t="s">
        <v>1649</v>
      </c>
      <c r="C10681">
        <v>324</v>
      </c>
      <c r="D10681" t="s">
        <v>97</v>
      </c>
      <c r="E10681" t="s">
        <v>669</v>
      </c>
      <c r="F10681" t="s">
        <v>729</v>
      </c>
      <c r="G10681" t="s">
        <v>789</v>
      </c>
    </row>
    <row r="10682" spans="1:7" x14ac:dyDescent="0.3">
      <c r="A10682" t="s">
        <v>29</v>
      </c>
      <c r="B10682" t="s">
        <v>1648</v>
      </c>
      <c r="C10682">
        <v>252</v>
      </c>
      <c r="D10682" t="s">
        <v>188</v>
      </c>
      <c r="E10682" t="s">
        <v>1041</v>
      </c>
      <c r="F10682" t="s">
        <v>928</v>
      </c>
      <c r="G10682" t="s">
        <v>571</v>
      </c>
    </row>
    <row r="10683" spans="1:7" x14ac:dyDescent="0.3">
      <c r="A10683" t="s">
        <v>29</v>
      </c>
      <c r="B10683" t="s">
        <v>1649</v>
      </c>
      <c r="C10683">
        <v>278</v>
      </c>
      <c r="D10683" t="s">
        <v>125</v>
      </c>
      <c r="E10683" t="s">
        <v>663</v>
      </c>
      <c r="F10683" t="s">
        <v>362</v>
      </c>
      <c r="G10683" t="s">
        <v>693</v>
      </c>
    </row>
    <row r="10684" spans="1:7" x14ac:dyDescent="0.3">
      <c r="A10684" t="s">
        <v>28</v>
      </c>
      <c r="B10684" t="s">
        <v>1648</v>
      </c>
      <c r="C10684">
        <v>77</v>
      </c>
      <c r="D10684" t="s">
        <v>188</v>
      </c>
      <c r="E10684" t="s">
        <v>475</v>
      </c>
      <c r="F10684" t="s">
        <v>1381</v>
      </c>
      <c r="G10684" t="s">
        <v>95</v>
      </c>
    </row>
    <row r="10685" spans="1:7" x14ac:dyDescent="0.3">
      <c r="A10685" t="s">
        <v>28</v>
      </c>
      <c r="B10685" t="s">
        <v>1649</v>
      </c>
      <c r="C10685">
        <v>240</v>
      </c>
      <c r="D10685" t="s">
        <v>329</v>
      </c>
      <c r="E10685" t="s">
        <v>244</v>
      </c>
      <c r="F10685" t="s">
        <v>617</v>
      </c>
      <c r="G10685" t="s">
        <v>103</v>
      </c>
    </row>
    <row r="10686" spans="1:7" x14ac:dyDescent="0.3">
      <c r="A10686" t="s">
        <v>27</v>
      </c>
      <c r="B10686" t="s">
        <v>1648</v>
      </c>
      <c r="C10686">
        <v>64</v>
      </c>
      <c r="D10686" t="s">
        <v>103</v>
      </c>
      <c r="E10686" t="s">
        <v>396</v>
      </c>
      <c r="F10686" t="s">
        <v>696</v>
      </c>
      <c r="G10686" t="s">
        <v>70</v>
      </c>
    </row>
    <row r="10687" spans="1:7" x14ac:dyDescent="0.3">
      <c r="A10687" t="s">
        <v>27</v>
      </c>
      <c r="B10687" t="s">
        <v>1649</v>
      </c>
      <c r="C10687">
        <v>236</v>
      </c>
      <c r="D10687" t="s">
        <v>103</v>
      </c>
      <c r="E10687" t="s">
        <v>507</v>
      </c>
      <c r="F10687" t="s">
        <v>1291</v>
      </c>
      <c r="G10687" t="s">
        <v>139</v>
      </c>
    </row>
    <row r="10688" spans="1:7" x14ac:dyDescent="0.3">
      <c r="A10688" t="s">
        <v>41</v>
      </c>
      <c r="B10688" t="s">
        <v>1648</v>
      </c>
      <c r="C10688">
        <v>689</v>
      </c>
      <c r="D10688" t="s">
        <v>467</v>
      </c>
      <c r="E10688" t="s">
        <v>375</v>
      </c>
      <c r="F10688" t="s">
        <v>512</v>
      </c>
      <c r="G10688" t="s">
        <v>601</v>
      </c>
    </row>
    <row r="10689" spans="1:7" x14ac:dyDescent="0.3">
      <c r="A10689" t="s">
        <v>41</v>
      </c>
      <c r="B10689" t="s">
        <v>1649</v>
      </c>
      <c r="C10689">
        <v>1349</v>
      </c>
      <c r="D10689" t="s">
        <v>128</v>
      </c>
      <c r="E10689" t="s">
        <v>427</v>
      </c>
      <c r="F10689" t="s">
        <v>369</v>
      </c>
      <c r="G10689" t="s">
        <v>146</v>
      </c>
    </row>
    <row r="10691" spans="1:7" x14ac:dyDescent="0.3">
      <c r="A10691" t="s">
        <v>2755</v>
      </c>
    </row>
    <row r="10692" spans="1:7" x14ac:dyDescent="0.3">
      <c r="A10692" t="s">
        <v>36</v>
      </c>
      <c r="B10692" t="s">
        <v>2756</v>
      </c>
      <c r="C10692" t="s">
        <v>24</v>
      </c>
      <c r="D10692" t="s">
        <v>2749</v>
      </c>
      <c r="E10692" t="s">
        <v>2750</v>
      </c>
      <c r="F10692" t="s">
        <v>2748</v>
      </c>
      <c r="G10692" t="s">
        <v>2751</v>
      </c>
    </row>
    <row r="10693" spans="1:7" s="3" customFormat="1" x14ac:dyDescent="0.3">
      <c r="A10693" s="3" t="s">
        <v>25</v>
      </c>
      <c r="B10693" s="3" t="s">
        <v>2757</v>
      </c>
      <c r="C10693" s="3">
        <v>13</v>
      </c>
      <c r="D10693" s="3" t="s">
        <v>1400</v>
      </c>
      <c r="E10693" s="3" t="s">
        <v>250</v>
      </c>
      <c r="F10693" s="3" t="s">
        <v>103</v>
      </c>
      <c r="G10693" s="3" t="s">
        <v>103</v>
      </c>
    </row>
    <row r="10694" spans="1:7" x14ac:dyDescent="0.3">
      <c r="A10694" t="s">
        <v>25</v>
      </c>
      <c r="B10694" t="s">
        <v>2758</v>
      </c>
      <c r="C10694">
        <v>136</v>
      </c>
      <c r="D10694" t="s">
        <v>795</v>
      </c>
      <c r="E10694" t="s">
        <v>440</v>
      </c>
      <c r="F10694" t="s">
        <v>32</v>
      </c>
      <c r="G10694" t="s">
        <v>68</v>
      </c>
    </row>
    <row r="10695" spans="1:7" x14ac:dyDescent="0.3">
      <c r="A10695" t="s">
        <v>25</v>
      </c>
      <c r="B10695" t="s">
        <v>2759</v>
      </c>
      <c r="C10695">
        <v>135</v>
      </c>
      <c r="D10695" t="s">
        <v>1241</v>
      </c>
      <c r="E10695" t="s">
        <v>418</v>
      </c>
      <c r="F10695" t="s">
        <v>64</v>
      </c>
      <c r="G10695" t="s">
        <v>98</v>
      </c>
    </row>
    <row r="10696" spans="1:7" x14ac:dyDescent="0.3">
      <c r="A10696" t="s">
        <v>25</v>
      </c>
      <c r="B10696" t="s">
        <v>2760</v>
      </c>
      <c r="C10696">
        <v>122</v>
      </c>
      <c r="D10696" t="s">
        <v>810</v>
      </c>
      <c r="E10696" t="s">
        <v>663</v>
      </c>
      <c r="F10696" t="s">
        <v>272</v>
      </c>
      <c r="G10696" t="s">
        <v>493</v>
      </c>
    </row>
    <row r="10697" spans="1:7" x14ac:dyDescent="0.3">
      <c r="A10697" t="s">
        <v>25</v>
      </c>
      <c r="B10697" t="s">
        <v>308</v>
      </c>
      <c r="C10697">
        <v>8</v>
      </c>
      <c r="D10697" t="s">
        <v>1361</v>
      </c>
      <c r="E10697" t="s">
        <v>1083</v>
      </c>
      <c r="F10697" t="s">
        <v>103</v>
      </c>
      <c r="G10697" t="s">
        <v>103</v>
      </c>
    </row>
    <row r="10698" spans="1:7" s="3" customFormat="1" x14ac:dyDescent="0.3">
      <c r="A10698" s="3" t="s">
        <v>26</v>
      </c>
      <c r="B10698" s="3" t="s">
        <v>2757</v>
      </c>
      <c r="C10698" s="3">
        <v>17</v>
      </c>
      <c r="D10698" s="3" t="s">
        <v>104</v>
      </c>
      <c r="E10698" s="3" t="s">
        <v>504</v>
      </c>
      <c r="F10698" s="3" t="s">
        <v>662</v>
      </c>
      <c r="G10698" s="3" t="s">
        <v>1394</v>
      </c>
    </row>
    <row r="10699" spans="1:7" x14ac:dyDescent="0.3">
      <c r="A10699" t="s">
        <v>26</v>
      </c>
      <c r="B10699" t="s">
        <v>2758</v>
      </c>
      <c r="C10699">
        <v>194</v>
      </c>
      <c r="D10699" t="s">
        <v>943</v>
      </c>
      <c r="E10699" t="s">
        <v>815</v>
      </c>
      <c r="F10699" t="s">
        <v>139</v>
      </c>
      <c r="G10699" t="s">
        <v>264</v>
      </c>
    </row>
    <row r="10700" spans="1:7" x14ac:dyDescent="0.3">
      <c r="A10700" t="s">
        <v>26</v>
      </c>
      <c r="B10700" t="s">
        <v>2759</v>
      </c>
      <c r="C10700">
        <v>143</v>
      </c>
      <c r="D10700" t="s">
        <v>462</v>
      </c>
      <c r="E10700" t="s">
        <v>1229</v>
      </c>
      <c r="F10700" t="s">
        <v>345</v>
      </c>
      <c r="G10700" t="s">
        <v>483</v>
      </c>
    </row>
    <row r="10701" spans="1:7" x14ac:dyDescent="0.3">
      <c r="A10701" t="s">
        <v>26</v>
      </c>
      <c r="B10701" t="s">
        <v>2760</v>
      </c>
      <c r="C10701">
        <v>112</v>
      </c>
      <c r="D10701" t="s">
        <v>353</v>
      </c>
      <c r="E10701" t="s">
        <v>1576</v>
      </c>
      <c r="F10701" t="s">
        <v>122</v>
      </c>
      <c r="G10701" t="s">
        <v>528</v>
      </c>
    </row>
    <row r="10702" spans="1:7" x14ac:dyDescent="0.3">
      <c r="A10702" t="s">
        <v>26</v>
      </c>
      <c r="B10702" t="s">
        <v>308</v>
      </c>
      <c r="C10702">
        <v>11</v>
      </c>
      <c r="D10702" t="s">
        <v>457</v>
      </c>
      <c r="E10702" t="s">
        <v>380</v>
      </c>
      <c r="F10702" t="s">
        <v>103</v>
      </c>
      <c r="G10702" t="s">
        <v>352</v>
      </c>
    </row>
    <row r="10703" spans="1:7" s="3" customFormat="1" x14ac:dyDescent="0.3">
      <c r="A10703" s="3" t="s">
        <v>29</v>
      </c>
      <c r="B10703" s="3" t="s">
        <v>2757</v>
      </c>
      <c r="C10703" s="3">
        <v>15</v>
      </c>
      <c r="D10703" s="3" t="s">
        <v>551</v>
      </c>
      <c r="E10703" s="3" t="s">
        <v>593</v>
      </c>
      <c r="F10703" s="3" t="s">
        <v>466</v>
      </c>
      <c r="G10703" s="3" t="s">
        <v>925</v>
      </c>
    </row>
    <row r="10704" spans="1:7" x14ac:dyDescent="0.3">
      <c r="A10704" t="s">
        <v>29</v>
      </c>
      <c r="B10704" t="s">
        <v>2758</v>
      </c>
      <c r="C10704">
        <v>245</v>
      </c>
      <c r="D10704" t="s">
        <v>677</v>
      </c>
      <c r="E10704" t="s">
        <v>1402</v>
      </c>
      <c r="F10704" t="s">
        <v>272</v>
      </c>
      <c r="G10704" t="s">
        <v>100</v>
      </c>
    </row>
    <row r="10705" spans="1:7" x14ac:dyDescent="0.3">
      <c r="A10705" t="s">
        <v>29</v>
      </c>
      <c r="B10705" t="s">
        <v>2759</v>
      </c>
      <c r="C10705">
        <v>139</v>
      </c>
      <c r="D10705" t="s">
        <v>564</v>
      </c>
      <c r="E10705" t="s">
        <v>1006</v>
      </c>
      <c r="F10705" t="s">
        <v>33</v>
      </c>
      <c r="G10705" t="s">
        <v>119</v>
      </c>
    </row>
    <row r="10706" spans="1:7" x14ac:dyDescent="0.3">
      <c r="A10706" t="s">
        <v>29</v>
      </c>
      <c r="B10706" t="s">
        <v>2760</v>
      </c>
      <c r="C10706">
        <v>122</v>
      </c>
      <c r="D10706" t="s">
        <v>797</v>
      </c>
      <c r="E10706" t="s">
        <v>353</v>
      </c>
      <c r="F10706" t="s">
        <v>272</v>
      </c>
      <c r="G10706" t="s">
        <v>629</v>
      </c>
    </row>
    <row r="10707" spans="1:7" x14ac:dyDescent="0.3">
      <c r="A10707" t="s">
        <v>29</v>
      </c>
      <c r="B10707" t="s">
        <v>308</v>
      </c>
      <c r="C10707">
        <v>9</v>
      </c>
      <c r="D10707" t="s">
        <v>1356</v>
      </c>
      <c r="E10707" t="s">
        <v>1546</v>
      </c>
      <c r="F10707" t="s">
        <v>103</v>
      </c>
      <c r="G10707" t="s">
        <v>103</v>
      </c>
    </row>
    <row r="10708" spans="1:7" x14ac:dyDescent="0.3">
      <c r="A10708" t="s">
        <v>28</v>
      </c>
      <c r="B10708" t="s">
        <v>2757</v>
      </c>
      <c r="C10708">
        <v>31</v>
      </c>
      <c r="D10708" t="s">
        <v>125</v>
      </c>
      <c r="E10708" t="s">
        <v>1633</v>
      </c>
      <c r="F10708" t="s">
        <v>103</v>
      </c>
      <c r="G10708" t="s">
        <v>103</v>
      </c>
    </row>
    <row r="10709" spans="1:7" x14ac:dyDescent="0.3">
      <c r="A10709" t="s">
        <v>28</v>
      </c>
      <c r="B10709" t="s">
        <v>2758</v>
      </c>
      <c r="C10709">
        <v>100</v>
      </c>
      <c r="D10709" t="s">
        <v>470</v>
      </c>
      <c r="E10709" t="s">
        <v>761</v>
      </c>
      <c r="F10709" t="s">
        <v>114</v>
      </c>
      <c r="G10709" t="s">
        <v>97</v>
      </c>
    </row>
    <row r="10710" spans="1:7" x14ac:dyDescent="0.3">
      <c r="A10710" t="s">
        <v>28</v>
      </c>
      <c r="B10710" t="s">
        <v>2759</v>
      </c>
      <c r="C10710">
        <v>104</v>
      </c>
      <c r="D10710" t="s">
        <v>148</v>
      </c>
      <c r="E10710" t="s">
        <v>1308</v>
      </c>
      <c r="F10710" t="s">
        <v>270</v>
      </c>
      <c r="G10710" t="s">
        <v>103</v>
      </c>
    </row>
    <row r="10711" spans="1:7" x14ac:dyDescent="0.3">
      <c r="A10711" t="s">
        <v>28</v>
      </c>
      <c r="B10711" t="s">
        <v>2760</v>
      </c>
      <c r="C10711">
        <v>82</v>
      </c>
      <c r="D10711" t="s">
        <v>123</v>
      </c>
      <c r="E10711" t="s">
        <v>744</v>
      </c>
      <c r="F10711" t="s">
        <v>468</v>
      </c>
      <c r="G10711" t="s">
        <v>103</v>
      </c>
    </row>
    <row r="10712" spans="1:7" s="3" customFormat="1" x14ac:dyDescent="0.3">
      <c r="A10712" s="3" t="s">
        <v>27</v>
      </c>
      <c r="B10712" s="3" t="s">
        <v>2757</v>
      </c>
      <c r="C10712" s="3">
        <v>2</v>
      </c>
      <c r="D10712" s="3" t="s">
        <v>437</v>
      </c>
      <c r="E10712" s="3" t="s">
        <v>654</v>
      </c>
      <c r="F10712" s="3" t="s">
        <v>103</v>
      </c>
      <c r="G10712" s="3" t="s">
        <v>103</v>
      </c>
    </row>
    <row r="10713" spans="1:7" x14ac:dyDescent="0.3">
      <c r="A10713" t="s">
        <v>27</v>
      </c>
      <c r="B10713" t="s">
        <v>2758</v>
      </c>
      <c r="C10713">
        <v>86</v>
      </c>
      <c r="D10713" t="s">
        <v>920</v>
      </c>
      <c r="E10713" t="s">
        <v>381</v>
      </c>
      <c r="F10713" t="s">
        <v>103</v>
      </c>
      <c r="G10713" t="s">
        <v>107</v>
      </c>
    </row>
    <row r="10714" spans="1:7" x14ac:dyDescent="0.3">
      <c r="A10714" t="s">
        <v>27</v>
      </c>
      <c r="B10714" t="s">
        <v>2759</v>
      </c>
      <c r="C10714">
        <v>82</v>
      </c>
      <c r="D10714" t="s">
        <v>1196</v>
      </c>
      <c r="E10714" t="s">
        <v>439</v>
      </c>
      <c r="F10714" t="s">
        <v>103</v>
      </c>
      <c r="G10714" t="s">
        <v>98</v>
      </c>
    </row>
    <row r="10715" spans="1:7" x14ac:dyDescent="0.3">
      <c r="A10715" t="s">
        <v>27</v>
      </c>
      <c r="B10715" t="s">
        <v>2760</v>
      </c>
      <c r="C10715">
        <v>128</v>
      </c>
      <c r="D10715" t="s">
        <v>491</v>
      </c>
      <c r="E10715" t="s">
        <v>1180</v>
      </c>
      <c r="F10715" t="s">
        <v>103</v>
      </c>
      <c r="G10715" t="s">
        <v>139</v>
      </c>
    </row>
    <row r="10716" spans="1:7" x14ac:dyDescent="0.3">
      <c r="A10716" t="s">
        <v>27</v>
      </c>
      <c r="B10716" t="s">
        <v>308</v>
      </c>
      <c r="C10716">
        <v>2</v>
      </c>
      <c r="D10716" t="s">
        <v>472</v>
      </c>
      <c r="E10716" t="s">
        <v>1141</v>
      </c>
      <c r="F10716" t="s">
        <v>103</v>
      </c>
      <c r="G10716" t="s">
        <v>103</v>
      </c>
    </row>
    <row r="10717" spans="1:7" x14ac:dyDescent="0.3">
      <c r="A10717" t="s">
        <v>41</v>
      </c>
      <c r="B10717" t="s">
        <v>2757</v>
      </c>
      <c r="C10717">
        <v>78</v>
      </c>
      <c r="D10717" t="s">
        <v>746</v>
      </c>
      <c r="E10717" t="s">
        <v>423</v>
      </c>
      <c r="F10717" t="s">
        <v>107</v>
      </c>
      <c r="G10717" t="s">
        <v>568</v>
      </c>
    </row>
    <row r="10718" spans="1:7" x14ac:dyDescent="0.3">
      <c r="A10718" t="s">
        <v>41</v>
      </c>
      <c r="B10718" t="s">
        <v>2758</v>
      </c>
      <c r="C10718">
        <v>761</v>
      </c>
      <c r="D10718" t="s">
        <v>443</v>
      </c>
      <c r="E10718" t="s">
        <v>1054</v>
      </c>
      <c r="F10718" t="s">
        <v>64</v>
      </c>
      <c r="G10718" t="s">
        <v>135</v>
      </c>
    </row>
    <row r="10719" spans="1:7" x14ac:dyDescent="0.3">
      <c r="A10719" t="s">
        <v>41</v>
      </c>
      <c r="B10719" t="s">
        <v>2759</v>
      </c>
      <c r="C10719">
        <v>603</v>
      </c>
      <c r="D10719" t="s">
        <v>1015</v>
      </c>
      <c r="E10719" t="s">
        <v>770</v>
      </c>
      <c r="F10719" t="s">
        <v>272</v>
      </c>
      <c r="G10719" t="s">
        <v>629</v>
      </c>
    </row>
    <row r="10720" spans="1:7" x14ac:dyDescent="0.3">
      <c r="A10720" t="s">
        <v>41</v>
      </c>
      <c r="B10720" t="s">
        <v>2760</v>
      </c>
      <c r="C10720">
        <v>566</v>
      </c>
      <c r="D10720" t="s">
        <v>535</v>
      </c>
      <c r="E10720" t="s">
        <v>350</v>
      </c>
      <c r="F10720" t="s">
        <v>93</v>
      </c>
      <c r="G10720" t="s">
        <v>205</v>
      </c>
    </row>
    <row r="10721" spans="1:7" x14ac:dyDescent="0.3">
      <c r="A10721" t="s">
        <v>41</v>
      </c>
      <c r="B10721" t="s">
        <v>308</v>
      </c>
      <c r="C10721">
        <v>30</v>
      </c>
      <c r="D10721" t="s">
        <v>1066</v>
      </c>
      <c r="E10721" t="s">
        <v>453</v>
      </c>
      <c r="F10721" t="s">
        <v>103</v>
      </c>
      <c r="G10721" t="s">
        <v>130</v>
      </c>
    </row>
    <row r="10723" spans="1:7" x14ac:dyDescent="0.3">
      <c r="A10723" t="s">
        <v>2761</v>
      </c>
    </row>
    <row r="10724" spans="1:7" x14ac:dyDescent="0.3">
      <c r="A10724" t="s">
        <v>36</v>
      </c>
      <c r="B10724" t="s">
        <v>310</v>
      </c>
      <c r="C10724" t="s">
        <v>24</v>
      </c>
      <c r="D10724" t="s">
        <v>2748</v>
      </c>
      <c r="E10724" t="s">
        <v>2749</v>
      </c>
      <c r="F10724" t="s">
        <v>2750</v>
      </c>
      <c r="G10724" t="s">
        <v>2751</v>
      </c>
    </row>
    <row r="10725" spans="1:7" x14ac:dyDescent="0.3">
      <c r="A10725" t="s">
        <v>25</v>
      </c>
      <c r="B10725" t="s">
        <v>311</v>
      </c>
      <c r="C10725">
        <v>324</v>
      </c>
      <c r="D10725" t="s">
        <v>125</v>
      </c>
      <c r="E10725" t="s">
        <v>1068</v>
      </c>
      <c r="F10725" t="s">
        <v>1011</v>
      </c>
      <c r="G10725" t="s">
        <v>118</v>
      </c>
    </row>
    <row r="10726" spans="1:7" x14ac:dyDescent="0.3">
      <c r="A10726" t="s">
        <v>25</v>
      </c>
      <c r="B10726" t="s">
        <v>312</v>
      </c>
      <c r="C10726">
        <v>80</v>
      </c>
      <c r="D10726" t="s">
        <v>272</v>
      </c>
      <c r="E10726" t="s">
        <v>1039</v>
      </c>
      <c r="F10726" t="s">
        <v>418</v>
      </c>
      <c r="G10726" t="s">
        <v>64</v>
      </c>
    </row>
    <row r="10727" spans="1:7" x14ac:dyDescent="0.3">
      <c r="A10727" t="s">
        <v>25</v>
      </c>
      <c r="B10727" t="s">
        <v>308</v>
      </c>
      <c r="C10727">
        <v>10</v>
      </c>
      <c r="D10727" t="s">
        <v>103</v>
      </c>
      <c r="E10727" t="s">
        <v>1443</v>
      </c>
      <c r="F10727" t="s">
        <v>1223</v>
      </c>
      <c r="G10727" t="s">
        <v>103</v>
      </c>
    </row>
    <row r="10728" spans="1:7" x14ac:dyDescent="0.3">
      <c r="A10728" t="s">
        <v>26</v>
      </c>
      <c r="B10728" t="s">
        <v>311</v>
      </c>
      <c r="C10728">
        <v>343</v>
      </c>
      <c r="D10728" t="s">
        <v>98</v>
      </c>
      <c r="E10728" t="s">
        <v>934</v>
      </c>
      <c r="F10728" t="s">
        <v>376</v>
      </c>
      <c r="G10728" t="s">
        <v>514</v>
      </c>
    </row>
    <row r="10729" spans="1:7" x14ac:dyDescent="0.3">
      <c r="A10729" t="s">
        <v>26</v>
      </c>
      <c r="B10729" t="s">
        <v>312</v>
      </c>
      <c r="C10729">
        <v>96</v>
      </c>
      <c r="D10729" t="s">
        <v>245</v>
      </c>
      <c r="E10729" t="s">
        <v>355</v>
      </c>
      <c r="F10729" t="s">
        <v>1227</v>
      </c>
      <c r="G10729" t="s">
        <v>684</v>
      </c>
    </row>
    <row r="10730" spans="1:7" x14ac:dyDescent="0.3">
      <c r="A10730" t="s">
        <v>26</v>
      </c>
      <c r="B10730" t="s">
        <v>308</v>
      </c>
      <c r="C10730">
        <v>38</v>
      </c>
      <c r="D10730" t="s">
        <v>103</v>
      </c>
      <c r="E10730" t="s">
        <v>301</v>
      </c>
      <c r="F10730" t="s">
        <v>353</v>
      </c>
      <c r="G10730" t="s">
        <v>295</v>
      </c>
    </row>
    <row r="10731" spans="1:7" x14ac:dyDescent="0.3">
      <c r="A10731" t="s">
        <v>29</v>
      </c>
      <c r="B10731" t="s">
        <v>311</v>
      </c>
      <c r="C10731">
        <v>414</v>
      </c>
      <c r="D10731" t="s">
        <v>102</v>
      </c>
      <c r="E10731" t="s">
        <v>562</v>
      </c>
      <c r="F10731" t="s">
        <v>943</v>
      </c>
      <c r="G10731" t="s">
        <v>90</v>
      </c>
    </row>
    <row r="10732" spans="1:7" x14ac:dyDescent="0.3">
      <c r="A10732" t="s">
        <v>29</v>
      </c>
      <c r="B10732" t="s">
        <v>312</v>
      </c>
      <c r="C10732">
        <v>103</v>
      </c>
      <c r="D10732" t="s">
        <v>113</v>
      </c>
      <c r="E10732" t="s">
        <v>1576</v>
      </c>
      <c r="F10732" t="s">
        <v>1065</v>
      </c>
      <c r="G10732" t="s">
        <v>135</v>
      </c>
    </row>
    <row r="10733" spans="1:7" x14ac:dyDescent="0.3">
      <c r="A10733" t="s">
        <v>29</v>
      </c>
      <c r="B10733" t="s">
        <v>308</v>
      </c>
      <c r="C10733">
        <v>13</v>
      </c>
      <c r="D10733" t="s">
        <v>251</v>
      </c>
      <c r="E10733" t="s">
        <v>295</v>
      </c>
      <c r="F10733" t="s">
        <v>663</v>
      </c>
      <c r="G10733" t="s">
        <v>429</v>
      </c>
    </row>
    <row r="10734" spans="1:7" x14ac:dyDescent="0.3">
      <c r="A10734" t="s">
        <v>28</v>
      </c>
      <c r="B10734" t="s">
        <v>311</v>
      </c>
      <c r="C10734">
        <v>223</v>
      </c>
      <c r="D10734" t="s">
        <v>110</v>
      </c>
      <c r="E10734" t="s">
        <v>171</v>
      </c>
      <c r="F10734" t="s">
        <v>53</v>
      </c>
      <c r="G10734" t="s">
        <v>66</v>
      </c>
    </row>
    <row r="10735" spans="1:7" x14ac:dyDescent="0.3">
      <c r="A10735" t="s">
        <v>28</v>
      </c>
      <c r="B10735" t="s">
        <v>312</v>
      </c>
      <c r="C10735">
        <v>93</v>
      </c>
      <c r="D10735" t="s">
        <v>133</v>
      </c>
      <c r="E10735" t="s">
        <v>135</v>
      </c>
      <c r="F10735" t="s">
        <v>630</v>
      </c>
      <c r="G10735" t="s">
        <v>103</v>
      </c>
    </row>
    <row r="10736" spans="1:7" x14ac:dyDescent="0.3">
      <c r="A10736" t="s">
        <v>28</v>
      </c>
      <c r="B10736" t="s">
        <v>308</v>
      </c>
      <c r="C10736">
        <v>1</v>
      </c>
      <c r="D10736" t="s">
        <v>103</v>
      </c>
      <c r="E10736" t="s">
        <v>103</v>
      </c>
      <c r="F10736" t="s">
        <v>192</v>
      </c>
      <c r="G10736" t="s">
        <v>103</v>
      </c>
    </row>
    <row r="10737" spans="1:7" x14ac:dyDescent="0.3">
      <c r="A10737" t="s">
        <v>27</v>
      </c>
      <c r="B10737" t="s">
        <v>311</v>
      </c>
      <c r="C10737">
        <v>237</v>
      </c>
      <c r="D10737" t="s">
        <v>103</v>
      </c>
      <c r="E10737" t="s">
        <v>560</v>
      </c>
      <c r="F10737" t="s">
        <v>356</v>
      </c>
      <c r="G10737" t="s">
        <v>93</v>
      </c>
    </row>
    <row r="10738" spans="1:7" x14ac:dyDescent="0.3">
      <c r="A10738" t="s">
        <v>27</v>
      </c>
      <c r="B10738" t="s">
        <v>312</v>
      </c>
      <c r="C10738">
        <v>60</v>
      </c>
      <c r="D10738" t="s">
        <v>103</v>
      </c>
      <c r="E10738" t="s">
        <v>539</v>
      </c>
      <c r="F10738" t="s">
        <v>989</v>
      </c>
      <c r="G10738" t="s">
        <v>103</v>
      </c>
    </row>
    <row r="10739" spans="1:7" x14ac:dyDescent="0.3">
      <c r="A10739" t="s">
        <v>27</v>
      </c>
      <c r="B10739" t="s">
        <v>308</v>
      </c>
      <c r="C10739">
        <v>3</v>
      </c>
      <c r="D10739" t="s">
        <v>103</v>
      </c>
      <c r="E10739" t="s">
        <v>943</v>
      </c>
      <c r="F10739" t="s">
        <v>527</v>
      </c>
      <c r="G10739" t="s">
        <v>103</v>
      </c>
    </row>
    <row r="10740" spans="1:7" x14ac:dyDescent="0.3">
      <c r="A10740" t="s">
        <v>41</v>
      </c>
      <c r="B10740" t="s">
        <v>311</v>
      </c>
      <c r="C10740">
        <v>1541</v>
      </c>
      <c r="D10740" t="s">
        <v>217</v>
      </c>
      <c r="E10740" t="s">
        <v>462</v>
      </c>
      <c r="F10740" t="s">
        <v>436</v>
      </c>
      <c r="G10740" t="s">
        <v>262</v>
      </c>
    </row>
    <row r="10741" spans="1:7" x14ac:dyDescent="0.3">
      <c r="A10741" t="s">
        <v>41</v>
      </c>
      <c r="B10741" t="s">
        <v>312</v>
      </c>
      <c r="C10741">
        <v>432</v>
      </c>
      <c r="D10741" t="s">
        <v>438</v>
      </c>
      <c r="E10741" t="s">
        <v>134</v>
      </c>
      <c r="F10741" t="s">
        <v>413</v>
      </c>
      <c r="G10741" t="s">
        <v>104</v>
      </c>
    </row>
    <row r="10742" spans="1:7" x14ac:dyDescent="0.3">
      <c r="A10742" t="s">
        <v>41</v>
      </c>
      <c r="B10742" t="s">
        <v>308</v>
      </c>
      <c r="C10742">
        <v>65</v>
      </c>
      <c r="D10742" t="s">
        <v>245</v>
      </c>
      <c r="E10742" t="s">
        <v>1211</v>
      </c>
      <c r="F10742" t="s">
        <v>1043</v>
      </c>
      <c r="G10742" t="s">
        <v>654</v>
      </c>
    </row>
    <row r="10744" spans="1:7" x14ac:dyDescent="0.3">
      <c r="A10744" t="s">
        <v>2762</v>
      </c>
    </row>
    <row r="10745" spans="1:7" x14ac:dyDescent="0.3">
      <c r="A10745" t="s">
        <v>36</v>
      </c>
      <c r="B10745" t="s">
        <v>1233</v>
      </c>
      <c r="C10745" t="s">
        <v>24</v>
      </c>
      <c r="D10745" t="s">
        <v>2748</v>
      </c>
      <c r="E10745" t="s">
        <v>2749</v>
      </c>
      <c r="F10745" t="s">
        <v>2750</v>
      </c>
      <c r="G10745" t="s">
        <v>2751</v>
      </c>
    </row>
    <row r="10746" spans="1:7" x14ac:dyDescent="0.3">
      <c r="A10746" t="s">
        <v>25</v>
      </c>
      <c r="B10746" t="s">
        <v>1234</v>
      </c>
      <c r="C10746">
        <v>257</v>
      </c>
      <c r="D10746" t="s">
        <v>118</v>
      </c>
      <c r="E10746" t="s">
        <v>1209</v>
      </c>
      <c r="F10746" t="s">
        <v>458</v>
      </c>
      <c r="G10746" t="s">
        <v>68</v>
      </c>
    </row>
    <row r="10747" spans="1:7" s="3" customFormat="1" x14ac:dyDescent="0.3">
      <c r="A10747" s="3" t="s">
        <v>25</v>
      </c>
      <c r="B10747" s="3" t="s">
        <v>1235</v>
      </c>
      <c r="C10747" s="3">
        <v>25</v>
      </c>
      <c r="D10747" s="3" t="s">
        <v>536</v>
      </c>
      <c r="E10747" s="3" t="s">
        <v>1009</v>
      </c>
      <c r="F10747" s="3" t="s">
        <v>1227</v>
      </c>
      <c r="G10747" s="3" t="s">
        <v>103</v>
      </c>
    </row>
    <row r="10748" spans="1:7" x14ac:dyDescent="0.3">
      <c r="A10748" t="s">
        <v>25</v>
      </c>
      <c r="B10748" t="s">
        <v>1237</v>
      </c>
      <c r="C10748">
        <v>132</v>
      </c>
      <c r="D10748" t="s">
        <v>188</v>
      </c>
      <c r="E10748" t="s">
        <v>2185</v>
      </c>
      <c r="F10748" t="s">
        <v>453</v>
      </c>
      <c r="G10748" t="s">
        <v>239</v>
      </c>
    </row>
    <row r="10749" spans="1:7" x14ac:dyDescent="0.3">
      <c r="A10749" t="s">
        <v>26</v>
      </c>
      <c r="B10749" t="s">
        <v>1234</v>
      </c>
      <c r="C10749">
        <v>296</v>
      </c>
      <c r="D10749" t="s">
        <v>98</v>
      </c>
      <c r="E10749" t="s">
        <v>1215</v>
      </c>
      <c r="F10749" t="s">
        <v>815</v>
      </c>
      <c r="G10749" t="s">
        <v>732</v>
      </c>
    </row>
    <row r="10750" spans="1:7" x14ac:dyDescent="0.3">
      <c r="A10750" t="s">
        <v>26</v>
      </c>
      <c r="B10750" t="s">
        <v>1235</v>
      </c>
      <c r="C10750">
        <v>37</v>
      </c>
      <c r="D10750" t="s">
        <v>105</v>
      </c>
      <c r="E10750" t="s">
        <v>442</v>
      </c>
      <c r="F10750" t="s">
        <v>1055</v>
      </c>
      <c r="G10750" t="s">
        <v>251</v>
      </c>
    </row>
    <row r="10751" spans="1:7" x14ac:dyDescent="0.3">
      <c r="A10751" t="s">
        <v>26</v>
      </c>
      <c r="B10751" t="s">
        <v>1237</v>
      </c>
      <c r="C10751">
        <v>144</v>
      </c>
      <c r="D10751" t="s">
        <v>95</v>
      </c>
      <c r="E10751" t="s">
        <v>1224</v>
      </c>
      <c r="F10751" t="s">
        <v>396</v>
      </c>
      <c r="G10751" t="s">
        <v>520</v>
      </c>
    </row>
    <row r="10752" spans="1:7" x14ac:dyDescent="0.3">
      <c r="A10752" t="s">
        <v>29</v>
      </c>
      <c r="B10752" t="s">
        <v>1234</v>
      </c>
      <c r="C10752">
        <v>372</v>
      </c>
      <c r="D10752" t="s">
        <v>493</v>
      </c>
      <c r="E10752" t="s">
        <v>297</v>
      </c>
      <c r="F10752" t="s">
        <v>1228</v>
      </c>
      <c r="G10752" t="s">
        <v>146</v>
      </c>
    </row>
    <row r="10753" spans="1:7" x14ac:dyDescent="0.3">
      <c r="A10753" t="s">
        <v>29</v>
      </c>
      <c r="B10753" t="s">
        <v>1235</v>
      </c>
      <c r="C10753">
        <v>38</v>
      </c>
      <c r="D10753" t="s">
        <v>467</v>
      </c>
      <c r="E10753" t="s">
        <v>501</v>
      </c>
      <c r="F10753" t="s">
        <v>415</v>
      </c>
      <c r="G10753" t="s">
        <v>186</v>
      </c>
    </row>
    <row r="10754" spans="1:7" x14ac:dyDescent="0.3">
      <c r="A10754" t="s">
        <v>29</v>
      </c>
      <c r="B10754" t="s">
        <v>1237</v>
      </c>
      <c r="C10754">
        <v>120</v>
      </c>
      <c r="D10754" t="s">
        <v>114</v>
      </c>
      <c r="E10754" t="s">
        <v>1060</v>
      </c>
      <c r="F10754" t="s">
        <v>1545</v>
      </c>
      <c r="G10754" t="s">
        <v>190</v>
      </c>
    </row>
    <row r="10755" spans="1:7" x14ac:dyDescent="0.3">
      <c r="A10755" t="s">
        <v>28</v>
      </c>
      <c r="B10755" t="s">
        <v>1234</v>
      </c>
      <c r="C10755">
        <v>126</v>
      </c>
      <c r="D10755" t="s">
        <v>438</v>
      </c>
      <c r="E10755" t="s">
        <v>244</v>
      </c>
      <c r="F10755" t="s">
        <v>161</v>
      </c>
      <c r="G10755" t="s">
        <v>122</v>
      </c>
    </row>
    <row r="10756" spans="1:7" s="3" customFormat="1" x14ac:dyDescent="0.3">
      <c r="A10756" s="3" t="s">
        <v>28</v>
      </c>
      <c r="B10756" s="3" t="s">
        <v>1235</v>
      </c>
      <c r="C10756" s="3">
        <v>17</v>
      </c>
      <c r="D10756" s="3" t="s">
        <v>186</v>
      </c>
      <c r="E10756" s="3" t="s">
        <v>365</v>
      </c>
      <c r="F10756" s="3" t="s">
        <v>1390</v>
      </c>
      <c r="G10756" s="3" t="s">
        <v>103</v>
      </c>
    </row>
    <row r="10757" spans="1:7" x14ac:dyDescent="0.3">
      <c r="A10757" t="s">
        <v>28</v>
      </c>
      <c r="B10757" t="s">
        <v>1237</v>
      </c>
      <c r="C10757">
        <v>174</v>
      </c>
      <c r="D10757" t="s">
        <v>245</v>
      </c>
      <c r="E10757" t="s">
        <v>117</v>
      </c>
      <c r="F10757" t="s">
        <v>599</v>
      </c>
      <c r="G10757" t="s">
        <v>103</v>
      </c>
    </row>
    <row r="10758" spans="1:7" x14ac:dyDescent="0.3">
      <c r="A10758" t="s">
        <v>27</v>
      </c>
      <c r="B10758" t="s">
        <v>1234</v>
      </c>
      <c r="C10758">
        <v>149</v>
      </c>
      <c r="D10758" t="s">
        <v>103</v>
      </c>
      <c r="E10758" t="s">
        <v>530</v>
      </c>
      <c r="F10758" t="s">
        <v>419</v>
      </c>
      <c r="G10758" t="s">
        <v>118</v>
      </c>
    </row>
    <row r="10759" spans="1:7" s="3" customFormat="1" x14ac:dyDescent="0.3">
      <c r="A10759" s="3" t="s">
        <v>27</v>
      </c>
      <c r="B10759" s="3" t="s">
        <v>1235</v>
      </c>
      <c r="C10759" s="3">
        <v>10</v>
      </c>
      <c r="D10759" s="3" t="s">
        <v>103</v>
      </c>
      <c r="E10759" s="3" t="s">
        <v>1461</v>
      </c>
      <c r="F10759" s="3" t="s">
        <v>1220</v>
      </c>
      <c r="G10759" s="3" t="s">
        <v>103</v>
      </c>
    </row>
    <row r="10760" spans="1:7" x14ac:dyDescent="0.3">
      <c r="A10760" t="s">
        <v>27</v>
      </c>
      <c r="B10760" t="s">
        <v>1237</v>
      </c>
      <c r="C10760">
        <v>141</v>
      </c>
      <c r="D10760" t="s">
        <v>103</v>
      </c>
      <c r="E10760" t="s">
        <v>820</v>
      </c>
      <c r="F10760" t="s">
        <v>2108</v>
      </c>
      <c r="G10760" t="s">
        <v>110</v>
      </c>
    </row>
    <row r="10761" spans="1:7" x14ac:dyDescent="0.3">
      <c r="A10761" t="s">
        <v>41</v>
      </c>
      <c r="B10761" t="s">
        <v>1234</v>
      </c>
      <c r="C10761">
        <v>1200</v>
      </c>
      <c r="D10761" t="s">
        <v>266</v>
      </c>
      <c r="E10761" t="s">
        <v>676</v>
      </c>
      <c r="F10761" t="s">
        <v>512</v>
      </c>
      <c r="G10761" t="s">
        <v>169</v>
      </c>
    </row>
    <row r="10762" spans="1:7" x14ac:dyDescent="0.3">
      <c r="A10762" t="s">
        <v>41</v>
      </c>
      <c r="B10762" t="s">
        <v>1235</v>
      </c>
      <c r="C10762">
        <v>127</v>
      </c>
      <c r="D10762" t="s">
        <v>113</v>
      </c>
      <c r="E10762" t="s">
        <v>1396</v>
      </c>
      <c r="F10762" t="s">
        <v>405</v>
      </c>
      <c r="G10762" t="s">
        <v>188</v>
      </c>
    </row>
    <row r="10763" spans="1:7" x14ac:dyDescent="0.3">
      <c r="A10763" t="s">
        <v>41</v>
      </c>
      <c r="B10763" t="s">
        <v>1237</v>
      </c>
      <c r="C10763">
        <v>711</v>
      </c>
      <c r="D10763" t="s">
        <v>217</v>
      </c>
      <c r="E10763" t="s">
        <v>659</v>
      </c>
      <c r="F10763" t="s">
        <v>386</v>
      </c>
      <c r="G10763" t="s">
        <v>601</v>
      </c>
    </row>
    <row r="10765" spans="1:7" x14ac:dyDescent="0.3">
      <c r="A10765" t="s">
        <v>2763</v>
      </c>
    </row>
    <row r="10766" spans="1:7" x14ac:dyDescent="0.3">
      <c r="A10766" t="s">
        <v>36</v>
      </c>
      <c r="B10766" t="s">
        <v>2764</v>
      </c>
      <c r="C10766" t="s">
        <v>24</v>
      </c>
      <c r="D10766" t="s">
        <v>2748</v>
      </c>
      <c r="E10766" t="s">
        <v>2749</v>
      </c>
      <c r="F10766" t="s">
        <v>2750</v>
      </c>
      <c r="G10766" t="s">
        <v>2751</v>
      </c>
    </row>
    <row r="10767" spans="1:7" s="3" customFormat="1" x14ac:dyDescent="0.3">
      <c r="A10767" s="3" t="s">
        <v>25</v>
      </c>
      <c r="B10767" s="3" t="s">
        <v>2765</v>
      </c>
      <c r="C10767" s="3">
        <v>16</v>
      </c>
      <c r="D10767" s="3" t="s">
        <v>127</v>
      </c>
      <c r="E10767" s="3" t="s">
        <v>390</v>
      </c>
      <c r="F10767" s="3" t="s">
        <v>797</v>
      </c>
      <c r="G10767" s="3" t="s">
        <v>251</v>
      </c>
    </row>
    <row r="10768" spans="1:7" s="3" customFormat="1" x14ac:dyDescent="0.3">
      <c r="A10768" s="3" t="s">
        <v>25</v>
      </c>
      <c r="B10768" s="3" t="s">
        <v>585</v>
      </c>
      <c r="C10768" s="3">
        <v>5</v>
      </c>
      <c r="D10768" s="3" t="s">
        <v>103</v>
      </c>
      <c r="E10768" s="3" t="s">
        <v>871</v>
      </c>
      <c r="F10768" s="3" t="s">
        <v>224</v>
      </c>
      <c r="G10768" s="3" t="s">
        <v>103</v>
      </c>
    </row>
    <row r="10769" spans="1:7" s="3" customFormat="1" x14ac:dyDescent="0.3">
      <c r="A10769" s="3" t="s">
        <v>25</v>
      </c>
      <c r="B10769" s="3" t="s">
        <v>586</v>
      </c>
      <c r="C10769" s="3">
        <v>17</v>
      </c>
      <c r="D10769" s="3" t="s">
        <v>216</v>
      </c>
      <c r="E10769" s="3" t="s">
        <v>1070</v>
      </c>
      <c r="F10769" s="3" t="s">
        <v>1328</v>
      </c>
      <c r="G10769" s="3" t="s">
        <v>103</v>
      </c>
    </row>
    <row r="10770" spans="1:7" s="3" customFormat="1" x14ac:dyDescent="0.3">
      <c r="A10770" s="3" t="s">
        <v>25</v>
      </c>
      <c r="B10770" s="3" t="s">
        <v>587</v>
      </c>
      <c r="C10770" s="3">
        <v>2</v>
      </c>
      <c r="D10770" s="3" t="s">
        <v>103</v>
      </c>
      <c r="E10770" s="3" t="s">
        <v>103</v>
      </c>
      <c r="F10770" s="3" t="s">
        <v>192</v>
      </c>
      <c r="G10770" s="3" t="s">
        <v>103</v>
      </c>
    </row>
    <row r="10771" spans="1:7" s="3" customFormat="1" x14ac:dyDescent="0.3">
      <c r="A10771" s="3" t="s">
        <v>25</v>
      </c>
      <c r="B10771" s="3" t="s">
        <v>588</v>
      </c>
      <c r="C10771" s="3">
        <v>20</v>
      </c>
      <c r="D10771" s="3" t="s">
        <v>103</v>
      </c>
      <c r="E10771" s="3" t="s">
        <v>683</v>
      </c>
      <c r="F10771" s="3" t="s">
        <v>364</v>
      </c>
      <c r="G10771" s="3" t="s">
        <v>452</v>
      </c>
    </row>
    <row r="10772" spans="1:7" x14ac:dyDescent="0.3">
      <c r="A10772" t="s">
        <v>25</v>
      </c>
      <c r="B10772" t="s">
        <v>2766</v>
      </c>
      <c r="C10772">
        <v>354</v>
      </c>
      <c r="D10772" t="s">
        <v>102</v>
      </c>
      <c r="E10772" t="s">
        <v>298</v>
      </c>
      <c r="F10772" t="s">
        <v>561</v>
      </c>
      <c r="G10772" t="s">
        <v>329</v>
      </c>
    </row>
    <row r="10773" spans="1:7" s="3" customFormat="1" x14ac:dyDescent="0.3">
      <c r="A10773" s="3" t="s">
        <v>26</v>
      </c>
      <c r="B10773" s="3" t="s">
        <v>2765</v>
      </c>
      <c r="C10773" s="3">
        <v>26</v>
      </c>
      <c r="D10773" s="3" t="s">
        <v>272</v>
      </c>
      <c r="E10773" s="3" t="s">
        <v>1057</v>
      </c>
      <c r="F10773" s="3" t="s">
        <v>1200</v>
      </c>
      <c r="G10773" s="3" t="s">
        <v>565</v>
      </c>
    </row>
    <row r="10774" spans="1:7" s="3" customFormat="1" x14ac:dyDescent="0.3">
      <c r="A10774" s="3" t="s">
        <v>26</v>
      </c>
      <c r="B10774" s="3" t="s">
        <v>586</v>
      </c>
      <c r="C10774" s="3">
        <v>4</v>
      </c>
      <c r="D10774" s="3" t="s">
        <v>103</v>
      </c>
      <c r="E10774" s="3" t="s">
        <v>787</v>
      </c>
      <c r="F10774" s="3" t="s">
        <v>103</v>
      </c>
      <c r="G10774" s="3" t="s">
        <v>788</v>
      </c>
    </row>
    <row r="10775" spans="1:7" s="3" customFormat="1" x14ac:dyDescent="0.3">
      <c r="A10775" s="3" t="s">
        <v>26</v>
      </c>
      <c r="B10775" s="3" t="s">
        <v>587</v>
      </c>
      <c r="C10775" s="3">
        <v>8</v>
      </c>
      <c r="D10775" s="3" t="s">
        <v>103</v>
      </c>
      <c r="E10775" s="3" t="s">
        <v>475</v>
      </c>
      <c r="F10775" s="3" t="s">
        <v>728</v>
      </c>
      <c r="G10775" s="3" t="s">
        <v>532</v>
      </c>
    </row>
    <row r="10776" spans="1:7" s="3" customFormat="1" x14ac:dyDescent="0.3">
      <c r="A10776" s="3" t="s">
        <v>26</v>
      </c>
      <c r="B10776" s="3" t="s">
        <v>588</v>
      </c>
      <c r="C10776" s="3">
        <v>4</v>
      </c>
      <c r="D10776" s="3" t="s">
        <v>103</v>
      </c>
      <c r="E10776" s="3" t="s">
        <v>664</v>
      </c>
      <c r="F10776" s="3" t="s">
        <v>665</v>
      </c>
      <c r="G10776" s="3" t="s">
        <v>103</v>
      </c>
    </row>
    <row r="10777" spans="1:7" x14ac:dyDescent="0.3">
      <c r="A10777" t="s">
        <v>26</v>
      </c>
      <c r="B10777" t="s">
        <v>2766</v>
      </c>
      <c r="C10777">
        <v>435</v>
      </c>
      <c r="D10777" t="s">
        <v>98</v>
      </c>
      <c r="E10777" t="s">
        <v>1559</v>
      </c>
      <c r="F10777" t="s">
        <v>679</v>
      </c>
      <c r="G10777" t="s">
        <v>732</v>
      </c>
    </row>
    <row r="10778" spans="1:7" s="3" customFormat="1" x14ac:dyDescent="0.3">
      <c r="A10778" s="3" t="s">
        <v>29</v>
      </c>
      <c r="B10778" s="3" t="s">
        <v>2765</v>
      </c>
      <c r="C10778" s="3">
        <v>30</v>
      </c>
      <c r="D10778" s="3" t="s">
        <v>97</v>
      </c>
      <c r="E10778" s="3" t="s">
        <v>932</v>
      </c>
      <c r="F10778" s="3" t="s">
        <v>380</v>
      </c>
      <c r="G10778" s="3" t="s">
        <v>48</v>
      </c>
    </row>
    <row r="10779" spans="1:7" s="3" customFormat="1" x14ac:dyDescent="0.3">
      <c r="A10779" s="3" t="s">
        <v>29</v>
      </c>
      <c r="B10779" s="3" t="s">
        <v>585</v>
      </c>
      <c r="C10779" s="3">
        <v>6</v>
      </c>
      <c r="D10779" s="3" t="s">
        <v>654</v>
      </c>
      <c r="E10779" s="3" t="s">
        <v>580</v>
      </c>
      <c r="F10779" s="3" t="s">
        <v>581</v>
      </c>
      <c r="G10779" s="3" t="s">
        <v>365</v>
      </c>
    </row>
    <row r="10780" spans="1:7" s="3" customFormat="1" x14ac:dyDescent="0.3">
      <c r="A10780" s="3" t="s">
        <v>29</v>
      </c>
      <c r="B10780" s="3" t="s">
        <v>586</v>
      </c>
      <c r="C10780" s="3">
        <v>12</v>
      </c>
      <c r="D10780" s="3" t="s">
        <v>30</v>
      </c>
      <c r="E10780" s="3" t="s">
        <v>136</v>
      </c>
      <c r="F10780" s="3" t="s">
        <v>96</v>
      </c>
      <c r="G10780" s="3" t="s">
        <v>683</v>
      </c>
    </row>
    <row r="10781" spans="1:7" s="3" customFormat="1" x14ac:dyDescent="0.3">
      <c r="A10781" s="3" t="s">
        <v>29</v>
      </c>
      <c r="B10781" s="3" t="s">
        <v>587</v>
      </c>
      <c r="C10781" s="3">
        <v>3</v>
      </c>
      <c r="D10781" s="3" t="s">
        <v>103</v>
      </c>
      <c r="E10781" s="3" t="s">
        <v>103</v>
      </c>
      <c r="F10781" s="3" t="s">
        <v>889</v>
      </c>
      <c r="G10781" s="3" t="s">
        <v>890</v>
      </c>
    </row>
    <row r="10782" spans="1:7" s="3" customFormat="1" x14ac:dyDescent="0.3">
      <c r="A10782" s="3" t="s">
        <v>29</v>
      </c>
      <c r="B10782" s="3" t="s">
        <v>588</v>
      </c>
      <c r="C10782" s="3">
        <v>15</v>
      </c>
      <c r="D10782" s="3" t="s">
        <v>103</v>
      </c>
      <c r="E10782" s="3" t="s">
        <v>797</v>
      </c>
      <c r="F10782" s="3" t="s">
        <v>820</v>
      </c>
      <c r="G10782" s="3" t="s">
        <v>816</v>
      </c>
    </row>
    <row r="10783" spans="1:7" x14ac:dyDescent="0.3">
      <c r="A10783" t="s">
        <v>29</v>
      </c>
      <c r="B10783" t="s">
        <v>2766</v>
      </c>
      <c r="C10783">
        <v>464</v>
      </c>
      <c r="D10783" t="s">
        <v>125</v>
      </c>
      <c r="E10783" t="s">
        <v>1041</v>
      </c>
      <c r="F10783" t="s">
        <v>225</v>
      </c>
      <c r="G10783" t="s">
        <v>101</v>
      </c>
    </row>
    <row r="10784" spans="1:7" s="3" customFormat="1" x14ac:dyDescent="0.3">
      <c r="A10784" s="3" t="s">
        <v>28</v>
      </c>
      <c r="B10784" s="3" t="s">
        <v>2765</v>
      </c>
      <c r="C10784" s="3">
        <v>6</v>
      </c>
      <c r="D10784" s="3" t="s">
        <v>103</v>
      </c>
      <c r="E10784" s="3" t="s">
        <v>681</v>
      </c>
      <c r="F10784" s="3" t="s">
        <v>1320</v>
      </c>
      <c r="G10784" s="3" t="s">
        <v>103</v>
      </c>
    </row>
    <row r="10785" spans="1:7" s="3" customFormat="1" x14ac:dyDescent="0.3">
      <c r="A10785" s="3" t="s">
        <v>28</v>
      </c>
      <c r="B10785" s="3" t="s">
        <v>585</v>
      </c>
      <c r="C10785" s="3">
        <v>8</v>
      </c>
      <c r="D10785" s="3" t="s">
        <v>103</v>
      </c>
      <c r="E10785" s="3" t="s">
        <v>129</v>
      </c>
      <c r="F10785" s="3" t="s">
        <v>830</v>
      </c>
      <c r="G10785" s="3" t="s">
        <v>103</v>
      </c>
    </row>
    <row r="10786" spans="1:7" s="3" customFormat="1" x14ac:dyDescent="0.3">
      <c r="A10786" s="3" t="s">
        <v>28</v>
      </c>
      <c r="B10786" s="3" t="s">
        <v>586</v>
      </c>
      <c r="C10786" s="3">
        <v>6</v>
      </c>
      <c r="D10786" s="3" t="s">
        <v>103</v>
      </c>
      <c r="E10786" s="3" t="s">
        <v>269</v>
      </c>
      <c r="F10786" s="3" t="s">
        <v>614</v>
      </c>
      <c r="G10786" s="3" t="s">
        <v>103</v>
      </c>
    </row>
    <row r="10787" spans="1:7" s="3" customFormat="1" x14ac:dyDescent="0.3">
      <c r="A10787" s="3" t="s">
        <v>28</v>
      </c>
      <c r="B10787" s="3" t="s">
        <v>587</v>
      </c>
      <c r="C10787" s="3">
        <v>11</v>
      </c>
      <c r="D10787" s="3" t="s">
        <v>103</v>
      </c>
      <c r="E10787" s="3" t="s">
        <v>152</v>
      </c>
      <c r="F10787" s="3" t="s">
        <v>153</v>
      </c>
      <c r="G10787" s="3" t="s">
        <v>103</v>
      </c>
    </row>
    <row r="10788" spans="1:7" x14ac:dyDescent="0.3">
      <c r="A10788" t="s">
        <v>28</v>
      </c>
      <c r="B10788" t="s">
        <v>588</v>
      </c>
      <c r="C10788">
        <v>33</v>
      </c>
      <c r="D10788" t="s">
        <v>103</v>
      </c>
      <c r="E10788" t="s">
        <v>99</v>
      </c>
      <c r="F10788" t="s">
        <v>632</v>
      </c>
      <c r="G10788" t="s">
        <v>103</v>
      </c>
    </row>
    <row r="10789" spans="1:7" x14ac:dyDescent="0.3">
      <c r="A10789" t="s">
        <v>28</v>
      </c>
      <c r="B10789" t="s">
        <v>2766</v>
      </c>
      <c r="C10789">
        <v>253</v>
      </c>
      <c r="D10789" t="s">
        <v>195</v>
      </c>
      <c r="E10789" t="s">
        <v>918</v>
      </c>
      <c r="F10789" t="s">
        <v>774</v>
      </c>
      <c r="G10789" t="s">
        <v>66</v>
      </c>
    </row>
    <row r="10790" spans="1:7" x14ac:dyDescent="0.3">
      <c r="A10790" t="s">
        <v>27</v>
      </c>
      <c r="B10790" t="s">
        <v>2765</v>
      </c>
      <c r="C10790">
        <v>92</v>
      </c>
      <c r="D10790" t="s">
        <v>103</v>
      </c>
      <c r="E10790" t="s">
        <v>115</v>
      </c>
      <c r="F10790" t="s">
        <v>740</v>
      </c>
      <c r="G10790" t="s">
        <v>103</v>
      </c>
    </row>
    <row r="10791" spans="1:7" s="3" customFormat="1" x14ac:dyDescent="0.3">
      <c r="A10791" s="3" t="s">
        <v>27</v>
      </c>
      <c r="B10791" s="3" t="s">
        <v>585</v>
      </c>
      <c r="C10791" s="3">
        <v>1</v>
      </c>
      <c r="D10791" s="3" t="s">
        <v>103</v>
      </c>
      <c r="E10791" s="3" t="s">
        <v>103</v>
      </c>
      <c r="F10791" s="3" t="s">
        <v>192</v>
      </c>
      <c r="G10791" s="3" t="s">
        <v>103</v>
      </c>
    </row>
    <row r="10792" spans="1:7" s="3" customFormat="1" x14ac:dyDescent="0.3">
      <c r="A10792" s="3" t="s">
        <v>27</v>
      </c>
      <c r="B10792" s="3" t="s">
        <v>586</v>
      </c>
      <c r="C10792" s="3">
        <v>1</v>
      </c>
      <c r="D10792" s="3" t="s">
        <v>103</v>
      </c>
      <c r="E10792" s="3" t="s">
        <v>103</v>
      </c>
      <c r="F10792" s="3" t="s">
        <v>192</v>
      </c>
      <c r="G10792" s="3" t="s">
        <v>103</v>
      </c>
    </row>
    <row r="10793" spans="1:7" s="3" customFormat="1" x14ac:dyDescent="0.3">
      <c r="A10793" s="3" t="s">
        <v>27</v>
      </c>
      <c r="B10793" s="3" t="s">
        <v>588</v>
      </c>
      <c r="C10793" s="3">
        <v>3</v>
      </c>
      <c r="D10793" s="3" t="s">
        <v>103</v>
      </c>
      <c r="E10793" s="3" t="s">
        <v>798</v>
      </c>
      <c r="F10793" s="3" t="s">
        <v>359</v>
      </c>
      <c r="G10793" s="3" t="s">
        <v>103</v>
      </c>
    </row>
    <row r="10794" spans="1:7" x14ac:dyDescent="0.3">
      <c r="A10794" t="s">
        <v>27</v>
      </c>
      <c r="B10794" t="s">
        <v>2766</v>
      </c>
      <c r="C10794">
        <v>203</v>
      </c>
      <c r="D10794" t="s">
        <v>103</v>
      </c>
      <c r="E10794" t="s">
        <v>226</v>
      </c>
      <c r="F10794" t="s">
        <v>431</v>
      </c>
      <c r="G10794" t="s">
        <v>270</v>
      </c>
    </row>
    <row r="10795" spans="1:7" x14ac:dyDescent="0.3">
      <c r="A10795" t="s">
        <v>41</v>
      </c>
      <c r="B10795" t="s">
        <v>2765</v>
      </c>
      <c r="C10795">
        <v>170</v>
      </c>
      <c r="D10795" t="s">
        <v>105</v>
      </c>
      <c r="E10795" t="s">
        <v>1224</v>
      </c>
      <c r="F10795" t="s">
        <v>1220</v>
      </c>
      <c r="G10795" t="s">
        <v>164</v>
      </c>
    </row>
    <row r="10796" spans="1:7" s="3" customFormat="1" x14ac:dyDescent="0.3">
      <c r="A10796" s="3" t="s">
        <v>41</v>
      </c>
      <c r="B10796" s="3" t="s">
        <v>585</v>
      </c>
      <c r="C10796" s="3">
        <v>20</v>
      </c>
      <c r="D10796" s="3" t="s">
        <v>164</v>
      </c>
      <c r="E10796" s="3" t="s">
        <v>1011</v>
      </c>
      <c r="F10796" s="3" t="s">
        <v>129</v>
      </c>
      <c r="G10796" s="3" t="s">
        <v>695</v>
      </c>
    </row>
    <row r="10797" spans="1:7" x14ac:dyDescent="0.3">
      <c r="A10797" t="s">
        <v>41</v>
      </c>
      <c r="B10797" t="s">
        <v>586</v>
      </c>
      <c r="C10797">
        <v>40</v>
      </c>
      <c r="D10797" t="s">
        <v>549</v>
      </c>
      <c r="E10797" t="s">
        <v>574</v>
      </c>
      <c r="F10797" t="s">
        <v>1065</v>
      </c>
      <c r="G10797" t="s">
        <v>470</v>
      </c>
    </row>
    <row r="10798" spans="1:7" s="3" customFormat="1" x14ac:dyDescent="0.3">
      <c r="A10798" s="3" t="s">
        <v>41</v>
      </c>
      <c r="B10798" s="3" t="s">
        <v>587</v>
      </c>
      <c r="C10798" s="3">
        <v>24</v>
      </c>
      <c r="D10798" s="3" t="s">
        <v>103</v>
      </c>
      <c r="E10798" s="3" t="s">
        <v>459</v>
      </c>
      <c r="F10798" s="3" t="s">
        <v>984</v>
      </c>
      <c r="G10798" s="3" t="s">
        <v>107</v>
      </c>
    </row>
    <row r="10799" spans="1:7" x14ac:dyDescent="0.3">
      <c r="A10799" t="s">
        <v>41</v>
      </c>
      <c r="B10799" t="s">
        <v>588</v>
      </c>
      <c r="C10799">
        <v>75</v>
      </c>
      <c r="D10799" t="s">
        <v>103</v>
      </c>
      <c r="E10799" t="s">
        <v>138</v>
      </c>
      <c r="F10799" t="s">
        <v>1284</v>
      </c>
      <c r="G10799" t="s">
        <v>228</v>
      </c>
    </row>
    <row r="10800" spans="1:7" x14ac:dyDescent="0.3">
      <c r="A10800" t="s">
        <v>41</v>
      </c>
      <c r="B10800" t="s">
        <v>2766</v>
      </c>
      <c r="C10800">
        <v>1709</v>
      </c>
      <c r="D10800" t="s">
        <v>266</v>
      </c>
      <c r="E10800" t="s">
        <v>443</v>
      </c>
      <c r="F10800" t="s">
        <v>676</v>
      </c>
      <c r="G10800" t="s">
        <v>137</v>
      </c>
    </row>
    <row r="10802" spans="1:7" x14ac:dyDescent="0.3">
      <c r="A10802" t="s">
        <v>2767</v>
      </c>
    </row>
    <row r="10803" spans="1:7" x14ac:dyDescent="0.3">
      <c r="A10803" t="s">
        <v>36</v>
      </c>
      <c r="B10803" t="s">
        <v>2768</v>
      </c>
      <c r="C10803" t="s">
        <v>24</v>
      </c>
      <c r="D10803" t="s">
        <v>2749</v>
      </c>
      <c r="E10803" t="s">
        <v>2750</v>
      </c>
      <c r="F10803" t="s">
        <v>2748</v>
      </c>
      <c r="G10803" t="s">
        <v>2751</v>
      </c>
    </row>
    <row r="10804" spans="1:7" s="3" customFormat="1" x14ac:dyDescent="0.3">
      <c r="A10804" s="3" t="s">
        <v>25</v>
      </c>
      <c r="B10804" s="3" t="s">
        <v>638</v>
      </c>
      <c r="C10804" s="3">
        <v>5</v>
      </c>
      <c r="D10804" s="3" t="s">
        <v>871</v>
      </c>
      <c r="E10804" s="3" t="s">
        <v>224</v>
      </c>
      <c r="F10804" s="3" t="s">
        <v>103</v>
      </c>
      <c r="G10804" s="3" t="s">
        <v>103</v>
      </c>
    </row>
    <row r="10805" spans="1:7" s="3" customFormat="1" x14ac:dyDescent="0.3">
      <c r="A10805" s="3" t="s">
        <v>25</v>
      </c>
      <c r="B10805" s="3" t="s">
        <v>639</v>
      </c>
      <c r="C10805" s="3">
        <v>13</v>
      </c>
      <c r="D10805" s="3" t="s">
        <v>1210</v>
      </c>
      <c r="E10805" s="3" t="s">
        <v>1394</v>
      </c>
      <c r="F10805" s="3" t="s">
        <v>103</v>
      </c>
      <c r="G10805" s="3" t="s">
        <v>103</v>
      </c>
    </row>
    <row r="10806" spans="1:7" s="3" customFormat="1" x14ac:dyDescent="0.3">
      <c r="A10806" s="3" t="s">
        <v>25</v>
      </c>
      <c r="B10806" s="3" t="s">
        <v>640</v>
      </c>
      <c r="C10806" s="3">
        <v>11</v>
      </c>
      <c r="D10806" s="3" t="s">
        <v>489</v>
      </c>
      <c r="E10806" s="3" t="s">
        <v>794</v>
      </c>
      <c r="F10806" s="3" t="s">
        <v>103</v>
      </c>
      <c r="G10806" s="3" t="s">
        <v>103</v>
      </c>
    </row>
    <row r="10807" spans="1:7" s="3" customFormat="1" x14ac:dyDescent="0.3">
      <c r="A10807" s="3" t="s">
        <v>25</v>
      </c>
      <c r="B10807" s="3" t="s">
        <v>2765</v>
      </c>
      <c r="C10807" s="3">
        <v>2</v>
      </c>
      <c r="D10807" s="3" t="s">
        <v>103</v>
      </c>
      <c r="E10807" s="3" t="s">
        <v>761</v>
      </c>
      <c r="F10807" s="3" t="s">
        <v>695</v>
      </c>
      <c r="G10807" s="3" t="s">
        <v>103</v>
      </c>
    </row>
    <row r="10808" spans="1:7" s="3" customFormat="1" x14ac:dyDescent="0.3">
      <c r="A10808" s="3" t="s">
        <v>25</v>
      </c>
      <c r="B10808" s="3" t="s">
        <v>641</v>
      </c>
      <c r="C10808" s="3">
        <v>8</v>
      </c>
      <c r="D10808" s="3" t="s">
        <v>1011</v>
      </c>
      <c r="E10808" s="3" t="s">
        <v>395</v>
      </c>
      <c r="F10808" s="3" t="s">
        <v>103</v>
      </c>
      <c r="G10808" s="3" t="s">
        <v>214</v>
      </c>
    </row>
    <row r="10809" spans="1:7" s="3" customFormat="1" x14ac:dyDescent="0.3">
      <c r="A10809" s="3" t="s">
        <v>25</v>
      </c>
      <c r="B10809" s="3" t="s">
        <v>2769</v>
      </c>
      <c r="C10809" s="3">
        <v>5</v>
      </c>
      <c r="D10809" s="3" t="s">
        <v>103</v>
      </c>
      <c r="E10809" s="3" t="s">
        <v>725</v>
      </c>
      <c r="F10809" s="3" t="s">
        <v>103</v>
      </c>
      <c r="G10809" s="3" t="s">
        <v>469</v>
      </c>
    </row>
    <row r="10810" spans="1:7" x14ac:dyDescent="0.3">
      <c r="A10810" t="s">
        <v>25</v>
      </c>
      <c r="B10810" t="s">
        <v>308</v>
      </c>
      <c r="C10810">
        <v>370</v>
      </c>
      <c r="D10810" t="s">
        <v>1048</v>
      </c>
      <c r="E10810" t="s">
        <v>138</v>
      </c>
      <c r="F10810" t="s">
        <v>493</v>
      </c>
      <c r="G10810" t="s">
        <v>128</v>
      </c>
    </row>
    <row r="10811" spans="1:7" s="3" customFormat="1" x14ac:dyDescent="0.3">
      <c r="A10811" s="3" t="s">
        <v>26</v>
      </c>
      <c r="B10811" s="3" t="s">
        <v>639</v>
      </c>
      <c r="C10811" s="3">
        <v>7</v>
      </c>
      <c r="D10811" s="3" t="s">
        <v>565</v>
      </c>
      <c r="E10811" s="3" t="s">
        <v>1063</v>
      </c>
      <c r="F10811" s="3" t="s">
        <v>103</v>
      </c>
      <c r="G10811" s="3" t="s">
        <v>103</v>
      </c>
    </row>
    <row r="10812" spans="1:7" s="3" customFormat="1" x14ac:dyDescent="0.3">
      <c r="A10812" s="3" t="s">
        <v>26</v>
      </c>
      <c r="B10812" s="3" t="s">
        <v>640</v>
      </c>
      <c r="C10812" s="3">
        <v>2</v>
      </c>
      <c r="D10812" s="3" t="s">
        <v>192</v>
      </c>
      <c r="E10812" s="3" t="s">
        <v>103</v>
      </c>
      <c r="F10812" s="3" t="s">
        <v>103</v>
      </c>
      <c r="G10812" s="3" t="s">
        <v>103</v>
      </c>
    </row>
    <row r="10813" spans="1:7" s="3" customFormat="1" x14ac:dyDescent="0.3">
      <c r="A10813" s="3" t="s">
        <v>26</v>
      </c>
      <c r="B10813" s="3" t="s">
        <v>641</v>
      </c>
      <c r="C10813" s="3">
        <v>5</v>
      </c>
      <c r="D10813" s="3" t="s">
        <v>1015</v>
      </c>
      <c r="E10813" s="3" t="s">
        <v>1676</v>
      </c>
      <c r="F10813" s="3" t="s">
        <v>103</v>
      </c>
      <c r="G10813" s="3" t="s">
        <v>103</v>
      </c>
    </row>
    <row r="10814" spans="1:7" s="3" customFormat="1" x14ac:dyDescent="0.3">
      <c r="A10814" s="3" t="s">
        <v>26</v>
      </c>
      <c r="B10814" s="3" t="s">
        <v>2769</v>
      </c>
      <c r="C10814" s="3">
        <v>2</v>
      </c>
      <c r="D10814" s="3" t="s">
        <v>103</v>
      </c>
      <c r="E10814" s="3" t="s">
        <v>103</v>
      </c>
      <c r="F10814" s="3" t="s">
        <v>103</v>
      </c>
      <c r="G10814" s="3" t="s">
        <v>192</v>
      </c>
    </row>
    <row r="10815" spans="1:7" x14ac:dyDescent="0.3">
      <c r="A10815" t="s">
        <v>26</v>
      </c>
      <c r="B10815" t="s">
        <v>308</v>
      </c>
      <c r="C10815">
        <v>461</v>
      </c>
      <c r="D10815" t="s">
        <v>432</v>
      </c>
      <c r="E10815" t="s">
        <v>489</v>
      </c>
      <c r="F10815" t="s">
        <v>282</v>
      </c>
      <c r="G10815" t="s">
        <v>695</v>
      </c>
    </row>
    <row r="10816" spans="1:7" s="3" customFormat="1" x14ac:dyDescent="0.3">
      <c r="A10816" s="3" t="s">
        <v>29</v>
      </c>
      <c r="B10816" s="3" t="s">
        <v>638</v>
      </c>
      <c r="C10816" s="3">
        <v>5</v>
      </c>
      <c r="D10816" s="3" t="s">
        <v>103</v>
      </c>
      <c r="E10816" s="3" t="s">
        <v>858</v>
      </c>
      <c r="F10816" s="3" t="s">
        <v>674</v>
      </c>
      <c r="G10816" s="3" t="s">
        <v>666</v>
      </c>
    </row>
    <row r="10817" spans="1:7" s="3" customFormat="1" x14ac:dyDescent="0.3">
      <c r="A10817" s="3" t="s">
        <v>29</v>
      </c>
      <c r="B10817" s="3" t="s">
        <v>639</v>
      </c>
      <c r="C10817" s="3">
        <v>4</v>
      </c>
      <c r="D10817" s="3" t="s">
        <v>683</v>
      </c>
      <c r="E10817" s="3" t="s">
        <v>511</v>
      </c>
      <c r="F10817" s="3" t="s">
        <v>103</v>
      </c>
      <c r="G10817" s="3" t="s">
        <v>982</v>
      </c>
    </row>
    <row r="10818" spans="1:7" s="3" customFormat="1" x14ac:dyDescent="0.3">
      <c r="A10818" s="3" t="s">
        <v>29</v>
      </c>
      <c r="B10818" s="3" t="s">
        <v>640</v>
      </c>
      <c r="C10818" s="3">
        <v>10</v>
      </c>
      <c r="D10818" s="3" t="s">
        <v>678</v>
      </c>
      <c r="E10818" s="3" t="s">
        <v>498</v>
      </c>
      <c r="F10818" s="3" t="s">
        <v>245</v>
      </c>
      <c r="G10818" s="3" t="s">
        <v>103</v>
      </c>
    </row>
    <row r="10819" spans="1:7" s="3" customFormat="1" x14ac:dyDescent="0.3">
      <c r="A10819" s="3" t="s">
        <v>29</v>
      </c>
      <c r="B10819" s="3" t="s">
        <v>2765</v>
      </c>
      <c r="C10819" s="3">
        <v>8</v>
      </c>
      <c r="D10819" s="3" t="s">
        <v>103</v>
      </c>
      <c r="E10819" s="3" t="s">
        <v>665</v>
      </c>
      <c r="F10819" s="3" t="s">
        <v>103</v>
      </c>
      <c r="G10819" s="3" t="s">
        <v>664</v>
      </c>
    </row>
    <row r="10820" spans="1:7" s="3" customFormat="1" x14ac:dyDescent="0.3">
      <c r="A10820" s="3" t="s">
        <v>29</v>
      </c>
      <c r="B10820" s="3" t="s">
        <v>641</v>
      </c>
      <c r="C10820" s="3">
        <v>7</v>
      </c>
      <c r="D10820" s="3" t="s">
        <v>548</v>
      </c>
      <c r="E10820" s="3" t="s">
        <v>123</v>
      </c>
      <c r="F10820" s="3" t="s">
        <v>526</v>
      </c>
      <c r="G10820" s="3" t="s">
        <v>1236</v>
      </c>
    </row>
    <row r="10821" spans="1:7" s="3" customFormat="1" x14ac:dyDescent="0.3">
      <c r="A10821" s="3" t="s">
        <v>29</v>
      </c>
      <c r="B10821" s="3" t="s">
        <v>2769</v>
      </c>
      <c r="C10821" s="3">
        <v>2</v>
      </c>
      <c r="D10821" s="3" t="s">
        <v>1559</v>
      </c>
      <c r="E10821" s="3" t="s">
        <v>1404</v>
      </c>
      <c r="F10821" s="3" t="s">
        <v>103</v>
      </c>
      <c r="G10821" s="3" t="s">
        <v>103</v>
      </c>
    </row>
    <row r="10822" spans="1:7" x14ac:dyDescent="0.3">
      <c r="A10822" t="s">
        <v>29</v>
      </c>
      <c r="B10822" t="s">
        <v>308</v>
      </c>
      <c r="C10822">
        <v>494</v>
      </c>
      <c r="D10822" t="s">
        <v>454</v>
      </c>
      <c r="E10822" t="s">
        <v>1021</v>
      </c>
      <c r="F10822" t="s">
        <v>438</v>
      </c>
      <c r="G10822" t="s">
        <v>575</v>
      </c>
    </row>
    <row r="10823" spans="1:7" s="3" customFormat="1" x14ac:dyDescent="0.3">
      <c r="A10823" s="3" t="s">
        <v>28</v>
      </c>
      <c r="B10823" s="3" t="s">
        <v>638</v>
      </c>
      <c r="C10823" s="3">
        <v>9</v>
      </c>
      <c r="D10823" s="3" t="s">
        <v>477</v>
      </c>
      <c r="E10823" s="3" t="s">
        <v>821</v>
      </c>
      <c r="F10823" s="3" t="s">
        <v>103</v>
      </c>
      <c r="G10823" s="3" t="s">
        <v>103</v>
      </c>
    </row>
    <row r="10824" spans="1:7" s="3" customFormat="1" x14ac:dyDescent="0.3">
      <c r="A10824" s="3" t="s">
        <v>28</v>
      </c>
      <c r="B10824" s="3" t="s">
        <v>639</v>
      </c>
      <c r="C10824" s="3">
        <v>17</v>
      </c>
      <c r="D10824" s="3" t="s">
        <v>515</v>
      </c>
      <c r="E10824" s="3" t="s">
        <v>1371</v>
      </c>
      <c r="F10824" s="3" t="s">
        <v>103</v>
      </c>
      <c r="G10824" s="3" t="s">
        <v>103</v>
      </c>
    </row>
    <row r="10825" spans="1:7" s="3" customFormat="1" x14ac:dyDescent="0.3">
      <c r="A10825" s="3" t="s">
        <v>28</v>
      </c>
      <c r="B10825" s="3" t="s">
        <v>640</v>
      </c>
      <c r="C10825" s="3">
        <v>20</v>
      </c>
      <c r="D10825" s="3" t="s">
        <v>254</v>
      </c>
      <c r="E10825" s="3" t="s">
        <v>598</v>
      </c>
      <c r="F10825" s="3" t="s">
        <v>103</v>
      </c>
      <c r="G10825" s="3" t="s">
        <v>103</v>
      </c>
    </row>
    <row r="10826" spans="1:7" s="3" customFormat="1" x14ac:dyDescent="0.3">
      <c r="A10826" s="3" t="s">
        <v>28</v>
      </c>
      <c r="B10826" s="3" t="s">
        <v>2765</v>
      </c>
      <c r="C10826" s="3">
        <v>2</v>
      </c>
      <c r="D10826" s="3" t="s">
        <v>103</v>
      </c>
      <c r="E10826" s="3" t="s">
        <v>192</v>
      </c>
      <c r="F10826" s="3" t="s">
        <v>103</v>
      </c>
      <c r="G10826" s="3" t="s">
        <v>103</v>
      </c>
    </row>
    <row r="10827" spans="1:7" s="3" customFormat="1" x14ac:dyDescent="0.3">
      <c r="A10827" s="3" t="s">
        <v>28</v>
      </c>
      <c r="B10827" s="3" t="s">
        <v>641</v>
      </c>
      <c r="C10827" s="3">
        <v>7</v>
      </c>
      <c r="D10827" s="3" t="s">
        <v>103</v>
      </c>
      <c r="E10827" s="3" t="s">
        <v>192</v>
      </c>
      <c r="F10827" s="3" t="s">
        <v>103</v>
      </c>
      <c r="G10827" s="3" t="s">
        <v>103</v>
      </c>
    </row>
    <row r="10828" spans="1:7" s="3" customFormat="1" x14ac:dyDescent="0.3">
      <c r="A10828" s="3" t="s">
        <v>28</v>
      </c>
      <c r="B10828" s="3" t="s">
        <v>2769</v>
      </c>
      <c r="C10828" s="3">
        <v>3</v>
      </c>
      <c r="D10828" s="3" t="s">
        <v>858</v>
      </c>
      <c r="E10828" s="3" t="s">
        <v>857</v>
      </c>
      <c r="F10828" s="3" t="s">
        <v>103</v>
      </c>
      <c r="G10828" s="3" t="s">
        <v>103</v>
      </c>
    </row>
    <row r="10829" spans="1:7" x14ac:dyDescent="0.3">
      <c r="A10829" t="s">
        <v>28</v>
      </c>
      <c r="B10829" t="s">
        <v>308</v>
      </c>
      <c r="C10829">
        <v>259</v>
      </c>
      <c r="D10829" t="s">
        <v>144</v>
      </c>
      <c r="E10829" t="s">
        <v>1131</v>
      </c>
      <c r="F10829" t="s">
        <v>195</v>
      </c>
      <c r="G10829" t="s">
        <v>66</v>
      </c>
    </row>
    <row r="10830" spans="1:7" s="3" customFormat="1" x14ac:dyDescent="0.3">
      <c r="A10830" s="3" t="s">
        <v>27</v>
      </c>
      <c r="B10830" s="3" t="s">
        <v>638</v>
      </c>
      <c r="C10830" s="3">
        <v>1</v>
      </c>
      <c r="D10830" s="3" t="s">
        <v>103</v>
      </c>
      <c r="E10830" s="3" t="s">
        <v>192</v>
      </c>
      <c r="F10830" s="3" t="s">
        <v>103</v>
      </c>
      <c r="G10830" s="3" t="s">
        <v>103</v>
      </c>
    </row>
    <row r="10831" spans="1:7" s="3" customFormat="1" x14ac:dyDescent="0.3">
      <c r="A10831" s="3" t="s">
        <v>27</v>
      </c>
      <c r="B10831" s="3" t="s">
        <v>639</v>
      </c>
      <c r="C10831" s="3">
        <v>1</v>
      </c>
      <c r="D10831" s="3" t="s">
        <v>192</v>
      </c>
      <c r="E10831" s="3" t="s">
        <v>103</v>
      </c>
      <c r="F10831" s="3" t="s">
        <v>103</v>
      </c>
      <c r="G10831" s="3" t="s">
        <v>103</v>
      </c>
    </row>
    <row r="10832" spans="1:7" s="3" customFormat="1" x14ac:dyDescent="0.3">
      <c r="A10832" s="3" t="s">
        <v>27</v>
      </c>
      <c r="B10832" s="3" t="s">
        <v>640</v>
      </c>
      <c r="C10832" s="3">
        <v>1</v>
      </c>
      <c r="D10832" s="3" t="s">
        <v>192</v>
      </c>
      <c r="E10832" s="3" t="s">
        <v>103</v>
      </c>
      <c r="F10832" s="3" t="s">
        <v>103</v>
      </c>
      <c r="G10832" s="3" t="s">
        <v>103</v>
      </c>
    </row>
    <row r="10833" spans="1:7" s="3" customFormat="1" x14ac:dyDescent="0.3">
      <c r="A10833" s="3" t="s">
        <v>27</v>
      </c>
      <c r="B10833" s="3" t="s">
        <v>2765</v>
      </c>
      <c r="C10833" s="3">
        <v>1</v>
      </c>
      <c r="D10833" s="3" t="s">
        <v>103</v>
      </c>
      <c r="E10833" s="3" t="s">
        <v>192</v>
      </c>
      <c r="F10833" s="3" t="s">
        <v>103</v>
      </c>
      <c r="G10833" s="3" t="s">
        <v>103</v>
      </c>
    </row>
    <row r="10834" spans="1:7" s="3" customFormat="1" x14ac:dyDescent="0.3">
      <c r="A10834" s="3" t="s">
        <v>27</v>
      </c>
      <c r="B10834" s="3" t="s">
        <v>641</v>
      </c>
      <c r="C10834" s="3">
        <v>1</v>
      </c>
      <c r="D10834" s="3" t="s">
        <v>103</v>
      </c>
      <c r="E10834" s="3" t="s">
        <v>192</v>
      </c>
      <c r="F10834" s="3" t="s">
        <v>103</v>
      </c>
      <c r="G10834" s="3" t="s">
        <v>103</v>
      </c>
    </row>
    <row r="10835" spans="1:7" x14ac:dyDescent="0.3">
      <c r="A10835" t="s">
        <v>27</v>
      </c>
      <c r="B10835" t="s">
        <v>308</v>
      </c>
      <c r="C10835">
        <v>295</v>
      </c>
      <c r="D10835" t="s">
        <v>542</v>
      </c>
      <c r="E10835" t="s">
        <v>784</v>
      </c>
      <c r="F10835" t="s">
        <v>103</v>
      </c>
      <c r="G10835" t="s">
        <v>341</v>
      </c>
    </row>
    <row r="10836" spans="1:7" s="3" customFormat="1" x14ac:dyDescent="0.3">
      <c r="A10836" s="3" t="s">
        <v>41</v>
      </c>
      <c r="B10836" s="3" t="s">
        <v>638</v>
      </c>
      <c r="C10836" s="3">
        <v>20</v>
      </c>
      <c r="D10836" s="3" t="s">
        <v>230</v>
      </c>
      <c r="E10836" s="3" t="s">
        <v>1197</v>
      </c>
      <c r="F10836" s="3" t="s">
        <v>106</v>
      </c>
      <c r="G10836" s="3" t="s">
        <v>486</v>
      </c>
    </row>
    <row r="10837" spans="1:7" x14ac:dyDescent="0.3">
      <c r="A10837" t="s">
        <v>41</v>
      </c>
      <c r="B10837" t="s">
        <v>639</v>
      </c>
      <c r="C10837">
        <v>42</v>
      </c>
      <c r="D10837" t="s">
        <v>561</v>
      </c>
      <c r="E10837" t="s">
        <v>1029</v>
      </c>
      <c r="F10837" t="s">
        <v>103</v>
      </c>
      <c r="G10837" t="s">
        <v>269</v>
      </c>
    </row>
    <row r="10838" spans="1:7" x14ac:dyDescent="0.3">
      <c r="A10838" t="s">
        <v>41</v>
      </c>
      <c r="B10838" t="s">
        <v>640</v>
      </c>
      <c r="C10838">
        <v>44</v>
      </c>
      <c r="D10838" t="s">
        <v>369</v>
      </c>
      <c r="E10838" t="s">
        <v>791</v>
      </c>
      <c r="F10838" t="s">
        <v>139</v>
      </c>
      <c r="G10838" t="s">
        <v>103</v>
      </c>
    </row>
    <row r="10839" spans="1:7" s="3" customFormat="1" x14ac:dyDescent="0.3">
      <c r="A10839" s="3" t="s">
        <v>41</v>
      </c>
      <c r="B10839" s="3" t="s">
        <v>2765</v>
      </c>
      <c r="C10839" s="3">
        <v>13</v>
      </c>
      <c r="D10839" s="3" t="s">
        <v>103</v>
      </c>
      <c r="E10839" s="3" t="s">
        <v>748</v>
      </c>
      <c r="F10839" s="3" t="s">
        <v>216</v>
      </c>
      <c r="G10839" s="3" t="s">
        <v>513</v>
      </c>
    </row>
    <row r="10840" spans="1:7" s="3" customFormat="1" x14ac:dyDescent="0.3">
      <c r="A10840" s="3" t="s">
        <v>41</v>
      </c>
      <c r="B10840" s="3" t="s">
        <v>641</v>
      </c>
      <c r="C10840" s="3">
        <v>28</v>
      </c>
      <c r="D10840" s="3" t="s">
        <v>520</v>
      </c>
      <c r="E10840" s="3" t="s">
        <v>1202</v>
      </c>
      <c r="F10840" s="3" t="s">
        <v>135</v>
      </c>
      <c r="G10840" s="3" t="s">
        <v>651</v>
      </c>
    </row>
    <row r="10841" spans="1:7" s="3" customFormat="1" x14ac:dyDescent="0.3">
      <c r="A10841" s="3" t="s">
        <v>41</v>
      </c>
      <c r="B10841" s="3" t="s">
        <v>2769</v>
      </c>
      <c r="C10841" s="3">
        <v>12</v>
      </c>
      <c r="D10841" s="3" t="s">
        <v>518</v>
      </c>
      <c r="E10841" s="3" t="s">
        <v>260</v>
      </c>
      <c r="F10841" s="3" t="s">
        <v>103</v>
      </c>
      <c r="G10841" s="3" t="s">
        <v>1083</v>
      </c>
    </row>
    <row r="10842" spans="1:7" x14ac:dyDescent="0.3">
      <c r="A10842" t="s">
        <v>41</v>
      </c>
      <c r="B10842" t="s">
        <v>308</v>
      </c>
      <c r="C10842">
        <v>1879</v>
      </c>
      <c r="D10842" t="s">
        <v>462</v>
      </c>
      <c r="E10842" t="s">
        <v>416</v>
      </c>
      <c r="F10842" t="s">
        <v>266</v>
      </c>
      <c r="G10842" t="s">
        <v>629</v>
      </c>
    </row>
    <row r="10844" spans="1:7" x14ac:dyDescent="0.3">
      <c r="A10844" t="s">
        <v>2770</v>
      </c>
    </row>
    <row r="10845" spans="1:7" x14ac:dyDescent="0.3">
      <c r="A10845" t="s">
        <v>36</v>
      </c>
      <c r="B10845" t="s">
        <v>2771</v>
      </c>
      <c r="C10845" t="s">
        <v>24</v>
      </c>
      <c r="D10845" t="s">
        <v>2750</v>
      </c>
      <c r="E10845" t="s">
        <v>2749</v>
      </c>
      <c r="F10845" t="s">
        <v>2748</v>
      </c>
      <c r="G10845" t="s">
        <v>2751</v>
      </c>
    </row>
    <row r="10846" spans="1:7" s="3" customFormat="1" x14ac:dyDescent="0.3">
      <c r="A10846" s="3" t="s">
        <v>25</v>
      </c>
      <c r="B10846" s="3" t="s">
        <v>2772</v>
      </c>
      <c r="C10846" s="3">
        <v>1</v>
      </c>
      <c r="D10846" s="3" t="s">
        <v>192</v>
      </c>
      <c r="E10846" s="3" t="s">
        <v>103</v>
      </c>
      <c r="F10846" s="3" t="s">
        <v>103</v>
      </c>
      <c r="G10846" s="3" t="s">
        <v>103</v>
      </c>
    </row>
    <row r="10847" spans="1:7" s="3" customFormat="1" x14ac:dyDescent="0.3">
      <c r="A10847" s="3" t="s">
        <v>25</v>
      </c>
      <c r="B10847" s="3" t="s">
        <v>2773</v>
      </c>
      <c r="C10847" s="3">
        <v>3</v>
      </c>
      <c r="D10847" s="3" t="s">
        <v>103</v>
      </c>
      <c r="E10847" s="3" t="s">
        <v>192</v>
      </c>
      <c r="F10847" s="3" t="s">
        <v>103</v>
      </c>
      <c r="G10847" s="3" t="s">
        <v>103</v>
      </c>
    </row>
    <row r="10848" spans="1:7" s="3" customFormat="1" x14ac:dyDescent="0.3">
      <c r="A10848" s="3" t="s">
        <v>25</v>
      </c>
      <c r="B10848" s="3" t="s">
        <v>2774</v>
      </c>
      <c r="C10848" s="3">
        <v>9</v>
      </c>
      <c r="D10848" s="3" t="s">
        <v>432</v>
      </c>
      <c r="E10848" s="3" t="s">
        <v>2185</v>
      </c>
      <c r="F10848" s="3" t="s">
        <v>103</v>
      </c>
      <c r="G10848" s="3" t="s">
        <v>103</v>
      </c>
    </row>
    <row r="10849" spans="1:7" s="3" customFormat="1" x14ac:dyDescent="0.3">
      <c r="A10849" s="3" t="s">
        <v>25</v>
      </c>
      <c r="B10849" s="3" t="s">
        <v>2775</v>
      </c>
      <c r="C10849" s="3">
        <v>21</v>
      </c>
      <c r="D10849" s="3" t="s">
        <v>1220</v>
      </c>
      <c r="E10849" s="3" t="s">
        <v>1461</v>
      </c>
      <c r="F10849" s="3" t="s">
        <v>103</v>
      </c>
      <c r="G10849" s="3" t="s">
        <v>103</v>
      </c>
    </row>
    <row r="10850" spans="1:7" x14ac:dyDescent="0.3">
      <c r="A10850" t="s">
        <v>25</v>
      </c>
      <c r="B10850" t="s">
        <v>2776</v>
      </c>
      <c r="C10850">
        <v>51</v>
      </c>
      <c r="D10850" t="s">
        <v>893</v>
      </c>
      <c r="E10850" t="s">
        <v>1390</v>
      </c>
      <c r="F10850" t="s">
        <v>467</v>
      </c>
      <c r="G10850" t="s">
        <v>103</v>
      </c>
    </row>
    <row r="10851" spans="1:7" x14ac:dyDescent="0.3">
      <c r="A10851" t="s">
        <v>25</v>
      </c>
      <c r="B10851" t="s">
        <v>2777</v>
      </c>
      <c r="C10851">
        <v>151</v>
      </c>
      <c r="D10851" t="s">
        <v>523</v>
      </c>
      <c r="E10851" t="s">
        <v>229</v>
      </c>
      <c r="F10851" t="s">
        <v>102</v>
      </c>
      <c r="G10851" t="s">
        <v>113</v>
      </c>
    </row>
    <row r="10852" spans="1:7" x14ac:dyDescent="0.3">
      <c r="A10852" t="s">
        <v>25</v>
      </c>
      <c r="B10852" t="s">
        <v>2778</v>
      </c>
      <c r="C10852">
        <v>174</v>
      </c>
      <c r="D10852" t="s">
        <v>509</v>
      </c>
      <c r="E10852" t="s">
        <v>933</v>
      </c>
      <c r="F10852" t="s">
        <v>125</v>
      </c>
      <c r="G10852" t="s">
        <v>329</v>
      </c>
    </row>
    <row r="10853" spans="1:7" s="3" customFormat="1" x14ac:dyDescent="0.3">
      <c r="A10853" s="3" t="s">
        <v>25</v>
      </c>
      <c r="B10853" s="3" t="s">
        <v>223</v>
      </c>
      <c r="C10853" s="3">
        <v>2</v>
      </c>
      <c r="D10853" s="3" t="s">
        <v>103</v>
      </c>
      <c r="E10853" s="3" t="s">
        <v>192</v>
      </c>
      <c r="F10853" s="3" t="s">
        <v>103</v>
      </c>
      <c r="G10853" s="3" t="s">
        <v>103</v>
      </c>
    </row>
    <row r="10854" spans="1:7" x14ac:dyDescent="0.3">
      <c r="A10854" t="s">
        <v>25</v>
      </c>
      <c r="B10854" t="s">
        <v>308</v>
      </c>
      <c r="C10854">
        <v>2</v>
      </c>
      <c r="D10854" t="s">
        <v>1199</v>
      </c>
      <c r="E10854" t="s">
        <v>103</v>
      </c>
      <c r="F10854" t="s">
        <v>1284</v>
      </c>
      <c r="G10854" t="s">
        <v>103</v>
      </c>
    </row>
    <row r="10855" spans="1:7" s="3" customFormat="1" x14ac:dyDescent="0.3">
      <c r="A10855" s="3" t="s">
        <v>26</v>
      </c>
      <c r="B10855" s="3" t="s">
        <v>2772</v>
      </c>
      <c r="C10855" s="3">
        <v>3</v>
      </c>
      <c r="D10855" s="3" t="s">
        <v>103</v>
      </c>
      <c r="E10855" s="3" t="s">
        <v>1199</v>
      </c>
      <c r="F10855" s="3" t="s">
        <v>103</v>
      </c>
      <c r="G10855" s="3" t="s">
        <v>1284</v>
      </c>
    </row>
    <row r="10856" spans="1:7" s="3" customFormat="1" x14ac:dyDescent="0.3">
      <c r="A10856" s="3" t="s">
        <v>26</v>
      </c>
      <c r="B10856" s="3" t="s">
        <v>2773</v>
      </c>
      <c r="C10856" s="3">
        <v>8</v>
      </c>
      <c r="D10856" s="3" t="s">
        <v>1227</v>
      </c>
      <c r="E10856" s="3" t="s">
        <v>1354</v>
      </c>
      <c r="F10856" s="3" t="s">
        <v>103</v>
      </c>
      <c r="G10856" s="3" t="s">
        <v>103</v>
      </c>
    </row>
    <row r="10857" spans="1:7" s="3" customFormat="1" x14ac:dyDescent="0.3">
      <c r="A10857" s="3" t="s">
        <v>26</v>
      </c>
      <c r="B10857" s="3" t="s">
        <v>2774</v>
      </c>
      <c r="C10857" s="3">
        <v>22</v>
      </c>
      <c r="D10857" s="3" t="s">
        <v>134</v>
      </c>
      <c r="E10857" s="3" t="s">
        <v>873</v>
      </c>
      <c r="F10857" s="3" t="s">
        <v>103</v>
      </c>
      <c r="G10857" s="3" t="s">
        <v>544</v>
      </c>
    </row>
    <row r="10858" spans="1:7" x14ac:dyDescent="0.3">
      <c r="A10858" t="s">
        <v>26</v>
      </c>
      <c r="B10858" t="s">
        <v>2775</v>
      </c>
      <c r="C10858">
        <v>33</v>
      </c>
      <c r="D10858" t="s">
        <v>1060</v>
      </c>
      <c r="E10858" t="s">
        <v>1356</v>
      </c>
      <c r="F10858" t="s">
        <v>103</v>
      </c>
      <c r="G10858" t="s">
        <v>693</v>
      </c>
    </row>
    <row r="10859" spans="1:7" x14ac:dyDescent="0.3">
      <c r="A10859" t="s">
        <v>26</v>
      </c>
      <c r="B10859" t="s">
        <v>2776</v>
      </c>
      <c r="C10859">
        <v>86</v>
      </c>
      <c r="D10859" t="s">
        <v>1229</v>
      </c>
      <c r="E10859" t="s">
        <v>804</v>
      </c>
      <c r="F10859" t="s">
        <v>103</v>
      </c>
      <c r="G10859" t="s">
        <v>169</v>
      </c>
    </row>
    <row r="10860" spans="1:7" x14ac:dyDescent="0.3">
      <c r="A10860" t="s">
        <v>26</v>
      </c>
      <c r="B10860" t="s">
        <v>2777</v>
      </c>
      <c r="C10860">
        <v>192</v>
      </c>
      <c r="D10860" t="s">
        <v>357</v>
      </c>
      <c r="E10860" t="s">
        <v>513</v>
      </c>
      <c r="F10860" t="s">
        <v>468</v>
      </c>
      <c r="G10860" t="s">
        <v>547</v>
      </c>
    </row>
    <row r="10861" spans="1:7" x14ac:dyDescent="0.3">
      <c r="A10861" t="s">
        <v>26</v>
      </c>
      <c r="B10861" t="s">
        <v>2778</v>
      </c>
      <c r="C10861">
        <v>126</v>
      </c>
      <c r="D10861" t="s">
        <v>1093</v>
      </c>
      <c r="E10861" t="s">
        <v>454</v>
      </c>
      <c r="F10861" t="s">
        <v>120</v>
      </c>
      <c r="G10861" t="s">
        <v>1093</v>
      </c>
    </row>
    <row r="10862" spans="1:7" x14ac:dyDescent="0.3">
      <c r="A10862" t="s">
        <v>26</v>
      </c>
      <c r="B10862" t="s">
        <v>308</v>
      </c>
      <c r="C10862">
        <v>7</v>
      </c>
      <c r="D10862" t="s">
        <v>807</v>
      </c>
      <c r="E10862" t="s">
        <v>1243</v>
      </c>
      <c r="F10862" t="s">
        <v>727</v>
      </c>
      <c r="G10862" t="s">
        <v>103</v>
      </c>
    </row>
    <row r="10863" spans="1:7" s="3" customFormat="1" x14ac:dyDescent="0.3">
      <c r="A10863" s="3" t="s">
        <v>29</v>
      </c>
      <c r="B10863" s="3" t="s">
        <v>2772</v>
      </c>
      <c r="C10863" s="3">
        <v>2</v>
      </c>
      <c r="D10863" s="3" t="s">
        <v>366</v>
      </c>
      <c r="E10863" s="3" t="s">
        <v>1197</v>
      </c>
      <c r="F10863" s="3" t="s">
        <v>103</v>
      </c>
      <c r="G10863" s="3" t="s">
        <v>103</v>
      </c>
    </row>
    <row r="10864" spans="1:7" s="3" customFormat="1" x14ac:dyDescent="0.3">
      <c r="A10864" s="3" t="s">
        <v>29</v>
      </c>
      <c r="B10864" s="3" t="s">
        <v>2773</v>
      </c>
      <c r="C10864" s="3">
        <v>8</v>
      </c>
      <c r="D10864" s="3" t="s">
        <v>2033</v>
      </c>
      <c r="E10864" s="3" t="s">
        <v>516</v>
      </c>
      <c r="F10864" s="3" t="s">
        <v>103</v>
      </c>
      <c r="G10864" s="3" t="s">
        <v>469</v>
      </c>
    </row>
    <row r="10865" spans="1:7" s="3" customFormat="1" x14ac:dyDescent="0.3">
      <c r="A10865" s="3" t="s">
        <v>29</v>
      </c>
      <c r="B10865" s="3" t="s">
        <v>2774</v>
      </c>
      <c r="C10865" s="3">
        <v>21</v>
      </c>
      <c r="D10865" s="3" t="s">
        <v>1228</v>
      </c>
      <c r="E10865" s="3" t="s">
        <v>1220</v>
      </c>
      <c r="F10865" s="3" t="s">
        <v>245</v>
      </c>
      <c r="G10865" s="3" t="s">
        <v>103</v>
      </c>
    </row>
    <row r="10866" spans="1:7" x14ac:dyDescent="0.3">
      <c r="A10866" t="s">
        <v>29</v>
      </c>
      <c r="B10866" t="s">
        <v>2775</v>
      </c>
      <c r="C10866">
        <v>31</v>
      </c>
      <c r="D10866" t="s">
        <v>933</v>
      </c>
      <c r="E10866" t="s">
        <v>684</v>
      </c>
      <c r="F10866" t="s">
        <v>148</v>
      </c>
      <c r="G10866" t="s">
        <v>108</v>
      </c>
    </row>
    <row r="10867" spans="1:7" x14ac:dyDescent="0.3">
      <c r="A10867" t="s">
        <v>29</v>
      </c>
      <c r="B10867" t="s">
        <v>2776</v>
      </c>
      <c r="C10867">
        <v>65</v>
      </c>
      <c r="D10867" t="s">
        <v>873</v>
      </c>
      <c r="E10867" t="s">
        <v>797</v>
      </c>
      <c r="F10867" t="s">
        <v>467</v>
      </c>
      <c r="G10867" t="s">
        <v>108</v>
      </c>
    </row>
    <row r="10868" spans="1:7" x14ac:dyDescent="0.3">
      <c r="A10868" t="s">
        <v>29</v>
      </c>
      <c r="B10868" t="s">
        <v>2777</v>
      </c>
      <c r="C10868">
        <v>219</v>
      </c>
      <c r="D10868" t="s">
        <v>1214</v>
      </c>
      <c r="E10868" t="s">
        <v>1293</v>
      </c>
      <c r="F10868" t="s">
        <v>257</v>
      </c>
      <c r="G10868" t="s">
        <v>571</v>
      </c>
    </row>
    <row r="10869" spans="1:7" x14ac:dyDescent="0.3">
      <c r="A10869" t="s">
        <v>29</v>
      </c>
      <c r="B10869" t="s">
        <v>2778</v>
      </c>
      <c r="C10869">
        <v>183</v>
      </c>
      <c r="D10869" t="s">
        <v>1284</v>
      </c>
      <c r="E10869" t="s">
        <v>530</v>
      </c>
      <c r="F10869" t="s">
        <v>107</v>
      </c>
      <c r="G10869" t="s">
        <v>136</v>
      </c>
    </row>
    <row r="10870" spans="1:7" x14ac:dyDescent="0.3">
      <c r="A10870" t="s">
        <v>29</v>
      </c>
      <c r="B10870" t="s">
        <v>308</v>
      </c>
      <c r="C10870">
        <v>1</v>
      </c>
      <c r="D10870" t="s">
        <v>192</v>
      </c>
      <c r="E10870" t="s">
        <v>103</v>
      </c>
      <c r="F10870" t="s">
        <v>103</v>
      </c>
      <c r="G10870" t="s">
        <v>103</v>
      </c>
    </row>
    <row r="10871" spans="1:7" x14ac:dyDescent="0.3">
      <c r="A10871" t="s">
        <v>28</v>
      </c>
      <c r="B10871" t="s">
        <v>2772</v>
      </c>
      <c r="C10871">
        <v>39</v>
      </c>
      <c r="D10871" t="s">
        <v>725</v>
      </c>
      <c r="E10871" t="s">
        <v>469</v>
      </c>
      <c r="F10871" t="s">
        <v>103</v>
      </c>
      <c r="G10871" t="s">
        <v>103</v>
      </c>
    </row>
    <row r="10872" spans="1:7" x14ac:dyDescent="0.3">
      <c r="A10872" t="s">
        <v>28</v>
      </c>
      <c r="B10872" t="s">
        <v>2773</v>
      </c>
      <c r="C10872">
        <v>57</v>
      </c>
      <c r="D10872" t="s">
        <v>45</v>
      </c>
      <c r="E10872" t="s">
        <v>807</v>
      </c>
      <c r="F10872" t="s">
        <v>103</v>
      </c>
      <c r="G10872" t="s">
        <v>282</v>
      </c>
    </row>
    <row r="10873" spans="1:7" s="3" customFormat="1" x14ac:dyDescent="0.3">
      <c r="A10873" s="3" t="s">
        <v>28</v>
      </c>
      <c r="B10873" s="3" t="s">
        <v>2774</v>
      </c>
      <c r="C10873" s="3">
        <v>30</v>
      </c>
      <c r="D10873" s="3" t="s">
        <v>889</v>
      </c>
      <c r="E10873" s="3" t="s">
        <v>890</v>
      </c>
      <c r="F10873" s="3" t="s">
        <v>103</v>
      </c>
      <c r="G10873" s="3" t="s">
        <v>103</v>
      </c>
    </row>
    <row r="10874" spans="1:7" x14ac:dyDescent="0.3">
      <c r="A10874" t="s">
        <v>28</v>
      </c>
      <c r="B10874" t="s">
        <v>2775</v>
      </c>
      <c r="C10874">
        <v>41</v>
      </c>
      <c r="D10874" t="s">
        <v>143</v>
      </c>
      <c r="E10874" t="s">
        <v>142</v>
      </c>
      <c r="F10874" t="s">
        <v>103</v>
      </c>
      <c r="G10874" t="s">
        <v>103</v>
      </c>
    </row>
    <row r="10875" spans="1:7" x14ac:dyDescent="0.3">
      <c r="A10875" t="s">
        <v>28</v>
      </c>
      <c r="B10875" t="s">
        <v>2776</v>
      </c>
      <c r="C10875">
        <v>45</v>
      </c>
      <c r="D10875" t="s">
        <v>611</v>
      </c>
      <c r="E10875" t="s">
        <v>662</v>
      </c>
      <c r="F10875" t="s">
        <v>103</v>
      </c>
      <c r="G10875" t="s">
        <v>103</v>
      </c>
    </row>
    <row r="10876" spans="1:7" x14ac:dyDescent="0.3">
      <c r="A10876" t="s">
        <v>28</v>
      </c>
      <c r="B10876" t="s">
        <v>2777</v>
      </c>
      <c r="C10876">
        <v>55</v>
      </c>
      <c r="D10876" t="s">
        <v>711</v>
      </c>
      <c r="E10876" t="s">
        <v>54</v>
      </c>
      <c r="F10876" t="s">
        <v>194</v>
      </c>
      <c r="G10876" t="s">
        <v>103</v>
      </c>
    </row>
    <row r="10877" spans="1:7" x14ac:dyDescent="0.3">
      <c r="A10877" t="s">
        <v>28</v>
      </c>
      <c r="B10877" t="s">
        <v>2778</v>
      </c>
      <c r="C10877">
        <v>44</v>
      </c>
      <c r="D10877" t="s">
        <v>1040</v>
      </c>
      <c r="E10877" t="s">
        <v>438</v>
      </c>
      <c r="F10877" t="s">
        <v>486</v>
      </c>
      <c r="G10877" t="s">
        <v>103</v>
      </c>
    </row>
    <row r="10878" spans="1:7" x14ac:dyDescent="0.3">
      <c r="A10878" t="s">
        <v>28</v>
      </c>
      <c r="B10878" t="s">
        <v>308</v>
      </c>
      <c r="C10878">
        <v>6</v>
      </c>
      <c r="D10878" t="s">
        <v>1035</v>
      </c>
      <c r="E10878" t="s">
        <v>503</v>
      </c>
      <c r="F10878" t="s">
        <v>103</v>
      </c>
      <c r="G10878" t="s">
        <v>103</v>
      </c>
    </row>
    <row r="10879" spans="1:7" s="3" customFormat="1" x14ac:dyDescent="0.3">
      <c r="A10879" s="3" t="s">
        <v>27</v>
      </c>
      <c r="B10879" s="3" t="s">
        <v>2772</v>
      </c>
      <c r="C10879" s="3">
        <v>10</v>
      </c>
      <c r="D10879" s="3" t="s">
        <v>600</v>
      </c>
      <c r="E10879" s="3" t="s">
        <v>524</v>
      </c>
      <c r="F10879" s="3" t="s">
        <v>103</v>
      </c>
      <c r="G10879" s="3" t="s">
        <v>103</v>
      </c>
    </row>
    <row r="10880" spans="1:7" s="3" customFormat="1" x14ac:dyDescent="0.3">
      <c r="A10880" s="3" t="s">
        <v>27</v>
      </c>
      <c r="B10880" s="3" t="s">
        <v>2773</v>
      </c>
      <c r="C10880" s="3">
        <v>9</v>
      </c>
      <c r="D10880" s="3" t="s">
        <v>1401</v>
      </c>
      <c r="E10880" s="3" t="s">
        <v>694</v>
      </c>
      <c r="F10880" s="3" t="s">
        <v>103</v>
      </c>
      <c r="G10880" s="3" t="s">
        <v>103</v>
      </c>
    </row>
    <row r="10881" spans="1:7" s="3" customFormat="1" x14ac:dyDescent="0.3">
      <c r="A10881" s="3" t="s">
        <v>27</v>
      </c>
      <c r="B10881" s="3" t="s">
        <v>2774</v>
      </c>
      <c r="C10881" s="3">
        <v>18</v>
      </c>
      <c r="D10881" s="3" t="s">
        <v>933</v>
      </c>
      <c r="E10881" s="3" t="s">
        <v>1226</v>
      </c>
      <c r="F10881" s="3" t="s">
        <v>103</v>
      </c>
      <c r="G10881" s="3" t="s">
        <v>732</v>
      </c>
    </row>
    <row r="10882" spans="1:7" x14ac:dyDescent="0.3">
      <c r="A10882" t="s">
        <v>27</v>
      </c>
      <c r="B10882" t="s">
        <v>2775</v>
      </c>
      <c r="C10882">
        <v>33</v>
      </c>
      <c r="D10882" t="s">
        <v>899</v>
      </c>
      <c r="E10882" t="s">
        <v>900</v>
      </c>
      <c r="F10882" t="s">
        <v>103</v>
      </c>
      <c r="G10882" t="s">
        <v>103</v>
      </c>
    </row>
    <row r="10883" spans="1:7" x14ac:dyDescent="0.3">
      <c r="A10883" t="s">
        <v>27</v>
      </c>
      <c r="B10883" t="s">
        <v>2776</v>
      </c>
      <c r="C10883">
        <v>65</v>
      </c>
      <c r="D10883" t="s">
        <v>2111</v>
      </c>
      <c r="E10883" t="s">
        <v>935</v>
      </c>
      <c r="F10883" t="s">
        <v>103</v>
      </c>
      <c r="G10883" t="s">
        <v>103</v>
      </c>
    </row>
    <row r="10884" spans="1:7" x14ac:dyDescent="0.3">
      <c r="A10884" t="s">
        <v>27</v>
      </c>
      <c r="B10884" t="s">
        <v>2777</v>
      </c>
      <c r="C10884">
        <v>78</v>
      </c>
      <c r="D10884" t="s">
        <v>1209</v>
      </c>
      <c r="E10884" t="s">
        <v>396</v>
      </c>
      <c r="F10884" t="s">
        <v>103</v>
      </c>
      <c r="G10884" t="s">
        <v>103</v>
      </c>
    </row>
    <row r="10885" spans="1:7" x14ac:dyDescent="0.3">
      <c r="A10885" t="s">
        <v>27</v>
      </c>
      <c r="B10885" t="s">
        <v>2778</v>
      </c>
      <c r="C10885">
        <v>70</v>
      </c>
      <c r="D10885" t="s">
        <v>736</v>
      </c>
      <c r="E10885" t="s">
        <v>559</v>
      </c>
      <c r="F10885" t="s">
        <v>103</v>
      </c>
      <c r="G10885" t="s">
        <v>103</v>
      </c>
    </row>
    <row r="10886" spans="1:7" s="3" customFormat="1" x14ac:dyDescent="0.3">
      <c r="A10886" s="3" t="s">
        <v>27</v>
      </c>
      <c r="B10886" s="3" t="s">
        <v>223</v>
      </c>
      <c r="C10886" s="3">
        <v>2</v>
      </c>
      <c r="D10886" s="3" t="s">
        <v>103</v>
      </c>
      <c r="E10886" s="3" t="s">
        <v>391</v>
      </c>
      <c r="F10886" s="3" t="s">
        <v>103</v>
      </c>
      <c r="G10886" s="3" t="s">
        <v>392</v>
      </c>
    </row>
    <row r="10887" spans="1:7" x14ac:dyDescent="0.3">
      <c r="A10887" t="s">
        <v>27</v>
      </c>
      <c r="B10887" t="s">
        <v>308</v>
      </c>
      <c r="C10887">
        <v>15</v>
      </c>
      <c r="D10887" t="s">
        <v>428</v>
      </c>
      <c r="E10887" t="s">
        <v>429</v>
      </c>
      <c r="F10887" t="s">
        <v>103</v>
      </c>
      <c r="G10887" t="s">
        <v>103</v>
      </c>
    </row>
    <row r="10888" spans="1:7" x14ac:dyDescent="0.3">
      <c r="A10888" t="s">
        <v>41</v>
      </c>
      <c r="B10888" t="s">
        <v>2772</v>
      </c>
      <c r="C10888">
        <v>55</v>
      </c>
      <c r="D10888" t="s">
        <v>1291</v>
      </c>
      <c r="E10888" t="s">
        <v>1084</v>
      </c>
      <c r="F10888" t="s">
        <v>103</v>
      </c>
      <c r="G10888" t="s">
        <v>206</v>
      </c>
    </row>
    <row r="10889" spans="1:7" x14ac:dyDescent="0.3">
      <c r="A10889" t="s">
        <v>41</v>
      </c>
      <c r="B10889" t="s">
        <v>2773</v>
      </c>
      <c r="C10889">
        <v>85</v>
      </c>
      <c r="D10889" t="s">
        <v>1578</v>
      </c>
      <c r="E10889" t="s">
        <v>510</v>
      </c>
      <c r="F10889" t="s">
        <v>103</v>
      </c>
      <c r="G10889" t="s">
        <v>532</v>
      </c>
    </row>
    <row r="10890" spans="1:7" x14ac:dyDescent="0.3">
      <c r="A10890" t="s">
        <v>41</v>
      </c>
      <c r="B10890" t="s">
        <v>2774</v>
      </c>
      <c r="C10890">
        <v>100</v>
      </c>
      <c r="D10890" t="s">
        <v>839</v>
      </c>
      <c r="E10890" t="s">
        <v>1060</v>
      </c>
      <c r="F10890" t="s">
        <v>95</v>
      </c>
      <c r="G10890" t="s">
        <v>281</v>
      </c>
    </row>
    <row r="10891" spans="1:7" x14ac:dyDescent="0.3">
      <c r="A10891" t="s">
        <v>41</v>
      </c>
      <c r="B10891" t="s">
        <v>2775</v>
      </c>
      <c r="C10891">
        <v>159</v>
      </c>
      <c r="D10891" t="s">
        <v>1279</v>
      </c>
      <c r="E10891" t="s">
        <v>604</v>
      </c>
      <c r="F10891" t="s">
        <v>278</v>
      </c>
      <c r="G10891" t="s">
        <v>133</v>
      </c>
    </row>
    <row r="10892" spans="1:7" x14ac:dyDescent="0.3">
      <c r="A10892" t="s">
        <v>41</v>
      </c>
      <c r="B10892" t="s">
        <v>2776</v>
      </c>
      <c r="C10892">
        <v>312</v>
      </c>
      <c r="D10892" t="s">
        <v>369</v>
      </c>
      <c r="E10892" t="s">
        <v>399</v>
      </c>
      <c r="F10892" t="s">
        <v>341</v>
      </c>
      <c r="G10892" t="s">
        <v>251</v>
      </c>
    </row>
    <row r="10893" spans="1:7" x14ac:dyDescent="0.3">
      <c r="A10893" t="s">
        <v>41</v>
      </c>
      <c r="B10893" t="s">
        <v>2777</v>
      </c>
      <c r="C10893">
        <v>695</v>
      </c>
      <c r="D10893" t="s">
        <v>1637</v>
      </c>
      <c r="E10893" t="s">
        <v>1545</v>
      </c>
      <c r="F10893" t="s">
        <v>93</v>
      </c>
      <c r="G10893" t="s">
        <v>136</v>
      </c>
    </row>
    <row r="10894" spans="1:7" x14ac:dyDescent="0.3">
      <c r="A10894" t="s">
        <v>41</v>
      </c>
      <c r="B10894" t="s">
        <v>2778</v>
      </c>
      <c r="C10894">
        <v>597</v>
      </c>
      <c r="D10894" t="s">
        <v>416</v>
      </c>
      <c r="E10894" t="s">
        <v>396</v>
      </c>
      <c r="F10894" t="s">
        <v>102</v>
      </c>
      <c r="G10894" t="s">
        <v>536</v>
      </c>
    </row>
    <row r="10895" spans="1:7" s="3" customFormat="1" x14ac:dyDescent="0.3">
      <c r="A10895" s="3" t="s">
        <v>41</v>
      </c>
      <c r="B10895" s="3" t="s">
        <v>223</v>
      </c>
      <c r="C10895" s="3">
        <v>4</v>
      </c>
      <c r="D10895" s="3" t="s">
        <v>103</v>
      </c>
      <c r="E10895" s="3" t="s">
        <v>153</v>
      </c>
      <c r="F10895" s="3" t="s">
        <v>103</v>
      </c>
      <c r="G10895" s="3" t="s">
        <v>152</v>
      </c>
    </row>
    <row r="10896" spans="1:7" x14ac:dyDescent="0.3">
      <c r="A10896" t="s">
        <v>41</v>
      </c>
      <c r="B10896" t="s">
        <v>308</v>
      </c>
      <c r="C10896">
        <v>31</v>
      </c>
      <c r="D10896" t="s">
        <v>442</v>
      </c>
      <c r="E10896" t="s">
        <v>293</v>
      </c>
      <c r="F10896" t="s">
        <v>488</v>
      </c>
      <c r="G10896" t="s">
        <v>103</v>
      </c>
    </row>
    <row r="10898" spans="1:7" x14ac:dyDescent="0.3">
      <c r="A10898" t="s">
        <v>2779</v>
      </c>
    </row>
    <row r="10899" spans="1:7" x14ac:dyDescent="0.3">
      <c r="A10899" t="s">
        <v>36</v>
      </c>
      <c r="B10899" t="s">
        <v>197</v>
      </c>
      <c r="C10899" t="s">
        <v>24</v>
      </c>
      <c r="D10899" t="s">
        <v>2748</v>
      </c>
      <c r="E10899" t="s">
        <v>2749</v>
      </c>
      <c r="F10899" t="s">
        <v>2750</v>
      </c>
      <c r="G10899" t="s">
        <v>2751</v>
      </c>
    </row>
    <row r="10900" spans="1:7" x14ac:dyDescent="0.3">
      <c r="A10900" t="s">
        <v>25</v>
      </c>
      <c r="B10900" t="s">
        <v>198</v>
      </c>
      <c r="C10900">
        <v>104</v>
      </c>
      <c r="D10900" t="s">
        <v>112</v>
      </c>
      <c r="E10900" t="s">
        <v>2263</v>
      </c>
      <c r="F10900" t="s">
        <v>975</v>
      </c>
      <c r="G10900" t="s">
        <v>113</v>
      </c>
    </row>
    <row r="10901" spans="1:7" x14ac:dyDescent="0.3">
      <c r="A10901" t="s">
        <v>25</v>
      </c>
      <c r="B10901" t="s">
        <v>199</v>
      </c>
      <c r="C10901">
        <v>310</v>
      </c>
      <c r="D10901" t="s">
        <v>270</v>
      </c>
      <c r="E10901" t="s">
        <v>1394</v>
      </c>
      <c r="F10901" t="s">
        <v>663</v>
      </c>
      <c r="G10901" t="s">
        <v>341</v>
      </c>
    </row>
    <row r="10902" spans="1:7" x14ac:dyDescent="0.3">
      <c r="A10902" t="s">
        <v>26</v>
      </c>
      <c r="B10902" t="s">
        <v>198</v>
      </c>
      <c r="C10902">
        <v>41</v>
      </c>
      <c r="D10902" t="s">
        <v>103</v>
      </c>
      <c r="E10902" t="s">
        <v>387</v>
      </c>
      <c r="F10902" t="s">
        <v>453</v>
      </c>
      <c r="G10902" t="s">
        <v>652</v>
      </c>
    </row>
    <row r="10903" spans="1:7" x14ac:dyDescent="0.3">
      <c r="A10903" t="s">
        <v>26</v>
      </c>
      <c r="B10903" t="s">
        <v>199</v>
      </c>
      <c r="C10903">
        <v>436</v>
      </c>
      <c r="D10903" t="s">
        <v>282</v>
      </c>
      <c r="E10903" t="s">
        <v>443</v>
      </c>
      <c r="F10903" t="s">
        <v>440</v>
      </c>
      <c r="G10903" t="s">
        <v>264</v>
      </c>
    </row>
    <row r="10904" spans="1:7" x14ac:dyDescent="0.3">
      <c r="A10904" t="s">
        <v>29</v>
      </c>
      <c r="B10904" t="s">
        <v>198</v>
      </c>
      <c r="C10904">
        <v>170</v>
      </c>
      <c r="D10904" t="s">
        <v>493</v>
      </c>
      <c r="E10904" t="s">
        <v>513</v>
      </c>
      <c r="F10904" t="s">
        <v>538</v>
      </c>
      <c r="G10904" t="s">
        <v>601</v>
      </c>
    </row>
    <row r="10905" spans="1:7" x14ac:dyDescent="0.3">
      <c r="A10905" t="s">
        <v>29</v>
      </c>
      <c r="B10905" t="s">
        <v>199</v>
      </c>
      <c r="C10905">
        <v>360</v>
      </c>
      <c r="D10905" t="s">
        <v>493</v>
      </c>
      <c r="E10905" t="s">
        <v>297</v>
      </c>
      <c r="F10905" t="s">
        <v>2010</v>
      </c>
      <c r="G10905" t="s">
        <v>601</v>
      </c>
    </row>
    <row r="10906" spans="1:7" x14ac:dyDescent="0.3">
      <c r="A10906" t="s">
        <v>28</v>
      </c>
      <c r="B10906" t="s">
        <v>198</v>
      </c>
      <c r="C10906">
        <v>70</v>
      </c>
      <c r="D10906" t="s">
        <v>64</v>
      </c>
      <c r="E10906" t="s">
        <v>275</v>
      </c>
      <c r="F10906" t="s">
        <v>760</v>
      </c>
      <c r="G10906" t="s">
        <v>103</v>
      </c>
    </row>
    <row r="10907" spans="1:7" x14ac:dyDescent="0.3">
      <c r="A10907" t="s">
        <v>28</v>
      </c>
      <c r="B10907" t="s">
        <v>199</v>
      </c>
      <c r="C10907">
        <v>247</v>
      </c>
      <c r="D10907" t="s">
        <v>128</v>
      </c>
      <c r="E10907" t="s">
        <v>157</v>
      </c>
      <c r="F10907" t="s">
        <v>984</v>
      </c>
      <c r="G10907" t="s">
        <v>66</v>
      </c>
    </row>
    <row r="10908" spans="1:7" x14ac:dyDescent="0.3">
      <c r="A10908" t="s">
        <v>27</v>
      </c>
      <c r="B10908" t="s">
        <v>198</v>
      </c>
      <c r="C10908">
        <v>136</v>
      </c>
      <c r="D10908" t="s">
        <v>103</v>
      </c>
      <c r="E10908" t="s">
        <v>1084</v>
      </c>
      <c r="F10908" t="s">
        <v>741</v>
      </c>
      <c r="G10908" t="s">
        <v>188</v>
      </c>
    </row>
    <row r="10909" spans="1:7" x14ac:dyDescent="0.3">
      <c r="A10909" t="s">
        <v>27</v>
      </c>
      <c r="B10909" t="s">
        <v>199</v>
      </c>
      <c r="C10909">
        <v>164</v>
      </c>
      <c r="D10909" t="s">
        <v>103</v>
      </c>
      <c r="E10909" t="s">
        <v>1576</v>
      </c>
      <c r="F10909" t="s">
        <v>508</v>
      </c>
      <c r="G10909" t="s">
        <v>103</v>
      </c>
    </row>
    <row r="10910" spans="1:7" x14ac:dyDescent="0.3">
      <c r="A10910" t="s">
        <v>41</v>
      </c>
      <c r="B10910" t="s">
        <v>198</v>
      </c>
      <c r="C10910">
        <v>521</v>
      </c>
      <c r="D10910" t="s">
        <v>438</v>
      </c>
      <c r="E10910" t="s">
        <v>1054</v>
      </c>
      <c r="F10910" t="s">
        <v>1545</v>
      </c>
      <c r="G10910" t="s">
        <v>460</v>
      </c>
    </row>
    <row r="10911" spans="1:7" x14ac:dyDescent="0.3">
      <c r="A10911" t="s">
        <v>41</v>
      </c>
      <c r="B10911" t="s">
        <v>199</v>
      </c>
      <c r="C10911">
        <v>1517</v>
      </c>
      <c r="D10911" t="s">
        <v>217</v>
      </c>
      <c r="E10911" t="s">
        <v>540</v>
      </c>
      <c r="F10911" t="s">
        <v>416</v>
      </c>
      <c r="G10911" t="s">
        <v>890</v>
      </c>
    </row>
    <row r="10913" spans="1:10" x14ac:dyDescent="0.3">
      <c r="A10913" t="s">
        <v>2780</v>
      </c>
    </row>
    <row r="10914" spans="1:10" x14ac:dyDescent="0.3">
      <c r="A10914" t="s">
        <v>36</v>
      </c>
      <c r="B10914" t="s">
        <v>24</v>
      </c>
      <c r="C10914" t="s">
        <v>2781</v>
      </c>
      <c r="D10914" t="s">
        <v>2782</v>
      </c>
      <c r="E10914" t="s">
        <v>2783</v>
      </c>
      <c r="F10914" t="s">
        <v>2784</v>
      </c>
      <c r="G10914" t="s">
        <v>2785</v>
      </c>
      <c r="H10914" t="s">
        <v>58</v>
      </c>
      <c r="I10914" t="s">
        <v>1566</v>
      </c>
    </row>
    <row r="10915" spans="1:10" x14ac:dyDescent="0.3">
      <c r="A10915" t="s">
        <v>25</v>
      </c>
      <c r="B10915">
        <v>414</v>
      </c>
      <c r="C10915" t="s">
        <v>406</v>
      </c>
      <c r="D10915" t="s">
        <v>937</v>
      </c>
      <c r="E10915" t="s">
        <v>466</v>
      </c>
      <c r="F10915" t="s">
        <v>575</v>
      </c>
      <c r="G10915" t="s">
        <v>103</v>
      </c>
      <c r="H10915" t="s">
        <v>629</v>
      </c>
      <c r="I10915" t="s">
        <v>97</v>
      </c>
    </row>
    <row r="10916" spans="1:10" x14ac:dyDescent="0.3">
      <c r="A10916" t="s">
        <v>26</v>
      </c>
      <c r="B10916">
        <v>477</v>
      </c>
      <c r="C10916" t="s">
        <v>1096</v>
      </c>
      <c r="D10916" t="s">
        <v>1236</v>
      </c>
      <c r="E10916" t="s">
        <v>64</v>
      </c>
      <c r="F10916" t="s">
        <v>284</v>
      </c>
      <c r="G10916" t="s">
        <v>103</v>
      </c>
      <c r="H10916" t="s">
        <v>522</v>
      </c>
      <c r="I10916" t="s">
        <v>98</v>
      </c>
    </row>
    <row r="10917" spans="1:10" x14ac:dyDescent="0.3">
      <c r="A10917" t="s">
        <v>29</v>
      </c>
      <c r="B10917">
        <v>530</v>
      </c>
      <c r="C10917" t="s">
        <v>1375</v>
      </c>
      <c r="D10917" t="s">
        <v>1096</v>
      </c>
      <c r="E10917" t="s">
        <v>482</v>
      </c>
      <c r="F10917" t="s">
        <v>157</v>
      </c>
      <c r="G10917" t="s">
        <v>97</v>
      </c>
      <c r="H10917" t="s">
        <v>124</v>
      </c>
      <c r="I10917" t="s">
        <v>239</v>
      </c>
    </row>
    <row r="10918" spans="1:10" x14ac:dyDescent="0.3">
      <c r="A10918" t="s">
        <v>28</v>
      </c>
      <c r="B10918">
        <v>317</v>
      </c>
      <c r="C10918" t="s">
        <v>948</v>
      </c>
      <c r="D10918" t="s">
        <v>370</v>
      </c>
      <c r="E10918" t="s">
        <v>103</v>
      </c>
      <c r="F10918" t="s">
        <v>103</v>
      </c>
      <c r="G10918" t="s">
        <v>103</v>
      </c>
      <c r="H10918" t="s">
        <v>32</v>
      </c>
      <c r="I10918" t="s">
        <v>216</v>
      </c>
    </row>
    <row r="10919" spans="1:10" x14ac:dyDescent="0.3">
      <c r="A10919" t="s">
        <v>27</v>
      </c>
      <c r="B10919">
        <v>300</v>
      </c>
      <c r="C10919" t="s">
        <v>709</v>
      </c>
      <c r="D10919" t="s">
        <v>1044</v>
      </c>
      <c r="E10919" t="s">
        <v>90</v>
      </c>
      <c r="F10919" t="s">
        <v>68</v>
      </c>
      <c r="G10919" t="s">
        <v>103</v>
      </c>
      <c r="H10919" t="s">
        <v>245</v>
      </c>
      <c r="I10919" t="s">
        <v>103</v>
      </c>
    </row>
    <row r="10920" spans="1:10" x14ac:dyDescent="0.3">
      <c r="A10920" t="s">
        <v>41</v>
      </c>
      <c r="B10920">
        <v>2038</v>
      </c>
      <c r="C10920" t="s">
        <v>1328</v>
      </c>
      <c r="D10920" t="s">
        <v>2185</v>
      </c>
      <c r="E10920" t="s">
        <v>251</v>
      </c>
      <c r="F10920" t="s">
        <v>90</v>
      </c>
      <c r="G10920" t="s">
        <v>116</v>
      </c>
      <c r="H10920" t="s">
        <v>517</v>
      </c>
      <c r="I10920" t="s">
        <v>345</v>
      </c>
    </row>
    <row r="10922" spans="1:10" x14ac:dyDescent="0.3">
      <c r="A10922" t="s">
        <v>2786</v>
      </c>
    </row>
    <row r="10923" spans="1:10" x14ac:dyDescent="0.3">
      <c r="A10923" t="s">
        <v>36</v>
      </c>
      <c r="B10923" t="s">
        <v>307</v>
      </c>
      <c r="C10923" t="s">
        <v>24</v>
      </c>
      <c r="D10923" t="s">
        <v>2781</v>
      </c>
      <c r="E10923" t="s">
        <v>2782</v>
      </c>
      <c r="F10923" t="s">
        <v>2783</v>
      </c>
      <c r="G10923" t="s">
        <v>2784</v>
      </c>
      <c r="H10923" t="s">
        <v>2785</v>
      </c>
      <c r="I10923" t="s">
        <v>58</v>
      </c>
      <c r="J10923" t="s">
        <v>1566</v>
      </c>
    </row>
    <row r="10924" spans="1:10" x14ac:dyDescent="0.3">
      <c r="A10924" t="s">
        <v>25</v>
      </c>
      <c r="B10924" t="s">
        <v>291</v>
      </c>
      <c r="C10924">
        <v>156</v>
      </c>
      <c r="D10924" t="s">
        <v>814</v>
      </c>
      <c r="E10924" t="s">
        <v>794</v>
      </c>
      <c r="F10924" t="s">
        <v>649</v>
      </c>
      <c r="G10924" t="s">
        <v>152</v>
      </c>
      <c r="H10924" t="s">
        <v>103</v>
      </c>
      <c r="I10924" t="s">
        <v>117</v>
      </c>
      <c r="J10924" t="s">
        <v>103</v>
      </c>
    </row>
    <row r="10925" spans="1:10" x14ac:dyDescent="0.3">
      <c r="A10925" t="s">
        <v>25</v>
      </c>
      <c r="B10925" t="s">
        <v>292</v>
      </c>
      <c r="C10925">
        <v>254</v>
      </c>
      <c r="D10925" t="s">
        <v>1071</v>
      </c>
      <c r="E10925" t="s">
        <v>790</v>
      </c>
      <c r="F10925" t="s">
        <v>107</v>
      </c>
      <c r="G10925" t="s">
        <v>32</v>
      </c>
      <c r="H10925" t="s">
        <v>103</v>
      </c>
      <c r="I10925" t="s">
        <v>224</v>
      </c>
      <c r="J10925" t="s">
        <v>139</v>
      </c>
    </row>
    <row r="10926" spans="1:10" x14ac:dyDescent="0.3">
      <c r="A10926" t="s">
        <v>25</v>
      </c>
      <c r="B10926" t="s">
        <v>308</v>
      </c>
      <c r="C10926">
        <v>4</v>
      </c>
      <c r="D10926" t="s">
        <v>351</v>
      </c>
      <c r="E10926" t="s">
        <v>796</v>
      </c>
      <c r="F10926" t="s">
        <v>103</v>
      </c>
      <c r="G10926" t="s">
        <v>103</v>
      </c>
      <c r="H10926" t="s">
        <v>103</v>
      </c>
      <c r="I10926" t="s">
        <v>103</v>
      </c>
      <c r="J10926" t="s">
        <v>103</v>
      </c>
    </row>
    <row r="10927" spans="1:10" x14ac:dyDescent="0.3">
      <c r="A10927" t="s">
        <v>26</v>
      </c>
      <c r="B10927" t="s">
        <v>291</v>
      </c>
      <c r="C10927">
        <v>122</v>
      </c>
      <c r="D10927" t="s">
        <v>804</v>
      </c>
      <c r="E10927" t="s">
        <v>678</v>
      </c>
      <c r="F10927" t="s">
        <v>281</v>
      </c>
      <c r="G10927" t="s">
        <v>128</v>
      </c>
      <c r="H10927" t="s">
        <v>103</v>
      </c>
      <c r="I10927" t="s">
        <v>687</v>
      </c>
      <c r="J10927" t="s">
        <v>98</v>
      </c>
    </row>
    <row r="10928" spans="1:10" x14ac:dyDescent="0.3">
      <c r="A10928" t="s">
        <v>26</v>
      </c>
      <c r="B10928" t="s">
        <v>292</v>
      </c>
      <c r="C10928">
        <v>352</v>
      </c>
      <c r="D10928" t="s">
        <v>354</v>
      </c>
      <c r="E10928" t="s">
        <v>1425</v>
      </c>
      <c r="F10928" t="s">
        <v>208</v>
      </c>
      <c r="G10928" t="s">
        <v>452</v>
      </c>
      <c r="H10928" t="s">
        <v>103</v>
      </c>
      <c r="I10928" t="s">
        <v>660</v>
      </c>
      <c r="J10928" t="s">
        <v>282</v>
      </c>
    </row>
    <row r="10929" spans="1:10" x14ac:dyDescent="0.3">
      <c r="A10929" t="s">
        <v>26</v>
      </c>
      <c r="B10929" t="s">
        <v>308</v>
      </c>
      <c r="C10929">
        <v>3</v>
      </c>
      <c r="D10929" t="s">
        <v>921</v>
      </c>
      <c r="E10929" t="s">
        <v>1178</v>
      </c>
      <c r="F10929" t="s">
        <v>103</v>
      </c>
      <c r="G10929" t="s">
        <v>103</v>
      </c>
      <c r="H10929" t="s">
        <v>103</v>
      </c>
      <c r="I10929" t="s">
        <v>103</v>
      </c>
      <c r="J10929" t="s">
        <v>103</v>
      </c>
    </row>
    <row r="10930" spans="1:10" x14ac:dyDescent="0.3">
      <c r="A10930" t="s">
        <v>29</v>
      </c>
      <c r="B10930" t="s">
        <v>291</v>
      </c>
      <c r="C10930">
        <v>205</v>
      </c>
      <c r="D10930" t="s">
        <v>394</v>
      </c>
      <c r="E10930" t="s">
        <v>696</v>
      </c>
      <c r="F10930" t="s">
        <v>137</v>
      </c>
      <c r="G10930" t="s">
        <v>123</v>
      </c>
      <c r="H10930" t="s">
        <v>103</v>
      </c>
      <c r="I10930" t="s">
        <v>90</v>
      </c>
      <c r="J10930" t="s">
        <v>120</v>
      </c>
    </row>
    <row r="10931" spans="1:10" x14ac:dyDescent="0.3">
      <c r="A10931" t="s">
        <v>29</v>
      </c>
      <c r="B10931" t="s">
        <v>292</v>
      </c>
      <c r="C10931">
        <v>325</v>
      </c>
      <c r="D10931" t="s">
        <v>1420</v>
      </c>
      <c r="E10931" t="s">
        <v>791</v>
      </c>
      <c r="F10931" t="s">
        <v>482</v>
      </c>
      <c r="G10931" t="s">
        <v>544</v>
      </c>
      <c r="H10931" t="s">
        <v>98</v>
      </c>
      <c r="I10931" t="s">
        <v>140</v>
      </c>
      <c r="J10931" t="s">
        <v>329</v>
      </c>
    </row>
    <row r="10932" spans="1:10" x14ac:dyDescent="0.3">
      <c r="A10932" t="s">
        <v>28</v>
      </c>
      <c r="B10932" t="s">
        <v>291</v>
      </c>
      <c r="C10932">
        <v>114</v>
      </c>
      <c r="D10932" t="s">
        <v>1241</v>
      </c>
      <c r="E10932" t="s">
        <v>421</v>
      </c>
      <c r="F10932" t="s">
        <v>103</v>
      </c>
      <c r="G10932" t="s">
        <v>103</v>
      </c>
      <c r="H10932" t="s">
        <v>103</v>
      </c>
      <c r="I10932" t="s">
        <v>601</v>
      </c>
      <c r="J10932" t="s">
        <v>118</v>
      </c>
    </row>
    <row r="10933" spans="1:10" x14ac:dyDescent="0.3">
      <c r="A10933" t="s">
        <v>28</v>
      </c>
      <c r="B10933" t="s">
        <v>292</v>
      </c>
      <c r="C10933">
        <v>191</v>
      </c>
      <c r="D10933" t="s">
        <v>1018</v>
      </c>
      <c r="E10933" t="s">
        <v>390</v>
      </c>
      <c r="F10933" t="s">
        <v>103</v>
      </c>
      <c r="G10933" t="s">
        <v>103</v>
      </c>
      <c r="H10933" t="s">
        <v>103</v>
      </c>
      <c r="I10933" t="s">
        <v>208</v>
      </c>
      <c r="J10933" t="s">
        <v>468</v>
      </c>
    </row>
    <row r="10934" spans="1:10" x14ac:dyDescent="0.3">
      <c r="A10934" t="s">
        <v>28</v>
      </c>
      <c r="B10934" t="s">
        <v>308</v>
      </c>
      <c r="C10934">
        <v>12</v>
      </c>
      <c r="D10934" t="s">
        <v>769</v>
      </c>
      <c r="E10934" t="s">
        <v>734</v>
      </c>
      <c r="F10934" t="s">
        <v>103</v>
      </c>
      <c r="G10934" t="s">
        <v>103</v>
      </c>
      <c r="H10934" t="s">
        <v>103</v>
      </c>
      <c r="I10934" t="s">
        <v>70</v>
      </c>
      <c r="J10934" t="s">
        <v>103</v>
      </c>
    </row>
    <row r="10935" spans="1:10" x14ac:dyDescent="0.3">
      <c r="A10935" t="s">
        <v>27</v>
      </c>
      <c r="B10935" t="s">
        <v>291</v>
      </c>
      <c r="C10935">
        <v>95</v>
      </c>
      <c r="D10935" t="s">
        <v>189</v>
      </c>
      <c r="E10935" t="s">
        <v>419</v>
      </c>
      <c r="F10935" t="s">
        <v>254</v>
      </c>
      <c r="G10935" t="s">
        <v>266</v>
      </c>
      <c r="H10935" t="s">
        <v>103</v>
      </c>
      <c r="I10935" t="s">
        <v>272</v>
      </c>
      <c r="J10935" t="s">
        <v>103</v>
      </c>
    </row>
    <row r="10936" spans="1:10" x14ac:dyDescent="0.3">
      <c r="A10936" t="s">
        <v>27</v>
      </c>
      <c r="B10936" t="s">
        <v>292</v>
      </c>
      <c r="C10936">
        <v>198</v>
      </c>
      <c r="D10936" t="s">
        <v>878</v>
      </c>
      <c r="E10936" t="s">
        <v>379</v>
      </c>
      <c r="F10936" t="s">
        <v>575</v>
      </c>
      <c r="G10936" t="s">
        <v>64</v>
      </c>
      <c r="H10936" t="s">
        <v>103</v>
      </c>
      <c r="I10936" t="s">
        <v>345</v>
      </c>
      <c r="J10936" t="s">
        <v>103</v>
      </c>
    </row>
    <row r="10937" spans="1:10" x14ac:dyDescent="0.3">
      <c r="A10937" t="s">
        <v>27</v>
      </c>
      <c r="B10937" t="s">
        <v>308</v>
      </c>
      <c r="C10937">
        <v>7</v>
      </c>
      <c r="D10937" t="s">
        <v>192</v>
      </c>
      <c r="E10937" t="s">
        <v>1404</v>
      </c>
      <c r="F10937" t="s">
        <v>488</v>
      </c>
      <c r="G10937" t="s">
        <v>488</v>
      </c>
      <c r="H10937" t="s">
        <v>103</v>
      </c>
      <c r="I10937" t="s">
        <v>103</v>
      </c>
      <c r="J10937" t="s">
        <v>103</v>
      </c>
    </row>
    <row r="10938" spans="1:10" x14ac:dyDescent="0.3">
      <c r="A10938" t="s">
        <v>41</v>
      </c>
      <c r="B10938" t="s">
        <v>291</v>
      </c>
      <c r="C10938">
        <v>692</v>
      </c>
      <c r="D10938" t="s">
        <v>1252</v>
      </c>
      <c r="E10938" t="s">
        <v>782</v>
      </c>
      <c r="F10938" t="s">
        <v>242</v>
      </c>
      <c r="G10938" t="s">
        <v>254</v>
      </c>
      <c r="H10938" t="s">
        <v>103</v>
      </c>
      <c r="I10938" t="s">
        <v>652</v>
      </c>
      <c r="J10938" t="s">
        <v>120</v>
      </c>
    </row>
    <row r="10939" spans="1:10" x14ac:dyDescent="0.3">
      <c r="A10939" t="s">
        <v>41</v>
      </c>
      <c r="B10939" t="s">
        <v>292</v>
      </c>
      <c r="C10939">
        <v>1320</v>
      </c>
      <c r="D10939" t="s">
        <v>406</v>
      </c>
      <c r="E10939" t="s">
        <v>354</v>
      </c>
      <c r="F10939" t="s">
        <v>232</v>
      </c>
      <c r="G10939" t="s">
        <v>242</v>
      </c>
      <c r="H10939" t="s">
        <v>122</v>
      </c>
      <c r="I10939" t="s">
        <v>481</v>
      </c>
      <c r="J10939" t="s">
        <v>110</v>
      </c>
    </row>
    <row r="10940" spans="1:10" x14ac:dyDescent="0.3">
      <c r="A10940" t="s">
        <v>41</v>
      </c>
      <c r="B10940" t="s">
        <v>308</v>
      </c>
      <c r="C10940">
        <v>26</v>
      </c>
      <c r="D10940" t="s">
        <v>502</v>
      </c>
      <c r="E10940" t="s">
        <v>441</v>
      </c>
      <c r="F10940" t="s">
        <v>217</v>
      </c>
      <c r="G10940" t="s">
        <v>217</v>
      </c>
      <c r="H10940" t="s">
        <v>103</v>
      </c>
      <c r="I10940" t="s">
        <v>239</v>
      </c>
      <c r="J10940" t="s">
        <v>103</v>
      </c>
    </row>
    <row r="10942" spans="1:10" x14ac:dyDescent="0.3">
      <c r="A10942" t="s">
        <v>2787</v>
      </c>
    </row>
    <row r="10943" spans="1:10" x14ac:dyDescent="0.3">
      <c r="A10943" t="s">
        <v>36</v>
      </c>
      <c r="B10943" t="s">
        <v>763</v>
      </c>
      <c r="C10943" t="s">
        <v>24</v>
      </c>
      <c r="D10943" t="s">
        <v>2781</v>
      </c>
      <c r="E10943" t="s">
        <v>2782</v>
      </c>
      <c r="F10943" t="s">
        <v>2783</v>
      </c>
      <c r="G10943" t="s">
        <v>2784</v>
      </c>
      <c r="H10943" t="s">
        <v>2785</v>
      </c>
      <c r="I10943" t="s">
        <v>58</v>
      </c>
      <c r="J10943" t="s">
        <v>1566</v>
      </c>
    </row>
    <row r="10944" spans="1:10" x14ac:dyDescent="0.3">
      <c r="A10944" t="s">
        <v>25</v>
      </c>
      <c r="B10944" t="s">
        <v>764</v>
      </c>
      <c r="C10944">
        <v>31</v>
      </c>
      <c r="D10944" t="s">
        <v>931</v>
      </c>
      <c r="E10944" t="s">
        <v>1282</v>
      </c>
      <c r="F10944" t="s">
        <v>571</v>
      </c>
      <c r="G10944" t="s">
        <v>188</v>
      </c>
      <c r="H10944" t="s">
        <v>103</v>
      </c>
      <c r="I10944" t="s">
        <v>101</v>
      </c>
      <c r="J10944" t="s">
        <v>103</v>
      </c>
    </row>
    <row r="10945" spans="1:10" x14ac:dyDescent="0.3">
      <c r="A10945" t="s">
        <v>25</v>
      </c>
      <c r="B10945" t="s">
        <v>765</v>
      </c>
      <c r="C10945">
        <v>280</v>
      </c>
      <c r="D10945" t="s">
        <v>378</v>
      </c>
      <c r="E10945" t="s">
        <v>1133</v>
      </c>
      <c r="F10945" t="s">
        <v>662</v>
      </c>
      <c r="G10945" t="s">
        <v>190</v>
      </c>
      <c r="H10945" t="s">
        <v>103</v>
      </c>
      <c r="I10945" t="s">
        <v>459</v>
      </c>
      <c r="J10945" t="s">
        <v>95</v>
      </c>
    </row>
    <row r="10946" spans="1:10" x14ac:dyDescent="0.3">
      <c r="A10946" t="s">
        <v>25</v>
      </c>
      <c r="B10946" t="s">
        <v>767</v>
      </c>
      <c r="C10946">
        <v>103</v>
      </c>
      <c r="D10946" t="s">
        <v>1251</v>
      </c>
      <c r="E10946" t="s">
        <v>1443</v>
      </c>
      <c r="F10946" t="s">
        <v>100</v>
      </c>
      <c r="G10946" t="s">
        <v>111</v>
      </c>
      <c r="H10946" t="s">
        <v>103</v>
      </c>
      <c r="I10946" t="s">
        <v>90</v>
      </c>
      <c r="J10946" t="s">
        <v>103</v>
      </c>
    </row>
    <row r="10947" spans="1:10" x14ac:dyDescent="0.3">
      <c r="A10947" t="s">
        <v>26</v>
      </c>
      <c r="B10947" t="s">
        <v>764</v>
      </c>
      <c r="C10947">
        <v>58</v>
      </c>
      <c r="D10947" t="s">
        <v>1024</v>
      </c>
      <c r="E10947" t="s">
        <v>1055</v>
      </c>
      <c r="F10947" t="s">
        <v>214</v>
      </c>
      <c r="G10947" t="s">
        <v>93</v>
      </c>
      <c r="H10947" t="s">
        <v>103</v>
      </c>
      <c r="I10947" t="s">
        <v>938</v>
      </c>
      <c r="J10947" t="s">
        <v>103</v>
      </c>
    </row>
    <row r="10948" spans="1:10" x14ac:dyDescent="0.3">
      <c r="A10948" t="s">
        <v>26</v>
      </c>
      <c r="B10948" t="s">
        <v>765</v>
      </c>
      <c r="C10948">
        <v>278</v>
      </c>
      <c r="D10948" t="s">
        <v>1068</v>
      </c>
      <c r="E10948" t="s">
        <v>673</v>
      </c>
      <c r="F10948" t="s">
        <v>266</v>
      </c>
      <c r="G10948" t="s">
        <v>188</v>
      </c>
      <c r="H10948" t="s">
        <v>103</v>
      </c>
      <c r="I10948" t="s">
        <v>756</v>
      </c>
      <c r="J10948" t="s">
        <v>95</v>
      </c>
    </row>
    <row r="10949" spans="1:10" x14ac:dyDescent="0.3">
      <c r="A10949" t="s">
        <v>26</v>
      </c>
      <c r="B10949" t="s">
        <v>767</v>
      </c>
      <c r="C10949">
        <v>141</v>
      </c>
      <c r="D10949" t="s">
        <v>359</v>
      </c>
      <c r="E10949" t="s">
        <v>928</v>
      </c>
      <c r="F10949" t="s">
        <v>329</v>
      </c>
      <c r="G10949" t="s">
        <v>254</v>
      </c>
      <c r="H10949" t="s">
        <v>103</v>
      </c>
      <c r="I10949" t="s">
        <v>707</v>
      </c>
      <c r="J10949" t="s">
        <v>105</v>
      </c>
    </row>
    <row r="10950" spans="1:10" s="3" customFormat="1" x14ac:dyDescent="0.3">
      <c r="A10950" s="3" t="s">
        <v>29</v>
      </c>
      <c r="B10950" s="3" t="s">
        <v>764</v>
      </c>
      <c r="C10950" s="3">
        <v>11</v>
      </c>
      <c r="D10950" s="3" t="s">
        <v>1047</v>
      </c>
      <c r="E10950" s="3" t="s">
        <v>770</v>
      </c>
      <c r="F10950" s="3" t="s">
        <v>103</v>
      </c>
      <c r="G10950" s="3" t="s">
        <v>103</v>
      </c>
      <c r="H10950" s="3" t="s">
        <v>103</v>
      </c>
      <c r="I10950" s="3" t="s">
        <v>117</v>
      </c>
      <c r="J10950" s="3" t="s">
        <v>103</v>
      </c>
    </row>
    <row r="10951" spans="1:10" x14ac:dyDescent="0.3">
      <c r="A10951" t="s">
        <v>29</v>
      </c>
      <c r="B10951" t="s">
        <v>765</v>
      </c>
      <c r="C10951">
        <v>365</v>
      </c>
      <c r="D10951" t="s">
        <v>1375</v>
      </c>
      <c r="E10951" t="s">
        <v>527</v>
      </c>
      <c r="F10951" t="s">
        <v>100</v>
      </c>
      <c r="G10951" t="s">
        <v>169</v>
      </c>
      <c r="H10951" t="s">
        <v>139</v>
      </c>
      <c r="I10951" t="s">
        <v>100</v>
      </c>
      <c r="J10951" t="s">
        <v>110</v>
      </c>
    </row>
    <row r="10952" spans="1:10" x14ac:dyDescent="0.3">
      <c r="A10952" t="s">
        <v>29</v>
      </c>
      <c r="B10952" t="s">
        <v>767</v>
      </c>
      <c r="C10952">
        <v>154</v>
      </c>
      <c r="D10952" t="s">
        <v>1375</v>
      </c>
      <c r="E10952" t="s">
        <v>793</v>
      </c>
      <c r="F10952" t="s">
        <v>150</v>
      </c>
      <c r="G10952" t="s">
        <v>495</v>
      </c>
      <c r="H10952" t="s">
        <v>103</v>
      </c>
      <c r="I10952" t="s">
        <v>251</v>
      </c>
      <c r="J10952" t="s">
        <v>341</v>
      </c>
    </row>
    <row r="10953" spans="1:10" s="3" customFormat="1" x14ac:dyDescent="0.3">
      <c r="A10953" s="3" t="s">
        <v>28</v>
      </c>
      <c r="B10953" s="3" t="s">
        <v>764</v>
      </c>
      <c r="C10953" s="3">
        <v>20</v>
      </c>
      <c r="D10953" s="3" t="s">
        <v>760</v>
      </c>
      <c r="E10953" s="3" t="s">
        <v>162</v>
      </c>
      <c r="F10953" s="3" t="s">
        <v>103</v>
      </c>
      <c r="G10953" s="3" t="s">
        <v>103</v>
      </c>
      <c r="H10953" s="3" t="s">
        <v>103</v>
      </c>
      <c r="I10953" s="3" t="s">
        <v>205</v>
      </c>
      <c r="J10953" s="3" t="s">
        <v>103</v>
      </c>
    </row>
    <row r="10954" spans="1:10" x14ac:dyDescent="0.3">
      <c r="A10954" t="s">
        <v>28</v>
      </c>
      <c r="B10954" t="s">
        <v>765</v>
      </c>
      <c r="C10954">
        <v>260</v>
      </c>
      <c r="D10954" t="s">
        <v>1294</v>
      </c>
      <c r="E10954" t="s">
        <v>546</v>
      </c>
      <c r="F10954" t="s">
        <v>103</v>
      </c>
      <c r="G10954" t="s">
        <v>103</v>
      </c>
      <c r="H10954" t="s">
        <v>103</v>
      </c>
      <c r="I10954" t="s">
        <v>284</v>
      </c>
      <c r="J10954" t="s">
        <v>216</v>
      </c>
    </row>
    <row r="10955" spans="1:10" x14ac:dyDescent="0.3">
      <c r="A10955" t="s">
        <v>28</v>
      </c>
      <c r="B10955" t="s">
        <v>767</v>
      </c>
      <c r="C10955">
        <v>37</v>
      </c>
      <c r="D10955" t="s">
        <v>620</v>
      </c>
      <c r="E10955" t="s">
        <v>352</v>
      </c>
      <c r="F10955" t="s">
        <v>103</v>
      </c>
      <c r="G10955" t="s">
        <v>103</v>
      </c>
      <c r="H10955" t="s">
        <v>103</v>
      </c>
      <c r="I10955" t="s">
        <v>103</v>
      </c>
      <c r="J10955" t="s">
        <v>467</v>
      </c>
    </row>
    <row r="10956" spans="1:10" s="3" customFormat="1" x14ac:dyDescent="0.3">
      <c r="A10956" s="3" t="s">
        <v>27</v>
      </c>
      <c r="B10956" s="3" t="s">
        <v>764</v>
      </c>
      <c r="C10956" s="3">
        <v>29</v>
      </c>
      <c r="D10956" s="3" t="s">
        <v>903</v>
      </c>
      <c r="E10956" s="3" t="s">
        <v>1348</v>
      </c>
      <c r="F10956" s="3" t="s">
        <v>173</v>
      </c>
      <c r="G10956" s="3" t="s">
        <v>103</v>
      </c>
      <c r="H10956" s="3" t="s">
        <v>103</v>
      </c>
      <c r="I10956" s="3" t="s">
        <v>103</v>
      </c>
      <c r="J10956" s="3" t="s">
        <v>103</v>
      </c>
    </row>
    <row r="10957" spans="1:10" x14ac:dyDescent="0.3">
      <c r="A10957" t="s">
        <v>27</v>
      </c>
      <c r="B10957" t="s">
        <v>765</v>
      </c>
      <c r="C10957">
        <v>209</v>
      </c>
      <c r="D10957" t="s">
        <v>1141</v>
      </c>
      <c r="E10957" t="s">
        <v>1048</v>
      </c>
      <c r="F10957" t="s">
        <v>452</v>
      </c>
      <c r="G10957" t="s">
        <v>217</v>
      </c>
      <c r="H10957" t="s">
        <v>103</v>
      </c>
      <c r="I10957" t="s">
        <v>208</v>
      </c>
      <c r="J10957" t="s">
        <v>103</v>
      </c>
    </row>
    <row r="10958" spans="1:10" x14ac:dyDescent="0.3">
      <c r="A10958" t="s">
        <v>27</v>
      </c>
      <c r="B10958" t="s">
        <v>767</v>
      </c>
      <c r="C10958">
        <v>62</v>
      </c>
      <c r="D10958" t="s">
        <v>238</v>
      </c>
      <c r="E10958" t="s">
        <v>794</v>
      </c>
      <c r="F10958" t="s">
        <v>104</v>
      </c>
      <c r="G10958" t="s">
        <v>662</v>
      </c>
      <c r="H10958" t="s">
        <v>103</v>
      </c>
      <c r="I10958" t="s">
        <v>216</v>
      </c>
      <c r="J10958" t="s">
        <v>103</v>
      </c>
    </row>
    <row r="10959" spans="1:10" x14ac:dyDescent="0.3">
      <c r="A10959" t="s">
        <v>41</v>
      </c>
      <c r="B10959" t="s">
        <v>764</v>
      </c>
      <c r="C10959">
        <v>149</v>
      </c>
      <c r="D10959" t="s">
        <v>1577</v>
      </c>
      <c r="E10959" t="s">
        <v>1295</v>
      </c>
      <c r="F10959" t="s">
        <v>133</v>
      </c>
      <c r="G10959" t="s">
        <v>208</v>
      </c>
      <c r="H10959" t="s">
        <v>103</v>
      </c>
      <c r="I10959" t="s">
        <v>506</v>
      </c>
      <c r="J10959" t="s">
        <v>103</v>
      </c>
    </row>
    <row r="10960" spans="1:10" x14ac:dyDescent="0.3">
      <c r="A10960" t="s">
        <v>41</v>
      </c>
      <c r="B10960" t="s">
        <v>765</v>
      </c>
      <c r="C10960">
        <v>1392</v>
      </c>
      <c r="D10960" t="s">
        <v>229</v>
      </c>
      <c r="E10960" t="s">
        <v>1025</v>
      </c>
      <c r="F10960" t="s">
        <v>662</v>
      </c>
      <c r="G10960" t="s">
        <v>494</v>
      </c>
      <c r="H10960" t="s">
        <v>122</v>
      </c>
      <c r="I10960" t="s">
        <v>543</v>
      </c>
      <c r="J10960" t="s">
        <v>282</v>
      </c>
    </row>
    <row r="10961" spans="1:10" x14ac:dyDescent="0.3">
      <c r="A10961" t="s">
        <v>41</v>
      </c>
      <c r="B10961" t="s">
        <v>767</v>
      </c>
      <c r="C10961">
        <v>497</v>
      </c>
      <c r="D10961" t="s">
        <v>300</v>
      </c>
      <c r="E10961" t="s">
        <v>1401</v>
      </c>
      <c r="F10961" t="s">
        <v>137</v>
      </c>
      <c r="G10961" t="s">
        <v>244</v>
      </c>
      <c r="H10961" t="s">
        <v>103</v>
      </c>
      <c r="I10961" t="s">
        <v>543</v>
      </c>
      <c r="J10961" t="s">
        <v>239</v>
      </c>
    </row>
    <row r="10963" spans="1:10" x14ac:dyDescent="0.3">
      <c r="A10963" t="s">
        <v>2788</v>
      </c>
    </row>
    <row r="10964" spans="1:10" x14ac:dyDescent="0.3">
      <c r="A10964" t="s">
        <v>36</v>
      </c>
      <c r="B10964" t="s">
        <v>1647</v>
      </c>
      <c r="C10964" t="s">
        <v>24</v>
      </c>
      <c r="D10964" t="s">
        <v>2781</v>
      </c>
      <c r="E10964" t="s">
        <v>2782</v>
      </c>
      <c r="F10964" t="s">
        <v>2783</v>
      </c>
      <c r="G10964" t="s">
        <v>2784</v>
      </c>
      <c r="H10964" t="s">
        <v>2785</v>
      </c>
      <c r="I10964" t="s">
        <v>58</v>
      </c>
      <c r="J10964" t="s">
        <v>1566</v>
      </c>
    </row>
    <row r="10965" spans="1:10" x14ac:dyDescent="0.3">
      <c r="A10965" t="s">
        <v>25</v>
      </c>
      <c r="B10965" t="s">
        <v>1648</v>
      </c>
      <c r="C10965">
        <v>143</v>
      </c>
      <c r="D10965" t="s">
        <v>2185</v>
      </c>
      <c r="E10965" t="s">
        <v>1321</v>
      </c>
      <c r="F10965" t="s">
        <v>33</v>
      </c>
      <c r="G10965" t="s">
        <v>494</v>
      </c>
      <c r="H10965" t="s">
        <v>103</v>
      </c>
      <c r="I10965" t="s">
        <v>123</v>
      </c>
      <c r="J10965" t="s">
        <v>103</v>
      </c>
    </row>
    <row r="10966" spans="1:10" x14ac:dyDescent="0.3">
      <c r="A10966" t="s">
        <v>25</v>
      </c>
      <c r="B10966" t="s">
        <v>1649</v>
      </c>
      <c r="C10966">
        <v>271</v>
      </c>
      <c r="D10966" t="s">
        <v>784</v>
      </c>
      <c r="E10966" t="s">
        <v>1037</v>
      </c>
      <c r="F10966" t="s">
        <v>101</v>
      </c>
      <c r="G10966" t="s">
        <v>126</v>
      </c>
      <c r="H10966" t="s">
        <v>103</v>
      </c>
      <c r="I10966" t="s">
        <v>571</v>
      </c>
      <c r="J10966" t="s">
        <v>95</v>
      </c>
    </row>
    <row r="10967" spans="1:10" x14ac:dyDescent="0.3">
      <c r="A10967" t="s">
        <v>26</v>
      </c>
      <c r="B10967" t="s">
        <v>1648</v>
      </c>
      <c r="C10967">
        <v>153</v>
      </c>
      <c r="D10967" t="s">
        <v>1379</v>
      </c>
      <c r="E10967" t="s">
        <v>1000</v>
      </c>
      <c r="F10967" t="s">
        <v>239</v>
      </c>
      <c r="G10967" t="s">
        <v>262</v>
      </c>
      <c r="H10967" t="s">
        <v>103</v>
      </c>
      <c r="I10967" t="s">
        <v>148</v>
      </c>
      <c r="J10967" t="s">
        <v>194</v>
      </c>
    </row>
    <row r="10968" spans="1:10" x14ac:dyDescent="0.3">
      <c r="A10968" t="s">
        <v>26</v>
      </c>
      <c r="B10968" t="s">
        <v>1649</v>
      </c>
      <c r="C10968">
        <v>324</v>
      </c>
      <c r="D10968" t="s">
        <v>664</v>
      </c>
      <c r="E10968" t="s">
        <v>2010</v>
      </c>
      <c r="F10968" t="s">
        <v>102</v>
      </c>
      <c r="G10968" t="s">
        <v>195</v>
      </c>
      <c r="H10968" t="s">
        <v>103</v>
      </c>
      <c r="I10968" t="s">
        <v>1008</v>
      </c>
      <c r="J10968" t="s">
        <v>95</v>
      </c>
    </row>
    <row r="10969" spans="1:10" x14ac:dyDescent="0.3">
      <c r="A10969" t="s">
        <v>29</v>
      </c>
      <c r="B10969" t="s">
        <v>1648</v>
      </c>
      <c r="C10969">
        <v>252</v>
      </c>
      <c r="D10969" t="s">
        <v>717</v>
      </c>
      <c r="E10969" t="s">
        <v>1231</v>
      </c>
      <c r="F10969" t="s">
        <v>242</v>
      </c>
      <c r="G10969" t="s">
        <v>813</v>
      </c>
      <c r="H10969" t="s">
        <v>95</v>
      </c>
      <c r="I10969" t="s">
        <v>126</v>
      </c>
      <c r="J10969" t="s">
        <v>110</v>
      </c>
    </row>
    <row r="10970" spans="1:10" x14ac:dyDescent="0.3">
      <c r="A10970" t="s">
        <v>29</v>
      </c>
      <c r="B10970" t="s">
        <v>1649</v>
      </c>
      <c r="C10970">
        <v>278</v>
      </c>
      <c r="D10970" t="s">
        <v>593</v>
      </c>
      <c r="E10970" t="s">
        <v>1401</v>
      </c>
      <c r="F10970" t="s">
        <v>146</v>
      </c>
      <c r="G10970" t="s">
        <v>62</v>
      </c>
      <c r="H10970" t="s">
        <v>122</v>
      </c>
      <c r="I10970" t="s">
        <v>607</v>
      </c>
      <c r="J10970" t="s">
        <v>239</v>
      </c>
    </row>
    <row r="10971" spans="1:10" x14ac:dyDescent="0.3">
      <c r="A10971" t="s">
        <v>28</v>
      </c>
      <c r="B10971" t="s">
        <v>1648</v>
      </c>
      <c r="C10971">
        <v>77</v>
      </c>
      <c r="D10971" t="s">
        <v>791</v>
      </c>
      <c r="E10971" t="s">
        <v>443</v>
      </c>
      <c r="F10971" t="s">
        <v>103</v>
      </c>
      <c r="G10971" t="s">
        <v>103</v>
      </c>
      <c r="H10971" t="s">
        <v>103</v>
      </c>
      <c r="I10971" t="s">
        <v>467</v>
      </c>
      <c r="J10971" t="s">
        <v>217</v>
      </c>
    </row>
    <row r="10972" spans="1:10" x14ac:dyDescent="0.3">
      <c r="A10972" t="s">
        <v>28</v>
      </c>
      <c r="B10972" t="s">
        <v>1649</v>
      </c>
      <c r="C10972">
        <v>240</v>
      </c>
      <c r="D10972" t="s">
        <v>1390</v>
      </c>
      <c r="E10972" t="s">
        <v>562</v>
      </c>
      <c r="F10972" t="s">
        <v>103</v>
      </c>
      <c r="G10972" t="s">
        <v>103</v>
      </c>
      <c r="H10972" t="s">
        <v>103</v>
      </c>
      <c r="I10972" t="s">
        <v>281</v>
      </c>
      <c r="J10972" t="s">
        <v>110</v>
      </c>
    </row>
    <row r="10973" spans="1:10" x14ac:dyDescent="0.3">
      <c r="A10973" t="s">
        <v>27</v>
      </c>
      <c r="B10973" t="s">
        <v>1648</v>
      </c>
      <c r="C10973">
        <v>64</v>
      </c>
      <c r="D10973" t="s">
        <v>1459</v>
      </c>
      <c r="E10973" t="s">
        <v>379</v>
      </c>
      <c r="F10973" t="s">
        <v>60</v>
      </c>
      <c r="G10973" t="s">
        <v>107</v>
      </c>
      <c r="H10973" t="s">
        <v>103</v>
      </c>
      <c r="I10973" t="s">
        <v>194</v>
      </c>
      <c r="J10973" t="s">
        <v>103</v>
      </c>
    </row>
    <row r="10974" spans="1:10" x14ac:dyDescent="0.3">
      <c r="A10974" t="s">
        <v>27</v>
      </c>
      <c r="B10974" t="s">
        <v>1649</v>
      </c>
      <c r="C10974">
        <v>236</v>
      </c>
      <c r="D10974" t="s">
        <v>45</v>
      </c>
      <c r="E10974" t="s">
        <v>730</v>
      </c>
      <c r="F10974" t="s">
        <v>224</v>
      </c>
      <c r="G10974" t="s">
        <v>266</v>
      </c>
      <c r="H10974" t="s">
        <v>103</v>
      </c>
      <c r="I10974" t="s">
        <v>105</v>
      </c>
      <c r="J10974" t="s">
        <v>103</v>
      </c>
    </row>
    <row r="10975" spans="1:10" x14ac:dyDescent="0.3">
      <c r="A10975" t="s">
        <v>41</v>
      </c>
      <c r="B10975" t="s">
        <v>1648</v>
      </c>
      <c r="C10975">
        <v>689</v>
      </c>
      <c r="D10975" t="s">
        <v>502</v>
      </c>
      <c r="E10975" t="s">
        <v>1546</v>
      </c>
      <c r="F10975" t="s">
        <v>206</v>
      </c>
      <c r="G10975" t="s">
        <v>269</v>
      </c>
      <c r="H10975" t="s">
        <v>122</v>
      </c>
      <c r="I10975" t="s">
        <v>137</v>
      </c>
      <c r="J10975" t="s">
        <v>468</v>
      </c>
    </row>
    <row r="10976" spans="1:10" x14ac:dyDescent="0.3">
      <c r="A10976" t="s">
        <v>41</v>
      </c>
      <c r="B10976" t="s">
        <v>1649</v>
      </c>
      <c r="C10976">
        <v>1349</v>
      </c>
      <c r="D10976" t="s">
        <v>1390</v>
      </c>
      <c r="E10976" t="s">
        <v>942</v>
      </c>
      <c r="F10976" t="s">
        <v>511</v>
      </c>
      <c r="G10976" t="s">
        <v>190</v>
      </c>
      <c r="H10976" t="s">
        <v>66</v>
      </c>
      <c r="I10976" t="s">
        <v>144</v>
      </c>
      <c r="J10976" t="s">
        <v>345</v>
      </c>
    </row>
    <row r="10978" spans="1:10" x14ac:dyDescent="0.3">
      <c r="A10978" t="s">
        <v>2789</v>
      </c>
    </row>
    <row r="10979" spans="1:10" x14ac:dyDescent="0.3">
      <c r="A10979" t="s">
        <v>36</v>
      </c>
      <c r="B10979" t="s">
        <v>2756</v>
      </c>
      <c r="C10979" t="s">
        <v>24</v>
      </c>
      <c r="D10979" t="s">
        <v>2781</v>
      </c>
      <c r="E10979" t="s">
        <v>2782</v>
      </c>
      <c r="F10979" t="s">
        <v>2783</v>
      </c>
      <c r="G10979" t="s">
        <v>2784</v>
      </c>
      <c r="H10979" t="s">
        <v>2785</v>
      </c>
      <c r="I10979" t="s">
        <v>58</v>
      </c>
      <c r="J10979" t="s">
        <v>1566</v>
      </c>
    </row>
    <row r="10980" spans="1:10" s="3" customFormat="1" x14ac:dyDescent="0.3">
      <c r="A10980" s="3" t="s">
        <v>25</v>
      </c>
      <c r="B10980" s="3" t="s">
        <v>2757</v>
      </c>
      <c r="C10980" s="3">
        <v>13</v>
      </c>
      <c r="D10980" s="3" t="s">
        <v>389</v>
      </c>
      <c r="E10980" s="3" t="s">
        <v>436</v>
      </c>
      <c r="F10980" s="3" t="s">
        <v>103</v>
      </c>
      <c r="G10980" s="3" t="s">
        <v>103</v>
      </c>
      <c r="H10980" s="3" t="s">
        <v>103</v>
      </c>
      <c r="I10980" s="3" t="s">
        <v>571</v>
      </c>
      <c r="J10980" s="3" t="s">
        <v>469</v>
      </c>
    </row>
    <row r="10981" spans="1:10" x14ac:dyDescent="0.3">
      <c r="A10981" t="s">
        <v>25</v>
      </c>
      <c r="B10981" t="s">
        <v>2758</v>
      </c>
      <c r="C10981">
        <v>136</v>
      </c>
      <c r="D10981" t="s">
        <v>793</v>
      </c>
      <c r="E10981" t="s">
        <v>703</v>
      </c>
      <c r="F10981" t="s">
        <v>607</v>
      </c>
      <c r="G10981" t="s">
        <v>124</v>
      </c>
      <c r="H10981" t="s">
        <v>103</v>
      </c>
      <c r="I10981" t="s">
        <v>123</v>
      </c>
      <c r="J10981" t="s">
        <v>103</v>
      </c>
    </row>
    <row r="10982" spans="1:10" x14ac:dyDescent="0.3">
      <c r="A10982" t="s">
        <v>25</v>
      </c>
      <c r="B10982" t="s">
        <v>2759</v>
      </c>
      <c r="C10982">
        <v>135</v>
      </c>
      <c r="D10982" t="s">
        <v>1397</v>
      </c>
      <c r="E10982" t="s">
        <v>905</v>
      </c>
      <c r="F10982" t="s">
        <v>251</v>
      </c>
      <c r="G10982" t="s">
        <v>652</v>
      </c>
      <c r="H10982" t="s">
        <v>103</v>
      </c>
      <c r="I10982" t="s">
        <v>191</v>
      </c>
      <c r="J10982" t="s">
        <v>103</v>
      </c>
    </row>
    <row r="10983" spans="1:10" x14ac:dyDescent="0.3">
      <c r="A10983" t="s">
        <v>25</v>
      </c>
      <c r="B10983" t="s">
        <v>2760</v>
      </c>
      <c r="C10983">
        <v>122</v>
      </c>
      <c r="D10983" t="s">
        <v>381</v>
      </c>
      <c r="E10983" t="s">
        <v>439</v>
      </c>
      <c r="F10983" t="s">
        <v>251</v>
      </c>
      <c r="G10983" t="s">
        <v>452</v>
      </c>
      <c r="H10983" t="s">
        <v>103</v>
      </c>
      <c r="I10983" t="s">
        <v>242</v>
      </c>
      <c r="J10983" t="s">
        <v>103</v>
      </c>
    </row>
    <row r="10984" spans="1:10" x14ac:dyDescent="0.3">
      <c r="A10984" t="s">
        <v>25</v>
      </c>
      <c r="B10984" t="s">
        <v>308</v>
      </c>
      <c r="C10984">
        <v>8</v>
      </c>
      <c r="D10984" t="s">
        <v>1379</v>
      </c>
      <c r="E10984" t="s">
        <v>235</v>
      </c>
      <c r="F10984" t="s">
        <v>103</v>
      </c>
      <c r="G10984" t="s">
        <v>813</v>
      </c>
      <c r="H10984" t="s">
        <v>103</v>
      </c>
      <c r="I10984" t="s">
        <v>103</v>
      </c>
      <c r="J10984" t="s">
        <v>103</v>
      </c>
    </row>
    <row r="10985" spans="1:10" s="3" customFormat="1" x14ac:dyDescent="0.3">
      <c r="A10985" s="3" t="s">
        <v>26</v>
      </c>
      <c r="B10985" s="3" t="s">
        <v>2757</v>
      </c>
      <c r="C10985" s="3">
        <v>17</v>
      </c>
      <c r="D10985" s="3" t="s">
        <v>562</v>
      </c>
      <c r="E10985" s="3" t="s">
        <v>542</v>
      </c>
      <c r="F10985" s="3" t="s">
        <v>103</v>
      </c>
      <c r="G10985" s="3" t="s">
        <v>281</v>
      </c>
      <c r="H10985" s="3" t="s">
        <v>103</v>
      </c>
      <c r="I10985" s="3" t="s">
        <v>1021</v>
      </c>
      <c r="J10985" s="3" t="s">
        <v>103</v>
      </c>
    </row>
    <row r="10986" spans="1:10" x14ac:dyDescent="0.3">
      <c r="A10986" t="s">
        <v>26</v>
      </c>
      <c r="B10986" t="s">
        <v>2758</v>
      </c>
      <c r="C10986">
        <v>194</v>
      </c>
      <c r="D10986" t="s">
        <v>1209</v>
      </c>
      <c r="E10986" t="s">
        <v>2010</v>
      </c>
      <c r="F10986" t="s">
        <v>341</v>
      </c>
      <c r="G10986" t="s">
        <v>205</v>
      </c>
      <c r="H10986" t="s">
        <v>103</v>
      </c>
      <c r="I10986" t="s">
        <v>50</v>
      </c>
      <c r="J10986" t="s">
        <v>239</v>
      </c>
    </row>
    <row r="10987" spans="1:10" x14ac:dyDescent="0.3">
      <c r="A10987" t="s">
        <v>26</v>
      </c>
      <c r="B10987" t="s">
        <v>2759</v>
      </c>
      <c r="C10987">
        <v>143</v>
      </c>
      <c r="D10987" t="s">
        <v>1545</v>
      </c>
      <c r="E10987" t="s">
        <v>1555</v>
      </c>
      <c r="F10987" t="s">
        <v>278</v>
      </c>
      <c r="G10987" t="s">
        <v>214</v>
      </c>
      <c r="H10987" t="s">
        <v>103</v>
      </c>
      <c r="I10987" t="s">
        <v>539</v>
      </c>
      <c r="J10987" t="s">
        <v>116</v>
      </c>
    </row>
    <row r="10988" spans="1:10" x14ac:dyDescent="0.3">
      <c r="A10988" t="s">
        <v>26</v>
      </c>
      <c r="B10988" t="s">
        <v>2760</v>
      </c>
      <c r="C10988">
        <v>112</v>
      </c>
      <c r="D10988" t="s">
        <v>358</v>
      </c>
      <c r="E10988" t="s">
        <v>1294</v>
      </c>
      <c r="F10988" t="s">
        <v>93</v>
      </c>
      <c r="G10988" t="s">
        <v>103</v>
      </c>
      <c r="H10988" t="s">
        <v>103</v>
      </c>
      <c r="I10988" t="s">
        <v>707</v>
      </c>
      <c r="J10988" t="s">
        <v>282</v>
      </c>
    </row>
    <row r="10989" spans="1:10" x14ac:dyDescent="0.3">
      <c r="A10989" t="s">
        <v>26</v>
      </c>
      <c r="B10989" t="s">
        <v>308</v>
      </c>
      <c r="C10989">
        <v>11</v>
      </c>
      <c r="D10989" t="s">
        <v>1404</v>
      </c>
      <c r="E10989" t="s">
        <v>474</v>
      </c>
      <c r="F10989" t="s">
        <v>103</v>
      </c>
      <c r="G10989" t="s">
        <v>103</v>
      </c>
      <c r="H10989" t="s">
        <v>103</v>
      </c>
      <c r="I10989" t="s">
        <v>1008</v>
      </c>
      <c r="J10989" t="s">
        <v>103</v>
      </c>
    </row>
    <row r="10990" spans="1:10" s="3" customFormat="1" x14ac:dyDescent="0.3">
      <c r="A10990" s="3" t="s">
        <v>29</v>
      </c>
      <c r="B10990" s="3" t="s">
        <v>2757</v>
      </c>
      <c r="C10990" s="3">
        <v>15</v>
      </c>
      <c r="D10990" s="3" t="s">
        <v>1199</v>
      </c>
      <c r="E10990" s="3" t="s">
        <v>706</v>
      </c>
      <c r="F10990" s="3" t="s">
        <v>108</v>
      </c>
      <c r="G10990" s="3" t="s">
        <v>103</v>
      </c>
      <c r="H10990" s="3" t="s">
        <v>157</v>
      </c>
      <c r="I10990" s="3" t="s">
        <v>111</v>
      </c>
      <c r="J10990" s="3" t="s">
        <v>466</v>
      </c>
    </row>
    <row r="10991" spans="1:10" x14ac:dyDescent="0.3">
      <c r="A10991" t="s">
        <v>29</v>
      </c>
      <c r="B10991" t="s">
        <v>2758</v>
      </c>
      <c r="C10991">
        <v>245</v>
      </c>
      <c r="D10991" t="s">
        <v>1222</v>
      </c>
      <c r="E10991" t="s">
        <v>1295</v>
      </c>
      <c r="F10991" t="s">
        <v>652</v>
      </c>
      <c r="G10991" t="s">
        <v>160</v>
      </c>
      <c r="H10991" t="s">
        <v>103</v>
      </c>
      <c r="I10991" t="s">
        <v>494</v>
      </c>
      <c r="J10991" t="s">
        <v>116</v>
      </c>
    </row>
    <row r="10992" spans="1:10" x14ac:dyDescent="0.3">
      <c r="A10992" t="s">
        <v>29</v>
      </c>
      <c r="B10992" t="s">
        <v>2759</v>
      </c>
      <c r="C10992">
        <v>139</v>
      </c>
      <c r="D10992" t="s">
        <v>979</v>
      </c>
      <c r="E10992" t="s">
        <v>1328</v>
      </c>
      <c r="F10992" t="s">
        <v>205</v>
      </c>
      <c r="G10992" t="s">
        <v>90</v>
      </c>
      <c r="H10992" t="s">
        <v>103</v>
      </c>
      <c r="I10992" t="s">
        <v>278</v>
      </c>
      <c r="J10992" t="s">
        <v>208</v>
      </c>
    </row>
    <row r="10993" spans="1:10" x14ac:dyDescent="0.3">
      <c r="A10993" t="s">
        <v>29</v>
      </c>
      <c r="B10993" t="s">
        <v>2760</v>
      </c>
      <c r="C10993">
        <v>122</v>
      </c>
      <c r="D10993" t="s">
        <v>1039</v>
      </c>
      <c r="E10993" t="s">
        <v>1089</v>
      </c>
      <c r="F10993" t="s">
        <v>232</v>
      </c>
      <c r="G10993" t="s">
        <v>100</v>
      </c>
      <c r="H10993" t="s">
        <v>282</v>
      </c>
      <c r="I10993" t="s">
        <v>549</v>
      </c>
      <c r="J10993" t="s">
        <v>270</v>
      </c>
    </row>
    <row r="10994" spans="1:10" x14ac:dyDescent="0.3">
      <c r="A10994" t="s">
        <v>29</v>
      </c>
      <c r="B10994" t="s">
        <v>308</v>
      </c>
      <c r="C10994">
        <v>9</v>
      </c>
      <c r="D10994" t="s">
        <v>1009</v>
      </c>
      <c r="E10994" t="s">
        <v>1014</v>
      </c>
      <c r="F10994" t="s">
        <v>1028</v>
      </c>
      <c r="G10994" t="s">
        <v>825</v>
      </c>
      <c r="H10994" t="s">
        <v>103</v>
      </c>
      <c r="I10994" t="s">
        <v>152</v>
      </c>
      <c r="J10994" t="s">
        <v>103</v>
      </c>
    </row>
    <row r="10995" spans="1:10" x14ac:dyDescent="0.3">
      <c r="A10995" t="s">
        <v>28</v>
      </c>
      <c r="B10995" t="s">
        <v>2757</v>
      </c>
      <c r="C10995">
        <v>31</v>
      </c>
      <c r="D10995" t="s">
        <v>1291</v>
      </c>
      <c r="E10995" t="s">
        <v>574</v>
      </c>
      <c r="F10995" t="s">
        <v>103</v>
      </c>
      <c r="G10995" t="s">
        <v>103</v>
      </c>
      <c r="H10995" t="s">
        <v>103</v>
      </c>
      <c r="I10995" t="s">
        <v>345</v>
      </c>
      <c r="J10995" t="s">
        <v>103</v>
      </c>
    </row>
    <row r="10996" spans="1:10" x14ac:dyDescent="0.3">
      <c r="A10996" t="s">
        <v>28</v>
      </c>
      <c r="B10996" t="s">
        <v>2758</v>
      </c>
      <c r="C10996">
        <v>100</v>
      </c>
      <c r="D10996" t="s">
        <v>294</v>
      </c>
      <c r="E10996" t="s">
        <v>464</v>
      </c>
      <c r="F10996" t="s">
        <v>103</v>
      </c>
      <c r="G10996" t="s">
        <v>103</v>
      </c>
      <c r="H10996" t="s">
        <v>103</v>
      </c>
      <c r="I10996" t="s">
        <v>615</v>
      </c>
      <c r="J10996" t="s">
        <v>239</v>
      </c>
    </row>
    <row r="10997" spans="1:10" x14ac:dyDescent="0.3">
      <c r="A10997" t="s">
        <v>28</v>
      </c>
      <c r="B10997" t="s">
        <v>2759</v>
      </c>
      <c r="C10997">
        <v>104</v>
      </c>
      <c r="D10997" t="s">
        <v>1068</v>
      </c>
      <c r="E10997" t="s">
        <v>1041</v>
      </c>
      <c r="F10997" t="s">
        <v>103</v>
      </c>
      <c r="G10997" t="s">
        <v>103</v>
      </c>
      <c r="H10997" t="s">
        <v>103</v>
      </c>
      <c r="I10997" t="s">
        <v>232</v>
      </c>
      <c r="J10997" t="s">
        <v>341</v>
      </c>
    </row>
    <row r="10998" spans="1:10" x14ac:dyDescent="0.3">
      <c r="A10998" t="s">
        <v>28</v>
      </c>
      <c r="B10998" t="s">
        <v>2760</v>
      </c>
      <c r="C10998">
        <v>82</v>
      </c>
      <c r="D10998" t="s">
        <v>414</v>
      </c>
      <c r="E10998" t="s">
        <v>1236</v>
      </c>
      <c r="F10998" t="s">
        <v>103</v>
      </c>
      <c r="G10998" t="s">
        <v>103</v>
      </c>
      <c r="H10998" t="s">
        <v>103</v>
      </c>
      <c r="I10998" t="s">
        <v>214</v>
      </c>
      <c r="J10998" t="s">
        <v>208</v>
      </c>
    </row>
    <row r="10999" spans="1:10" s="3" customFormat="1" x14ac:dyDescent="0.3">
      <c r="A10999" s="3" t="s">
        <v>27</v>
      </c>
      <c r="B10999" s="3" t="s">
        <v>2757</v>
      </c>
      <c r="C10999" s="3">
        <v>2</v>
      </c>
      <c r="D10999" s="3" t="s">
        <v>654</v>
      </c>
      <c r="E10999" s="3" t="s">
        <v>103</v>
      </c>
      <c r="F10999" s="3" t="s">
        <v>103</v>
      </c>
      <c r="G10999" s="3" t="s">
        <v>103</v>
      </c>
      <c r="H10999" s="3" t="s">
        <v>103</v>
      </c>
      <c r="I10999" s="3" t="s">
        <v>437</v>
      </c>
      <c r="J10999" s="3" t="s">
        <v>103</v>
      </c>
    </row>
    <row r="11000" spans="1:10" x14ac:dyDescent="0.3">
      <c r="A11000" t="s">
        <v>27</v>
      </c>
      <c r="B11000" t="s">
        <v>2758</v>
      </c>
      <c r="C11000">
        <v>86</v>
      </c>
      <c r="D11000" t="s">
        <v>243</v>
      </c>
      <c r="E11000" t="s">
        <v>1241</v>
      </c>
      <c r="F11000" t="s">
        <v>206</v>
      </c>
      <c r="G11000" t="s">
        <v>201</v>
      </c>
      <c r="H11000" t="s">
        <v>103</v>
      </c>
      <c r="I11000" t="s">
        <v>64</v>
      </c>
      <c r="J11000" t="s">
        <v>103</v>
      </c>
    </row>
    <row r="11001" spans="1:10" x14ac:dyDescent="0.3">
      <c r="A11001" t="s">
        <v>27</v>
      </c>
      <c r="B11001" t="s">
        <v>2759</v>
      </c>
      <c r="C11001">
        <v>82</v>
      </c>
      <c r="D11001" t="s">
        <v>617</v>
      </c>
      <c r="E11001" t="s">
        <v>821</v>
      </c>
      <c r="F11001" t="s">
        <v>99</v>
      </c>
      <c r="G11001" t="s">
        <v>329</v>
      </c>
      <c r="H11001" t="s">
        <v>103</v>
      </c>
      <c r="I11001" t="s">
        <v>91</v>
      </c>
      <c r="J11001" t="s">
        <v>103</v>
      </c>
    </row>
    <row r="11002" spans="1:10" x14ac:dyDescent="0.3">
      <c r="A11002" t="s">
        <v>27</v>
      </c>
      <c r="B11002" t="s">
        <v>2760</v>
      </c>
      <c r="C11002">
        <v>128</v>
      </c>
      <c r="D11002" t="s">
        <v>886</v>
      </c>
      <c r="E11002" t="s">
        <v>430</v>
      </c>
      <c r="F11002" t="s">
        <v>482</v>
      </c>
      <c r="G11002" t="s">
        <v>270</v>
      </c>
      <c r="H11002" t="s">
        <v>103</v>
      </c>
      <c r="I11002" t="s">
        <v>239</v>
      </c>
      <c r="J11002" t="s">
        <v>103</v>
      </c>
    </row>
    <row r="11003" spans="1:10" x14ac:dyDescent="0.3">
      <c r="A11003" t="s">
        <v>27</v>
      </c>
      <c r="B11003" t="s">
        <v>308</v>
      </c>
      <c r="C11003">
        <v>2</v>
      </c>
      <c r="D11003" t="s">
        <v>192</v>
      </c>
      <c r="E11003" t="s">
        <v>192</v>
      </c>
      <c r="F11003" t="s">
        <v>103</v>
      </c>
      <c r="G11003" t="s">
        <v>103</v>
      </c>
      <c r="H11003" t="s">
        <v>103</v>
      </c>
      <c r="I11003" t="s">
        <v>103</v>
      </c>
      <c r="J11003" t="s">
        <v>103</v>
      </c>
    </row>
    <row r="11004" spans="1:10" x14ac:dyDescent="0.3">
      <c r="A11004" t="s">
        <v>41</v>
      </c>
      <c r="B11004" t="s">
        <v>2757</v>
      </c>
      <c r="C11004">
        <v>78</v>
      </c>
      <c r="D11004" t="s">
        <v>1087</v>
      </c>
      <c r="E11004" t="s">
        <v>1090</v>
      </c>
      <c r="F11004" t="s">
        <v>438</v>
      </c>
      <c r="G11004" t="s">
        <v>110</v>
      </c>
      <c r="H11004" t="s">
        <v>284</v>
      </c>
      <c r="I11004" t="s">
        <v>256</v>
      </c>
      <c r="J11004" t="s">
        <v>662</v>
      </c>
    </row>
    <row r="11005" spans="1:10" x14ac:dyDescent="0.3">
      <c r="A11005" t="s">
        <v>41</v>
      </c>
      <c r="B11005" t="s">
        <v>2758</v>
      </c>
      <c r="C11005">
        <v>761</v>
      </c>
      <c r="D11005" t="s">
        <v>1375</v>
      </c>
      <c r="E11005" t="s">
        <v>349</v>
      </c>
      <c r="F11005" t="s">
        <v>101</v>
      </c>
      <c r="G11005" t="s">
        <v>157</v>
      </c>
      <c r="H11005" t="s">
        <v>103</v>
      </c>
      <c r="I11005" t="s">
        <v>169</v>
      </c>
      <c r="J11005" t="s">
        <v>120</v>
      </c>
    </row>
    <row r="11006" spans="1:10" x14ac:dyDescent="0.3">
      <c r="A11006" t="s">
        <v>41</v>
      </c>
      <c r="B11006" t="s">
        <v>2759</v>
      </c>
      <c r="C11006">
        <v>603</v>
      </c>
      <c r="D11006" t="s">
        <v>419</v>
      </c>
      <c r="E11006" t="s">
        <v>1048</v>
      </c>
      <c r="F11006" t="s">
        <v>190</v>
      </c>
      <c r="G11006" t="s">
        <v>101</v>
      </c>
      <c r="H11006" t="s">
        <v>103</v>
      </c>
      <c r="I11006" t="s">
        <v>169</v>
      </c>
      <c r="J11006" t="s">
        <v>282</v>
      </c>
    </row>
    <row r="11007" spans="1:10" x14ac:dyDescent="0.3">
      <c r="A11007" t="s">
        <v>41</v>
      </c>
      <c r="B11007" t="s">
        <v>2760</v>
      </c>
      <c r="C11007">
        <v>566</v>
      </c>
      <c r="D11007" t="s">
        <v>258</v>
      </c>
      <c r="E11007" t="s">
        <v>782</v>
      </c>
      <c r="F11007" t="s">
        <v>278</v>
      </c>
      <c r="G11007" t="s">
        <v>214</v>
      </c>
      <c r="H11007" t="s">
        <v>122</v>
      </c>
      <c r="I11007" t="s">
        <v>169</v>
      </c>
      <c r="J11007" t="s">
        <v>239</v>
      </c>
    </row>
    <row r="11008" spans="1:10" x14ac:dyDescent="0.3">
      <c r="A11008" t="s">
        <v>41</v>
      </c>
      <c r="B11008" t="s">
        <v>308</v>
      </c>
      <c r="C11008">
        <v>30</v>
      </c>
      <c r="D11008" t="s">
        <v>371</v>
      </c>
      <c r="E11008" t="s">
        <v>545</v>
      </c>
      <c r="F11008" t="s">
        <v>521</v>
      </c>
      <c r="G11008" t="s">
        <v>164</v>
      </c>
      <c r="H11008" t="s">
        <v>103</v>
      </c>
      <c r="I11008" t="s">
        <v>524</v>
      </c>
      <c r="J11008" t="s">
        <v>103</v>
      </c>
    </row>
    <row r="11010" spans="1:10" x14ac:dyDescent="0.3">
      <c r="A11010" t="s">
        <v>2790</v>
      </c>
    </row>
    <row r="11011" spans="1:10" x14ac:dyDescent="0.3">
      <c r="A11011" t="s">
        <v>36</v>
      </c>
      <c r="B11011" t="s">
        <v>310</v>
      </c>
      <c r="C11011" t="s">
        <v>24</v>
      </c>
      <c r="D11011" t="s">
        <v>2781</v>
      </c>
      <c r="E11011" t="s">
        <v>2782</v>
      </c>
      <c r="F11011" t="s">
        <v>2783</v>
      </c>
      <c r="G11011" t="s">
        <v>2784</v>
      </c>
      <c r="H11011" t="s">
        <v>2785</v>
      </c>
      <c r="I11011" t="s">
        <v>58</v>
      </c>
      <c r="J11011" t="s">
        <v>1566</v>
      </c>
    </row>
    <row r="11012" spans="1:10" x14ac:dyDescent="0.3">
      <c r="A11012" t="s">
        <v>25</v>
      </c>
      <c r="B11012" t="s">
        <v>311</v>
      </c>
      <c r="C11012">
        <v>324</v>
      </c>
      <c r="D11012" t="s">
        <v>351</v>
      </c>
      <c r="E11012" t="s">
        <v>263</v>
      </c>
      <c r="F11012" t="s">
        <v>190</v>
      </c>
      <c r="G11012" t="s">
        <v>101</v>
      </c>
      <c r="H11012" t="s">
        <v>103</v>
      </c>
      <c r="I11012" t="s">
        <v>135</v>
      </c>
      <c r="J11012" t="s">
        <v>116</v>
      </c>
    </row>
    <row r="11013" spans="1:10" x14ac:dyDescent="0.3">
      <c r="A11013" t="s">
        <v>25</v>
      </c>
      <c r="B11013" t="s">
        <v>312</v>
      </c>
      <c r="C11013">
        <v>80</v>
      </c>
      <c r="D11013" t="s">
        <v>784</v>
      </c>
      <c r="E11013" t="s">
        <v>817</v>
      </c>
      <c r="F11013" t="s">
        <v>70</v>
      </c>
      <c r="G11013" t="s">
        <v>126</v>
      </c>
      <c r="H11013" t="s">
        <v>103</v>
      </c>
      <c r="I11013" t="s">
        <v>571</v>
      </c>
      <c r="J11013" t="s">
        <v>194</v>
      </c>
    </row>
    <row r="11014" spans="1:10" x14ac:dyDescent="0.3">
      <c r="A11014" t="s">
        <v>25</v>
      </c>
      <c r="B11014" t="s">
        <v>308</v>
      </c>
      <c r="C11014">
        <v>10</v>
      </c>
      <c r="D11014" t="s">
        <v>690</v>
      </c>
      <c r="E11014" t="s">
        <v>1278</v>
      </c>
      <c r="F11014" t="s">
        <v>103</v>
      </c>
      <c r="G11014" t="s">
        <v>820</v>
      </c>
      <c r="H11014" t="s">
        <v>103</v>
      </c>
      <c r="I11014" t="s">
        <v>103</v>
      </c>
      <c r="J11014" t="s">
        <v>103</v>
      </c>
    </row>
    <row r="11015" spans="1:10" x14ac:dyDescent="0.3">
      <c r="A11015" t="s">
        <v>26</v>
      </c>
      <c r="B11015" t="s">
        <v>311</v>
      </c>
      <c r="C11015">
        <v>343</v>
      </c>
      <c r="D11015" t="s">
        <v>354</v>
      </c>
      <c r="E11015" t="s">
        <v>1096</v>
      </c>
      <c r="F11015" t="s">
        <v>102</v>
      </c>
      <c r="G11015" t="s">
        <v>32</v>
      </c>
      <c r="H11015" t="s">
        <v>103</v>
      </c>
      <c r="I11015" t="s">
        <v>479</v>
      </c>
      <c r="J11015" t="s">
        <v>95</v>
      </c>
    </row>
    <row r="11016" spans="1:10" x14ac:dyDescent="0.3">
      <c r="A11016" t="s">
        <v>26</v>
      </c>
      <c r="B11016" t="s">
        <v>312</v>
      </c>
      <c r="C11016">
        <v>96</v>
      </c>
      <c r="D11016" t="s">
        <v>572</v>
      </c>
      <c r="E11016" t="s">
        <v>873</v>
      </c>
      <c r="F11016" t="s">
        <v>468</v>
      </c>
      <c r="G11016" t="s">
        <v>201</v>
      </c>
      <c r="H11016" t="s">
        <v>103</v>
      </c>
      <c r="I11016" t="s">
        <v>1090</v>
      </c>
      <c r="J11016" t="s">
        <v>345</v>
      </c>
    </row>
    <row r="11017" spans="1:10" x14ac:dyDescent="0.3">
      <c r="A11017" t="s">
        <v>26</v>
      </c>
      <c r="B11017" t="s">
        <v>308</v>
      </c>
      <c r="C11017">
        <v>38</v>
      </c>
      <c r="D11017" t="s">
        <v>1295</v>
      </c>
      <c r="E11017" t="s">
        <v>547</v>
      </c>
      <c r="F11017" t="s">
        <v>103</v>
      </c>
      <c r="G11017" t="s">
        <v>90</v>
      </c>
      <c r="H11017" t="s">
        <v>103</v>
      </c>
      <c r="I11017" t="s">
        <v>1204</v>
      </c>
      <c r="J11017" t="s">
        <v>270</v>
      </c>
    </row>
    <row r="11018" spans="1:10" x14ac:dyDescent="0.3">
      <c r="A11018" t="s">
        <v>29</v>
      </c>
      <c r="B11018" t="s">
        <v>311</v>
      </c>
      <c r="C11018">
        <v>414</v>
      </c>
      <c r="D11018" t="s">
        <v>1420</v>
      </c>
      <c r="E11018" t="s">
        <v>358</v>
      </c>
      <c r="F11018" t="s">
        <v>254</v>
      </c>
      <c r="G11018" t="s">
        <v>130</v>
      </c>
      <c r="H11018" t="s">
        <v>95</v>
      </c>
      <c r="I11018" t="s">
        <v>124</v>
      </c>
      <c r="J11018" t="s">
        <v>216</v>
      </c>
    </row>
    <row r="11019" spans="1:10" x14ac:dyDescent="0.3">
      <c r="A11019" t="s">
        <v>29</v>
      </c>
      <c r="B11019" t="s">
        <v>312</v>
      </c>
      <c r="C11019">
        <v>103</v>
      </c>
      <c r="D11019" t="s">
        <v>675</v>
      </c>
      <c r="E11019" t="s">
        <v>1048</v>
      </c>
      <c r="F11019" t="s">
        <v>90</v>
      </c>
      <c r="G11019" t="s">
        <v>531</v>
      </c>
      <c r="H11019" t="s">
        <v>103</v>
      </c>
      <c r="I11019" t="s">
        <v>108</v>
      </c>
      <c r="J11019" t="s">
        <v>468</v>
      </c>
    </row>
    <row r="11020" spans="1:10" x14ac:dyDescent="0.3">
      <c r="A11020" t="s">
        <v>29</v>
      </c>
      <c r="B11020" t="s">
        <v>308</v>
      </c>
      <c r="C11020">
        <v>13</v>
      </c>
      <c r="D11020" t="s">
        <v>1348</v>
      </c>
      <c r="E11020" t="s">
        <v>230</v>
      </c>
      <c r="F11020" t="s">
        <v>574</v>
      </c>
      <c r="G11020" t="s">
        <v>132</v>
      </c>
      <c r="H11020" t="s">
        <v>103</v>
      </c>
      <c r="I11020" t="s">
        <v>103</v>
      </c>
      <c r="J11020" t="s">
        <v>103</v>
      </c>
    </row>
    <row r="11021" spans="1:10" x14ac:dyDescent="0.3">
      <c r="A11021" t="s">
        <v>28</v>
      </c>
      <c r="B11021" t="s">
        <v>311</v>
      </c>
      <c r="C11021">
        <v>223</v>
      </c>
      <c r="D11021" t="s">
        <v>406</v>
      </c>
      <c r="E11021" t="s">
        <v>373</v>
      </c>
      <c r="F11021" t="s">
        <v>103</v>
      </c>
      <c r="G11021" t="s">
        <v>103</v>
      </c>
      <c r="H11021" t="s">
        <v>103</v>
      </c>
      <c r="I11021" t="s">
        <v>493</v>
      </c>
      <c r="J11021" t="s">
        <v>345</v>
      </c>
    </row>
    <row r="11022" spans="1:10" x14ac:dyDescent="0.3">
      <c r="A11022" t="s">
        <v>28</v>
      </c>
      <c r="B11022" t="s">
        <v>312</v>
      </c>
      <c r="C11022">
        <v>93</v>
      </c>
      <c r="D11022" t="s">
        <v>1236</v>
      </c>
      <c r="E11022" t="s">
        <v>934</v>
      </c>
      <c r="F11022" t="s">
        <v>103</v>
      </c>
      <c r="G11022" t="s">
        <v>103</v>
      </c>
      <c r="H11022" t="s">
        <v>103</v>
      </c>
      <c r="I11022" t="s">
        <v>108</v>
      </c>
      <c r="J11022" t="s">
        <v>68</v>
      </c>
    </row>
    <row r="11023" spans="1:10" x14ac:dyDescent="0.3">
      <c r="A11023" t="s">
        <v>28</v>
      </c>
      <c r="B11023" t="s">
        <v>308</v>
      </c>
      <c r="C11023">
        <v>1</v>
      </c>
      <c r="D11023" t="s">
        <v>103</v>
      </c>
      <c r="E11023" t="s">
        <v>192</v>
      </c>
      <c r="F11023" t="s">
        <v>103</v>
      </c>
      <c r="G11023" t="s">
        <v>103</v>
      </c>
      <c r="H11023" t="s">
        <v>103</v>
      </c>
      <c r="I11023" t="s">
        <v>103</v>
      </c>
      <c r="J11023" t="s">
        <v>103</v>
      </c>
    </row>
    <row r="11024" spans="1:10" x14ac:dyDescent="0.3">
      <c r="A11024" t="s">
        <v>27</v>
      </c>
      <c r="B11024" t="s">
        <v>311</v>
      </c>
      <c r="C11024">
        <v>237</v>
      </c>
      <c r="D11024" t="s">
        <v>143</v>
      </c>
      <c r="E11024" t="s">
        <v>1397</v>
      </c>
      <c r="F11024" t="s">
        <v>60</v>
      </c>
      <c r="G11024" t="s">
        <v>493</v>
      </c>
      <c r="H11024" t="s">
        <v>103</v>
      </c>
      <c r="I11024" t="s">
        <v>208</v>
      </c>
      <c r="J11024" t="s">
        <v>103</v>
      </c>
    </row>
    <row r="11025" spans="1:10" x14ac:dyDescent="0.3">
      <c r="A11025" t="s">
        <v>27</v>
      </c>
      <c r="B11025" t="s">
        <v>312</v>
      </c>
      <c r="C11025">
        <v>60</v>
      </c>
      <c r="D11025" t="s">
        <v>605</v>
      </c>
      <c r="E11025" t="s">
        <v>229</v>
      </c>
      <c r="F11025" t="s">
        <v>131</v>
      </c>
      <c r="G11025" t="s">
        <v>103</v>
      </c>
      <c r="H11025" t="s">
        <v>103</v>
      </c>
      <c r="I11025" t="s">
        <v>103</v>
      </c>
      <c r="J11025" t="s">
        <v>103</v>
      </c>
    </row>
    <row r="11026" spans="1:10" x14ac:dyDescent="0.3">
      <c r="A11026" t="s">
        <v>27</v>
      </c>
      <c r="B11026" t="s">
        <v>308</v>
      </c>
      <c r="C11026">
        <v>3</v>
      </c>
      <c r="D11026" t="s">
        <v>406</v>
      </c>
      <c r="E11026" t="s">
        <v>192</v>
      </c>
      <c r="F11026" t="s">
        <v>103</v>
      </c>
      <c r="G11026" t="s">
        <v>103</v>
      </c>
      <c r="H11026" t="s">
        <v>103</v>
      </c>
      <c r="I11026" t="s">
        <v>103</v>
      </c>
      <c r="J11026" t="s">
        <v>103</v>
      </c>
    </row>
    <row r="11027" spans="1:10" x14ac:dyDescent="0.3">
      <c r="A11027" t="s">
        <v>41</v>
      </c>
      <c r="B11027" t="s">
        <v>311</v>
      </c>
      <c r="C11027">
        <v>1541</v>
      </c>
      <c r="D11027" t="s">
        <v>1044</v>
      </c>
      <c r="E11027" t="s">
        <v>675</v>
      </c>
      <c r="F11027" t="s">
        <v>190</v>
      </c>
      <c r="G11027" t="s">
        <v>262</v>
      </c>
      <c r="H11027" t="s">
        <v>116</v>
      </c>
      <c r="I11027" t="s">
        <v>62</v>
      </c>
      <c r="J11027" t="s">
        <v>282</v>
      </c>
    </row>
    <row r="11028" spans="1:10" x14ac:dyDescent="0.3">
      <c r="A11028" t="s">
        <v>41</v>
      </c>
      <c r="B11028" t="s">
        <v>312</v>
      </c>
      <c r="C11028">
        <v>432</v>
      </c>
      <c r="D11028" t="s">
        <v>383</v>
      </c>
      <c r="E11028" t="s">
        <v>782</v>
      </c>
      <c r="F11028" t="s">
        <v>558</v>
      </c>
      <c r="G11028" t="s">
        <v>70</v>
      </c>
      <c r="H11028" t="s">
        <v>103</v>
      </c>
      <c r="I11028" t="s">
        <v>115</v>
      </c>
      <c r="J11028" t="s">
        <v>194</v>
      </c>
    </row>
    <row r="11029" spans="1:10" x14ac:dyDescent="0.3">
      <c r="A11029" t="s">
        <v>41</v>
      </c>
      <c r="B11029" t="s">
        <v>308</v>
      </c>
      <c r="C11029">
        <v>65</v>
      </c>
      <c r="D11029" t="s">
        <v>430</v>
      </c>
      <c r="E11029" t="s">
        <v>705</v>
      </c>
      <c r="F11029" t="s">
        <v>127</v>
      </c>
      <c r="G11029" t="s">
        <v>809</v>
      </c>
      <c r="H11029" t="s">
        <v>103</v>
      </c>
      <c r="I11029" t="s">
        <v>253</v>
      </c>
      <c r="J11029" t="s">
        <v>216</v>
      </c>
    </row>
    <row r="11031" spans="1:10" x14ac:dyDescent="0.3">
      <c r="A11031" t="s">
        <v>2791</v>
      </c>
    </row>
    <row r="11032" spans="1:10" x14ac:dyDescent="0.3">
      <c r="A11032" t="s">
        <v>36</v>
      </c>
      <c r="B11032" t="s">
        <v>1233</v>
      </c>
      <c r="C11032" t="s">
        <v>24</v>
      </c>
      <c r="D11032" t="s">
        <v>2781</v>
      </c>
      <c r="E11032" t="s">
        <v>2782</v>
      </c>
      <c r="F11032" t="s">
        <v>2783</v>
      </c>
      <c r="G11032" t="s">
        <v>2784</v>
      </c>
      <c r="H11032" t="s">
        <v>2785</v>
      </c>
      <c r="I11032" t="s">
        <v>58</v>
      </c>
      <c r="J11032" t="s">
        <v>1566</v>
      </c>
    </row>
    <row r="11033" spans="1:10" x14ac:dyDescent="0.3">
      <c r="A11033" t="s">
        <v>25</v>
      </c>
      <c r="B11033" t="s">
        <v>1234</v>
      </c>
      <c r="C11033">
        <v>257</v>
      </c>
      <c r="D11033" t="s">
        <v>298</v>
      </c>
      <c r="E11033" t="s">
        <v>926</v>
      </c>
      <c r="F11033" t="s">
        <v>33</v>
      </c>
      <c r="G11033" t="s">
        <v>575</v>
      </c>
      <c r="H11033" t="s">
        <v>103</v>
      </c>
      <c r="I11033" t="s">
        <v>242</v>
      </c>
      <c r="J11033" t="s">
        <v>103</v>
      </c>
    </row>
    <row r="11034" spans="1:10" s="3" customFormat="1" x14ac:dyDescent="0.3">
      <c r="A11034" s="3" t="s">
        <v>25</v>
      </c>
      <c r="B11034" s="3" t="s">
        <v>1235</v>
      </c>
      <c r="C11034" s="3">
        <v>25</v>
      </c>
      <c r="D11034" s="3" t="s">
        <v>801</v>
      </c>
      <c r="E11034" s="3" t="s">
        <v>356</v>
      </c>
      <c r="F11034" s="3" t="s">
        <v>687</v>
      </c>
      <c r="G11034" s="3" t="s">
        <v>135</v>
      </c>
      <c r="H11034" s="3" t="s">
        <v>103</v>
      </c>
      <c r="I11034" s="3" t="s">
        <v>727</v>
      </c>
      <c r="J11034" s="3" t="s">
        <v>103</v>
      </c>
    </row>
    <row r="11035" spans="1:10" x14ac:dyDescent="0.3">
      <c r="A11035" t="s">
        <v>25</v>
      </c>
      <c r="B11035" t="s">
        <v>1237</v>
      </c>
      <c r="C11035">
        <v>132</v>
      </c>
      <c r="D11035" t="s">
        <v>379</v>
      </c>
      <c r="E11035" t="s">
        <v>790</v>
      </c>
      <c r="F11035" t="s">
        <v>101</v>
      </c>
      <c r="G11035" t="s">
        <v>124</v>
      </c>
      <c r="H11035" t="s">
        <v>103</v>
      </c>
      <c r="I11035" t="s">
        <v>191</v>
      </c>
      <c r="J11035" t="s">
        <v>239</v>
      </c>
    </row>
    <row r="11036" spans="1:10" x14ac:dyDescent="0.3">
      <c r="A11036" t="s">
        <v>26</v>
      </c>
      <c r="B11036" t="s">
        <v>1234</v>
      </c>
      <c r="C11036">
        <v>296</v>
      </c>
      <c r="D11036" t="s">
        <v>1329</v>
      </c>
      <c r="E11036" t="s">
        <v>665</v>
      </c>
      <c r="F11036" t="s">
        <v>257</v>
      </c>
      <c r="G11036" t="s">
        <v>251</v>
      </c>
      <c r="H11036" t="s">
        <v>103</v>
      </c>
      <c r="I11036" t="s">
        <v>506</v>
      </c>
      <c r="J11036" t="s">
        <v>239</v>
      </c>
    </row>
    <row r="11037" spans="1:10" x14ac:dyDescent="0.3">
      <c r="A11037" t="s">
        <v>26</v>
      </c>
      <c r="B11037" t="s">
        <v>1235</v>
      </c>
      <c r="C11037">
        <v>37</v>
      </c>
      <c r="D11037" t="s">
        <v>690</v>
      </c>
      <c r="E11037" t="s">
        <v>690</v>
      </c>
      <c r="F11037" t="s">
        <v>208</v>
      </c>
      <c r="G11037" t="s">
        <v>128</v>
      </c>
      <c r="H11037" t="s">
        <v>103</v>
      </c>
      <c r="I11037" t="s">
        <v>114</v>
      </c>
      <c r="J11037" t="s">
        <v>103</v>
      </c>
    </row>
    <row r="11038" spans="1:10" x14ac:dyDescent="0.3">
      <c r="A11038" t="s">
        <v>26</v>
      </c>
      <c r="B11038" t="s">
        <v>1237</v>
      </c>
      <c r="C11038">
        <v>144</v>
      </c>
      <c r="D11038" t="s">
        <v>405</v>
      </c>
      <c r="E11038" t="s">
        <v>1043</v>
      </c>
      <c r="F11038" t="s">
        <v>188</v>
      </c>
      <c r="G11038" t="s">
        <v>217</v>
      </c>
      <c r="H11038" t="s">
        <v>103</v>
      </c>
      <c r="I11038" t="s">
        <v>402</v>
      </c>
      <c r="J11038" t="s">
        <v>103</v>
      </c>
    </row>
    <row r="11039" spans="1:10" x14ac:dyDescent="0.3">
      <c r="A11039" t="s">
        <v>29</v>
      </c>
      <c r="B11039" t="s">
        <v>1234</v>
      </c>
      <c r="C11039">
        <v>372</v>
      </c>
      <c r="D11039" t="s">
        <v>814</v>
      </c>
      <c r="E11039" t="s">
        <v>1032</v>
      </c>
      <c r="F11039" t="s">
        <v>169</v>
      </c>
      <c r="G11039" t="s">
        <v>700</v>
      </c>
      <c r="H11039" t="s">
        <v>97</v>
      </c>
      <c r="I11039" t="s">
        <v>494</v>
      </c>
      <c r="J11039" t="s">
        <v>105</v>
      </c>
    </row>
    <row r="11040" spans="1:10" x14ac:dyDescent="0.3">
      <c r="A11040" t="s">
        <v>29</v>
      </c>
      <c r="B11040" t="s">
        <v>1235</v>
      </c>
      <c r="C11040">
        <v>38</v>
      </c>
      <c r="D11040" t="s">
        <v>1321</v>
      </c>
      <c r="E11040" t="s">
        <v>352</v>
      </c>
      <c r="F11040" t="s">
        <v>224</v>
      </c>
      <c r="G11040" t="s">
        <v>809</v>
      </c>
      <c r="H11040" t="s">
        <v>103</v>
      </c>
      <c r="I11040" t="s">
        <v>615</v>
      </c>
      <c r="J11040" t="s">
        <v>270</v>
      </c>
    </row>
    <row r="11041" spans="1:10" x14ac:dyDescent="0.3">
      <c r="A11041" t="s">
        <v>29</v>
      </c>
      <c r="B11041" t="s">
        <v>1237</v>
      </c>
      <c r="C11041">
        <v>120</v>
      </c>
      <c r="D11041" t="s">
        <v>1252</v>
      </c>
      <c r="E11041" t="s">
        <v>1002</v>
      </c>
      <c r="F11041" t="s">
        <v>201</v>
      </c>
      <c r="G11041" t="s">
        <v>571</v>
      </c>
      <c r="H11041" t="s">
        <v>282</v>
      </c>
      <c r="I11041" t="s">
        <v>575</v>
      </c>
      <c r="J11041" t="s">
        <v>66</v>
      </c>
    </row>
    <row r="11042" spans="1:10" x14ac:dyDescent="0.3">
      <c r="A11042" t="s">
        <v>28</v>
      </c>
      <c r="B11042" t="s">
        <v>1234</v>
      </c>
      <c r="C11042">
        <v>126</v>
      </c>
      <c r="D11042" t="s">
        <v>1278</v>
      </c>
      <c r="E11042" t="s">
        <v>655</v>
      </c>
      <c r="F11042" t="s">
        <v>103</v>
      </c>
      <c r="G11042" t="s">
        <v>103</v>
      </c>
      <c r="H11042" t="s">
        <v>103</v>
      </c>
      <c r="I11042" t="s">
        <v>594</v>
      </c>
      <c r="J11042" t="s">
        <v>128</v>
      </c>
    </row>
    <row r="11043" spans="1:10" s="3" customFormat="1" x14ac:dyDescent="0.3">
      <c r="A11043" s="3" t="s">
        <v>28</v>
      </c>
      <c r="B11043" s="3" t="s">
        <v>1235</v>
      </c>
      <c r="C11043" s="3">
        <v>17</v>
      </c>
      <c r="D11043" s="3" t="s">
        <v>1322</v>
      </c>
      <c r="E11043" s="3" t="s">
        <v>569</v>
      </c>
      <c r="F11043" s="3" t="s">
        <v>103</v>
      </c>
      <c r="G11043" s="3" t="s">
        <v>103</v>
      </c>
      <c r="H11043" s="3" t="s">
        <v>103</v>
      </c>
      <c r="I11043" s="3" t="s">
        <v>102</v>
      </c>
      <c r="J11043" s="3" t="s">
        <v>103</v>
      </c>
    </row>
    <row r="11044" spans="1:10" x14ac:dyDescent="0.3">
      <c r="A11044" t="s">
        <v>28</v>
      </c>
      <c r="B11044" t="s">
        <v>1237</v>
      </c>
      <c r="C11044">
        <v>174</v>
      </c>
      <c r="D11044" t="s">
        <v>1068</v>
      </c>
      <c r="E11044" t="s">
        <v>436</v>
      </c>
      <c r="F11044" t="s">
        <v>103</v>
      </c>
      <c r="G11044" t="s">
        <v>103</v>
      </c>
      <c r="H11044" t="s">
        <v>103</v>
      </c>
      <c r="I11044" t="s">
        <v>114</v>
      </c>
      <c r="J11044" t="s">
        <v>194</v>
      </c>
    </row>
    <row r="11045" spans="1:10" x14ac:dyDescent="0.3">
      <c r="A11045" t="s">
        <v>27</v>
      </c>
      <c r="B11045" t="s">
        <v>1234</v>
      </c>
      <c r="C11045">
        <v>149</v>
      </c>
      <c r="D11045" t="s">
        <v>1371</v>
      </c>
      <c r="E11045" t="s">
        <v>1375</v>
      </c>
      <c r="F11045" t="s">
        <v>558</v>
      </c>
      <c r="G11045" t="s">
        <v>257</v>
      </c>
      <c r="H11045" t="s">
        <v>103</v>
      </c>
      <c r="I11045" t="s">
        <v>105</v>
      </c>
      <c r="J11045" t="s">
        <v>103</v>
      </c>
    </row>
    <row r="11046" spans="1:10" s="3" customFormat="1" x14ac:dyDescent="0.3">
      <c r="A11046" s="3" t="s">
        <v>27</v>
      </c>
      <c r="B11046" s="3" t="s">
        <v>1235</v>
      </c>
      <c r="C11046" s="3">
        <v>10</v>
      </c>
      <c r="D11046" s="3" t="s">
        <v>632</v>
      </c>
      <c r="E11046" s="3" t="s">
        <v>866</v>
      </c>
      <c r="F11046" s="3" t="s">
        <v>253</v>
      </c>
      <c r="G11046" s="3" t="s">
        <v>571</v>
      </c>
      <c r="H11046" s="3" t="s">
        <v>103</v>
      </c>
      <c r="I11046" s="3" t="s">
        <v>103</v>
      </c>
      <c r="J11046" s="3" t="s">
        <v>103</v>
      </c>
    </row>
    <row r="11047" spans="1:10" x14ac:dyDescent="0.3">
      <c r="A11047" t="s">
        <v>27</v>
      </c>
      <c r="B11047" t="s">
        <v>1237</v>
      </c>
      <c r="C11047">
        <v>141</v>
      </c>
      <c r="D11047" t="s">
        <v>757</v>
      </c>
      <c r="E11047" t="s">
        <v>366</v>
      </c>
      <c r="F11047" t="s">
        <v>269</v>
      </c>
      <c r="G11047" t="s">
        <v>467</v>
      </c>
      <c r="H11047" t="s">
        <v>103</v>
      </c>
      <c r="I11047" t="s">
        <v>245</v>
      </c>
      <c r="J11047" t="s">
        <v>103</v>
      </c>
    </row>
    <row r="11048" spans="1:10" x14ac:dyDescent="0.3">
      <c r="A11048" t="s">
        <v>41</v>
      </c>
      <c r="B11048" t="s">
        <v>1234</v>
      </c>
      <c r="C11048">
        <v>1200</v>
      </c>
      <c r="D11048" t="s">
        <v>2106</v>
      </c>
      <c r="E11048" t="s">
        <v>1426</v>
      </c>
      <c r="F11048" t="s">
        <v>60</v>
      </c>
      <c r="G11048" t="s">
        <v>629</v>
      </c>
      <c r="H11048" t="s">
        <v>66</v>
      </c>
      <c r="I11048" t="s">
        <v>890</v>
      </c>
      <c r="J11048" t="s">
        <v>194</v>
      </c>
    </row>
    <row r="11049" spans="1:10" x14ac:dyDescent="0.3">
      <c r="A11049" t="s">
        <v>41</v>
      </c>
      <c r="B11049" t="s">
        <v>1235</v>
      </c>
      <c r="C11049">
        <v>127</v>
      </c>
      <c r="D11049" t="s">
        <v>726</v>
      </c>
      <c r="E11049" t="s">
        <v>424</v>
      </c>
      <c r="F11049" t="s">
        <v>126</v>
      </c>
      <c r="G11049" t="s">
        <v>254</v>
      </c>
      <c r="H11049" t="s">
        <v>103</v>
      </c>
      <c r="I11049" t="s">
        <v>607</v>
      </c>
      <c r="J11049" t="s">
        <v>110</v>
      </c>
    </row>
    <row r="11050" spans="1:10" x14ac:dyDescent="0.3">
      <c r="A11050" t="s">
        <v>41</v>
      </c>
      <c r="B11050" t="s">
        <v>1237</v>
      </c>
      <c r="C11050">
        <v>711</v>
      </c>
      <c r="D11050" t="s">
        <v>430</v>
      </c>
      <c r="E11050" t="s">
        <v>1404</v>
      </c>
      <c r="F11050" t="s">
        <v>32</v>
      </c>
      <c r="G11050" t="s">
        <v>112</v>
      </c>
      <c r="H11050" t="s">
        <v>116</v>
      </c>
      <c r="I11050" t="s">
        <v>809</v>
      </c>
      <c r="J11050" t="s">
        <v>97</v>
      </c>
    </row>
    <row r="11052" spans="1:10" x14ac:dyDescent="0.3">
      <c r="A11052" t="s">
        <v>2792</v>
      </c>
    </row>
    <row r="11053" spans="1:10" x14ac:dyDescent="0.3">
      <c r="A11053" t="s">
        <v>36</v>
      </c>
      <c r="B11053" t="s">
        <v>2764</v>
      </c>
      <c r="C11053" t="s">
        <v>24</v>
      </c>
      <c r="D11053" t="s">
        <v>2781</v>
      </c>
      <c r="E11053" t="s">
        <v>2782</v>
      </c>
      <c r="F11053" t="s">
        <v>2783</v>
      </c>
      <c r="G11053" t="s">
        <v>2784</v>
      </c>
      <c r="H11053" t="s">
        <v>2785</v>
      </c>
      <c r="I11053" t="s">
        <v>58</v>
      </c>
      <c r="J11053" t="s">
        <v>1566</v>
      </c>
    </row>
    <row r="11054" spans="1:10" s="3" customFormat="1" x14ac:dyDescent="0.3">
      <c r="A11054" s="3" t="s">
        <v>25</v>
      </c>
      <c r="B11054" s="3" t="s">
        <v>2765</v>
      </c>
      <c r="C11054" s="3">
        <v>16</v>
      </c>
      <c r="D11054" s="3" t="s">
        <v>726</v>
      </c>
      <c r="E11054" s="3" t="s">
        <v>1321</v>
      </c>
      <c r="F11054" s="3" t="s">
        <v>214</v>
      </c>
      <c r="G11054" s="3" t="s">
        <v>99</v>
      </c>
      <c r="H11054" s="3" t="s">
        <v>103</v>
      </c>
      <c r="I11054" s="3" t="s">
        <v>268</v>
      </c>
      <c r="J11054" s="3" t="s">
        <v>103</v>
      </c>
    </row>
    <row r="11055" spans="1:10" s="3" customFormat="1" x14ac:dyDescent="0.3">
      <c r="A11055" s="3" t="s">
        <v>25</v>
      </c>
      <c r="B11055" s="3" t="s">
        <v>585</v>
      </c>
      <c r="C11055" s="3">
        <v>5</v>
      </c>
      <c r="D11055" s="3" t="s">
        <v>784</v>
      </c>
      <c r="E11055" s="3" t="s">
        <v>664</v>
      </c>
      <c r="F11055" s="3" t="s">
        <v>103</v>
      </c>
      <c r="G11055" s="3" t="s">
        <v>224</v>
      </c>
      <c r="H11055" s="3" t="s">
        <v>103</v>
      </c>
      <c r="I11055" s="3" t="s">
        <v>103</v>
      </c>
      <c r="J11055" s="3" t="s">
        <v>103</v>
      </c>
    </row>
    <row r="11056" spans="1:10" s="3" customFormat="1" x14ac:dyDescent="0.3">
      <c r="A11056" s="3" t="s">
        <v>25</v>
      </c>
      <c r="B11056" s="3" t="s">
        <v>586</v>
      </c>
      <c r="C11056" s="3">
        <v>17</v>
      </c>
      <c r="D11056" s="3" t="s">
        <v>902</v>
      </c>
      <c r="E11056" s="3" t="s">
        <v>1251</v>
      </c>
      <c r="F11056" s="3" t="s">
        <v>103</v>
      </c>
      <c r="G11056" s="3" t="s">
        <v>103</v>
      </c>
      <c r="H11056" s="3" t="s">
        <v>103</v>
      </c>
      <c r="I11056" s="3" t="s">
        <v>601</v>
      </c>
      <c r="J11056" s="3" t="s">
        <v>103</v>
      </c>
    </row>
    <row r="11057" spans="1:10" s="3" customFormat="1" x14ac:dyDescent="0.3">
      <c r="A11057" s="3" t="s">
        <v>25</v>
      </c>
      <c r="B11057" s="3" t="s">
        <v>587</v>
      </c>
      <c r="C11057" s="3">
        <v>2</v>
      </c>
      <c r="D11057" s="3" t="s">
        <v>103</v>
      </c>
      <c r="E11057" s="3" t="s">
        <v>1400</v>
      </c>
      <c r="F11057" s="3" t="s">
        <v>103</v>
      </c>
      <c r="G11057" s="3" t="s">
        <v>103</v>
      </c>
      <c r="H11057" s="3" t="s">
        <v>103</v>
      </c>
      <c r="I11057" s="3" t="s">
        <v>250</v>
      </c>
      <c r="J11057" s="3" t="s">
        <v>103</v>
      </c>
    </row>
    <row r="11058" spans="1:10" s="3" customFormat="1" x14ac:dyDescent="0.3">
      <c r="A11058" s="3" t="s">
        <v>25</v>
      </c>
      <c r="B11058" s="3" t="s">
        <v>588</v>
      </c>
      <c r="C11058" s="3">
        <v>20</v>
      </c>
      <c r="D11058" s="3" t="s">
        <v>933</v>
      </c>
      <c r="E11058" s="3" t="s">
        <v>1016</v>
      </c>
      <c r="F11058" s="3" t="s">
        <v>103</v>
      </c>
      <c r="G11058" s="3" t="s">
        <v>62</v>
      </c>
      <c r="H11058" s="3" t="s">
        <v>103</v>
      </c>
      <c r="I11058" s="3" t="s">
        <v>700</v>
      </c>
      <c r="J11058" s="3" t="s">
        <v>103</v>
      </c>
    </row>
    <row r="11059" spans="1:10" x14ac:dyDescent="0.3">
      <c r="A11059" t="s">
        <v>25</v>
      </c>
      <c r="B11059" t="s">
        <v>2766</v>
      </c>
      <c r="C11059">
        <v>354</v>
      </c>
      <c r="D11059" t="s">
        <v>417</v>
      </c>
      <c r="E11059" t="s">
        <v>381</v>
      </c>
      <c r="F11059" t="s">
        <v>101</v>
      </c>
      <c r="G11059" t="s">
        <v>126</v>
      </c>
      <c r="H11059" t="s">
        <v>103</v>
      </c>
      <c r="I11059" t="s">
        <v>262</v>
      </c>
      <c r="J11059" t="s">
        <v>97</v>
      </c>
    </row>
    <row r="11060" spans="1:10" s="3" customFormat="1" x14ac:dyDescent="0.3">
      <c r="A11060" s="3" t="s">
        <v>26</v>
      </c>
      <c r="B11060" s="3" t="s">
        <v>2765</v>
      </c>
      <c r="C11060" s="3">
        <v>26</v>
      </c>
      <c r="D11060" s="3" t="s">
        <v>402</v>
      </c>
      <c r="E11060" s="3" t="s">
        <v>134</v>
      </c>
      <c r="F11060" s="3" t="s">
        <v>103</v>
      </c>
      <c r="G11060" s="3" t="s">
        <v>103</v>
      </c>
      <c r="H11060" s="3" t="s">
        <v>103</v>
      </c>
      <c r="I11060" s="3" t="s">
        <v>1202</v>
      </c>
      <c r="J11060" s="3" t="s">
        <v>103</v>
      </c>
    </row>
    <row r="11061" spans="1:10" s="3" customFormat="1" x14ac:dyDescent="0.3">
      <c r="A11061" s="3" t="s">
        <v>26</v>
      </c>
      <c r="B11061" s="3" t="s">
        <v>586</v>
      </c>
      <c r="C11061" s="3">
        <v>4</v>
      </c>
      <c r="D11061" s="3" t="s">
        <v>787</v>
      </c>
      <c r="E11061" s="3" t="s">
        <v>1374</v>
      </c>
      <c r="F11061" s="3" t="s">
        <v>103</v>
      </c>
      <c r="G11061" s="3" t="s">
        <v>103</v>
      </c>
      <c r="H11061" s="3" t="s">
        <v>103</v>
      </c>
      <c r="I11061" s="3" t="s">
        <v>103</v>
      </c>
      <c r="J11061" s="3" t="s">
        <v>788</v>
      </c>
    </row>
    <row r="11062" spans="1:10" s="3" customFormat="1" x14ac:dyDescent="0.3">
      <c r="A11062" s="3" t="s">
        <v>26</v>
      </c>
      <c r="B11062" s="3" t="s">
        <v>587</v>
      </c>
      <c r="C11062" s="3">
        <v>8</v>
      </c>
      <c r="D11062" s="3" t="s">
        <v>1328</v>
      </c>
      <c r="E11062" s="3" t="s">
        <v>1577</v>
      </c>
      <c r="F11062" s="3" t="s">
        <v>409</v>
      </c>
      <c r="G11062" s="3" t="s">
        <v>103</v>
      </c>
      <c r="H11062" s="3" t="s">
        <v>103</v>
      </c>
      <c r="I11062" s="3" t="s">
        <v>103</v>
      </c>
      <c r="J11062" s="3" t="s">
        <v>103</v>
      </c>
    </row>
    <row r="11063" spans="1:10" s="3" customFormat="1" x14ac:dyDescent="0.3">
      <c r="A11063" s="3" t="s">
        <v>26</v>
      </c>
      <c r="B11063" s="3" t="s">
        <v>588</v>
      </c>
      <c r="C11063" s="3">
        <v>4</v>
      </c>
      <c r="D11063" s="3" t="s">
        <v>724</v>
      </c>
      <c r="E11063" s="3" t="s">
        <v>103</v>
      </c>
      <c r="F11063" s="3" t="s">
        <v>103</v>
      </c>
      <c r="G11063" s="3" t="s">
        <v>103</v>
      </c>
      <c r="H11063" s="3" t="s">
        <v>103</v>
      </c>
      <c r="I11063" s="3" t="s">
        <v>547</v>
      </c>
      <c r="J11063" s="3" t="s">
        <v>103</v>
      </c>
    </row>
    <row r="11064" spans="1:10" x14ac:dyDescent="0.3">
      <c r="A11064" t="s">
        <v>26</v>
      </c>
      <c r="B11064" t="s">
        <v>2766</v>
      </c>
      <c r="C11064">
        <v>435</v>
      </c>
      <c r="D11064" t="s">
        <v>1032</v>
      </c>
      <c r="E11064" t="s">
        <v>385</v>
      </c>
      <c r="F11064" t="s">
        <v>217</v>
      </c>
      <c r="G11064" t="s">
        <v>133</v>
      </c>
      <c r="H11064" t="s">
        <v>103</v>
      </c>
      <c r="I11064" t="s">
        <v>706</v>
      </c>
      <c r="J11064" t="s">
        <v>95</v>
      </c>
    </row>
    <row r="11065" spans="1:10" s="3" customFormat="1" x14ac:dyDescent="0.3">
      <c r="A11065" s="3" t="s">
        <v>29</v>
      </c>
      <c r="B11065" s="3" t="s">
        <v>2765</v>
      </c>
      <c r="C11065" s="3">
        <v>30</v>
      </c>
      <c r="D11065" s="3" t="s">
        <v>428</v>
      </c>
      <c r="E11065" s="3" t="s">
        <v>387</v>
      </c>
      <c r="F11065" s="3" t="s">
        <v>693</v>
      </c>
      <c r="G11065" s="3" t="s">
        <v>157</v>
      </c>
      <c r="H11065" s="3" t="s">
        <v>103</v>
      </c>
      <c r="I11065" s="3" t="s">
        <v>111</v>
      </c>
      <c r="J11065" s="3" t="s">
        <v>103</v>
      </c>
    </row>
    <row r="11066" spans="1:10" s="3" customFormat="1" x14ac:dyDescent="0.3">
      <c r="A11066" s="3" t="s">
        <v>29</v>
      </c>
      <c r="B11066" s="3" t="s">
        <v>585</v>
      </c>
      <c r="C11066" s="3">
        <v>6</v>
      </c>
      <c r="D11066" s="3" t="s">
        <v>791</v>
      </c>
      <c r="E11066" s="3" t="s">
        <v>1063</v>
      </c>
      <c r="F11066" s="3" t="s">
        <v>455</v>
      </c>
      <c r="G11066" s="3" t="s">
        <v>526</v>
      </c>
      <c r="H11066" s="3" t="s">
        <v>103</v>
      </c>
      <c r="I11066" s="3" t="s">
        <v>68</v>
      </c>
      <c r="J11066" s="3" t="s">
        <v>654</v>
      </c>
    </row>
    <row r="11067" spans="1:10" s="3" customFormat="1" x14ac:dyDescent="0.3">
      <c r="A11067" s="3" t="s">
        <v>29</v>
      </c>
      <c r="B11067" s="3" t="s">
        <v>586</v>
      </c>
      <c r="C11067" s="3">
        <v>12</v>
      </c>
      <c r="D11067" s="3" t="s">
        <v>387</v>
      </c>
      <c r="E11067" s="3" t="s">
        <v>943</v>
      </c>
      <c r="F11067" s="3" t="s">
        <v>103</v>
      </c>
      <c r="G11067" s="3" t="s">
        <v>103</v>
      </c>
      <c r="H11067" s="3" t="s">
        <v>103</v>
      </c>
      <c r="I11067" s="3" t="s">
        <v>707</v>
      </c>
      <c r="J11067" s="3" t="s">
        <v>103</v>
      </c>
    </row>
    <row r="11068" spans="1:10" s="3" customFormat="1" x14ac:dyDescent="0.3">
      <c r="A11068" s="3" t="s">
        <v>29</v>
      </c>
      <c r="B11068" s="3" t="s">
        <v>587</v>
      </c>
      <c r="C11068" s="3">
        <v>3</v>
      </c>
      <c r="D11068" s="3" t="s">
        <v>889</v>
      </c>
      <c r="E11068" s="3" t="s">
        <v>1461</v>
      </c>
      <c r="F11068" s="3" t="s">
        <v>103</v>
      </c>
      <c r="G11068" s="3" t="s">
        <v>103</v>
      </c>
      <c r="H11068" s="3" t="s">
        <v>103</v>
      </c>
      <c r="I11068" s="3" t="s">
        <v>103</v>
      </c>
      <c r="J11068" s="3" t="s">
        <v>890</v>
      </c>
    </row>
    <row r="11069" spans="1:10" s="3" customFormat="1" x14ac:dyDescent="0.3">
      <c r="A11069" s="3" t="s">
        <v>29</v>
      </c>
      <c r="B11069" s="3" t="s">
        <v>588</v>
      </c>
      <c r="C11069" s="3">
        <v>15</v>
      </c>
      <c r="D11069" s="3" t="s">
        <v>1282</v>
      </c>
      <c r="E11069" s="3" t="s">
        <v>1053</v>
      </c>
      <c r="F11069" s="3" t="s">
        <v>131</v>
      </c>
      <c r="G11069" s="3" t="s">
        <v>127</v>
      </c>
      <c r="H11069" s="3" t="s">
        <v>103</v>
      </c>
      <c r="I11069" s="3" t="s">
        <v>607</v>
      </c>
      <c r="J11069" s="3" t="s">
        <v>103</v>
      </c>
    </row>
    <row r="11070" spans="1:10" x14ac:dyDescent="0.3">
      <c r="A11070" t="s">
        <v>29</v>
      </c>
      <c r="B11070" t="s">
        <v>2766</v>
      </c>
      <c r="C11070">
        <v>464</v>
      </c>
      <c r="D11070" t="s">
        <v>1321</v>
      </c>
      <c r="E11070" t="s">
        <v>1096</v>
      </c>
      <c r="F11070" t="s">
        <v>601</v>
      </c>
      <c r="G11070" t="s">
        <v>244</v>
      </c>
      <c r="H11070" t="s">
        <v>120</v>
      </c>
      <c r="I11070" t="s">
        <v>511</v>
      </c>
      <c r="J11070" t="s">
        <v>110</v>
      </c>
    </row>
    <row r="11071" spans="1:10" s="3" customFormat="1" x14ac:dyDescent="0.3">
      <c r="A11071" s="3" t="s">
        <v>28</v>
      </c>
      <c r="B11071" s="3" t="s">
        <v>2765</v>
      </c>
      <c r="C11071" s="3">
        <v>6</v>
      </c>
      <c r="D11071" s="3" t="s">
        <v>174</v>
      </c>
      <c r="E11071" s="3" t="s">
        <v>173</v>
      </c>
      <c r="F11071" s="3" t="s">
        <v>103</v>
      </c>
      <c r="G11071" s="3" t="s">
        <v>103</v>
      </c>
      <c r="H11071" s="3" t="s">
        <v>103</v>
      </c>
      <c r="I11071" s="3" t="s">
        <v>103</v>
      </c>
      <c r="J11071" s="3" t="s">
        <v>103</v>
      </c>
    </row>
    <row r="11072" spans="1:10" s="3" customFormat="1" x14ac:dyDescent="0.3">
      <c r="A11072" s="3" t="s">
        <v>28</v>
      </c>
      <c r="B11072" s="3" t="s">
        <v>585</v>
      </c>
      <c r="C11072" s="3">
        <v>8</v>
      </c>
      <c r="D11072" s="3" t="s">
        <v>821</v>
      </c>
      <c r="E11072" s="3" t="s">
        <v>48</v>
      </c>
      <c r="F11072" s="3" t="s">
        <v>103</v>
      </c>
      <c r="G11072" s="3" t="s">
        <v>103</v>
      </c>
      <c r="H11072" s="3" t="s">
        <v>103</v>
      </c>
      <c r="I11072" s="3" t="s">
        <v>254</v>
      </c>
      <c r="J11072" s="3" t="s">
        <v>103</v>
      </c>
    </row>
    <row r="11073" spans="1:10" s="3" customFormat="1" x14ac:dyDescent="0.3">
      <c r="A11073" s="3" t="s">
        <v>28</v>
      </c>
      <c r="B11073" s="3" t="s">
        <v>586</v>
      </c>
      <c r="C11073" s="3">
        <v>6</v>
      </c>
      <c r="D11073" s="3" t="s">
        <v>545</v>
      </c>
      <c r="E11073" s="3" t="s">
        <v>1397</v>
      </c>
      <c r="F11073" s="3" t="s">
        <v>103</v>
      </c>
      <c r="G11073" s="3" t="s">
        <v>103</v>
      </c>
      <c r="H11073" s="3" t="s">
        <v>103</v>
      </c>
      <c r="I11073" s="3" t="s">
        <v>103</v>
      </c>
      <c r="J11073" s="3" t="s">
        <v>103</v>
      </c>
    </row>
    <row r="11074" spans="1:10" s="3" customFormat="1" x14ac:dyDescent="0.3">
      <c r="A11074" s="3" t="s">
        <v>28</v>
      </c>
      <c r="B11074" s="3" t="s">
        <v>587</v>
      </c>
      <c r="C11074" s="3">
        <v>11</v>
      </c>
      <c r="D11074" s="3" t="s">
        <v>55</v>
      </c>
      <c r="E11074" s="3" t="s">
        <v>813</v>
      </c>
      <c r="F11074" s="3" t="s">
        <v>103</v>
      </c>
      <c r="G11074" s="3" t="s">
        <v>103</v>
      </c>
      <c r="H11074" s="3" t="s">
        <v>103</v>
      </c>
      <c r="I11074" s="3" t="s">
        <v>232</v>
      </c>
      <c r="J11074" s="3" t="s">
        <v>103</v>
      </c>
    </row>
    <row r="11075" spans="1:10" x14ac:dyDescent="0.3">
      <c r="A11075" t="s">
        <v>28</v>
      </c>
      <c r="B11075" t="s">
        <v>588</v>
      </c>
      <c r="C11075">
        <v>33</v>
      </c>
      <c r="D11075" t="s">
        <v>1257</v>
      </c>
      <c r="E11075" t="s">
        <v>1091</v>
      </c>
      <c r="F11075" t="s">
        <v>103</v>
      </c>
      <c r="G11075" t="s">
        <v>103</v>
      </c>
      <c r="H11075" t="s">
        <v>103</v>
      </c>
      <c r="I11075" t="s">
        <v>125</v>
      </c>
      <c r="J11075" t="s">
        <v>217</v>
      </c>
    </row>
    <row r="11076" spans="1:10" x14ac:dyDescent="0.3">
      <c r="A11076" t="s">
        <v>28</v>
      </c>
      <c r="B11076" t="s">
        <v>2766</v>
      </c>
      <c r="C11076">
        <v>253</v>
      </c>
      <c r="D11076" t="s">
        <v>802</v>
      </c>
      <c r="E11076" t="s">
        <v>661</v>
      </c>
      <c r="F11076" t="s">
        <v>103</v>
      </c>
      <c r="G11076" t="s">
        <v>103</v>
      </c>
      <c r="H11076" t="s">
        <v>103</v>
      </c>
      <c r="I11076" t="s">
        <v>33</v>
      </c>
      <c r="J11076" t="s">
        <v>105</v>
      </c>
    </row>
    <row r="11077" spans="1:10" x14ac:dyDescent="0.3">
      <c r="A11077" t="s">
        <v>27</v>
      </c>
      <c r="B11077" t="s">
        <v>2765</v>
      </c>
      <c r="C11077">
        <v>92</v>
      </c>
      <c r="D11077" t="s">
        <v>772</v>
      </c>
      <c r="E11077" t="s">
        <v>1208</v>
      </c>
      <c r="F11077" t="s">
        <v>118</v>
      </c>
      <c r="G11077" t="s">
        <v>103</v>
      </c>
      <c r="H11077" t="s">
        <v>103</v>
      </c>
      <c r="I11077" t="s">
        <v>128</v>
      </c>
      <c r="J11077" t="s">
        <v>103</v>
      </c>
    </row>
    <row r="11078" spans="1:10" s="3" customFormat="1" x14ac:dyDescent="0.3">
      <c r="A11078" s="3" t="s">
        <v>27</v>
      </c>
      <c r="B11078" s="3" t="s">
        <v>585</v>
      </c>
      <c r="C11078" s="3">
        <v>1</v>
      </c>
      <c r="D11078" s="3" t="s">
        <v>192</v>
      </c>
      <c r="E11078" s="3" t="s">
        <v>103</v>
      </c>
      <c r="F11078" s="3" t="s">
        <v>103</v>
      </c>
      <c r="G11078" s="3" t="s">
        <v>103</v>
      </c>
      <c r="H11078" s="3" t="s">
        <v>103</v>
      </c>
      <c r="I11078" s="3" t="s">
        <v>103</v>
      </c>
      <c r="J11078" s="3" t="s">
        <v>103</v>
      </c>
    </row>
    <row r="11079" spans="1:10" s="3" customFormat="1" x14ac:dyDescent="0.3">
      <c r="A11079" s="3" t="s">
        <v>27</v>
      </c>
      <c r="B11079" s="3" t="s">
        <v>586</v>
      </c>
      <c r="C11079" s="3">
        <v>1</v>
      </c>
      <c r="D11079" s="3" t="s">
        <v>192</v>
      </c>
      <c r="E11079" s="3" t="s">
        <v>192</v>
      </c>
      <c r="F11079" s="3" t="s">
        <v>103</v>
      </c>
      <c r="G11079" s="3" t="s">
        <v>103</v>
      </c>
      <c r="H11079" s="3" t="s">
        <v>103</v>
      </c>
      <c r="I11079" s="3" t="s">
        <v>103</v>
      </c>
      <c r="J11079" s="3" t="s">
        <v>103</v>
      </c>
    </row>
    <row r="11080" spans="1:10" s="3" customFormat="1" x14ac:dyDescent="0.3">
      <c r="A11080" s="3" t="s">
        <v>27</v>
      </c>
      <c r="B11080" s="3" t="s">
        <v>588</v>
      </c>
      <c r="C11080" s="3">
        <v>3</v>
      </c>
      <c r="D11080" s="3" t="s">
        <v>1258</v>
      </c>
      <c r="E11080" s="3" t="s">
        <v>192</v>
      </c>
      <c r="F11080" s="3" t="s">
        <v>103</v>
      </c>
      <c r="G11080" s="3" t="s">
        <v>103</v>
      </c>
      <c r="H11080" s="3" t="s">
        <v>103</v>
      </c>
      <c r="I11080" s="3" t="s">
        <v>103</v>
      </c>
      <c r="J11080" s="3" t="s">
        <v>103</v>
      </c>
    </row>
    <row r="11081" spans="1:10" x14ac:dyDescent="0.3">
      <c r="A11081" t="s">
        <v>27</v>
      </c>
      <c r="B11081" t="s">
        <v>2766</v>
      </c>
      <c r="C11081">
        <v>203</v>
      </c>
      <c r="D11081" t="s">
        <v>1153</v>
      </c>
      <c r="E11081" t="s">
        <v>834</v>
      </c>
      <c r="F11081" t="s">
        <v>481</v>
      </c>
      <c r="G11081" t="s">
        <v>33</v>
      </c>
      <c r="H11081" t="s">
        <v>103</v>
      </c>
      <c r="I11081" t="s">
        <v>110</v>
      </c>
      <c r="J11081" t="s">
        <v>103</v>
      </c>
    </row>
    <row r="11082" spans="1:10" x14ac:dyDescent="0.3">
      <c r="A11082" t="s">
        <v>41</v>
      </c>
      <c r="B11082" t="s">
        <v>2765</v>
      </c>
      <c r="C11082">
        <v>170</v>
      </c>
      <c r="D11082" t="s">
        <v>857</v>
      </c>
      <c r="E11082" t="s">
        <v>1284</v>
      </c>
      <c r="F11082" t="s">
        <v>284</v>
      </c>
      <c r="G11082" t="s">
        <v>206</v>
      </c>
      <c r="H11082" t="s">
        <v>103</v>
      </c>
      <c r="I11082" t="s">
        <v>54</v>
      </c>
      <c r="J11082" t="s">
        <v>103</v>
      </c>
    </row>
    <row r="11083" spans="1:10" s="3" customFormat="1" x14ac:dyDescent="0.3">
      <c r="A11083" s="3" t="s">
        <v>41</v>
      </c>
      <c r="B11083" s="3" t="s">
        <v>585</v>
      </c>
      <c r="C11083" s="3">
        <v>20</v>
      </c>
      <c r="D11083" s="3" t="s">
        <v>258</v>
      </c>
      <c r="E11083" s="3" t="s">
        <v>410</v>
      </c>
      <c r="F11083" s="3" t="s">
        <v>548</v>
      </c>
      <c r="G11083" s="3" t="s">
        <v>171</v>
      </c>
      <c r="H11083" s="3" t="s">
        <v>103</v>
      </c>
      <c r="I11083" s="3" t="s">
        <v>125</v>
      </c>
      <c r="J11083" s="3" t="s">
        <v>164</v>
      </c>
    </row>
    <row r="11084" spans="1:10" x14ac:dyDescent="0.3">
      <c r="A11084" t="s">
        <v>41</v>
      </c>
      <c r="B11084" t="s">
        <v>586</v>
      </c>
      <c r="C11084">
        <v>40</v>
      </c>
      <c r="D11084" t="s">
        <v>801</v>
      </c>
      <c r="E11084" t="s">
        <v>389</v>
      </c>
      <c r="F11084" t="s">
        <v>103</v>
      </c>
      <c r="G11084" t="s">
        <v>103</v>
      </c>
      <c r="H11084" t="s">
        <v>103</v>
      </c>
      <c r="I11084" t="s">
        <v>144</v>
      </c>
      <c r="J11084" t="s">
        <v>114</v>
      </c>
    </row>
    <row r="11085" spans="1:10" s="3" customFormat="1" x14ac:dyDescent="0.3">
      <c r="A11085" s="3" t="s">
        <v>41</v>
      </c>
      <c r="B11085" s="3" t="s">
        <v>587</v>
      </c>
      <c r="C11085" s="3">
        <v>24</v>
      </c>
      <c r="D11085" s="3" t="s">
        <v>1180</v>
      </c>
      <c r="E11085" s="3" t="s">
        <v>353</v>
      </c>
      <c r="F11085" s="3" t="s">
        <v>123</v>
      </c>
      <c r="G11085" s="3" t="s">
        <v>103</v>
      </c>
      <c r="H11085" s="3" t="s">
        <v>103</v>
      </c>
      <c r="I11085" s="3" t="s">
        <v>114</v>
      </c>
      <c r="J11085" s="3" t="s">
        <v>93</v>
      </c>
    </row>
    <row r="11086" spans="1:10" x14ac:dyDescent="0.3">
      <c r="A11086" t="s">
        <v>41</v>
      </c>
      <c r="B11086" t="s">
        <v>588</v>
      </c>
      <c r="C11086">
        <v>75</v>
      </c>
      <c r="D11086" t="s">
        <v>620</v>
      </c>
      <c r="E11086" t="s">
        <v>678</v>
      </c>
      <c r="F11086" t="s">
        <v>594</v>
      </c>
      <c r="G11086" t="s">
        <v>511</v>
      </c>
      <c r="H11086" t="s">
        <v>103</v>
      </c>
      <c r="I11086" t="s">
        <v>601</v>
      </c>
      <c r="J11086" t="s">
        <v>122</v>
      </c>
    </row>
    <row r="11087" spans="1:10" x14ac:dyDescent="0.3">
      <c r="A11087" t="s">
        <v>41</v>
      </c>
      <c r="B11087" t="s">
        <v>2766</v>
      </c>
      <c r="C11087">
        <v>1709</v>
      </c>
      <c r="D11087" t="s">
        <v>1252</v>
      </c>
      <c r="E11087" t="s">
        <v>1549</v>
      </c>
      <c r="F11087" t="s">
        <v>140</v>
      </c>
      <c r="G11087" t="s">
        <v>549</v>
      </c>
      <c r="H11087" t="s">
        <v>116</v>
      </c>
      <c r="I11087" t="s">
        <v>123</v>
      </c>
      <c r="J11087" t="s">
        <v>282</v>
      </c>
    </row>
    <row r="11089" spans="1:10" x14ac:dyDescent="0.3">
      <c r="A11089" t="s">
        <v>2793</v>
      </c>
    </row>
    <row r="11090" spans="1:10" x14ac:dyDescent="0.3">
      <c r="A11090" t="s">
        <v>36</v>
      </c>
      <c r="B11090" t="s">
        <v>2768</v>
      </c>
      <c r="C11090" t="s">
        <v>24</v>
      </c>
      <c r="D11090" t="s">
        <v>2781</v>
      </c>
      <c r="E11090" t="s">
        <v>2782</v>
      </c>
      <c r="F11090" t="s">
        <v>2783</v>
      </c>
      <c r="G11090" t="s">
        <v>2784</v>
      </c>
      <c r="H11090" t="s">
        <v>2785</v>
      </c>
      <c r="I11090" t="s">
        <v>58</v>
      </c>
      <c r="J11090" t="s">
        <v>1566</v>
      </c>
    </row>
    <row r="11091" spans="1:10" s="3" customFormat="1" x14ac:dyDescent="0.3">
      <c r="A11091" s="3" t="s">
        <v>25</v>
      </c>
      <c r="B11091" s="3" t="s">
        <v>638</v>
      </c>
      <c r="C11091" s="3">
        <v>5</v>
      </c>
      <c r="D11091" s="3" t="s">
        <v>784</v>
      </c>
      <c r="E11091" s="3" t="s">
        <v>664</v>
      </c>
      <c r="F11091" s="3" t="s">
        <v>103</v>
      </c>
      <c r="G11091" s="3" t="s">
        <v>224</v>
      </c>
      <c r="H11091" s="3" t="s">
        <v>103</v>
      </c>
      <c r="I11091" s="3" t="s">
        <v>103</v>
      </c>
      <c r="J11091" s="3" t="s">
        <v>103</v>
      </c>
    </row>
    <row r="11092" spans="1:10" s="3" customFormat="1" x14ac:dyDescent="0.3">
      <c r="A11092" s="3" t="s">
        <v>25</v>
      </c>
      <c r="B11092" s="3" t="s">
        <v>639</v>
      </c>
      <c r="C11092" s="3">
        <v>13</v>
      </c>
      <c r="D11092" s="3" t="s">
        <v>371</v>
      </c>
      <c r="E11092" s="3" t="s">
        <v>1441</v>
      </c>
      <c r="F11092" s="3" t="s">
        <v>103</v>
      </c>
      <c r="G11092" s="3" t="s">
        <v>516</v>
      </c>
      <c r="H11092" s="3" t="s">
        <v>103</v>
      </c>
      <c r="I11092" s="3" t="s">
        <v>460</v>
      </c>
      <c r="J11092" s="3" t="s">
        <v>103</v>
      </c>
    </row>
    <row r="11093" spans="1:10" s="3" customFormat="1" x14ac:dyDescent="0.3">
      <c r="A11093" s="3" t="s">
        <v>25</v>
      </c>
      <c r="B11093" s="3" t="s">
        <v>640</v>
      </c>
      <c r="C11093" s="3">
        <v>11</v>
      </c>
      <c r="D11093" s="3" t="s">
        <v>434</v>
      </c>
      <c r="E11093" s="3" t="s">
        <v>233</v>
      </c>
      <c r="F11093" s="3" t="s">
        <v>103</v>
      </c>
      <c r="G11093" s="3" t="s">
        <v>110</v>
      </c>
      <c r="H11093" s="3" t="s">
        <v>103</v>
      </c>
      <c r="I11093" s="3" t="s">
        <v>236</v>
      </c>
      <c r="J11093" s="3" t="s">
        <v>103</v>
      </c>
    </row>
    <row r="11094" spans="1:10" s="3" customFormat="1" x14ac:dyDescent="0.3">
      <c r="A11094" s="3" t="s">
        <v>25</v>
      </c>
      <c r="B11094" s="3" t="s">
        <v>2765</v>
      </c>
      <c r="C11094" s="3">
        <v>2</v>
      </c>
      <c r="D11094" s="3" t="s">
        <v>103</v>
      </c>
      <c r="E11094" s="3" t="s">
        <v>761</v>
      </c>
      <c r="F11094" s="3" t="s">
        <v>103</v>
      </c>
      <c r="G11094" s="3" t="s">
        <v>103</v>
      </c>
      <c r="H11094" s="3" t="s">
        <v>103</v>
      </c>
      <c r="I11094" s="3" t="s">
        <v>695</v>
      </c>
      <c r="J11094" s="3" t="s">
        <v>103</v>
      </c>
    </row>
    <row r="11095" spans="1:10" s="3" customFormat="1" x14ac:dyDescent="0.3">
      <c r="A11095" s="3" t="s">
        <v>25</v>
      </c>
      <c r="B11095" s="3" t="s">
        <v>641</v>
      </c>
      <c r="C11095" s="3">
        <v>8</v>
      </c>
      <c r="D11095" s="3" t="s">
        <v>213</v>
      </c>
      <c r="E11095" s="3" t="s">
        <v>1084</v>
      </c>
      <c r="F11095" s="3" t="s">
        <v>103</v>
      </c>
      <c r="G11095" s="3" t="s">
        <v>103</v>
      </c>
      <c r="H11095" s="3" t="s">
        <v>103</v>
      </c>
      <c r="I11095" s="3" t="s">
        <v>103</v>
      </c>
      <c r="J11095" s="3" t="s">
        <v>103</v>
      </c>
    </row>
    <row r="11096" spans="1:10" s="3" customFormat="1" x14ac:dyDescent="0.3">
      <c r="A11096" s="3" t="s">
        <v>25</v>
      </c>
      <c r="B11096" s="3" t="s">
        <v>2769</v>
      </c>
      <c r="C11096" s="3">
        <v>5</v>
      </c>
      <c r="D11096" s="3" t="s">
        <v>462</v>
      </c>
      <c r="E11096" s="3" t="s">
        <v>991</v>
      </c>
      <c r="F11096" s="3" t="s">
        <v>103</v>
      </c>
      <c r="G11096" s="3" t="s">
        <v>103</v>
      </c>
      <c r="H11096" s="3" t="s">
        <v>103</v>
      </c>
      <c r="I11096" s="3" t="s">
        <v>251</v>
      </c>
      <c r="J11096" s="3" t="s">
        <v>103</v>
      </c>
    </row>
    <row r="11097" spans="1:10" x14ac:dyDescent="0.3">
      <c r="A11097" t="s">
        <v>25</v>
      </c>
      <c r="B11097" t="s">
        <v>308</v>
      </c>
      <c r="C11097">
        <v>370</v>
      </c>
      <c r="D11097" t="s">
        <v>406</v>
      </c>
      <c r="E11097" t="s">
        <v>937</v>
      </c>
      <c r="F11097" t="s">
        <v>511</v>
      </c>
      <c r="G11097" t="s">
        <v>126</v>
      </c>
      <c r="H11097" t="s">
        <v>103</v>
      </c>
      <c r="I11097" t="s">
        <v>482</v>
      </c>
      <c r="J11097" t="s">
        <v>97</v>
      </c>
    </row>
    <row r="11098" spans="1:10" s="3" customFormat="1" x14ac:dyDescent="0.3">
      <c r="A11098" s="3" t="s">
        <v>26</v>
      </c>
      <c r="B11098" s="3" t="s">
        <v>639</v>
      </c>
      <c r="C11098" s="3">
        <v>7</v>
      </c>
      <c r="D11098" s="3" t="s">
        <v>1018</v>
      </c>
      <c r="E11098" s="3" t="s">
        <v>1676</v>
      </c>
      <c r="F11098" s="3" t="s">
        <v>556</v>
      </c>
      <c r="G11098" s="3" t="s">
        <v>103</v>
      </c>
      <c r="H11098" s="3" t="s">
        <v>103</v>
      </c>
      <c r="I11098" s="3" t="s">
        <v>103</v>
      </c>
      <c r="J11098" s="3" t="s">
        <v>103</v>
      </c>
    </row>
    <row r="11099" spans="1:10" s="3" customFormat="1" x14ac:dyDescent="0.3">
      <c r="A11099" s="3" t="s">
        <v>26</v>
      </c>
      <c r="B11099" s="3" t="s">
        <v>640</v>
      </c>
      <c r="C11099" s="3">
        <v>2</v>
      </c>
      <c r="D11099" s="3" t="s">
        <v>192</v>
      </c>
      <c r="E11099" s="3" t="s">
        <v>1426</v>
      </c>
      <c r="F11099" s="3" t="s">
        <v>103</v>
      </c>
      <c r="G11099" s="3" t="s">
        <v>103</v>
      </c>
      <c r="H11099" s="3" t="s">
        <v>103</v>
      </c>
      <c r="I11099" s="3" t="s">
        <v>103</v>
      </c>
      <c r="J11099" s="3" t="s">
        <v>103</v>
      </c>
    </row>
    <row r="11100" spans="1:10" s="3" customFormat="1" x14ac:dyDescent="0.3">
      <c r="A11100" s="3" t="s">
        <v>26</v>
      </c>
      <c r="B11100" s="3" t="s">
        <v>641</v>
      </c>
      <c r="C11100" s="3">
        <v>5</v>
      </c>
      <c r="D11100" s="3" t="s">
        <v>774</v>
      </c>
      <c r="E11100" s="3" t="s">
        <v>635</v>
      </c>
      <c r="F11100" s="3" t="s">
        <v>103</v>
      </c>
      <c r="G11100" s="3" t="s">
        <v>103</v>
      </c>
      <c r="H11100" s="3" t="s">
        <v>103</v>
      </c>
      <c r="I11100" s="3" t="s">
        <v>273</v>
      </c>
      <c r="J11100" s="3" t="s">
        <v>103</v>
      </c>
    </row>
    <row r="11101" spans="1:10" s="3" customFormat="1" x14ac:dyDescent="0.3">
      <c r="A11101" s="3" t="s">
        <v>26</v>
      </c>
      <c r="B11101" s="3" t="s">
        <v>2769</v>
      </c>
      <c r="C11101" s="3">
        <v>2</v>
      </c>
      <c r="D11101" s="3" t="s">
        <v>697</v>
      </c>
      <c r="E11101" s="3" t="s">
        <v>697</v>
      </c>
      <c r="F11101" s="3" t="s">
        <v>103</v>
      </c>
      <c r="G11101" s="3" t="s">
        <v>103</v>
      </c>
      <c r="H11101" s="3" t="s">
        <v>103</v>
      </c>
      <c r="I11101" s="3" t="s">
        <v>103</v>
      </c>
      <c r="J11101" s="3" t="s">
        <v>227</v>
      </c>
    </row>
    <row r="11102" spans="1:10" x14ac:dyDescent="0.3">
      <c r="A11102" t="s">
        <v>26</v>
      </c>
      <c r="B11102" t="s">
        <v>308</v>
      </c>
      <c r="C11102">
        <v>461</v>
      </c>
      <c r="D11102" t="s">
        <v>1089</v>
      </c>
      <c r="E11102" t="s">
        <v>1236</v>
      </c>
      <c r="F11102" t="s">
        <v>257</v>
      </c>
      <c r="G11102" t="s">
        <v>281</v>
      </c>
      <c r="H11102" t="s">
        <v>103</v>
      </c>
      <c r="I11102" t="s">
        <v>644</v>
      </c>
      <c r="J11102" t="s">
        <v>95</v>
      </c>
    </row>
    <row r="11103" spans="1:10" s="3" customFormat="1" x14ac:dyDescent="0.3">
      <c r="A11103" s="3" t="s">
        <v>29</v>
      </c>
      <c r="B11103" s="3" t="s">
        <v>638</v>
      </c>
      <c r="C11103" s="3">
        <v>5</v>
      </c>
      <c r="D11103" s="3" t="s">
        <v>920</v>
      </c>
      <c r="E11103" s="3" t="s">
        <v>1240</v>
      </c>
      <c r="F11103" s="3" t="s">
        <v>103</v>
      </c>
      <c r="G11103" s="3" t="s">
        <v>920</v>
      </c>
      <c r="H11103" s="3" t="s">
        <v>103</v>
      </c>
      <c r="I11103" s="3" t="s">
        <v>201</v>
      </c>
      <c r="J11103" s="3" t="s">
        <v>666</v>
      </c>
    </row>
    <row r="11104" spans="1:10" s="3" customFormat="1" x14ac:dyDescent="0.3">
      <c r="A11104" s="3" t="s">
        <v>29</v>
      </c>
      <c r="B11104" s="3" t="s">
        <v>639</v>
      </c>
      <c r="C11104" s="3">
        <v>4</v>
      </c>
      <c r="D11104" s="3" t="s">
        <v>426</v>
      </c>
      <c r="E11104" s="3" t="s">
        <v>103</v>
      </c>
      <c r="F11104" s="3" t="s">
        <v>537</v>
      </c>
      <c r="G11104" s="3" t="s">
        <v>103</v>
      </c>
      <c r="H11104" s="3" t="s">
        <v>103</v>
      </c>
      <c r="I11104" s="3" t="s">
        <v>1224</v>
      </c>
      <c r="J11104" s="3" t="s">
        <v>103</v>
      </c>
    </row>
    <row r="11105" spans="1:10" s="3" customFormat="1" x14ac:dyDescent="0.3">
      <c r="A11105" s="3" t="s">
        <v>29</v>
      </c>
      <c r="B11105" s="3" t="s">
        <v>640</v>
      </c>
      <c r="C11105" s="3">
        <v>10</v>
      </c>
      <c r="D11105" s="3" t="s">
        <v>610</v>
      </c>
      <c r="E11105" s="3" t="s">
        <v>1398</v>
      </c>
      <c r="F11105" s="3" t="s">
        <v>517</v>
      </c>
      <c r="G11105" s="3" t="s">
        <v>488</v>
      </c>
      <c r="H11105" s="3" t="s">
        <v>103</v>
      </c>
      <c r="I11105" s="3" t="s">
        <v>245</v>
      </c>
      <c r="J11105" s="3" t="s">
        <v>103</v>
      </c>
    </row>
    <row r="11106" spans="1:10" s="3" customFormat="1" x14ac:dyDescent="0.3">
      <c r="A11106" s="3" t="s">
        <v>29</v>
      </c>
      <c r="B11106" s="3" t="s">
        <v>2765</v>
      </c>
      <c r="C11106" s="3">
        <v>8</v>
      </c>
      <c r="D11106" s="3" t="s">
        <v>366</v>
      </c>
      <c r="E11106" s="3" t="s">
        <v>1135</v>
      </c>
      <c r="F11106" s="3" t="s">
        <v>62</v>
      </c>
      <c r="G11106" s="3" t="s">
        <v>103</v>
      </c>
      <c r="H11106" s="3" t="s">
        <v>103</v>
      </c>
      <c r="I11106" s="3" t="s">
        <v>257</v>
      </c>
      <c r="J11106" s="3" t="s">
        <v>103</v>
      </c>
    </row>
    <row r="11107" spans="1:10" s="3" customFormat="1" x14ac:dyDescent="0.3">
      <c r="A11107" s="3" t="s">
        <v>29</v>
      </c>
      <c r="B11107" s="3" t="s">
        <v>641</v>
      </c>
      <c r="C11107" s="3">
        <v>7</v>
      </c>
      <c r="D11107" s="3" t="s">
        <v>620</v>
      </c>
      <c r="E11107" s="3" t="s">
        <v>648</v>
      </c>
      <c r="F11107" s="3" t="s">
        <v>550</v>
      </c>
      <c r="G11107" s="3" t="s">
        <v>103</v>
      </c>
      <c r="H11107" s="3" t="s">
        <v>103</v>
      </c>
      <c r="I11107" s="3" t="s">
        <v>526</v>
      </c>
      <c r="J11107" s="3" t="s">
        <v>103</v>
      </c>
    </row>
    <row r="11108" spans="1:10" s="3" customFormat="1" x14ac:dyDescent="0.3">
      <c r="A11108" s="3" t="s">
        <v>29</v>
      </c>
      <c r="B11108" s="3" t="s">
        <v>2769</v>
      </c>
      <c r="C11108" s="3">
        <v>2</v>
      </c>
      <c r="D11108" s="3" t="s">
        <v>192</v>
      </c>
      <c r="E11108" s="3" t="s">
        <v>192</v>
      </c>
      <c r="F11108" s="3" t="s">
        <v>103</v>
      </c>
      <c r="G11108" s="3" t="s">
        <v>103</v>
      </c>
      <c r="H11108" s="3" t="s">
        <v>103</v>
      </c>
      <c r="I11108" s="3" t="s">
        <v>103</v>
      </c>
      <c r="J11108" s="3" t="s">
        <v>103</v>
      </c>
    </row>
    <row r="11109" spans="1:10" x14ac:dyDescent="0.3">
      <c r="A11109" t="s">
        <v>29</v>
      </c>
      <c r="B11109" t="s">
        <v>308</v>
      </c>
      <c r="C11109">
        <v>494</v>
      </c>
      <c r="D11109" t="s">
        <v>1170</v>
      </c>
      <c r="E11109" t="s">
        <v>933</v>
      </c>
      <c r="F11109" t="s">
        <v>601</v>
      </c>
      <c r="G11109" t="s">
        <v>244</v>
      </c>
      <c r="H11109" t="s">
        <v>120</v>
      </c>
      <c r="I11109" t="s">
        <v>60</v>
      </c>
      <c r="J11109" t="s">
        <v>194</v>
      </c>
    </row>
    <row r="11110" spans="1:10" s="3" customFormat="1" x14ac:dyDescent="0.3">
      <c r="A11110" s="3" t="s">
        <v>28</v>
      </c>
      <c r="B11110" s="3" t="s">
        <v>638</v>
      </c>
      <c r="C11110" s="3">
        <v>9</v>
      </c>
      <c r="D11110" s="3" t="s">
        <v>747</v>
      </c>
      <c r="E11110" s="3" t="s">
        <v>253</v>
      </c>
      <c r="F11110" s="3" t="s">
        <v>103</v>
      </c>
      <c r="G11110" s="3" t="s">
        <v>103</v>
      </c>
      <c r="H11110" s="3" t="s">
        <v>103</v>
      </c>
      <c r="I11110" s="3" t="s">
        <v>108</v>
      </c>
      <c r="J11110" s="3" t="s">
        <v>103</v>
      </c>
    </row>
    <row r="11111" spans="1:10" s="3" customFormat="1" x14ac:dyDescent="0.3">
      <c r="A11111" s="3" t="s">
        <v>28</v>
      </c>
      <c r="B11111" s="3" t="s">
        <v>639</v>
      </c>
      <c r="C11111" s="3">
        <v>17</v>
      </c>
      <c r="D11111" s="3" t="s">
        <v>976</v>
      </c>
      <c r="E11111" s="3" t="s">
        <v>488</v>
      </c>
      <c r="F11111" s="3" t="s">
        <v>103</v>
      </c>
      <c r="G11111" s="3" t="s">
        <v>103</v>
      </c>
      <c r="H11111" s="3" t="s">
        <v>103</v>
      </c>
      <c r="I11111" s="3" t="s">
        <v>459</v>
      </c>
      <c r="J11111" s="3" t="s">
        <v>103</v>
      </c>
    </row>
    <row r="11112" spans="1:10" s="3" customFormat="1" x14ac:dyDescent="0.3">
      <c r="A11112" s="3" t="s">
        <v>28</v>
      </c>
      <c r="B11112" s="3" t="s">
        <v>640</v>
      </c>
      <c r="C11112" s="3">
        <v>20</v>
      </c>
      <c r="D11112" s="3" t="s">
        <v>804</v>
      </c>
      <c r="E11112" s="3" t="s">
        <v>1260</v>
      </c>
      <c r="F11112" s="3" t="s">
        <v>103</v>
      </c>
      <c r="G11112" s="3" t="s">
        <v>103</v>
      </c>
      <c r="H11112" s="3" t="s">
        <v>103</v>
      </c>
      <c r="I11112" s="3" t="s">
        <v>103</v>
      </c>
      <c r="J11112" s="3" t="s">
        <v>103</v>
      </c>
    </row>
    <row r="11113" spans="1:10" s="3" customFormat="1" x14ac:dyDescent="0.3">
      <c r="A11113" s="3" t="s">
        <v>28</v>
      </c>
      <c r="B11113" s="3" t="s">
        <v>2765</v>
      </c>
      <c r="C11113" s="3">
        <v>2</v>
      </c>
      <c r="D11113" s="3" t="s">
        <v>492</v>
      </c>
      <c r="E11113" s="3" t="s">
        <v>1252</v>
      </c>
      <c r="F11113" s="3" t="s">
        <v>103</v>
      </c>
      <c r="G11113" s="3" t="s">
        <v>103</v>
      </c>
      <c r="H11113" s="3" t="s">
        <v>103</v>
      </c>
      <c r="I11113" s="3" t="s">
        <v>103</v>
      </c>
      <c r="J11113" s="3" t="s">
        <v>103</v>
      </c>
    </row>
    <row r="11114" spans="1:10" s="3" customFormat="1" x14ac:dyDescent="0.3">
      <c r="A11114" s="3" t="s">
        <v>28</v>
      </c>
      <c r="B11114" s="3" t="s">
        <v>641</v>
      </c>
      <c r="C11114" s="3">
        <v>7</v>
      </c>
      <c r="D11114" s="3" t="s">
        <v>573</v>
      </c>
      <c r="E11114" s="3" t="s">
        <v>673</v>
      </c>
      <c r="F11114" s="3" t="s">
        <v>103</v>
      </c>
      <c r="G11114" s="3" t="s">
        <v>103</v>
      </c>
      <c r="H11114" s="3" t="s">
        <v>103</v>
      </c>
      <c r="I11114" s="3" t="s">
        <v>103</v>
      </c>
      <c r="J11114" s="3" t="s">
        <v>737</v>
      </c>
    </row>
    <row r="11115" spans="1:10" s="3" customFormat="1" x14ac:dyDescent="0.3">
      <c r="A11115" s="3" t="s">
        <v>28</v>
      </c>
      <c r="B11115" s="3" t="s">
        <v>2769</v>
      </c>
      <c r="C11115" s="3">
        <v>3</v>
      </c>
      <c r="D11115" s="3" t="s">
        <v>619</v>
      </c>
      <c r="E11115" s="3" t="s">
        <v>502</v>
      </c>
      <c r="F11115" s="3" t="s">
        <v>103</v>
      </c>
      <c r="G11115" s="3" t="s">
        <v>103</v>
      </c>
      <c r="H11115" s="3" t="s">
        <v>103</v>
      </c>
      <c r="I11115" s="3" t="s">
        <v>103</v>
      </c>
      <c r="J11115" s="3" t="s">
        <v>103</v>
      </c>
    </row>
    <row r="11116" spans="1:10" x14ac:dyDescent="0.3">
      <c r="A11116" t="s">
        <v>28</v>
      </c>
      <c r="B11116" t="s">
        <v>308</v>
      </c>
      <c r="C11116">
        <v>259</v>
      </c>
      <c r="D11116" t="s">
        <v>678</v>
      </c>
      <c r="E11116" t="s">
        <v>694</v>
      </c>
      <c r="F11116" t="s">
        <v>103</v>
      </c>
      <c r="G11116" t="s">
        <v>103</v>
      </c>
      <c r="H11116" t="s">
        <v>103</v>
      </c>
      <c r="I11116" t="s">
        <v>32</v>
      </c>
      <c r="J11116" t="s">
        <v>245</v>
      </c>
    </row>
    <row r="11117" spans="1:10" s="3" customFormat="1" x14ac:dyDescent="0.3">
      <c r="A11117" s="3" t="s">
        <v>27</v>
      </c>
      <c r="B11117" s="3" t="s">
        <v>638</v>
      </c>
      <c r="C11117" s="3">
        <v>1</v>
      </c>
      <c r="D11117" s="3" t="s">
        <v>192</v>
      </c>
      <c r="E11117" s="3" t="s">
        <v>103</v>
      </c>
      <c r="F11117" s="3" t="s">
        <v>103</v>
      </c>
      <c r="G11117" s="3" t="s">
        <v>103</v>
      </c>
      <c r="H11117" s="3" t="s">
        <v>103</v>
      </c>
      <c r="I11117" s="3" t="s">
        <v>103</v>
      </c>
      <c r="J11117" s="3" t="s">
        <v>103</v>
      </c>
    </row>
    <row r="11118" spans="1:10" s="3" customFormat="1" x14ac:dyDescent="0.3">
      <c r="A11118" s="3" t="s">
        <v>27</v>
      </c>
      <c r="B11118" s="3" t="s">
        <v>639</v>
      </c>
      <c r="C11118" s="3">
        <v>1</v>
      </c>
      <c r="D11118" s="3" t="s">
        <v>103</v>
      </c>
      <c r="E11118" s="3" t="s">
        <v>192</v>
      </c>
      <c r="F11118" s="3" t="s">
        <v>103</v>
      </c>
      <c r="G11118" s="3" t="s">
        <v>103</v>
      </c>
      <c r="H11118" s="3" t="s">
        <v>103</v>
      </c>
      <c r="I11118" s="3" t="s">
        <v>103</v>
      </c>
      <c r="J11118" s="3" t="s">
        <v>103</v>
      </c>
    </row>
    <row r="11119" spans="1:10" s="3" customFormat="1" x14ac:dyDescent="0.3">
      <c r="A11119" s="3" t="s">
        <v>27</v>
      </c>
      <c r="B11119" s="3" t="s">
        <v>640</v>
      </c>
      <c r="C11119" s="3">
        <v>1</v>
      </c>
      <c r="D11119" s="3" t="s">
        <v>192</v>
      </c>
      <c r="E11119" s="3" t="s">
        <v>192</v>
      </c>
      <c r="F11119" s="3" t="s">
        <v>103</v>
      </c>
      <c r="G11119" s="3" t="s">
        <v>103</v>
      </c>
      <c r="H11119" s="3" t="s">
        <v>103</v>
      </c>
      <c r="I11119" s="3" t="s">
        <v>103</v>
      </c>
      <c r="J11119" s="3" t="s">
        <v>103</v>
      </c>
    </row>
    <row r="11120" spans="1:10" s="3" customFormat="1" x14ac:dyDescent="0.3">
      <c r="A11120" s="3" t="s">
        <v>27</v>
      </c>
      <c r="B11120" s="3" t="s">
        <v>2765</v>
      </c>
      <c r="C11120" s="3">
        <v>1</v>
      </c>
      <c r="D11120" s="3" t="s">
        <v>192</v>
      </c>
      <c r="E11120" s="3" t="s">
        <v>192</v>
      </c>
      <c r="F11120" s="3" t="s">
        <v>103</v>
      </c>
      <c r="G11120" s="3" t="s">
        <v>103</v>
      </c>
      <c r="H11120" s="3" t="s">
        <v>103</v>
      </c>
      <c r="I11120" s="3" t="s">
        <v>103</v>
      </c>
      <c r="J11120" s="3" t="s">
        <v>103</v>
      </c>
    </row>
    <row r="11121" spans="1:10" s="3" customFormat="1" x14ac:dyDescent="0.3">
      <c r="A11121" s="3" t="s">
        <v>27</v>
      </c>
      <c r="B11121" s="3" t="s">
        <v>641</v>
      </c>
      <c r="C11121" s="3">
        <v>1</v>
      </c>
      <c r="D11121" s="3" t="s">
        <v>192</v>
      </c>
      <c r="E11121" s="3" t="s">
        <v>192</v>
      </c>
      <c r="F11121" s="3" t="s">
        <v>103</v>
      </c>
      <c r="G11121" s="3" t="s">
        <v>103</v>
      </c>
      <c r="H11121" s="3" t="s">
        <v>103</v>
      </c>
      <c r="I11121" s="3" t="s">
        <v>103</v>
      </c>
      <c r="J11121" s="3" t="s">
        <v>103</v>
      </c>
    </row>
    <row r="11122" spans="1:10" x14ac:dyDescent="0.3">
      <c r="A11122" t="s">
        <v>27</v>
      </c>
      <c r="B11122" t="s">
        <v>308</v>
      </c>
      <c r="C11122">
        <v>295</v>
      </c>
      <c r="D11122" t="s">
        <v>709</v>
      </c>
      <c r="E11122" t="s">
        <v>730</v>
      </c>
      <c r="F11122" t="s">
        <v>737</v>
      </c>
      <c r="G11122" t="s">
        <v>68</v>
      </c>
      <c r="H11122" t="s">
        <v>103</v>
      </c>
      <c r="I11122" t="s">
        <v>245</v>
      </c>
      <c r="J11122" t="s">
        <v>103</v>
      </c>
    </row>
    <row r="11123" spans="1:10" s="3" customFormat="1" x14ac:dyDescent="0.3">
      <c r="A11123" s="3" t="s">
        <v>41</v>
      </c>
      <c r="B11123" s="3" t="s">
        <v>638</v>
      </c>
      <c r="C11123" s="3">
        <v>20</v>
      </c>
      <c r="D11123" s="3" t="s">
        <v>401</v>
      </c>
      <c r="E11123" s="3" t="s">
        <v>416</v>
      </c>
      <c r="F11123" s="3" t="s">
        <v>103</v>
      </c>
      <c r="G11123" s="3" t="s">
        <v>515</v>
      </c>
      <c r="H11123" s="3" t="s">
        <v>103</v>
      </c>
      <c r="I11123" s="3" t="s">
        <v>107</v>
      </c>
      <c r="J11123" s="3" t="s">
        <v>486</v>
      </c>
    </row>
    <row r="11124" spans="1:10" x14ac:dyDescent="0.3">
      <c r="A11124" t="s">
        <v>41</v>
      </c>
      <c r="B11124" t="s">
        <v>639</v>
      </c>
      <c r="C11124">
        <v>42</v>
      </c>
      <c r="D11124" t="s">
        <v>298</v>
      </c>
      <c r="E11124" t="s">
        <v>928</v>
      </c>
      <c r="F11124" t="s">
        <v>536</v>
      </c>
      <c r="G11124" t="s">
        <v>466</v>
      </c>
      <c r="H11124" t="s">
        <v>103</v>
      </c>
      <c r="I11124" t="s">
        <v>169</v>
      </c>
      <c r="J11124" t="s">
        <v>103</v>
      </c>
    </row>
    <row r="11125" spans="1:10" x14ac:dyDescent="0.3">
      <c r="A11125" t="s">
        <v>41</v>
      </c>
      <c r="B11125" t="s">
        <v>640</v>
      </c>
      <c r="C11125">
        <v>44</v>
      </c>
      <c r="D11125" t="s">
        <v>1398</v>
      </c>
      <c r="E11125" t="s">
        <v>814</v>
      </c>
      <c r="F11125" t="s">
        <v>70</v>
      </c>
      <c r="G11125" t="s">
        <v>101</v>
      </c>
      <c r="H11125" t="s">
        <v>103</v>
      </c>
      <c r="I11125" t="s">
        <v>262</v>
      </c>
      <c r="J11125" t="s">
        <v>103</v>
      </c>
    </row>
    <row r="11126" spans="1:10" s="3" customFormat="1" x14ac:dyDescent="0.3">
      <c r="A11126" s="3" t="s">
        <v>41</v>
      </c>
      <c r="B11126" s="3" t="s">
        <v>2765</v>
      </c>
      <c r="C11126" s="3">
        <v>13</v>
      </c>
      <c r="D11126" s="3" t="s">
        <v>782</v>
      </c>
      <c r="E11126" s="3" t="s">
        <v>47</v>
      </c>
      <c r="F11126" s="3" t="s">
        <v>262</v>
      </c>
      <c r="G11126" s="3" t="s">
        <v>103</v>
      </c>
      <c r="H11126" s="3" t="s">
        <v>103</v>
      </c>
      <c r="I11126" s="3" t="s">
        <v>188</v>
      </c>
      <c r="J11126" s="3" t="s">
        <v>103</v>
      </c>
    </row>
    <row r="11127" spans="1:10" s="3" customFormat="1" x14ac:dyDescent="0.3">
      <c r="A11127" s="3" t="s">
        <v>41</v>
      </c>
      <c r="B11127" s="3" t="s">
        <v>641</v>
      </c>
      <c r="C11127" s="3">
        <v>28</v>
      </c>
      <c r="D11127" s="3" t="s">
        <v>1244</v>
      </c>
      <c r="E11127" s="3" t="s">
        <v>402</v>
      </c>
      <c r="F11127" s="3" t="s">
        <v>108</v>
      </c>
      <c r="G11127" s="3" t="s">
        <v>103</v>
      </c>
      <c r="H11127" s="3" t="s">
        <v>103</v>
      </c>
      <c r="I11127" s="3" t="s">
        <v>130</v>
      </c>
      <c r="J11127" s="3" t="s">
        <v>98</v>
      </c>
    </row>
    <row r="11128" spans="1:10" s="3" customFormat="1" x14ac:dyDescent="0.3">
      <c r="A11128" s="3" t="s">
        <v>41</v>
      </c>
      <c r="B11128" s="3" t="s">
        <v>2769</v>
      </c>
      <c r="C11128" s="3">
        <v>12</v>
      </c>
      <c r="D11128" s="3" t="s">
        <v>1577</v>
      </c>
      <c r="E11128" s="3" t="s">
        <v>1371</v>
      </c>
      <c r="F11128" s="3" t="s">
        <v>103</v>
      </c>
      <c r="G11128" s="3" t="s">
        <v>103</v>
      </c>
      <c r="H11128" s="3" t="s">
        <v>103</v>
      </c>
      <c r="I11128" s="3" t="s">
        <v>438</v>
      </c>
      <c r="J11128" s="3" t="s">
        <v>890</v>
      </c>
    </row>
    <row r="11129" spans="1:10" x14ac:dyDescent="0.3">
      <c r="A11129" t="s">
        <v>41</v>
      </c>
      <c r="B11129" t="s">
        <v>308</v>
      </c>
      <c r="C11129">
        <v>1879</v>
      </c>
      <c r="D11129" t="s">
        <v>2103</v>
      </c>
      <c r="E11129" t="s">
        <v>2185</v>
      </c>
      <c r="F11129" t="s">
        <v>251</v>
      </c>
      <c r="G11129" t="s">
        <v>571</v>
      </c>
      <c r="H11129" t="s">
        <v>116</v>
      </c>
      <c r="I11129" t="s">
        <v>119</v>
      </c>
      <c r="J11129" t="s">
        <v>282</v>
      </c>
    </row>
    <row r="11131" spans="1:10" x14ac:dyDescent="0.3">
      <c r="A11131" t="s">
        <v>2794</v>
      </c>
    </row>
    <row r="11132" spans="1:10" x14ac:dyDescent="0.3">
      <c r="A11132" t="s">
        <v>36</v>
      </c>
      <c r="B11132" t="s">
        <v>2771</v>
      </c>
      <c r="C11132" t="s">
        <v>24</v>
      </c>
      <c r="D11132" t="s">
        <v>2781</v>
      </c>
      <c r="E11132" t="s">
        <v>2782</v>
      </c>
      <c r="F11132" t="s">
        <v>2783</v>
      </c>
      <c r="G11132" t="s">
        <v>2784</v>
      </c>
      <c r="H11132" t="s">
        <v>2785</v>
      </c>
      <c r="I11132" t="s">
        <v>58</v>
      </c>
      <c r="J11132" t="s">
        <v>1566</v>
      </c>
    </row>
    <row r="11133" spans="1:10" s="3" customFormat="1" x14ac:dyDescent="0.3">
      <c r="A11133" s="3" t="s">
        <v>25</v>
      </c>
      <c r="B11133" s="3" t="s">
        <v>2772</v>
      </c>
      <c r="C11133" s="3">
        <v>1</v>
      </c>
      <c r="D11133" s="3" t="s">
        <v>192</v>
      </c>
      <c r="E11133" s="3" t="s">
        <v>192</v>
      </c>
      <c r="F11133" s="3" t="s">
        <v>103</v>
      </c>
      <c r="G11133" s="3" t="s">
        <v>103</v>
      </c>
      <c r="H11133" s="3" t="s">
        <v>103</v>
      </c>
      <c r="I11133" s="3" t="s">
        <v>103</v>
      </c>
      <c r="J11133" s="3" t="s">
        <v>103</v>
      </c>
    </row>
    <row r="11134" spans="1:10" s="3" customFormat="1" x14ac:dyDescent="0.3">
      <c r="A11134" s="3" t="s">
        <v>25</v>
      </c>
      <c r="B11134" s="3" t="s">
        <v>2773</v>
      </c>
      <c r="C11134" s="3">
        <v>3</v>
      </c>
      <c r="D11134" s="3" t="s">
        <v>728</v>
      </c>
      <c r="E11134" s="3" t="s">
        <v>793</v>
      </c>
      <c r="F11134" s="3" t="s">
        <v>103</v>
      </c>
      <c r="G11134" s="3" t="s">
        <v>103</v>
      </c>
      <c r="H11134" s="3" t="s">
        <v>103</v>
      </c>
      <c r="I11134" s="3" t="s">
        <v>103</v>
      </c>
      <c r="J11134" s="3" t="s">
        <v>103</v>
      </c>
    </row>
    <row r="11135" spans="1:10" s="3" customFormat="1" x14ac:dyDescent="0.3">
      <c r="A11135" s="3" t="s">
        <v>25</v>
      </c>
      <c r="B11135" s="3" t="s">
        <v>2774</v>
      </c>
      <c r="C11135" s="3">
        <v>9</v>
      </c>
      <c r="D11135" s="3" t="s">
        <v>415</v>
      </c>
      <c r="E11135" s="3" t="s">
        <v>1282</v>
      </c>
      <c r="F11135" s="3" t="s">
        <v>103</v>
      </c>
      <c r="G11135" s="3" t="s">
        <v>103</v>
      </c>
      <c r="H11135" s="3" t="s">
        <v>103</v>
      </c>
      <c r="I11135" s="3" t="s">
        <v>103</v>
      </c>
      <c r="J11135" s="3" t="s">
        <v>103</v>
      </c>
    </row>
    <row r="11136" spans="1:10" s="3" customFormat="1" x14ac:dyDescent="0.3">
      <c r="A11136" s="3" t="s">
        <v>25</v>
      </c>
      <c r="B11136" s="3" t="s">
        <v>2775</v>
      </c>
      <c r="C11136" s="3">
        <v>21</v>
      </c>
      <c r="D11136" s="3" t="s">
        <v>1009</v>
      </c>
      <c r="E11136" s="3" t="s">
        <v>227</v>
      </c>
      <c r="F11136" s="3" t="s">
        <v>813</v>
      </c>
      <c r="G11136" s="3" t="s">
        <v>531</v>
      </c>
      <c r="H11136" s="3" t="s">
        <v>103</v>
      </c>
      <c r="I11136" s="3" t="s">
        <v>214</v>
      </c>
      <c r="J11136" s="3" t="s">
        <v>103</v>
      </c>
    </row>
    <row r="11137" spans="1:10" x14ac:dyDescent="0.3">
      <c r="A11137" t="s">
        <v>25</v>
      </c>
      <c r="B11137" t="s">
        <v>2776</v>
      </c>
      <c r="C11137">
        <v>51</v>
      </c>
      <c r="D11137" t="s">
        <v>808</v>
      </c>
      <c r="E11137" t="s">
        <v>790</v>
      </c>
      <c r="F11137" t="s">
        <v>68</v>
      </c>
      <c r="G11137" t="s">
        <v>70</v>
      </c>
      <c r="H11137" t="s">
        <v>103</v>
      </c>
      <c r="I11137" t="s">
        <v>115</v>
      </c>
      <c r="J11137" t="s">
        <v>103</v>
      </c>
    </row>
    <row r="11138" spans="1:10" x14ac:dyDescent="0.3">
      <c r="A11138" t="s">
        <v>25</v>
      </c>
      <c r="B11138" t="s">
        <v>2777</v>
      </c>
      <c r="C11138">
        <v>151</v>
      </c>
      <c r="D11138" t="s">
        <v>258</v>
      </c>
      <c r="E11138" t="s">
        <v>1375</v>
      </c>
      <c r="F11138" t="s">
        <v>242</v>
      </c>
      <c r="G11138" t="s">
        <v>607</v>
      </c>
      <c r="H11138" t="s">
        <v>103</v>
      </c>
      <c r="I11138" t="s">
        <v>571</v>
      </c>
      <c r="J11138" t="s">
        <v>103</v>
      </c>
    </row>
    <row r="11139" spans="1:10" x14ac:dyDescent="0.3">
      <c r="A11139" t="s">
        <v>25</v>
      </c>
      <c r="B11139" t="s">
        <v>2778</v>
      </c>
      <c r="C11139">
        <v>174</v>
      </c>
      <c r="D11139" t="s">
        <v>417</v>
      </c>
      <c r="E11139" t="s">
        <v>1047</v>
      </c>
      <c r="F11139" t="s">
        <v>112</v>
      </c>
      <c r="G11139" t="s">
        <v>146</v>
      </c>
      <c r="H11139" t="s">
        <v>103</v>
      </c>
      <c r="I11139" t="s">
        <v>890</v>
      </c>
      <c r="J11139" t="s">
        <v>345</v>
      </c>
    </row>
    <row r="11140" spans="1:10" s="3" customFormat="1" x14ac:dyDescent="0.3">
      <c r="A11140" s="3" t="s">
        <v>25</v>
      </c>
      <c r="B11140" s="3" t="s">
        <v>223</v>
      </c>
      <c r="C11140" s="3">
        <v>2</v>
      </c>
      <c r="D11140" s="3" t="s">
        <v>192</v>
      </c>
      <c r="E11140" s="3" t="s">
        <v>55</v>
      </c>
      <c r="F11140" s="3" t="s">
        <v>103</v>
      </c>
      <c r="G11140" s="3" t="s">
        <v>103</v>
      </c>
      <c r="H11140" s="3" t="s">
        <v>103</v>
      </c>
      <c r="I11140" s="3" t="s">
        <v>103</v>
      </c>
      <c r="J11140" s="3" t="s">
        <v>103</v>
      </c>
    </row>
    <row r="11141" spans="1:10" x14ac:dyDescent="0.3">
      <c r="A11141" t="s">
        <v>25</v>
      </c>
      <c r="B11141" t="s">
        <v>308</v>
      </c>
      <c r="C11141">
        <v>2</v>
      </c>
      <c r="D11141" t="s">
        <v>103</v>
      </c>
      <c r="E11141" t="s">
        <v>192</v>
      </c>
      <c r="F11141" t="s">
        <v>103</v>
      </c>
      <c r="G11141" t="s">
        <v>103</v>
      </c>
      <c r="H11141" t="s">
        <v>103</v>
      </c>
      <c r="I11141" t="s">
        <v>103</v>
      </c>
      <c r="J11141" t="s">
        <v>103</v>
      </c>
    </row>
    <row r="11142" spans="1:10" s="3" customFormat="1" x14ac:dyDescent="0.3">
      <c r="A11142" s="3" t="s">
        <v>26</v>
      </c>
      <c r="B11142" s="3" t="s">
        <v>2772</v>
      </c>
      <c r="C11142" s="3">
        <v>3</v>
      </c>
      <c r="D11142" s="3" t="s">
        <v>1284</v>
      </c>
      <c r="E11142" s="3" t="s">
        <v>1199</v>
      </c>
      <c r="F11142" s="3" t="s">
        <v>103</v>
      </c>
      <c r="G11142" s="3" t="s">
        <v>103</v>
      </c>
      <c r="H11142" s="3" t="s">
        <v>103</v>
      </c>
      <c r="I11142" s="3" t="s">
        <v>103</v>
      </c>
      <c r="J11142" s="3" t="s">
        <v>103</v>
      </c>
    </row>
    <row r="11143" spans="1:10" s="3" customFormat="1" x14ac:dyDescent="0.3">
      <c r="A11143" s="3" t="s">
        <v>26</v>
      </c>
      <c r="B11143" s="3" t="s">
        <v>2773</v>
      </c>
      <c r="C11143" s="3">
        <v>8</v>
      </c>
      <c r="D11143" s="3" t="s">
        <v>1354</v>
      </c>
      <c r="E11143" s="3" t="s">
        <v>628</v>
      </c>
      <c r="F11143" s="3" t="s">
        <v>103</v>
      </c>
      <c r="G11143" s="3" t="s">
        <v>148</v>
      </c>
      <c r="H11143" s="3" t="s">
        <v>103</v>
      </c>
      <c r="I11143" s="3" t="s">
        <v>550</v>
      </c>
      <c r="J11143" s="3" t="s">
        <v>103</v>
      </c>
    </row>
    <row r="11144" spans="1:10" s="3" customFormat="1" x14ac:dyDescent="0.3">
      <c r="A11144" s="3" t="s">
        <v>26</v>
      </c>
      <c r="B11144" s="3" t="s">
        <v>2774</v>
      </c>
      <c r="C11144" s="3">
        <v>22</v>
      </c>
      <c r="D11144" s="3" t="s">
        <v>1018</v>
      </c>
      <c r="E11144" s="3" t="s">
        <v>593</v>
      </c>
      <c r="F11144" s="3" t="s">
        <v>809</v>
      </c>
      <c r="G11144" s="3" t="s">
        <v>137</v>
      </c>
      <c r="H11144" s="3" t="s">
        <v>103</v>
      </c>
      <c r="I11144" s="3" t="s">
        <v>169</v>
      </c>
      <c r="J11144" s="3" t="s">
        <v>532</v>
      </c>
    </row>
    <row r="11145" spans="1:10" x14ac:dyDescent="0.3">
      <c r="A11145" t="s">
        <v>26</v>
      </c>
      <c r="B11145" t="s">
        <v>2775</v>
      </c>
      <c r="C11145">
        <v>33</v>
      </c>
      <c r="D11145" t="s">
        <v>1679</v>
      </c>
      <c r="E11145" t="s">
        <v>454</v>
      </c>
      <c r="F11145" t="s">
        <v>103</v>
      </c>
      <c r="G11145" t="s">
        <v>169</v>
      </c>
      <c r="H11145" t="s">
        <v>103</v>
      </c>
      <c r="I11145" t="s">
        <v>700</v>
      </c>
      <c r="J11145" t="s">
        <v>103</v>
      </c>
    </row>
    <row r="11146" spans="1:10" x14ac:dyDescent="0.3">
      <c r="A11146" t="s">
        <v>26</v>
      </c>
      <c r="B11146" t="s">
        <v>2776</v>
      </c>
      <c r="C11146">
        <v>86</v>
      </c>
      <c r="D11146" t="s">
        <v>1000</v>
      </c>
      <c r="E11146" t="s">
        <v>235</v>
      </c>
      <c r="F11146" t="s">
        <v>125</v>
      </c>
      <c r="G11146" t="s">
        <v>737</v>
      </c>
      <c r="H11146" t="s">
        <v>103</v>
      </c>
      <c r="I11146" t="s">
        <v>819</v>
      </c>
      <c r="J11146" t="s">
        <v>345</v>
      </c>
    </row>
    <row r="11147" spans="1:10" x14ac:dyDescent="0.3">
      <c r="A11147" t="s">
        <v>26</v>
      </c>
      <c r="B11147" t="s">
        <v>2777</v>
      </c>
      <c r="C11147">
        <v>192</v>
      </c>
      <c r="D11147" t="s">
        <v>359</v>
      </c>
      <c r="E11147" t="s">
        <v>546</v>
      </c>
      <c r="F11147" t="s">
        <v>468</v>
      </c>
      <c r="G11147" t="s">
        <v>102</v>
      </c>
      <c r="H11147" t="s">
        <v>103</v>
      </c>
      <c r="I11147" t="s">
        <v>559</v>
      </c>
      <c r="J11147" t="s">
        <v>97</v>
      </c>
    </row>
    <row r="11148" spans="1:10" x14ac:dyDescent="0.3">
      <c r="A11148" t="s">
        <v>26</v>
      </c>
      <c r="B11148" t="s">
        <v>2778</v>
      </c>
      <c r="C11148">
        <v>126</v>
      </c>
      <c r="D11148" t="s">
        <v>371</v>
      </c>
      <c r="E11148" t="s">
        <v>664</v>
      </c>
      <c r="F11148" t="s">
        <v>114</v>
      </c>
      <c r="G11148" t="s">
        <v>270</v>
      </c>
      <c r="H11148" t="s">
        <v>103</v>
      </c>
      <c r="I11148" t="s">
        <v>550</v>
      </c>
      <c r="J11148" t="s">
        <v>194</v>
      </c>
    </row>
    <row r="11149" spans="1:10" x14ac:dyDescent="0.3">
      <c r="A11149" t="s">
        <v>26</v>
      </c>
      <c r="B11149" t="s">
        <v>308</v>
      </c>
      <c r="C11149">
        <v>7</v>
      </c>
      <c r="D11149" t="s">
        <v>1098</v>
      </c>
      <c r="E11149" t="s">
        <v>138</v>
      </c>
      <c r="F11149" t="s">
        <v>103</v>
      </c>
      <c r="G11149" t="s">
        <v>103</v>
      </c>
      <c r="H11149" t="s">
        <v>103</v>
      </c>
      <c r="I11149" t="s">
        <v>365</v>
      </c>
      <c r="J11149" t="s">
        <v>103</v>
      </c>
    </row>
    <row r="11150" spans="1:10" s="3" customFormat="1" x14ac:dyDescent="0.3">
      <c r="A11150" s="3" t="s">
        <v>29</v>
      </c>
      <c r="B11150" s="3" t="s">
        <v>2772</v>
      </c>
      <c r="C11150" s="3">
        <v>2</v>
      </c>
      <c r="D11150" s="3" t="s">
        <v>103</v>
      </c>
      <c r="E11150" s="3" t="s">
        <v>1197</v>
      </c>
      <c r="F11150" s="3" t="s">
        <v>103</v>
      </c>
      <c r="G11150" s="3" t="s">
        <v>103</v>
      </c>
      <c r="H11150" s="3" t="s">
        <v>366</v>
      </c>
      <c r="I11150" s="3" t="s">
        <v>103</v>
      </c>
      <c r="J11150" s="3" t="s">
        <v>103</v>
      </c>
    </row>
    <row r="11151" spans="1:10" s="3" customFormat="1" x14ac:dyDescent="0.3">
      <c r="A11151" s="3" t="s">
        <v>29</v>
      </c>
      <c r="B11151" s="3" t="s">
        <v>2773</v>
      </c>
      <c r="C11151" s="3">
        <v>8</v>
      </c>
      <c r="D11151" s="3" t="s">
        <v>96</v>
      </c>
      <c r="E11151" s="3" t="s">
        <v>2106</v>
      </c>
      <c r="F11151" s="3" t="s">
        <v>103</v>
      </c>
      <c r="G11151" s="3" t="s">
        <v>1097</v>
      </c>
      <c r="H11151" s="3" t="s">
        <v>103</v>
      </c>
      <c r="I11151" s="3" t="s">
        <v>118</v>
      </c>
      <c r="J11151" s="3" t="s">
        <v>103</v>
      </c>
    </row>
    <row r="11152" spans="1:10" s="3" customFormat="1" x14ac:dyDescent="0.3">
      <c r="A11152" s="3" t="s">
        <v>29</v>
      </c>
      <c r="B11152" s="3" t="s">
        <v>2774</v>
      </c>
      <c r="C11152" s="3">
        <v>21</v>
      </c>
      <c r="D11152" s="3" t="s">
        <v>835</v>
      </c>
      <c r="E11152" s="3" t="s">
        <v>1546</v>
      </c>
      <c r="F11152" s="3" t="s">
        <v>245</v>
      </c>
      <c r="G11152" s="3" t="s">
        <v>103</v>
      </c>
      <c r="H11152" s="3" t="s">
        <v>103</v>
      </c>
      <c r="I11152" s="3" t="s">
        <v>601</v>
      </c>
      <c r="J11152" s="3" t="s">
        <v>102</v>
      </c>
    </row>
    <row r="11153" spans="1:10" x14ac:dyDescent="0.3">
      <c r="A11153" t="s">
        <v>29</v>
      </c>
      <c r="B11153" t="s">
        <v>2775</v>
      </c>
      <c r="C11153">
        <v>31</v>
      </c>
      <c r="D11153" t="s">
        <v>793</v>
      </c>
      <c r="E11153" t="s">
        <v>430</v>
      </c>
      <c r="F11153" t="s">
        <v>188</v>
      </c>
      <c r="G11153" t="s">
        <v>460</v>
      </c>
      <c r="H11153" t="s">
        <v>103</v>
      </c>
      <c r="I11153" t="s">
        <v>819</v>
      </c>
      <c r="J11153" t="s">
        <v>103</v>
      </c>
    </row>
    <row r="11154" spans="1:10" x14ac:dyDescent="0.3">
      <c r="A11154" t="s">
        <v>29</v>
      </c>
      <c r="B11154" t="s">
        <v>2776</v>
      </c>
      <c r="C11154">
        <v>65</v>
      </c>
      <c r="D11154" t="s">
        <v>799</v>
      </c>
      <c r="E11154" t="s">
        <v>375</v>
      </c>
      <c r="F11154" t="s">
        <v>164</v>
      </c>
      <c r="G11154" t="s">
        <v>554</v>
      </c>
      <c r="H11154" t="s">
        <v>103</v>
      </c>
      <c r="I11154" t="s">
        <v>615</v>
      </c>
      <c r="J11154" t="s">
        <v>68</v>
      </c>
    </row>
    <row r="11155" spans="1:10" x14ac:dyDescent="0.3">
      <c r="A11155" t="s">
        <v>29</v>
      </c>
      <c r="B11155" t="s">
        <v>2777</v>
      </c>
      <c r="C11155">
        <v>219</v>
      </c>
      <c r="D11155" t="s">
        <v>1044</v>
      </c>
      <c r="E11155" t="s">
        <v>1221</v>
      </c>
      <c r="F11155" t="s">
        <v>463</v>
      </c>
      <c r="G11155" t="s">
        <v>271</v>
      </c>
      <c r="H11155" t="s">
        <v>97</v>
      </c>
      <c r="I11155" t="s">
        <v>601</v>
      </c>
      <c r="J11155" t="s">
        <v>139</v>
      </c>
    </row>
    <row r="11156" spans="1:10" x14ac:dyDescent="0.3">
      <c r="A11156" t="s">
        <v>29</v>
      </c>
      <c r="B11156" t="s">
        <v>2778</v>
      </c>
      <c r="C11156">
        <v>183</v>
      </c>
      <c r="D11156" t="s">
        <v>905</v>
      </c>
      <c r="E11156" t="s">
        <v>405</v>
      </c>
      <c r="F11156" t="s">
        <v>60</v>
      </c>
      <c r="G11156" t="s">
        <v>108</v>
      </c>
      <c r="H11156" t="s">
        <v>103</v>
      </c>
      <c r="I11156" t="s">
        <v>33</v>
      </c>
      <c r="J11156" t="s">
        <v>245</v>
      </c>
    </row>
    <row r="11157" spans="1:10" x14ac:dyDescent="0.3">
      <c r="A11157" t="s">
        <v>29</v>
      </c>
      <c r="B11157" t="s">
        <v>308</v>
      </c>
      <c r="C11157">
        <v>1</v>
      </c>
      <c r="D11157" t="s">
        <v>192</v>
      </c>
      <c r="E11157" t="s">
        <v>103</v>
      </c>
      <c r="F11157" t="s">
        <v>103</v>
      </c>
      <c r="G11157" t="s">
        <v>103</v>
      </c>
      <c r="H11157" t="s">
        <v>103</v>
      </c>
      <c r="I11157" t="s">
        <v>103</v>
      </c>
      <c r="J11157" t="s">
        <v>103</v>
      </c>
    </row>
    <row r="11158" spans="1:10" x14ac:dyDescent="0.3">
      <c r="A11158" t="s">
        <v>28</v>
      </c>
      <c r="B11158" t="s">
        <v>2772</v>
      </c>
      <c r="C11158">
        <v>39</v>
      </c>
      <c r="D11158" t="s">
        <v>784</v>
      </c>
      <c r="E11158" t="s">
        <v>670</v>
      </c>
      <c r="F11158" t="s">
        <v>103</v>
      </c>
      <c r="G11158" t="s">
        <v>103</v>
      </c>
      <c r="H11158" t="s">
        <v>103</v>
      </c>
      <c r="I11158" t="s">
        <v>68</v>
      </c>
      <c r="J11158" t="s">
        <v>270</v>
      </c>
    </row>
    <row r="11159" spans="1:10" x14ac:dyDescent="0.3">
      <c r="A11159" t="s">
        <v>28</v>
      </c>
      <c r="B11159" t="s">
        <v>2773</v>
      </c>
      <c r="C11159">
        <v>57</v>
      </c>
      <c r="D11159" t="s">
        <v>1093</v>
      </c>
      <c r="E11159" t="s">
        <v>1258</v>
      </c>
      <c r="F11159" t="s">
        <v>103</v>
      </c>
      <c r="G11159" t="s">
        <v>103</v>
      </c>
      <c r="H11159" t="s">
        <v>103</v>
      </c>
      <c r="I11159" t="s">
        <v>591</v>
      </c>
      <c r="J11159" t="s">
        <v>125</v>
      </c>
    </row>
    <row r="11160" spans="1:10" s="3" customFormat="1" x14ac:dyDescent="0.3">
      <c r="A11160" s="3" t="s">
        <v>28</v>
      </c>
      <c r="B11160" s="3" t="s">
        <v>2774</v>
      </c>
      <c r="C11160" s="3">
        <v>30</v>
      </c>
      <c r="D11160" s="3" t="s">
        <v>1375</v>
      </c>
      <c r="E11160" s="3" t="s">
        <v>134</v>
      </c>
      <c r="F11160" s="3" t="s">
        <v>103</v>
      </c>
      <c r="G11160" s="3" t="s">
        <v>103</v>
      </c>
      <c r="H11160" s="3" t="s">
        <v>103</v>
      </c>
      <c r="I11160" s="3" t="s">
        <v>103</v>
      </c>
      <c r="J11160" s="3" t="s">
        <v>438</v>
      </c>
    </row>
    <row r="11161" spans="1:10" x14ac:dyDescent="0.3">
      <c r="A11161" t="s">
        <v>28</v>
      </c>
      <c r="B11161" t="s">
        <v>2775</v>
      </c>
      <c r="C11161">
        <v>41</v>
      </c>
      <c r="D11161" t="s">
        <v>258</v>
      </c>
      <c r="E11161" t="s">
        <v>385</v>
      </c>
      <c r="F11161" t="s">
        <v>103</v>
      </c>
      <c r="G11161" t="s">
        <v>103</v>
      </c>
      <c r="H11161" t="s">
        <v>103</v>
      </c>
      <c r="I11161" t="s">
        <v>201</v>
      </c>
      <c r="J11161" t="s">
        <v>103</v>
      </c>
    </row>
    <row r="11162" spans="1:10" x14ac:dyDescent="0.3">
      <c r="A11162" t="s">
        <v>28</v>
      </c>
      <c r="B11162" t="s">
        <v>2776</v>
      </c>
      <c r="C11162">
        <v>45</v>
      </c>
      <c r="D11162" t="s">
        <v>1577</v>
      </c>
      <c r="E11162" t="s">
        <v>391</v>
      </c>
      <c r="F11162" t="s">
        <v>103</v>
      </c>
      <c r="G11162" t="s">
        <v>103</v>
      </c>
      <c r="H11162" t="s">
        <v>103</v>
      </c>
      <c r="I11162" t="s">
        <v>103</v>
      </c>
      <c r="J11162" t="s">
        <v>103</v>
      </c>
    </row>
    <row r="11163" spans="1:10" x14ac:dyDescent="0.3">
      <c r="A11163" t="s">
        <v>28</v>
      </c>
      <c r="B11163" t="s">
        <v>2777</v>
      </c>
      <c r="C11163">
        <v>55</v>
      </c>
      <c r="D11163" t="s">
        <v>1181</v>
      </c>
      <c r="E11163" t="s">
        <v>648</v>
      </c>
      <c r="F11163" t="s">
        <v>103</v>
      </c>
      <c r="G11163" t="s">
        <v>103</v>
      </c>
      <c r="H11163" t="s">
        <v>103</v>
      </c>
      <c r="I11163" t="s">
        <v>201</v>
      </c>
      <c r="J11163" t="s">
        <v>341</v>
      </c>
    </row>
    <row r="11164" spans="1:10" x14ac:dyDescent="0.3">
      <c r="A11164" t="s">
        <v>28</v>
      </c>
      <c r="B11164" t="s">
        <v>2778</v>
      </c>
      <c r="C11164">
        <v>44</v>
      </c>
      <c r="D11164" t="s">
        <v>782</v>
      </c>
      <c r="E11164" t="s">
        <v>1227</v>
      </c>
      <c r="F11164" t="s">
        <v>103</v>
      </c>
      <c r="G11164" t="s">
        <v>103</v>
      </c>
      <c r="H11164" t="s">
        <v>103</v>
      </c>
      <c r="I11164" t="s">
        <v>30</v>
      </c>
      <c r="J11164" t="s">
        <v>103</v>
      </c>
    </row>
    <row r="11165" spans="1:10" x14ac:dyDescent="0.3">
      <c r="A11165" t="s">
        <v>28</v>
      </c>
      <c r="B11165" t="s">
        <v>308</v>
      </c>
      <c r="C11165">
        <v>6</v>
      </c>
      <c r="D11165" t="s">
        <v>863</v>
      </c>
      <c r="E11165" t="s">
        <v>503</v>
      </c>
      <c r="F11165" t="s">
        <v>103</v>
      </c>
      <c r="G11165" t="s">
        <v>103</v>
      </c>
      <c r="H11165" t="s">
        <v>103</v>
      </c>
      <c r="I11165" t="s">
        <v>103</v>
      </c>
      <c r="J11165" t="s">
        <v>103</v>
      </c>
    </row>
    <row r="11166" spans="1:10" s="3" customFormat="1" x14ac:dyDescent="0.3">
      <c r="A11166" s="3" t="s">
        <v>27</v>
      </c>
      <c r="B11166" s="3" t="s">
        <v>2772</v>
      </c>
      <c r="C11166" s="3">
        <v>10</v>
      </c>
      <c r="D11166" s="3" t="s">
        <v>1357</v>
      </c>
      <c r="E11166" s="3" t="s">
        <v>1244</v>
      </c>
      <c r="F11166" s="3" t="s">
        <v>494</v>
      </c>
      <c r="G11166" s="3" t="s">
        <v>103</v>
      </c>
      <c r="H11166" s="3" t="s">
        <v>103</v>
      </c>
      <c r="I11166" s="3" t="s">
        <v>103</v>
      </c>
      <c r="J11166" s="3" t="s">
        <v>103</v>
      </c>
    </row>
    <row r="11167" spans="1:10" s="3" customFormat="1" x14ac:dyDescent="0.3">
      <c r="A11167" s="3" t="s">
        <v>27</v>
      </c>
      <c r="B11167" s="3" t="s">
        <v>2773</v>
      </c>
      <c r="C11167" s="3">
        <v>9</v>
      </c>
      <c r="D11167" s="3" t="s">
        <v>1180</v>
      </c>
      <c r="E11167" s="3" t="s">
        <v>1375</v>
      </c>
      <c r="F11167" s="3" t="s">
        <v>173</v>
      </c>
      <c r="G11167" s="3" t="s">
        <v>173</v>
      </c>
      <c r="H11167" s="3" t="s">
        <v>103</v>
      </c>
      <c r="I11167" s="3" t="s">
        <v>103</v>
      </c>
      <c r="J11167" s="3" t="s">
        <v>103</v>
      </c>
    </row>
    <row r="11168" spans="1:10" s="3" customFormat="1" x14ac:dyDescent="0.3">
      <c r="A11168" s="3" t="s">
        <v>27</v>
      </c>
      <c r="B11168" s="3" t="s">
        <v>2774</v>
      </c>
      <c r="C11168" s="3">
        <v>18</v>
      </c>
      <c r="D11168" s="3" t="s">
        <v>835</v>
      </c>
      <c r="E11168" s="3" t="s">
        <v>618</v>
      </c>
      <c r="F11168" s="3" t="s">
        <v>103</v>
      </c>
      <c r="G11168" s="3" t="s">
        <v>103</v>
      </c>
      <c r="H11168" s="3" t="s">
        <v>103</v>
      </c>
      <c r="I11168" s="3" t="s">
        <v>103</v>
      </c>
      <c r="J11168" s="3" t="s">
        <v>103</v>
      </c>
    </row>
    <row r="11169" spans="1:10" x14ac:dyDescent="0.3">
      <c r="A11169" t="s">
        <v>27</v>
      </c>
      <c r="B11169" t="s">
        <v>2775</v>
      </c>
      <c r="C11169">
        <v>33</v>
      </c>
      <c r="D11169" t="s">
        <v>766</v>
      </c>
      <c r="E11169" t="s">
        <v>2111</v>
      </c>
      <c r="F11169" t="s">
        <v>266</v>
      </c>
      <c r="G11169" t="s">
        <v>103</v>
      </c>
      <c r="H11169" t="s">
        <v>103</v>
      </c>
      <c r="I11169" t="s">
        <v>103</v>
      </c>
      <c r="J11169" t="s">
        <v>103</v>
      </c>
    </row>
    <row r="11170" spans="1:10" x14ac:dyDescent="0.3">
      <c r="A11170" t="s">
        <v>27</v>
      </c>
      <c r="B11170" t="s">
        <v>2776</v>
      </c>
      <c r="C11170">
        <v>65</v>
      </c>
      <c r="D11170" t="s">
        <v>1675</v>
      </c>
      <c r="E11170" t="s">
        <v>298</v>
      </c>
      <c r="F11170" t="s">
        <v>511</v>
      </c>
      <c r="G11170" t="s">
        <v>93</v>
      </c>
      <c r="H11170" t="s">
        <v>103</v>
      </c>
      <c r="I11170" t="s">
        <v>217</v>
      </c>
      <c r="J11170" t="s">
        <v>103</v>
      </c>
    </row>
    <row r="11171" spans="1:10" x14ac:dyDescent="0.3">
      <c r="A11171" t="s">
        <v>27</v>
      </c>
      <c r="B11171" t="s">
        <v>2777</v>
      </c>
      <c r="C11171">
        <v>78</v>
      </c>
      <c r="D11171" t="s">
        <v>1371</v>
      </c>
      <c r="E11171" t="s">
        <v>353</v>
      </c>
      <c r="F11171" t="s">
        <v>693</v>
      </c>
      <c r="G11171" t="s">
        <v>575</v>
      </c>
      <c r="H11171" t="s">
        <v>103</v>
      </c>
      <c r="I11171" t="s">
        <v>329</v>
      </c>
      <c r="J11171" t="s">
        <v>103</v>
      </c>
    </row>
    <row r="11172" spans="1:10" x14ac:dyDescent="0.3">
      <c r="A11172" t="s">
        <v>27</v>
      </c>
      <c r="B11172" t="s">
        <v>2778</v>
      </c>
      <c r="C11172">
        <v>70</v>
      </c>
      <c r="D11172" t="s">
        <v>889</v>
      </c>
      <c r="E11172" t="s">
        <v>49</v>
      </c>
      <c r="F11172" t="s">
        <v>682</v>
      </c>
      <c r="G11172" t="s">
        <v>239</v>
      </c>
      <c r="H11172" t="s">
        <v>103</v>
      </c>
      <c r="I11172" t="s">
        <v>68</v>
      </c>
      <c r="J11172" t="s">
        <v>103</v>
      </c>
    </row>
    <row r="11173" spans="1:10" s="3" customFormat="1" x14ac:dyDescent="0.3">
      <c r="A11173" s="3" t="s">
        <v>27</v>
      </c>
      <c r="B11173" s="3" t="s">
        <v>223</v>
      </c>
      <c r="C11173" s="3">
        <v>2</v>
      </c>
      <c r="D11173" s="3" t="s">
        <v>103</v>
      </c>
      <c r="E11173" s="3" t="s">
        <v>192</v>
      </c>
      <c r="F11173" s="3" t="s">
        <v>103</v>
      </c>
      <c r="G11173" s="3" t="s">
        <v>103</v>
      </c>
      <c r="H11173" s="3" t="s">
        <v>103</v>
      </c>
      <c r="I11173" s="3" t="s">
        <v>103</v>
      </c>
      <c r="J11173" s="3" t="s">
        <v>103</v>
      </c>
    </row>
    <row r="11174" spans="1:10" x14ac:dyDescent="0.3">
      <c r="A11174" t="s">
        <v>27</v>
      </c>
      <c r="B11174" t="s">
        <v>308</v>
      </c>
      <c r="C11174">
        <v>15</v>
      </c>
      <c r="D11174" t="s">
        <v>859</v>
      </c>
      <c r="E11174" t="s">
        <v>1054</v>
      </c>
      <c r="F11174" t="s">
        <v>103</v>
      </c>
      <c r="G11174" t="s">
        <v>103</v>
      </c>
      <c r="H11174" t="s">
        <v>103</v>
      </c>
      <c r="I11174" t="s">
        <v>103</v>
      </c>
      <c r="J11174" t="s">
        <v>103</v>
      </c>
    </row>
    <row r="11175" spans="1:10" x14ac:dyDescent="0.3">
      <c r="A11175" t="s">
        <v>41</v>
      </c>
      <c r="B11175" t="s">
        <v>2772</v>
      </c>
      <c r="C11175">
        <v>55</v>
      </c>
      <c r="D11175" t="s">
        <v>431</v>
      </c>
      <c r="E11175" t="s">
        <v>513</v>
      </c>
      <c r="F11175" t="s">
        <v>139</v>
      </c>
      <c r="G11175" t="s">
        <v>103</v>
      </c>
      <c r="H11175" t="s">
        <v>743</v>
      </c>
      <c r="I11175" t="s">
        <v>245</v>
      </c>
      <c r="J11175" t="s">
        <v>216</v>
      </c>
    </row>
    <row r="11176" spans="1:10" x14ac:dyDescent="0.3">
      <c r="A11176" t="s">
        <v>41</v>
      </c>
      <c r="B11176" t="s">
        <v>2773</v>
      </c>
      <c r="C11176">
        <v>85</v>
      </c>
      <c r="D11176" t="s">
        <v>359</v>
      </c>
      <c r="E11176" t="s">
        <v>924</v>
      </c>
      <c r="F11176" t="s">
        <v>98</v>
      </c>
      <c r="G11176" t="s">
        <v>148</v>
      </c>
      <c r="H11176" t="s">
        <v>103</v>
      </c>
      <c r="I11176" t="s">
        <v>662</v>
      </c>
      <c r="J11176" t="s">
        <v>110</v>
      </c>
    </row>
    <row r="11177" spans="1:10" x14ac:dyDescent="0.3">
      <c r="A11177" t="s">
        <v>41</v>
      </c>
      <c r="B11177" t="s">
        <v>2774</v>
      </c>
      <c r="C11177">
        <v>100</v>
      </c>
      <c r="D11177" t="s">
        <v>1390</v>
      </c>
      <c r="E11177" t="s">
        <v>793</v>
      </c>
      <c r="F11177" t="s">
        <v>532</v>
      </c>
      <c r="G11177" t="s">
        <v>257</v>
      </c>
      <c r="H11177" t="s">
        <v>103</v>
      </c>
      <c r="I11177" t="s">
        <v>190</v>
      </c>
      <c r="J11177" t="s">
        <v>68</v>
      </c>
    </row>
    <row r="11178" spans="1:10" x14ac:dyDescent="0.3">
      <c r="A11178" t="s">
        <v>41</v>
      </c>
      <c r="B11178" t="s">
        <v>2775</v>
      </c>
      <c r="C11178">
        <v>159</v>
      </c>
      <c r="D11178" t="s">
        <v>866</v>
      </c>
      <c r="E11178" t="s">
        <v>795</v>
      </c>
      <c r="F11178" t="s">
        <v>188</v>
      </c>
      <c r="G11178" t="s">
        <v>94</v>
      </c>
      <c r="H11178" t="s">
        <v>103</v>
      </c>
      <c r="I11178" t="s">
        <v>104</v>
      </c>
      <c r="J11178" t="s">
        <v>103</v>
      </c>
    </row>
    <row r="11179" spans="1:10" x14ac:dyDescent="0.3">
      <c r="A11179" t="s">
        <v>41</v>
      </c>
      <c r="B11179" t="s">
        <v>2776</v>
      </c>
      <c r="C11179">
        <v>312</v>
      </c>
      <c r="D11179" t="s">
        <v>1243</v>
      </c>
      <c r="E11179" t="s">
        <v>389</v>
      </c>
      <c r="F11179" t="s">
        <v>100</v>
      </c>
      <c r="G11179" t="s">
        <v>148</v>
      </c>
      <c r="H11179" t="s">
        <v>103</v>
      </c>
      <c r="I11179" t="s">
        <v>99</v>
      </c>
      <c r="J11179" t="s">
        <v>216</v>
      </c>
    </row>
    <row r="11180" spans="1:10" x14ac:dyDescent="0.3">
      <c r="A11180" t="s">
        <v>41</v>
      </c>
      <c r="B11180" t="s">
        <v>2777</v>
      </c>
      <c r="C11180">
        <v>695</v>
      </c>
      <c r="D11180" t="s">
        <v>1209</v>
      </c>
      <c r="E11180" t="s">
        <v>1394</v>
      </c>
      <c r="F11180" t="s">
        <v>575</v>
      </c>
      <c r="G11180" t="s">
        <v>549</v>
      </c>
      <c r="H11180" t="s">
        <v>116</v>
      </c>
      <c r="I11180" t="s">
        <v>495</v>
      </c>
      <c r="J11180" t="s">
        <v>120</v>
      </c>
    </row>
    <row r="11181" spans="1:10" x14ac:dyDescent="0.3">
      <c r="A11181" t="s">
        <v>41</v>
      </c>
      <c r="B11181" t="s">
        <v>2778</v>
      </c>
      <c r="C11181">
        <v>597</v>
      </c>
      <c r="D11181" t="s">
        <v>801</v>
      </c>
      <c r="E11181" t="s">
        <v>1257</v>
      </c>
      <c r="F11181" t="s">
        <v>594</v>
      </c>
      <c r="G11181" t="s">
        <v>60</v>
      </c>
      <c r="H11181" t="s">
        <v>103</v>
      </c>
      <c r="I11181" t="s">
        <v>549</v>
      </c>
      <c r="J11181" t="s">
        <v>110</v>
      </c>
    </row>
    <row r="11182" spans="1:10" s="3" customFormat="1" x14ac:dyDescent="0.3">
      <c r="A11182" s="3" t="s">
        <v>41</v>
      </c>
      <c r="B11182" s="3" t="s">
        <v>223</v>
      </c>
      <c r="C11182" s="3">
        <v>4</v>
      </c>
      <c r="D11182" s="3" t="s">
        <v>1171</v>
      </c>
      <c r="E11182" s="3" t="s">
        <v>174</v>
      </c>
      <c r="F11182" s="3" t="s">
        <v>103</v>
      </c>
      <c r="G11182" s="3" t="s">
        <v>103</v>
      </c>
      <c r="H11182" s="3" t="s">
        <v>103</v>
      </c>
      <c r="I11182" s="3" t="s">
        <v>103</v>
      </c>
      <c r="J11182" s="3" t="s">
        <v>103</v>
      </c>
    </row>
    <row r="11183" spans="1:10" x14ac:dyDescent="0.3">
      <c r="A11183" t="s">
        <v>41</v>
      </c>
      <c r="B11183" t="s">
        <v>308</v>
      </c>
      <c r="C11183">
        <v>31</v>
      </c>
      <c r="D11183" t="s">
        <v>2103</v>
      </c>
      <c r="E11183" t="s">
        <v>1028</v>
      </c>
      <c r="F11183" t="s">
        <v>103</v>
      </c>
      <c r="G11183" t="s">
        <v>103</v>
      </c>
      <c r="H11183" t="s">
        <v>103</v>
      </c>
      <c r="I11183" t="s">
        <v>518</v>
      </c>
      <c r="J11183" t="s">
        <v>103</v>
      </c>
    </row>
    <row r="11185" spans="1:10" x14ac:dyDescent="0.3">
      <c r="A11185" t="s">
        <v>2795</v>
      </c>
    </row>
    <row r="11186" spans="1:10" x14ac:dyDescent="0.3">
      <c r="A11186" t="s">
        <v>36</v>
      </c>
      <c r="B11186" t="s">
        <v>197</v>
      </c>
      <c r="C11186" t="s">
        <v>24</v>
      </c>
      <c r="D11186" t="s">
        <v>2781</v>
      </c>
      <c r="E11186" t="s">
        <v>2782</v>
      </c>
      <c r="F11186" t="s">
        <v>2783</v>
      </c>
      <c r="G11186" t="s">
        <v>2784</v>
      </c>
      <c r="H11186" t="s">
        <v>2785</v>
      </c>
      <c r="I11186" t="s">
        <v>58</v>
      </c>
      <c r="J11186" t="s">
        <v>1566</v>
      </c>
    </row>
    <row r="11187" spans="1:10" x14ac:dyDescent="0.3">
      <c r="A11187" t="s">
        <v>25</v>
      </c>
      <c r="B11187" t="s">
        <v>198</v>
      </c>
      <c r="C11187">
        <v>104</v>
      </c>
      <c r="D11187" t="s">
        <v>1245</v>
      </c>
      <c r="E11187" t="s">
        <v>1325</v>
      </c>
      <c r="F11187" t="s">
        <v>119</v>
      </c>
      <c r="G11187" t="s">
        <v>281</v>
      </c>
      <c r="H11187" t="s">
        <v>103</v>
      </c>
      <c r="I11187" t="s">
        <v>629</v>
      </c>
      <c r="J11187" t="s">
        <v>103</v>
      </c>
    </row>
    <row r="11188" spans="1:10" x14ac:dyDescent="0.3">
      <c r="A11188" t="s">
        <v>25</v>
      </c>
      <c r="B11188" t="s">
        <v>199</v>
      </c>
      <c r="C11188">
        <v>310</v>
      </c>
      <c r="D11188" t="s">
        <v>835</v>
      </c>
      <c r="E11188" t="s">
        <v>439</v>
      </c>
      <c r="F11188" t="s">
        <v>33</v>
      </c>
      <c r="G11188" t="s">
        <v>571</v>
      </c>
      <c r="H11188" t="s">
        <v>103</v>
      </c>
      <c r="I11188" t="s">
        <v>629</v>
      </c>
      <c r="J11188" t="s">
        <v>120</v>
      </c>
    </row>
    <row r="11189" spans="1:10" x14ac:dyDescent="0.3">
      <c r="A11189" t="s">
        <v>26</v>
      </c>
      <c r="B11189" t="s">
        <v>198</v>
      </c>
      <c r="C11189">
        <v>41</v>
      </c>
      <c r="D11189" t="s">
        <v>1361</v>
      </c>
      <c r="E11189" t="s">
        <v>249</v>
      </c>
      <c r="F11189" t="s">
        <v>123</v>
      </c>
      <c r="G11189" t="s">
        <v>122</v>
      </c>
      <c r="H11189" t="s">
        <v>103</v>
      </c>
      <c r="I11189" t="s">
        <v>460</v>
      </c>
      <c r="J11189" t="s">
        <v>103</v>
      </c>
    </row>
    <row r="11190" spans="1:10" x14ac:dyDescent="0.3">
      <c r="A11190" t="s">
        <v>26</v>
      </c>
      <c r="B11190" t="s">
        <v>199</v>
      </c>
      <c r="C11190">
        <v>436</v>
      </c>
      <c r="D11190" t="s">
        <v>673</v>
      </c>
      <c r="E11190" t="s">
        <v>1284</v>
      </c>
      <c r="F11190" t="s">
        <v>128</v>
      </c>
      <c r="G11190" t="s">
        <v>70</v>
      </c>
      <c r="H11190" t="s">
        <v>103</v>
      </c>
      <c r="I11190" t="s">
        <v>1084</v>
      </c>
      <c r="J11190" t="s">
        <v>282</v>
      </c>
    </row>
    <row r="11191" spans="1:10" x14ac:dyDescent="0.3">
      <c r="A11191" t="s">
        <v>29</v>
      </c>
      <c r="B11191" t="s">
        <v>198</v>
      </c>
      <c r="C11191">
        <v>170</v>
      </c>
      <c r="D11191" t="s">
        <v>1064</v>
      </c>
      <c r="E11191" t="s">
        <v>1230</v>
      </c>
      <c r="F11191" t="s">
        <v>544</v>
      </c>
      <c r="G11191" t="s">
        <v>262</v>
      </c>
      <c r="H11191" t="s">
        <v>103</v>
      </c>
      <c r="I11191" t="s">
        <v>101</v>
      </c>
      <c r="J11191" t="s">
        <v>105</v>
      </c>
    </row>
    <row r="11192" spans="1:10" x14ac:dyDescent="0.3">
      <c r="A11192" t="s">
        <v>29</v>
      </c>
      <c r="B11192" t="s">
        <v>199</v>
      </c>
      <c r="C11192">
        <v>360</v>
      </c>
      <c r="D11192" t="s">
        <v>857</v>
      </c>
      <c r="E11192" t="s">
        <v>487</v>
      </c>
      <c r="F11192" t="s">
        <v>126</v>
      </c>
      <c r="G11192" t="s">
        <v>813</v>
      </c>
      <c r="H11192" t="s">
        <v>139</v>
      </c>
      <c r="I11192" t="s">
        <v>494</v>
      </c>
      <c r="J11192" t="s">
        <v>110</v>
      </c>
    </row>
    <row r="11193" spans="1:10" x14ac:dyDescent="0.3">
      <c r="A11193" t="s">
        <v>28</v>
      </c>
      <c r="B11193" t="s">
        <v>198</v>
      </c>
      <c r="C11193">
        <v>70</v>
      </c>
      <c r="D11193" t="s">
        <v>614</v>
      </c>
      <c r="E11193" t="s">
        <v>92</v>
      </c>
      <c r="F11193" t="s">
        <v>103</v>
      </c>
      <c r="G11193" t="s">
        <v>103</v>
      </c>
      <c r="H11193" t="s">
        <v>103</v>
      </c>
      <c r="I11193" t="s">
        <v>139</v>
      </c>
      <c r="J11193" t="s">
        <v>103</v>
      </c>
    </row>
    <row r="11194" spans="1:10" x14ac:dyDescent="0.3">
      <c r="A11194" t="s">
        <v>28</v>
      </c>
      <c r="B11194" t="s">
        <v>199</v>
      </c>
      <c r="C11194">
        <v>247</v>
      </c>
      <c r="D11194" t="s">
        <v>1461</v>
      </c>
      <c r="E11194" t="s">
        <v>384</v>
      </c>
      <c r="F11194" t="s">
        <v>103</v>
      </c>
      <c r="G11194" t="s">
        <v>103</v>
      </c>
      <c r="H11194" t="s">
        <v>103</v>
      </c>
      <c r="I11194" t="s">
        <v>531</v>
      </c>
      <c r="J11194" t="s">
        <v>93</v>
      </c>
    </row>
    <row r="11195" spans="1:10" x14ac:dyDescent="0.3">
      <c r="A11195" t="s">
        <v>27</v>
      </c>
      <c r="B11195" t="s">
        <v>198</v>
      </c>
      <c r="C11195">
        <v>136</v>
      </c>
      <c r="D11195" t="s">
        <v>143</v>
      </c>
      <c r="E11195" t="s">
        <v>704</v>
      </c>
      <c r="F11195" t="s">
        <v>629</v>
      </c>
      <c r="G11195" t="s">
        <v>64</v>
      </c>
      <c r="H11195" t="s">
        <v>103</v>
      </c>
      <c r="I11195" t="s">
        <v>118</v>
      </c>
      <c r="J11195" t="s">
        <v>103</v>
      </c>
    </row>
    <row r="11196" spans="1:10" x14ac:dyDescent="0.3">
      <c r="A11196" t="s">
        <v>27</v>
      </c>
      <c r="B11196" t="s">
        <v>199</v>
      </c>
      <c r="C11196">
        <v>164</v>
      </c>
      <c r="D11196" t="s">
        <v>202</v>
      </c>
      <c r="E11196" t="s">
        <v>628</v>
      </c>
      <c r="F11196" t="s">
        <v>60</v>
      </c>
      <c r="G11196" t="s">
        <v>438</v>
      </c>
      <c r="H11196" t="s">
        <v>103</v>
      </c>
      <c r="I11196" t="s">
        <v>282</v>
      </c>
      <c r="J11196" t="s">
        <v>103</v>
      </c>
    </row>
    <row r="11197" spans="1:10" x14ac:dyDescent="0.3">
      <c r="A11197" t="s">
        <v>41</v>
      </c>
      <c r="B11197" t="s">
        <v>198</v>
      </c>
      <c r="C11197">
        <v>521</v>
      </c>
      <c r="D11197" t="s">
        <v>1374</v>
      </c>
      <c r="E11197" t="s">
        <v>298</v>
      </c>
      <c r="F11197" t="s">
        <v>136</v>
      </c>
      <c r="G11197" t="s">
        <v>140</v>
      </c>
      <c r="H11197" t="s">
        <v>103</v>
      </c>
      <c r="I11197" t="s">
        <v>140</v>
      </c>
      <c r="J11197" t="s">
        <v>345</v>
      </c>
    </row>
    <row r="11198" spans="1:10" x14ac:dyDescent="0.3">
      <c r="A11198" t="s">
        <v>41</v>
      </c>
      <c r="B11198" t="s">
        <v>199</v>
      </c>
      <c r="C11198">
        <v>1517</v>
      </c>
      <c r="D11198" t="s">
        <v>294</v>
      </c>
      <c r="E11198" t="s">
        <v>933</v>
      </c>
      <c r="F11198" t="s">
        <v>281</v>
      </c>
      <c r="G11198" t="s">
        <v>254</v>
      </c>
      <c r="H11198" t="s">
        <v>116</v>
      </c>
      <c r="I11198" t="s">
        <v>700</v>
      </c>
      <c r="J11198" t="s">
        <v>345</v>
      </c>
    </row>
    <row r="11200" spans="1:10" x14ac:dyDescent="0.3">
      <c r="A11200" t="s">
        <v>2796</v>
      </c>
    </row>
    <row r="11201" spans="1:6" x14ac:dyDescent="0.3">
      <c r="A11201" t="s">
        <v>36</v>
      </c>
      <c r="B11201" t="s">
        <v>24</v>
      </c>
      <c r="C11201" t="s">
        <v>1454</v>
      </c>
      <c r="D11201" t="s">
        <v>2797</v>
      </c>
      <c r="E11201" t="s">
        <v>2798</v>
      </c>
    </row>
    <row r="11202" spans="1:6" x14ac:dyDescent="0.3">
      <c r="A11202" t="s">
        <v>25</v>
      </c>
      <c r="B11202">
        <v>373</v>
      </c>
      <c r="C11202" t="s">
        <v>118</v>
      </c>
      <c r="D11202" t="s">
        <v>477</v>
      </c>
      <c r="E11202" t="s">
        <v>2033</v>
      </c>
    </row>
    <row r="11203" spans="1:6" x14ac:dyDescent="0.3">
      <c r="A11203" t="s">
        <v>26</v>
      </c>
      <c r="B11203">
        <v>366</v>
      </c>
      <c r="C11203" t="s">
        <v>239</v>
      </c>
      <c r="D11203" t="s">
        <v>651</v>
      </c>
      <c r="E11203" t="s">
        <v>834</v>
      </c>
    </row>
    <row r="11204" spans="1:6" x14ac:dyDescent="0.3">
      <c r="A11204" t="s">
        <v>29</v>
      </c>
      <c r="B11204">
        <v>478</v>
      </c>
      <c r="C11204" t="s">
        <v>266</v>
      </c>
      <c r="D11204" t="s">
        <v>1088</v>
      </c>
      <c r="E11204" t="s">
        <v>356</v>
      </c>
    </row>
    <row r="11205" spans="1:6" x14ac:dyDescent="0.3">
      <c r="A11205" t="s">
        <v>28</v>
      </c>
      <c r="B11205">
        <v>296</v>
      </c>
      <c r="C11205" t="s">
        <v>107</v>
      </c>
      <c r="D11205" t="s">
        <v>491</v>
      </c>
      <c r="E11205" t="s">
        <v>1397</v>
      </c>
    </row>
    <row r="11206" spans="1:6" x14ac:dyDescent="0.3">
      <c r="A11206" t="s">
        <v>27</v>
      </c>
      <c r="B11206">
        <v>292</v>
      </c>
      <c r="C11206" t="s">
        <v>139</v>
      </c>
      <c r="D11206" t="s">
        <v>1559</v>
      </c>
      <c r="E11206" t="s">
        <v>1558</v>
      </c>
    </row>
    <row r="11207" spans="1:6" x14ac:dyDescent="0.3">
      <c r="A11207" t="s">
        <v>41</v>
      </c>
      <c r="B11207">
        <v>1805</v>
      </c>
      <c r="C11207" t="s">
        <v>118</v>
      </c>
      <c r="D11207" t="s">
        <v>670</v>
      </c>
      <c r="E11207" t="s">
        <v>1047</v>
      </c>
    </row>
    <row r="11209" spans="1:6" x14ac:dyDescent="0.3">
      <c r="A11209" t="s">
        <v>2799</v>
      </c>
    </row>
    <row r="11210" spans="1:6" x14ac:dyDescent="0.3">
      <c r="A11210" t="s">
        <v>36</v>
      </c>
      <c r="B11210" t="s">
        <v>307</v>
      </c>
      <c r="C11210" t="s">
        <v>24</v>
      </c>
      <c r="D11210" t="s">
        <v>1454</v>
      </c>
      <c r="E11210" t="s">
        <v>2797</v>
      </c>
      <c r="F11210" t="s">
        <v>2798</v>
      </c>
    </row>
    <row r="11211" spans="1:6" x14ac:dyDescent="0.3">
      <c r="A11211" t="s">
        <v>25</v>
      </c>
      <c r="B11211" t="s">
        <v>291</v>
      </c>
      <c r="C11211">
        <v>139</v>
      </c>
      <c r="D11211" t="s">
        <v>282</v>
      </c>
      <c r="E11211" t="s">
        <v>1023</v>
      </c>
      <c r="F11211" t="s">
        <v>1393</v>
      </c>
    </row>
    <row r="11212" spans="1:6" x14ac:dyDescent="0.3">
      <c r="A11212" t="s">
        <v>25</v>
      </c>
      <c r="B11212" t="s">
        <v>292</v>
      </c>
      <c r="C11212">
        <v>230</v>
      </c>
      <c r="D11212" t="s">
        <v>467</v>
      </c>
      <c r="E11212" t="s">
        <v>670</v>
      </c>
      <c r="F11212" t="s">
        <v>1133</v>
      </c>
    </row>
    <row r="11213" spans="1:6" x14ac:dyDescent="0.3">
      <c r="A11213" t="s">
        <v>25</v>
      </c>
      <c r="B11213" t="s">
        <v>308</v>
      </c>
      <c r="C11213">
        <v>4</v>
      </c>
      <c r="D11213" t="s">
        <v>103</v>
      </c>
      <c r="E11213" t="s">
        <v>693</v>
      </c>
      <c r="F11213" t="s">
        <v>240</v>
      </c>
    </row>
    <row r="11214" spans="1:6" x14ac:dyDescent="0.3">
      <c r="A11214" t="s">
        <v>26</v>
      </c>
      <c r="B11214" t="s">
        <v>291</v>
      </c>
      <c r="C11214">
        <v>102</v>
      </c>
      <c r="D11214" t="s">
        <v>208</v>
      </c>
      <c r="E11214" t="s">
        <v>577</v>
      </c>
      <c r="F11214" t="s">
        <v>944</v>
      </c>
    </row>
    <row r="11215" spans="1:6" x14ac:dyDescent="0.3">
      <c r="A11215" t="s">
        <v>26</v>
      </c>
      <c r="B11215" t="s">
        <v>292</v>
      </c>
      <c r="C11215">
        <v>261</v>
      </c>
      <c r="D11215" t="s">
        <v>194</v>
      </c>
      <c r="E11215" t="s">
        <v>671</v>
      </c>
      <c r="F11215" t="s">
        <v>1017</v>
      </c>
    </row>
    <row r="11216" spans="1:6" x14ac:dyDescent="0.3">
      <c r="A11216" t="s">
        <v>26</v>
      </c>
      <c r="B11216" t="s">
        <v>308</v>
      </c>
      <c r="C11216">
        <v>3</v>
      </c>
      <c r="D11216" t="s">
        <v>103</v>
      </c>
      <c r="E11216" t="s">
        <v>1202</v>
      </c>
      <c r="F11216" t="s">
        <v>1009</v>
      </c>
    </row>
    <row r="11217" spans="1:6" x14ac:dyDescent="0.3">
      <c r="A11217" t="s">
        <v>29</v>
      </c>
      <c r="B11217" t="s">
        <v>291</v>
      </c>
      <c r="C11217">
        <v>185</v>
      </c>
      <c r="D11217" t="s">
        <v>341</v>
      </c>
      <c r="E11217" t="s">
        <v>109</v>
      </c>
      <c r="F11217" t="s">
        <v>233</v>
      </c>
    </row>
    <row r="11218" spans="1:6" x14ac:dyDescent="0.3">
      <c r="A11218" t="s">
        <v>29</v>
      </c>
      <c r="B11218" t="s">
        <v>292</v>
      </c>
      <c r="C11218">
        <v>293</v>
      </c>
      <c r="D11218" t="s">
        <v>272</v>
      </c>
      <c r="E11218" t="s">
        <v>491</v>
      </c>
      <c r="F11218" t="s">
        <v>924</v>
      </c>
    </row>
    <row r="11219" spans="1:6" x14ac:dyDescent="0.3">
      <c r="A11219" t="s">
        <v>28</v>
      </c>
      <c r="B11219" t="s">
        <v>291</v>
      </c>
      <c r="C11219">
        <v>102</v>
      </c>
      <c r="D11219" t="s">
        <v>128</v>
      </c>
      <c r="E11219" t="s">
        <v>491</v>
      </c>
      <c r="F11219" t="s">
        <v>1375</v>
      </c>
    </row>
    <row r="11220" spans="1:6" x14ac:dyDescent="0.3">
      <c r="A11220" t="s">
        <v>28</v>
      </c>
      <c r="B11220" t="s">
        <v>292</v>
      </c>
      <c r="C11220">
        <v>183</v>
      </c>
      <c r="D11220" t="s">
        <v>662</v>
      </c>
      <c r="E11220" t="s">
        <v>679</v>
      </c>
      <c r="F11220" t="s">
        <v>249</v>
      </c>
    </row>
    <row r="11221" spans="1:6" x14ac:dyDescent="0.3">
      <c r="A11221" t="s">
        <v>28</v>
      </c>
      <c r="B11221" t="s">
        <v>308</v>
      </c>
      <c r="C11221">
        <v>11</v>
      </c>
      <c r="D11221" t="s">
        <v>103</v>
      </c>
      <c r="E11221" t="s">
        <v>275</v>
      </c>
      <c r="F11221" t="s">
        <v>1131</v>
      </c>
    </row>
    <row r="11222" spans="1:6" x14ac:dyDescent="0.3">
      <c r="A11222" t="s">
        <v>27</v>
      </c>
      <c r="B11222" t="s">
        <v>291</v>
      </c>
      <c r="C11222">
        <v>90</v>
      </c>
      <c r="D11222" t="s">
        <v>194</v>
      </c>
      <c r="E11222" t="s">
        <v>604</v>
      </c>
      <c r="F11222" t="s">
        <v>304</v>
      </c>
    </row>
    <row r="11223" spans="1:6" x14ac:dyDescent="0.3">
      <c r="A11223" t="s">
        <v>27</v>
      </c>
      <c r="B11223" t="s">
        <v>292</v>
      </c>
      <c r="C11223">
        <v>195</v>
      </c>
      <c r="D11223" t="s">
        <v>120</v>
      </c>
      <c r="E11223" t="s">
        <v>422</v>
      </c>
      <c r="F11223" t="s">
        <v>425</v>
      </c>
    </row>
    <row r="11224" spans="1:6" x14ac:dyDescent="0.3">
      <c r="A11224" t="s">
        <v>27</v>
      </c>
      <c r="B11224" t="s">
        <v>308</v>
      </c>
      <c r="C11224">
        <v>7</v>
      </c>
      <c r="D11224" t="s">
        <v>103</v>
      </c>
      <c r="E11224" t="s">
        <v>1251</v>
      </c>
      <c r="F11224" t="s">
        <v>1091</v>
      </c>
    </row>
    <row r="11225" spans="1:6" x14ac:dyDescent="0.3">
      <c r="A11225" t="s">
        <v>41</v>
      </c>
      <c r="B11225" t="s">
        <v>291</v>
      </c>
      <c r="C11225">
        <v>618</v>
      </c>
      <c r="D11225" t="s">
        <v>245</v>
      </c>
      <c r="E11225" t="s">
        <v>456</v>
      </c>
      <c r="F11225" t="s">
        <v>1037</v>
      </c>
    </row>
    <row r="11226" spans="1:6" x14ac:dyDescent="0.3">
      <c r="A11226" t="s">
        <v>41</v>
      </c>
      <c r="B11226" t="s">
        <v>292</v>
      </c>
      <c r="C11226">
        <v>1162</v>
      </c>
      <c r="D11226" t="s">
        <v>266</v>
      </c>
      <c r="E11226" t="s">
        <v>698</v>
      </c>
      <c r="F11226" t="s">
        <v>439</v>
      </c>
    </row>
    <row r="11227" spans="1:6" x14ac:dyDescent="0.3">
      <c r="A11227" t="s">
        <v>41</v>
      </c>
      <c r="B11227" t="s">
        <v>308</v>
      </c>
      <c r="C11227">
        <v>25</v>
      </c>
      <c r="D11227" t="s">
        <v>103</v>
      </c>
      <c r="E11227" t="s">
        <v>230</v>
      </c>
      <c r="F11227" t="s">
        <v>1137</v>
      </c>
    </row>
    <row r="11229" spans="1:6" x14ac:dyDescent="0.3">
      <c r="A11229" t="s">
        <v>2800</v>
      </c>
    </row>
    <row r="11230" spans="1:6" x14ac:dyDescent="0.3">
      <c r="A11230" t="s">
        <v>36</v>
      </c>
      <c r="B11230" t="s">
        <v>763</v>
      </c>
      <c r="C11230" t="s">
        <v>24</v>
      </c>
      <c r="D11230" t="s">
        <v>2797</v>
      </c>
      <c r="E11230" t="s">
        <v>2798</v>
      </c>
      <c r="F11230" t="s">
        <v>1454</v>
      </c>
    </row>
    <row r="11231" spans="1:6" s="3" customFormat="1" x14ac:dyDescent="0.3">
      <c r="A11231" s="3" t="s">
        <v>25</v>
      </c>
      <c r="B11231" s="3" t="s">
        <v>764</v>
      </c>
      <c r="C11231" s="3">
        <v>29</v>
      </c>
      <c r="D11231" s="3" t="s">
        <v>1196</v>
      </c>
      <c r="E11231" s="3" t="s">
        <v>1283</v>
      </c>
      <c r="F11231" s="3" t="s">
        <v>103</v>
      </c>
    </row>
    <row r="11232" spans="1:6" x14ac:dyDescent="0.3">
      <c r="A11232" t="s">
        <v>25</v>
      </c>
      <c r="B11232" t="s">
        <v>765</v>
      </c>
      <c r="C11232">
        <v>249</v>
      </c>
      <c r="D11232" t="s">
        <v>556</v>
      </c>
      <c r="E11232" t="s">
        <v>1146</v>
      </c>
      <c r="F11232" t="s">
        <v>239</v>
      </c>
    </row>
    <row r="11233" spans="1:6" x14ac:dyDescent="0.3">
      <c r="A11233" t="s">
        <v>25</v>
      </c>
      <c r="B11233" t="s">
        <v>767</v>
      </c>
      <c r="C11233">
        <v>95</v>
      </c>
      <c r="D11233" t="s">
        <v>920</v>
      </c>
      <c r="E11233" t="s">
        <v>2263</v>
      </c>
      <c r="F11233" t="s">
        <v>133</v>
      </c>
    </row>
    <row r="11234" spans="1:6" x14ac:dyDescent="0.3">
      <c r="A11234" t="s">
        <v>26</v>
      </c>
      <c r="B11234" t="s">
        <v>764</v>
      </c>
      <c r="C11234">
        <v>38</v>
      </c>
      <c r="D11234" t="s">
        <v>815</v>
      </c>
      <c r="E11234" t="s">
        <v>255</v>
      </c>
      <c r="F11234" t="s">
        <v>103</v>
      </c>
    </row>
    <row r="11235" spans="1:6" x14ac:dyDescent="0.3">
      <c r="A11235" t="s">
        <v>26</v>
      </c>
      <c r="B11235" t="s">
        <v>765</v>
      </c>
      <c r="C11235">
        <v>220</v>
      </c>
      <c r="D11235" t="s">
        <v>52</v>
      </c>
      <c r="E11235" t="s">
        <v>741</v>
      </c>
      <c r="F11235" t="s">
        <v>139</v>
      </c>
    </row>
    <row r="11236" spans="1:6" x14ac:dyDescent="0.3">
      <c r="A11236" t="s">
        <v>26</v>
      </c>
      <c r="B11236" t="s">
        <v>767</v>
      </c>
      <c r="C11236">
        <v>108</v>
      </c>
      <c r="D11236" t="s">
        <v>732</v>
      </c>
      <c r="E11236" t="s">
        <v>618</v>
      </c>
      <c r="F11236" t="s">
        <v>438</v>
      </c>
    </row>
    <row r="11237" spans="1:6" s="3" customFormat="1" x14ac:dyDescent="0.3">
      <c r="A11237" s="3" t="s">
        <v>29</v>
      </c>
      <c r="B11237" s="3" t="s">
        <v>764</v>
      </c>
      <c r="C11237" s="3">
        <v>10</v>
      </c>
      <c r="D11237" s="3" t="s">
        <v>1090</v>
      </c>
      <c r="E11237" s="3" t="s">
        <v>1291</v>
      </c>
      <c r="F11237" s="3" t="s">
        <v>103</v>
      </c>
    </row>
    <row r="11238" spans="1:6" x14ac:dyDescent="0.3">
      <c r="A11238" t="s">
        <v>29</v>
      </c>
      <c r="B11238" t="s">
        <v>765</v>
      </c>
      <c r="C11238">
        <v>331</v>
      </c>
      <c r="D11238" t="s">
        <v>705</v>
      </c>
      <c r="E11238" t="s">
        <v>1374</v>
      </c>
      <c r="F11238" t="s">
        <v>467</v>
      </c>
    </row>
    <row r="11239" spans="1:6" x14ac:dyDescent="0.3">
      <c r="A11239" t="s">
        <v>29</v>
      </c>
      <c r="B11239" t="s">
        <v>767</v>
      </c>
      <c r="C11239">
        <v>137</v>
      </c>
      <c r="D11239" t="s">
        <v>303</v>
      </c>
      <c r="E11239" t="s">
        <v>620</v>
      </c>
      <c r="F11239" t="s">
        <v>110</v>
      </c>
    </row>
    <row r="11240" spans="1:6" s="3" customFormat="1" x14ac:dyDescent="0.3">
      <c r="A11240" s="3" t="s">
        <v>28</v>
      </c>
      <c r="B11240" s="3" t="s">
        <v>764</v>
      </c>
      <c r="C11240" s="3">
        <v>17</v>
      </c>
      <c r="D11240" s="3" t="s">
        <v>615</v>
      </c>
      <c r="E11240" s="3" t="s">
        <v>1484</v>
      </c>
      <c r="F11240" s="3" t="s">
        <v>128</v>
      </c>
    </row>
    <row r="11241" spans="1:6" x14ac:dyDescent="0.3">
      <c r="A11241" t="s">
        <v>28</v>
      </c>
      <c r="B11241" t="s">
        <v>765</v>
      </c>
      <c r="C11241">
        <v>242</v>
      </c>
      <c r="D11241" t="s">
        <v>1097</v>
      </c>
      <c r="E11241" t="s">
        <v>249</v>
      </c>
      <c r="F11241" t="s">
        <v>214</v>
      </c>
    </row>
    <row r="11242" spans="1:6" x14ac:dyDescent="0.3">
      <c r="A11242" t="s">
        <v>28</v>
      </c>
      <c r="B11242" t="s">
        <v>767</v>
      </c>
      <c r="C11242">
        <v>37</v>
      </c>
      <c r="D11242" t="s">
        <v>293</v>
      </c>
      <c r="E11242" t="s">
        <v>430</v>
      </c>
      <c r="F11242" t="s">
        <v>245</v>
      </c>
    </row>
    <row r="11243" spans="1:6" s="3" customFormat="1" x14ac:dyDescent="0.3">
      <c r="A11243" s="3" t="s">
        <v>27</v>
      </c>
      <c r="B11243" s="3" t="s">
        <v>764</v>
      </c>
      <c r="C11243" s="3">
        <v>29</v>
      </c>
      <c r="D11243" s="3" t="s">
        <v>358</v>
      </c>
      <c r="E11243" s="3" t="s">
        <v>405</v>
      </c>
      <c r="F11243" s="3" t="s">
        <v>103</v>
      </c>
    </row>
    <row r="11244" spans="1:6" x14ac:dyDescent="0.3">
      <c r="A11244" t="s">
        <v>27</v>
      </c>
      <c r="B11244" t="s">
        <v>765</v>
      </c>
      <c r="C11244">
        <v>202</v>
      </c>
      <c r="D11244" t="s">
        <v>770</v>
      </c>
      <c r="E11244" t="s">
        <v>933</v>
      </c>
      <c r="F11244" t="s">
        <v>468</v>
      </c>
    </row>
    <row r="11245" spans="1:6" x14ac:dyDescent="0.3">
      <c r="A11245" t="s">
        <v>27</v>
      </c>
      <c r="B11245" t="s">
        <v>767</v>
      </c>
      <c r="C11245">
        <v>61</v>
      </c>
      <c r="D11245" t="s">
        <v>677</v>
      </c>
      <c r="E11245" t="s">
        <v>678</v>
      </c>
      <c r="F11245" t="s">
        <v>103</v>
      </c>
    </row>
    <row r="11246" spans="1:6" x14ac:dyDescent="0.3">
      <c r="A11246" t="s">
        <v>41</v>
      </c>
      <c r="B11246" t="s">
        <v>764</v>
      </c>
      <c r="C11246">
        <v>123</v>
      </c>
      <c r="D11246" t="s">
        <v>698</v>
      </c>
      <c r="E11246" t="s">
        <v>822</v>
      </c>
      <c r="F11246" t="s">
        <v>66</v>
      </c>
    </row>
    <row r="11247" spans="1:6" x14ac:dyDescent="0.3">
      <c r="A11247" t="s">
        <v>41</v>
      </c>
      <c r="B11247" t="s">
        <v>765</v>
      </c>
      <c r="C11247">
        <v>1244</v>
      </c>
      <c r="D11247" t="s">
        <v>1204</v>
      </c>
      <c r="E11247" t="s">
        <v>796</v>
      </c>
      <c r="F11247" t="s">
        <v>257</v>
      </c>
    </row>
    <row r="11248" spans="1:6" x14ac:dyDescent="0.3">
      <c r="A11248" t="s">
        <v>41</v>
      </c>
      <c r="B11248" t="s">
        <v>767</v>
      </c>
      <c r="C11248">
        <v>438</v>
      </c>
      <c r="D11248" t="s">
        <v>906</v>
      </c>
      <c r="E11248" t="s">
        <v>831</v>
      </c>
      <c r="F11248" t="s">
        <v>257</v>
      </c>
    </row>
    <row r="11250" spans="1:6" x14ac:dyDescent="0.3">
      <c r="A11250" t="s">
        <v>2801</v>
      </c>
    </row>
    <row r="11251" spans="1:6" x14ac:dyDescent="0.3">
      <c r="A11251" t="s">
        <v>36</v>
      </c>
      <c r="B11251" t="s">
        <v>1647</v>
      </c>
      <c r="C11251" t="s">
        <v>24</v>
      </c>
      <c r="D11251" t="s">
        <v>1454</v>
      </c>
      <c r="E11251" t="s">
        <v>2797</v>
      </c>
      <c r="F11251" t="s">
        <v>2798</v>
      </c>
    </row>
    <row r="11252" spans="1:6" x14ac:dyDescent="0.3">
      <c r="A11252" t="s">
        <v>25</v>
      </c>
      <c r="B11252" t="s">
        <v>1648</v>
      </c>
      <c r="C11252">
        <v>129</v>
      </c>
      <c r="D11252" t="s">
        <v>493</v>
      </c>
      <c r="E11252" t="s">
        <v>645</v>
      </c>
      <c r="F11252" t="s">
        <v>233</v>
      </c>
    </row>
    <row r="11253" spans="1:6" x14ac:dyDescent="0.3">
      <c r="A11253" t="s">
        <v>25</v>
      </c>
      <c r="B11253" t="s">
        <v>1649</v>
      </c>
      <c r="C11253">
        <v>244</v>
      </c>
      <c r="D11253" t="s">
        <v>245</v>
      </c>
      <c r="E11253" t="s">
        <v>688</v>
      </c>
      <c r="F11253" t="s">
        <v>1436</v>
      </c>
    </row>
    <row r="11254" spans="1:6" x14ac:dyDescent="0.3">
      <c r="A11254" t="s">
        <v>26</v>
      </c>
      <c r="B11254" t="s">
        <v>1648</v>
      </c>
      <c r="C11254">
        <v>130</v>
      </c>
      <c r="D11254" t="s">
        <v>194</v>
      </c>
      <c r="E11254" t="s">
        <v>581</v>
      </c>
      <c r="F11254" t="s">
        <v>1140</v>
      </c>
    </row>
    <row r="11255" spans="1:6" x14ac:dyDescent="0.3">
      <c r="A11255" t="s">
        <v>26</v>
      </c>
      <c r="B11255" t="s">
        <v>1649</v>
      </c>
      <c r="C11255">
        <v>236</v>
      </c>
      <c r="D11255" t="s">
        <v>216</v>
      </c>
      <c r="E11255" t="s">
        <v>921</v>
      </c>
      <c r="F11255" t="s">
        <v>1322</v>
      </c>
    </row>
    <row r="11256" spans="1:6" x14ac:dyDescent="0.3">
      <c r="A11256" t="s">
        <v>29</v>
      </c>
      <c r="B11256" t="s">
        <v>1648</v>
      </c>
      <c r="C11256">
        <v>227</v>
      </c>
      <c r="D11256" t="s">
        <v>257</v>
      </c>
      <c r="E11256" t="s">
        <v>542</v>
      </c>
      <c r="F11256" t="s">
        <v>439</v>
      </c>
    </row>
    <row r="11257" spans="1:6" x14ac:dyDescent="0.3">
      <c r="A11257" t="s">
        <v>29</v>
      </c>
      <c r="B11257" t="s">
        <v>1649</v>
      </c>
      <c r="C11257">
        <v>251</v>
      </c>
      <c r="D11257" t="s">
        <v>64</v>
      </c>
      <c r="E11257" t="s">
        <v>561</v>
      </c>
      <c r="F11257" t="s">
        <v>892</v>
      </c>
    </row>
    <row r="11258" spans="1:6" x14ac:dyDescent="0.3">
      <c r="A11258" t="s">
        <v>28</v>
      </c>
      <c r="B11258" t="s">
        <v>1648</v>
      </c>
      <c r="C11258">
        <v>73</v>
      </c>
      <c r="D11258" t="s">
        <v>662</v>
      </c>
      <c r="E11258" t="s">
        <v>480</v>
      </c>
      <c r="F11258" t="s">
        <v>260</v>
      </c>
    </row>
    <row r="11259" spans="1:6" x14ac:dyDescent="0.3">
      <c r="A11259" t="s">
        <v>28</v>
      </c>
      <c r="B11259" t="s">
        <v>1649</v>
      </c>
      <c r="C11259">
        <v>223</v>
      </c>
      <c r="D11259" t="s">
        <v>188</v>
      </c>
      <c r="E11259" t="s">
        <v>561</v>
      </c>
      <c r="F11259" t="s">
        <v>2106</v>
      </c>
    </row>
    <row r="11260" spans="1:6" x14ac:dyDescent="0.3">
      <c r="A11260" t="s">
        <v>27</v>
      </c>
      <c r="B11260" t="s">
        <v>1648</v>
      </c>
      <c r="C11260">
        <v>63</v>
      </c>
      <c r="D11260" t="s">
        <v>103</v>
      </c>
      <c r="E11260" t="s">
        <v>34</v>
      </c>
      <c r="F11260" t="s">
        <v>1096</v>
      </c>
    </row>
    <row r="11261" spans="1:6" x14ac:dyDescent="0.3">
      <c r="A11261" t="s">
        <v>27</v>
      </c>
      <c r="B11261" t="s">
        <v>1649</v>
      </c>
      <c r="C11261">
        <v>229</v>
      </c>
      <c r="D11261" t="s">
        <v>282</v>
      </c>
      <c r="E11261" t="s">
        <v>432</v>
      </c>
      <c r="F11261" t="s">
        <v>354</v>
      </c>
    </row>
    <row r="11262" spans="1:6" x14ac:dyDescent="0.3">
      <c r="A11262" t="s">
        <v>41</v>
      </c>
      <c r="B11262" t="s">
        <v>1648</v>
      </c>
      <c r="C11262">
        <v>622</v>
      </c>
      <c r="D11262" t="s">
        <v>257</v>
      </c>
      <c r="E11262" t="s">
        <v>815</v>
      </c>
      <c r="F11262" t="s">
        <v>926</v>
      </c>
    </row>
    <row r="11263" spans="1:6" x14ac:dyDescent="0.3">
      <c r="A11263" t="s">
        <v>41</v>
      </c>
      <c r="B11263" t="s">
        <v>1649</v>
      </c>
      <c r="C11263">
        <v>1183</v>
      </c>
      <c r="D11263" t="s">
        <v>128</v>
      </c>
      <c r="E11263" t="s">
        <v>674</v>
      </c>
      <c r="F11263" t="s">
        <v>1283</v>
      </c>
    </row>
    <row r="11265" spans="1:6" x14ac:dyDescent="0.3">
      <c r="A11265" t="s">
        <v>2802</v>
      </c>
    </row>
    <row r="11266" spans="1:6" x14ac:dyDescent="0.3">
      <c r="A11266" t="s">
        <v>36</v>
      </c>
      <c r="B11266" t="s">
        <v>2756</v>
      </c>
      <c r="C11266" t="s">
        <v>24</v>
      </c>
      <c r="D11266" t="s">
        <v>2797</v>
      </c>
      <c r="E11266" t="s">
        <v>2798</v>
      </c>
      <c r="F11266" t="s">
        <v>1454</v>
      </c>
    </row>
    <row r="11267" spans="1:6" s="3" customFormat="1" x14ac:dyDescent="0.3">
      <c r="A11267" s="3" t="s">
        <v>25</v>
      </c>
      <c r="B11267" s="3" t="s">
        <v>2757</v>
      </c>
      <c r="C11267" s="3">
        <v>10</v>
      </c>
      <c r="D11267" s="3" t="s">
        <v>48</v>
      </c>
      <c r="E11267" s="3" t="s">
        <v>47</v>
      </c>
      <c r="F11267" s="3" t="s">
        <v>103</v>
      </c>
    </row>
    <row r="11268" spans="1:6" x14ac:dyDescent="0.3">
      <c r="A11268" t="s">
        <v>25</v>
      </c>
      <c r="B11268" t="s">
        <v>2758</v>
      </c>
      <c r="C11268">
        <v>123</v>
      </c>
      <c r="D11268" t="s">
        <v>1204</v>
      </c>
      <c r="E11268" t="s">
        <v>263</v>
      </c>
      <c r="F11268" t="s">
        <v>98</v>
      </c>
    </row>
    <row r="11269" spans="1:6" x14ac:dyDescent="0.3">
      <c r="A11269" t="s">
        <v>25</v>
      </c>
      <c r="B11269" t="s">
        <v>2759</v>
      </c>
      <c r="C11269">
        <v>121</v>
      </c>
      <c r="D11269" t="s">
        <v>429</v>
      </c>
      <c r="E11269" t="s">
        <v>1094</v>
      </c>
      <c r="F11269" t="s">
        <v>118</v>
      </c>
    </row>
    <row r="11270" spans="1:6" x14ac:dyDescent="0.3">
      <c r="A11270" t="s">
        <v>25</v>
      </c>
      <c r="B11270" t="s">
        <v>2760</v>
      </c>
      <c r="C11270">
        <v>111</v>
      </c>
      <c r="D11270" t="s">
        <v>706</v>
      </c>
      <c r="E11270" t="s">
        <v>618</v>
      </c>
      <c r="F11270" t="s">
        <v>245</v>
      </c>
    </row>
    <row r="11271" spans="1:6" x14ac:dyDescent="0.3">
      <c r="A11271" t="s">
        <v>25</v>
      </c>
      <c r="B11271" t="s">
        <v>308</v>
      </c>
      <c r="C11271">
        <v>8</v>
      </c>
      <c r="D11271" t="s">
        <v>1231</v>
      </c>
      <c r="E11271" t="s">
        <v>256</v>
      </c>
      <c r="F11271" t="s">
        <v>542</v>
      </c>
    </row>
    <row r="11272" spans="1:6" s="3" customFormat="1" x14ac:dyDescent="0.3">
      <c r="A11272" s="3" t="s">
        <v>26</v>
      </c>
      <c r="B11272" s="3" t="s">
        <v>2757</v>
      </c>
      <c r="C11272" s="3">
        <v>9</v>
      </c>
      <c r="D11272" s="3" t="s">
        <v>559</v>
      </c>
      <c r="E11272" s="3" t="s">
        <v>736</v>
      </c>
      <c r="F11272" s="3" t="s">
        <v>103</v>
      </c>
    </row>
    <row r="11273" spans="1:6" x14ac:dyDescent="0.3">
      <c r="A11273" t="s">
        <v>26</v>
      </c>
      <c r="B11273" t="s">
        <v>2758</v>
      </c>
      <c r="C11273">
        <v>154</v>
      </c>
      <c r="D11273" t="s">
        <v>927</v>
      </c>
      <c r="E11273" t="s">
        <v>1368</v>
      </c>
      <c r="F11273" t="s">
        <v>128</v>
      </c>
    </row>
    <row r="11274" spans="1:6" x14ac:dyDescent="0.3">
      <c r="A11274" t="s">
        <v>26</v>
      </c>
      <c r="B11274" t="s">
        <v>2759</v>
      </c>
      <c r="C11274">
        <v>108</v>
      </c>
      <c r="D11274" t="s">
        <v>261</v>
      </c>
      <c r="E11274" t="s">
        <v>1354</v>
      </c>
      <c r="F11274" t="s">
        <v>239</v>
      </c>
    </row>
    <row r="11275" spans="1:6" x14ac:dyDescent="0.3">
      <c r="A11275" t="s">
        <v>26</v>
      </c>
      <c r="B11275" t="s">
        <v>2760</v>
      </c>
      <c r="C11275">
        <v>87</v>
      </c>
      <c r="D11275" t="s">
        <v>1227</v>
      </c>
      <c r="E11275" t="s">
        <v>1354</v>
      </c>
      <c r="F11275" t="s">
        <v>103</v>
      </c>
    </row>
    <row r="11276" spans="1:6" x14ac:dyDescent="0.3">
      <c r="A11276" t="s">
        <v>26</v>
      </c>
      <c r="B11276" t="s">
        <v>308</v>
      </c>
      <c r="C11276">
        <v>8</v>
      </c>
      <c r="D11276" t="s">
        <v>31</v>
      </c>
      <c r="E11276" t="s">
        <v>1680</v>
      </c>
      <c r="F11276" t="s">
        <v>103</v>
      </c>
    </row>
    <row r="11277" spans="1:6" s="3" customFormat="1" x14ac:dyDescent="0.3">
      <c r="A11277" s="3" t="s">
        <v>29</v>
      </c>
      <c r="B11277" s="3" t="s">
        <v>2757</v>
      </c>
      <c r="C11277" s="3">
        <v>12</v>
      </c>
      <c r="D11277" s="3" t="s">
        <v>875</v>
      </c>
      <c r="E11277" s="3" t="s">
        <v>1462</v>
      </c>
      <c r="F11277" s="3" t="s">
        <v>162</v>
      </c>
    </row>
    <row r="11278" spans="1:6" x14ac:dyDescent="0.3">
      <c r="A11278" t="s">
        <v>29</v>
      </c>
      <c r="B11278" t="s">
        <v>2758</v>
      </c>
      <c r="C11278">
        <v>223</v>
      </c>
      <c r="D11278" t="s">
        <v>1196</v>
      </c>
      <c r="E11278" t="s">
        <v>235</v>
      </c>
      <c r="F11278" t="s">
        <v>128</v>
      </c>
    </row>
    <row r="11279" spans="1:6" x14ac:dyDescent="0.3">
      <c r="A11279" t="s">
        <v>29</v>
      </c>
      <c r="B11279" t="s">
        <v>2759</v>
      </c>
      <c r="C11279">
        <v>128</v>
      </c>
      <c r="D11279" t="s">
        <v>683</v>
      </c>
      <c r="E11279" t="s">
        <v>1369</v>
      </c>
      <c r="F11279" t="s">
        <v>105</v>
      </c>
    </row>
    <row r="11280" spans="1:6" x14ac:dyDescent="0.3">
      <c r="A11280" t="s">
        <v>29</v>
      </c>
      <c r="B11280" t="s">
        <v>2760</v>
      </c>
      <c r="C11280">
        <v>107</v>
      </c>
      <c r="D11280" t="s">
        <v>440</v>
      </c>
      <c r="E11280" t="s">
        <v>406</v>
      </c>
      <c r="F11280" t="s">
        <v>438</v>
      </c>
    </row>
    <row r="11281" spans="1:6" x14ac:dyDescent="0.3">
      <c r="A11281" t="s">
        <v>29</v>
      </c>
      <c r="B11281" t="s">
        <v>308</v>
      </c>
      <c r="C11281">
        <v>8</v>
      </c>
      <c r="D11281" t="s">
        <v>816</v>
      </c>
      <c r="E11281" t="s">
        <v>1379</v>
      </c>
      <c r="F11281" t="s">
        <v>257</v>
      </c>
    </row>
    <row r="11282" spans="1:6" s="3" customFormat="1" x14ac:dyDescent="0.3">
      <c r="A11282" s="3" t="s">
        <v>28</v>
      </c>
      <c r="B11282" s="3" t="s">
        <v>2757</v>
      </c>
      <c r="C11282" s="3">
        <v>30</v>
      </c>
      <c r="D11282" s="3" t="s">
        <v>1088</v>
      </c>
      <c r="E11282" s="3" t="s">
        <v>704</v>
      </c>
      <c r="F11282" s="3" t="s">
        <v>103</v>
      </c>
    </row>
    <row r="11283" spans="1:6" x14ac:dyDescent="0.3">
      <c r="A11283" t="s">
        <v>28</v>
      </c>
      <c r="B11283" t="s">
        <v>2758</v>
      </c>
      <c r="C11283">
        <v>92</v>
      </c>
      <c r="D11283" t="s">
        <v>705</v>
      </c>
      <c r="E11283" t="s">
        <v>1245</v>
      </c>
      <c r="F11283" t="s">
        <v>531</v>
      </c>
    </row>
    <row r="11284" spans="1:6" x14ac:dyDescent="0.3">
      <c r="A11284" t="s">
        <v>28</v>
      </c>
      <c r="B11284" t="s">
        <v>2759</v>
      </c>
      <c r="C11284">
        <v>98</v>
      </c>
      <c r="D11284" t="s">
        <v>1218</v>
      </c>
      <c r="E11284" t="s">
        <v>1328</v>
      </c>
      <c r="F11284" t="s">
        <v>438</v>
      </c>
    </row>
    <row r="11285" spans="1:6" x14ac:dyDescent="0.3">
      <c r="A11285" t="s">
        <v>28</v>
      </c>
      <c r="B11285" t="s">
        <v>2760</v>
      </c>
      <c r="C11285">
        <v>76</v>
      </c>
      <c r="D11285" t="s">
        <v>626</v>
      </c>
      <c r="E11285" t="s">
        <v>260</v>
      </c>
      <c r="F11285" t="s">
        <v>113</v>
      </c>
    </row>
    <row r="11286" spans="1:6" s="3" customFormat="1" x14ac:dyDescent="0.3">
      <c r="A11286" s="3" t="s">
        <v>27</v>
      </c>
      <c r="B11286" s="3" t="s">
        <v>2757</v>
      </c>
      <c r="C11286" s="3">
        <v>1</v>
      </c>
      <c r="D11286" s="3" t="s">
        <v>103</v>
      </c>
      <c r="E11286" s="3" t="s">
        <v>192</v>
      </c>
      <c r="F11286" s="3" t="s">
        <v>103</v>
      </c>
    </row>
    <row r="11287" spans="1:6" x14ac:dyDescent="0.3">
      <c r="A11287" t="s">
        <v>27</v>
      </c>
      <c r="B11287" t="s">
        <v>2758</v>
      </c>
      <c r="C11287">
        <v>83</v>
      </c>
      <c r="D11287" t="s">
        <v>692</v>
      </c>
      <c r="E11287" t="s">
        <v>1087</v>
      </c>
      <c r="F11287" t="s">
        <v>103</v>
      </c>
    </row>
    <row r="11288" spans="1:6" x14ac:dyDescent="0.3">
      <c r="A11288" t="s">
        <v>27</v>
      </c>
      <c r="B11288" t="s">
        <v>2759</v>
      </c>
      <c r="C11288">
        <v>81</v>
      </c>
      <c r="D11288" t="s">
        <v>993</v>
      </c>
      <c r="E11288" t="s">
        <v>1021</v>
      </c>
      <c r="F11288" t="s">
        <v>468</v>
      </c>
    </row>
    <row r="11289" spans="1:6" x14ac:dyDescent="0.3">
      <c r="A11289" t="s">
        <v>27</v>
      </c>
      <c r="B11289" t="s">
        <v>2760</v>
      </c>
      <c r="C11289">
        <v>125</v>
      </c>
      <c r="D11289" t="s">
        <v>293</v>
      </c>
      <c r="E11289" t="s">
        <v>1064</v>
      </c>
      <c r="F11289" t="s">
        <v>282</v>
      </c>
    </row>
    <row r="11290" spans="1:6" x14ac:dyDescent="0.3">
      <c r="A11290" t="s">
        <v>27</v>
      </c>
      <c r="B11290" t="s">
        <v>308</v>
      </c>
      <c r="C11290">
        <v>2</v>
      </c>
      <c r="D11290" t="s">
        <v>472</v>
      </c>
      <c r="E11290" t="s">
        <v>1141</v>
      </c>
      <c r="F11290" t="s">
        <v>103</v>
      </c>
    </row>
    <row r="11291" spans="1:6" x14ac:dyDescent="0.3">
      <c r="A11291" t="s">
        <v>41</v>
      </c>
      <c r="B11291" t="s">
        <v>2757</v>
      </c>
      <c r="C11291">
        <v>62</v>
      </c>
      <c r="D11291" t="s">
        <v>684</v>
      </c>
      <c r="E11291" t="s">
        <v>1420</v>
      </c>
      <c r="F11291" t="s">
        <v>190</v>
      </c>
    </row>
    <row r="11292" spans="1:6" x14ac:dyDescent="0.3">
      <c r="A11292" t="s">
        <v>41</v>
      </c>
      <c r="B11292" t="s">
        <v>2758</v>
      </c>
      <c r="C11292">
        <v>675</v>
      </c>
      <c r="D11292" t="s">
        <v>480</v>
      </c>
      <c r="E11292" t="s">
        <v>1420</v>
      </c>
      <c r="F11292" t="s">
        <v>329</v>
      </c>
    </row>
    <row r="11293" spans="1:6" x14ac:dyDescent="0.3">
      <c r="A11293" t="s">
        <v>41</v>
      </c>
      <c r="B11293" t="s">
        <v>2759</v>
      </c>
      <c r="C11293">
        <v>536</v>
      </c>
      <c r="D11293" t="s">
        <v>674</v>
      </c>
      <c r="E11293" t="s">
        <v>1420</v>
      </c>
      <c r="F11293" t="s">
        <v>341</v>
      </c>
    </row>
    <row r="11294" spans="1:6" x14ac:dyDescent="0.3">
      <c r="A11294" t="s">
        <v>41</v>
      </c>
      <c r="B11294" t="s">
        <v>2760</v>
      </c>
      <c r="C11294">
        <v>506</v>
      </c>
      <c r="D11294" t="s">
        <v>1204</v>
      </c>
      <c r="E11294" t="s">
        <v>937</v>
      </c>
      <c r="F11294" t="s">
        <v>93</v>
      </c>
    </row>
    <row r="11295" spans="1:6" x14ac:dyDescent="0.3">
      <c r="A11295" t="s">
        <v>41</v>
      </c>
      <c r="B11295" t="s">
        <v>308</v>
      </c>
      <c r="C11295">
        <v>26</v>
      </c>
      <c r="D11295" t="s">
        <v>567</v>
      </c>
      <c r="E11295" t="s">
        <v>1025</v>
      </c>
      <c r="F11295" t="s">
        <v>459</v>
      </c>
    </row>
    <row r="11297" spans="1:6" x14ac:dyDescent="0.3">
      <c r="A11297" t="s">
        <v>2803</v>
      </c>
    </row>
    <row r="11298" spans="1:6" x14ac:dyDescent="0.3">
      <c r="A11298" t="s">
        <v>36</v>
      </c>
      <c r="B11298" t="s">
        <v>310</v>
      </c>
      <c r="C11298" t="s">
        <v>24</v>
      </c>
      <c r="D11298" t="s">
        <v>1454</v>
      </c>
      <c r="E11298" t="s">
        <v>2797</v>
      </c>
      <c r="F11298" t="s">
        <v>2798</v>
      </c>
    </row>
    <row r="11299" spans="1:6" x14ac:dyDescent="0.3">
      <c r="A11299" t="s">
        <v>25</v>
      </c>
      <c r="B11299" t="s">
        <v>311</v>
      </c>
      <c r="C11299">
        <v>290</v>
      </c>
      <c r="D11299" t="s">
        <v>245</v>
      </c>
      <c r="E11299" t="s">
        <v>236</v>
      </c>
      <c r="F11299" t="s">
        <v>703</v>
      </c>
    </row>
    <row r="11300" spans="1:6" x14ac:dyDescent="0.3">
      <c r="A11300" t="s">
        <v>25</v>
      </c>
      <c r="B11300" t="s">
        <v>312</v>
      </c>
      <c r="C11300">
        <v>73</v>
      </c>
      <c r="D11300" t="s">
        <v>216</v>
      </c>
      <c r="E11300" t="s">
        <v>672</v>
      </c>
      <c r="F11300" t="s">
        <v>1040</v>
      </c>
    </row>
    <row r="11301" spans="1:6" x14ac:dyDescent="0.3">
      <c r="A11301" t="s">
        <v>25</v>
      </c>
      <c r="B11301" t="s">
        <v>308</v>
      </c>
      <c r="C11301">
        <v>10</v>
      </c>
      <c r="D11301" t="s">
        <v>409</v>
      </c>
      <c r="E11301" t="s">
        <v>1006</v>
      </c>
      <c r="F11301" t="s">
        <v>1213</v>
      </c>
    </row>
    <row r="11302" spans="1:6" x14ac:dyDescent="0.3">
      <c r="A11302" t="s">
        <v>26</v>
      </c>
      <c r="B11302" t="s">
        <v>311</v>
      </c>
      <c r="C11302">
        <v>273</v>
      </c>
      <c r="D11302" t="s">
        <v>216</v>
      </c>
      <c r="E11302" t="s">
        <v>539</v>
      </c>
      <c r="F11302" t="s">
        <v>51</v>
      </c>
    </row>
    <row r="11303" spans="1:6" x14ac:dyDescent="0.3">
      <c r="A11303" t="s">
        <v>26</v>
      </c>
      <c r="B11303" t="s">
        <v>312</v>
      </c>
      <c r="C11303">
        <v>69</v>
      </c>
      <c r="D11303" t="s">
        <v>103</v>
      </c>
      <c r="E11303" t="s">
        <v>656</v>
      </c>
      <c r="F11303" t="s">
        <v>790</v>
      </c>
    </row>
    <row r="11304" spans="1:6" x14ac:dyDescent="0.3">
      <c r="A11304" t="s">
        <v>26</v>
      </c>
      <c r="B11304" t="s">
        <v>308</v>
      </c>
      <c r="C11304">
        <v>24</v>
      </c>
      <c r="D11304" t="s">
        <v>125</v>
      </c>
      <c r="E11304" t="s">
        <v>150</v>
      </c>
      <c r="F11304" t="s">
        <v>720</v>
      </c>
    </row>
    <row r="11305" spans="1:6" x14ac:dyDescent="0.3">
      <c r="A11305" t="s">
        <v>29</v>
      </c>
      <c r="B11305" t="s">
        <v>311</v>
      </c>
      <c r="C11305">
        <v>372</v>
      </c>
      <c r="D11305" t="s">
        <v>272</v>
      </c>
      <c r="E11305" t="s">
        <v>1223</v>
      </c>
      <c r="F11305" t="s">
        <v>814</v>
      </c>
    </row>
    <row r="11306" spans="1:6" x14ac:dyDescent="0.3">
      <c r="A11306" t="s">
        <v>29</v>
      </c>
      <c r="B11306" t="s">
        <v>312</v>
      </c>
      <c r="C11306">
        <v>93</v>
      </c>
      <c r="D11306" t="s">
        <v>98</v>
      </c>
      <c r="E11306" t="s">
        <v>893</v>
      </c>
      <c r="F11306" t="s">
        <v>1397</v>
      </c>
    </row>
    <row r="11307" spans="1:6" x14ac:dyDescent="0.3">
      <c r="A11307" t="s">
        <v>29</v>
      </c>
      <c r="B11307" t="s">
        <v>308</v>
      </c>
      <c r="C11307">
        <v>13</v>
      </c>
      <c r="D11307" t="s">
        <v>103</v>
      </c>
      <c r="E11307" t="s">
        <v>831</v>
      </c>
      <c r="F11307" t="s">
        <v>1050</v>
      </c>
    </row>
    <row r="11308" spans="1:6" x14ac:dyDescent="0.3">
      <c r="A11308" t="s">
        <v>28</v>
      </c>
      <c r="B11308" t="s">
        <v>311</v>
      </c>
      <c r="C11308">
        <v>213</v>
      </c>
      <c r="D11308" t="s">
        <v>208</v>
      </c>
      <c r="E11308" t="s">
        <v>435</v>
      </c>
      <c r="F11308" t="s">
        <v>785</v>
      </c>
    </row>
    <row r="11309" spans="1:6" x14ac:dyDescent="0.3">
      <c r="A11309" t="s">
        <v>28</v>
      </c>
      <c r="B11309" t="s">
        <v>312</v>
      </c>
      <c r="C11309">
        <v>82</v>
      </c>
      <c r="D11309" t="s">
        <v>136</v>
      </c>
      <c r="E11309" t="s">
        <v>498</v>
      </c>
      <c r="F11309" t="s">
        <v>384</v>
      </c>
    </row>
    <row r="11310" spans="1:6" x14ac:dyDescent="0.3">
      <c r="A11310" t="s">
        <v>28</v>
      </c>
      <c r="B11310" t="s">
        <v>308</v>
      </c>
      <c r="C11310">
        <v>1</v>
      </c>
      <c r="D11310" t="s">
        <v>103</v>
      </c>
      <c r="E11310" t="s">
        <v>192</v>
      </c>
      <c r="F11310" t="s">
        <v>103</v>
      </c>
    </row>
    <row r="11311" spans="1:6" x14ac:dyDescent="0.3">
      <c r="A11311" t="s">
        <v>27</v>
      </c>
      <c r="B11311" t="s">
        <v>311</v>
      </c>
      <c r="C11311">
        <v>229</v>
      </c>
      <c r="D11311" t="s">
        <v>122</v>
      </c>
      <c r="E11311" t="s">
        <v>413</v>
      </c>
      <c r="F11311" t="s">
        <v>374</v>
      </c>
    </row>
    <row r="11312" spans="1:6" x14ac:dyDescent="0.3">
      <c r="A11312" t="s">
        <v>27</v>
      </c>
      <c r="B11312" t="s">
        <v>312</v>
      </c>
      <c r="C11312">
        <v>60</v>
      </c>
      <c r="D11312" t="s">
        <v>128</v>
      </c>
      <c r="E11312" t="s">
        <v>928</v>
      </c>
      <c r="F11312" t="s">
        <v>386</v>
      </c>
    </row>
    <row r="11313" spans="1:6" x14ac:dyDescent="0.3">
      <c r="A11313" t="s">
        <v>27</v>
      </c>
      <c r="B11313" t="s">
        <v>308</v>
      </c>
      <c r="C11313">
        <v>3</v>
      </c>
      <c r="D11313" t="s">
        <v>103</v>
      </c>
      <c r="E11313" t="s">
        <v>943</v>
      </c>
      <c r="F11313" t="s">
        <v>527</v>
      </c>
    </row>
    <row r="11314" spans="1:6" x14ac:dyDescent="0.3">
      <c r="A11314" t="s">
        <v>41</v>
      </c>
      <c r="B11314" t="s">
        <v>311</v>
      </c>
      <c r="C11314">
        <v>1377</v>
      </c>
      <c r="D11314" t="s">
        <v>128</v>
      </c>
      <c r="E11314" t="s">
        <v>647</v>
      </c>
      <c r="F11314" t="s">
        <v>717</v>
      </c>
    </row>
    <row r="11315" spans="1:6" x14ac:dyDescent="0.3">
      <c r="A11315" t="s">
        <v>41</v>
      </c>
      <c r="B11315" t="s">
        <v>312</v>
      </c>
      <c r="C11315">
        <v>377</v>
      </c>
      <c r="D11315" t="s">
        <v>216</v>
      </c>
      <c r="E11315" t="s">
        <v>455</v>
      </c>
      <c r="F11315" t="s">
        <v>1374</v>
      </c>
    </row>
    <row r="11316" spans="1:6" x14ac:dyDescent="0.3">
      <c r="A11316" t="s">
        <v>41</v>
      </c>
      <c r="B11316" t="s">
        <v>308</v>
      </c>
      <c r="C11316">
        <v>51</v>
      </c>
      <c r="D11316" t="s">
        <v>94</v>
      </c>
      <c r="E11316" t="s">
        <v>367</v>
      </c>
      <c r="F11316" t="s">
        <v>414</v>
      </c>
    </row>
    <row r="11318" spans="1:6" x14ac:dyDescent="0.3">
      <c r="A11318" t="s">
        <v>2804</v>
      </c>
    </row>
    <row r="11319" spans="1:6" x14ac:dyDescent="0.3">
      <c r="A11319" t="s">
        <v>36</v>
      </c>
      <c r="B11319" t="s">
        <v>1233</v>
      </c>
      <c r="C11319" t="s">
        <v>24</v>
      </c>
      <c r="D11319" t="s">
        <v>1454</v>
      </c>
      <c r="E11319" t="s">
        <v>2797</v>
      </c>
      <c r="F11319" t="s">
        <v>2798</v>
      </c>
    </row>
    <row r="11320" spans="1:6" x14ac:dyDescent="0.3">
      <c r="A11320" t="s">
        <v>25</v>
      </c>
      <c r="B11320" t="s">
        <v>1234</v>
      </c>
      <c r="C11320">
        <v>236</v>
      </c>
      <c r="D11320" t="s">
        <v>239</v>
      </c>
      <c r="E11320" t="s">
        <v>429</v>
      </c>
      <c r="F11320" t="s">
        <v>1679</v>
      </c>
    </row>
    <row r="11321" spans="1:6" s="3" customFormat="1" x14ac:dyDescent="0.3">
      <c r="A11321" s="3" t="s">
        <v>25</v>
      </c>
      <c r="B11321" s="3" t="s">
        <v>1235</v>
      </c>
      <c r="C11321" s="3">
        <v>21</v>
      </c>
      <c r="D11321" s="3" t="s">
        <v>566</v>
      </c>
      <c r="E11321" s="3" t="s">
        <v>293</v>
      </c>
      <c r="F11321" s="3" t="s">
        <v>442</v>
      </c>
    </row>
    <row r="11322" spans="1:6" x14ac:dyDescent="0.3">
      <c r="A11322" t="s">
        <v>25</v>
      </c>
      <c r="B11322" t="s">
        <v>1237</v>
      </c>
      <c r="C11322">
        <v>116</v>
      </c>
      <c r="D11322" t="s">
        <v>329</v>
      </c>
      <c r="E11322" t="s">
        <v>522</v>
      </c>
      <c r="F11322" t="s">
        <v>252</v>
      </c>
    </row>
    <row r="11323" spans="1:6" x14ac:dyDescent="0.3">
      <c r="A11323" t="s">
        <v>26</v>
      </c>
      <c r="B11323" t="s">
        <v>1234</v>
      </c>
      <c r="C11323">
        <v>230</v>
      </c>
      <c r="D11323" t="s">
        <v>208</v>
      </c>
      <c r="E11323" t="s">
        <v>409</v>
      </c>
      <c r="F11323" t="s">
        <v>1423</v>
      </c>
    </row>
    <row r="11324" spans="1:6" x14ac:dyDescent="0.3">
      <c r="A11324" t="s">
        <v>26</v>
      </c>
      <c r="B11324" t="s">
        <v>1235</v>
      </c>
      <c r="C11324">
        <v>34</v>
      </c>
      <c r="D11324" t="s">
        <v>208</v>
      </c>
      <c r="E11324" t="s">
        <v>547</v>
      </c>
      <c r="F11324" t="s">
        <v>1441</v>
      </c>
    </row>
    <row r="11325" spans="1:6" x14ac:dyDescent="0.3">
      <c r="A11325" t="s">
        <v>26</v>
      </c>
      <c r="B11325" t="s">
        <v>1237</v>
      </c>
      <c r="C11325">
        <v>102</v>
      </c>
      <c r="D11325" t="s">
        <v>103</v>
      </c>
      <c r="E11325" t="s">
        <v>456</v>
      </c>
      <c r="F11325" t="s">
        <v>1362</v>
      </c>
    </row>
    <row r="11326" spans="1:6" x14ac:dyDescent="0.3">
      <c r="A11326" t="s">
        <v>29</v>
      </c>
      <c r="B11326" t="s">
        <v>1234</v>
      </c>
      <c r="C11326">
        <v>334</v>
      </c>
      <c r="D11326" t="s">
        <v>272</v>
      </c>
      <c r="E11326" t="s">
        <v>109</v>
      </c>
      <c r="F11326" t="s">
        <v>379</v>
      </c>
    </row>
    <row r="11327" spans="1:6" x14ac:dyDescent="0.3">
      <c r="A11327" t="s">
        <v>29</v>
      </c>
      <c r="B11327" t="s">
        <v>1235</v>
      </c>
      <c r="C11327">
        <v>35</v>
      </c>
      <c r="D11327" t="s">
        <v>103</v>
      </c>
      <c r="E11327" t="s">
        <v>357</v>
      </c>
      <c r="F11327" t="s">
        <v>726</v>
      </c>
    </row>
    <row r="11328" spans="1:6" x14ac:dyDescent="0.3">
      <c r="A11328" t="s">
        <v>29</v>
      </c>
      <c r="B11328" t="s">
        <v>1237</v>
      </c>
      <c r="C11328">
        <v>109</v>
      </c>
      <c r="D11328" t="s">
        <v>208</v>
      </c>
      <c r="E11328" t="s">
        <v>109</v>
      </c>
      <c r="F11328" t="s">
        <v>439</v>
      </c>
    </row>
    <row r="11329" spans="1:6" x14ac:dyDescent="0.3">
      <c r="A11329" t="s">
        <v>28</v>
      </c>
      <c r="B11329" t="s">
        <v>1234</v>
      </c>
      <c r="C11329">
        <v>116</v>
      </c>
      <c r="D11329" t="s">
        <v>591</v>
      </c>
      <c r="E11329" t="s">
        <v>567</v>
      </c>
      <c r="F11329" t="s">
        <v>1048</v>
      </c>
    </row>
    <row r="11330" spans="1:6" s="3" customFormat="1" x14ac:dyDescent="0.3">
      <c r="A11330" s="3" t="s">
        <v>28</v>
      </c>
      <c r="B11330" s="3" t="s">
        <v>1235</v>
      </c>
      <c r="C11330" s="3">
        <v>16</v>
      </c>
      <c r="D11330" s="3" t="s">
        <v>591</v>
      </c>
      <c r="E11330" s="3" t="s">
        <v>70</v>
      </c>
      <c r="F11330" s="3" t="s">
        <v>240</v>
      </c>
    </row>
    <row r="11331" spans="1:6" x14ac:dyDescent="0.3">
      <c r="A11331" t="s">
        <v>28</v>
      </c>
      <c r="B11331" t="s">
        <v>1237</v>
      </c>
      <c r="C11331">
        <v>164</v>
      </c>
      <c r="D11331" t="s">
        <v>201</v>
      </c>
      <c r="E11331" t="s">
        <v>1196</v>
      </c>
      <c r="F11331" t="s">
        <v>417</v>
      </c>
    </row>
    <row r="11332" spans="1:6" x14ac:dyDescent="0.3">
      <c r="A11332" t="s">
        <v>27</v>
      </c>
      <c r="B11332" t="s">
        <v>1234</v>
      </c>
      <c r="C11332">
        <v>146</v>
      </c>
      <c r="D11332" t="s">
        <v>103</v>
      </c>
      <c r="E11332" t="s">
        <v>1425</v>
      </c>
      <c r="F11332" t="s">
        <v>1238</v>
      </c>
    </row>
    <row r="11333" spans="1:6" s="3" customFormat="1" x14ac:dyDescent="0.3">
      <c r="A11333" s="3" t="s">
        <v>27</v>
      </c>
      <c r="B11333" s="3" t="s">
        <v>1235</v>
      </c>
      <c r="C11333" s="3">
        <v>10</v>
      </c>
      <c r="D11333" s="3" t="s">
        <v>103</v>
      </c>
      <c r="E11333" s="3" t="s">
        <v>932</v>
      </c>
      <c r="F11333" s="3" t="s">
        <v>931</v>
      </c>
    </row>
    <row r="11334" spans="1:6" x14ac:dyDescent="0.3">
      <c r="A11334" t="s">
        <v>27</v>
      </c>
      <c r="B11334" t="s">
        <v>1237</v>
      </c>
      <c r="C11334">
        <v>136</v>
      </c>
      <c r="D11334" t="s">
        <v>105</v>
      </c>
      <c r="E11334" t="s">
        <v>1293</v>
      </c>
      <c r="F11334" t="s">
        <v>1025</v>
      </c>
    </row>
    <row r="11335" spans="1:6" x14ac:dyDescent="0.3">
      <c r="A11335" t="s">
        <v>41</v>
      </c>
      <c r="B11335" t="s">
        <v>1234</v>
      </c>
      <c r="C11335">
        <v>1062</v>
      </c>
      <c r="D11335" t="s">
        <v>257</v>
      </c>
      <c r="E11335" t="s">
        <v>670</v>
      </c>
      <c r="F11335" t="s">
        <v>979</v>
      </c>
    </row>
    <row r="11336" spans="1:6" x14ac:dyDescent="0.3">
      <c r="A11336" t="s">
        <v>41</v>
      </c>
      <c r="B11336" t="s">
        <v>1235</v>
      </c>
      <c r="C11336">
        <v>116</v>
      </c>
      <c r="D11336" t="s">
        <v>270</v>
      </c>
      <c r="E11336" t="s">
        <v>906</v>
      </c>
      <c r="F11336" t="s">
        <v>1133</v>
      </c>
    </row>
    <row r="11337" spans="1:6" x14ac:dyDescent="0.3">
      <c r="A11337" t="s">
        <v>41</v>
      </c>
      <c r="B11337" t="s">
        <v>1237</v>
      </c>
      <c r="C11337">
        <v>627</v>
      </c>
      <c r="D11337" t="s">
        <v>341</v>
      </c>
      <c r="E11337" t="s">
        <v>670</v>
      </c>
      <c r="F11337" t="s">
        <v>937</v>
      </c>
    </row>
    <row r="11339" spans="1:6" x14ac:dyDescent="0.3">
      <c r="A11339" t="s">
        <v>2805</v>
      </c>
    </row>
    <row r="11340" spans="1:6" x14ac:dyDescent="0.3">
      <c r="A11340" t="s">
        <v>36</v>
      </c>
      <c r="B11340" t="s">
        <v>2764</v>
      </c>
      <c r="C11340" t="s">
        <v>24</v>
      </c>
      <c r="D11340" t="s">
        <v>2797</v>
      </c>
      <c r="E11340" t="s">
        <v>2798</v>
      </c>
      <c r="F11340" t="s">
        <v>1454</v>
      </c>
    </row>
    <row r="11341" spans="1:6" s="3" customFormat="1" x14ac:dyDescent="0.3">
      <c r="A11341" s="3" t="s">
        <v>25</v>
      </c>
      <c r="B11341" s="3" t="s">
        <v>2765</v>
      </c>
      <c r="C11341" s="3">
        <v>14</v>
      </c>
      <c r="D11341" s="3" t="s">
        <v>94</v>
      </c>
      <c r="E11341" s="3" t="s">
        <v>855</v>
      </c>
      <c r="F11341" s="3" t="s">
        <v>103</v>
      </c>
    </row>
    <row r="11342" spans="1:6" s="3" customFormat="1" x14ac:dyDescent="0.3">
      <c r="A11342" s="3" t="s">
        <v>25</v>
      </c>
      <c r="B11342" s="3" t="s">
        <v>585</v>
      </c>
      <c r="C11342" s="3">
        <v>5</v>
      </c>
      <c r="D11342" s="3" t="s">
        <v>103</v>
      </c>
      <c r="E11342" s="3" t="s">
        <v>192</v>
      </c>
      <c r="F11342" s="3" t="s">
        <v>103</v>
      </c>
    </row>
    <row r="11343" spans="1:6" s="3" customFormat="1" x14ac:dyDescent="0.3">
      <c r="A11343" s="3" t="s">
        <v>25</v>
      </c>
      <c r="B11343" s="3" t="s">
        <v>586</v>
      </c>
      <c r="C11343" s="3">
        <v>15</v>
      </c>
      <c r="D11343" s="3" t="s">
        <v>242</v>
      </c>
      <c r="E11343" s="3" t="s">
        <v>710</v>
      </c>
      <c r="F11343" s="3" t="s">
        <v>103</v>
      </c>
    </row>
    <row r="11344" spans="1:6" s="3" customFormat="1" x14ac:dyDescent="0.3">
      <c r="A11344" s="3" t="s">
        <v>25</v>
      </c>
      <c r="B11344" s="3" t="s">
        <v>587</v>
      </c>
      <c r="C11344" s="3">
        <v>1</v>
      </c>
      <c r="D11344" s="3" t="s">
        <v>103</v>
      </c>
      <c r="E11344" s="3" t="s">
        <v>192</v>
      </c>
      <c r="F11344" s="3" t="s">
        <v>103</v>
      </c>
    </row>
    <row r="11345" spans="1:6" s="3" customFormat="1" x14ac:dyDescent="0.3">
      <c r="A11345" s="3" t="s">
        <v>25</v>
      </c>
      <c r="B11345" s="3" t="s">
        <v>588</v>
      </c>
      <c r="C11345" s="3">
        <v>17</v>
      </c>
      <c r="D11345" s="3" t="s">
        <v>570</v>
      </c>
      <c r="E11345" s="3" t="s">
        <v>711</v>
      </c>
      <c r="F11345" s="3" t="s">
        <v>103</v>
      </c>
    </row>
    <row r="11346" spans="1:6" x14ac:dyDescent="0.3">
      <c r="A11346" t="s">
        <v>25</v>
      </c>
      <c r="B11346" t="s">
        <v>2766</v>
      </c>
      <c r="C11346">
        <v>321</v>
      </c>
      <c r="D11346" t="s">
        <v>1204</v>
      </c>
      <c r="E11346" t="s">
        <v>979</v>
      </c>
      <c r="F11346" t="s">
        <v>64</v>
      </c>
    </row>
    <row r="11347" spans="1:6" s="3" customFormat="1" x14ac:dyDescent="0.3">
      <c r="A11347" s="3" t="s">
        <v>26</v>
      </c>
      <c r="B11347" s="3" t="s">
        <v>2765</v>
      </c>
      <c r="C11347" s="3">
        <v>15</v>
      </c>
      <c r="D11347" s="3" t="s">
        <v>792</v>
      </c>
      <c r="E11347" s="3" t="s">
        <v>430</v>
      </c>
      <c r="F11347" s="3" t="s">
        <v>103</v>
      </c>
    </row>
    <row r="11348" spans="1:6" s="3" customFormat="1" x14ac:dyDescent="0.3">
      <c r="A11348" s="3" t="s">
        <v>26</v>
      </c>
      <c r="B11348" s="3" t="s">
        <v>586</v>
      </c>
      <c r="C11348" s="3">
        <v>3</v>
      </c>
      <c r="D11348" s="3" t="s">
        <v>103</v>
      </c>
      <c r="E11348" s="3" t="s">
        <v>192</v>
      </c>
      <c r="F11348" s="3" t="s">
        <v>103</v>
      </c>
    </row>
    <row r="11349" spans="1:6" s="3" customFormat="1" x14ac:dyDescent="0.3">
      <c r="A11349" s="3" t="s">
        <v>26</v>
      </c>
      <c r="B11349" s="3" t="s">
        <v>587</v>
      </c>
      <c r="C11349" s="3">
        <v>8</v>
      </c>
      <c r="D11349" s="3" t="s">
        <v>697</v>
      </c>
      <c r="E11349" s="3" t="s">
        <v>227</v>
      </c>
      <c r="F11349" s="3" t="s">
        <v>103</v>
      </c>
    </row>
    <row r="11350" spans="1:6" s="3" customFormat="1" x14ac:dyDescent="0.3">
      <c r="A11350" s="3" t="s">
        <v>26</v>
      </c>
      <c r="B11350" s="3" t="s">
        <v>588</v>
      </c>
      <c r="C11350" s="3">
        <v>3</v>
      </c>
      <c r="D11350" s="3" t="s">
        <v>103</v>
      </c>
      <c r="E11350" s="3" t="s">
        <v>192</v>
      </c>
      <c r="F11350" s="3" t="s">
        <v>103</v>
      </c>
    </row>
    <row r="11351" spans="1:6" x14ac:dyDescent="0.3">
      <c r="A11351" t="s">
        <v>26</v>
      </c>
      <c r="B11351" t="s">
        <v>2766</v>
      </c>
      <c r="C11351">
        <v>337</v>
      </c>
      <c r="D11351" t="s">
        <v>660</v>
      </c>
      <c r="E11351" t="s">
        <v>834</v>
      </c>
      <c r="F11351" t="s">
        <v>216</v>
      </c>
    </row>
    <row r="11352" spans="1:6" s="3" customFormat="1" x14ac:dyDescent="0.3">
      <c r="A11352" s="3" t="s">
        <v>29</v>
      </c>
      <c r="B11352" s="3" t="s">
        <v>2765</v>
      </c>
      <c r="C11352" s="3">
        <v>25</v>
      </c>
      <c r="D11352" s="3" t="s">
        <v>688</v>
      </c>
      <c r="E11352" s="3" t="s">
        <v>1018</v>
      </c>
      <c r="F11352" s="3" t="s">
        <v>682</v>
      </c>
    </row>
    <row r="11353" spans="1:6" s="3" customFormat="1" x14ac:dyDescent="0.3">
      <c r="A11353" s="3" t="s">
        <v>29</v>
      </c>
      <c r="B11353" s="3" t="s">
        <v>585</v>
      </c>
      <c r="C11353" s="3">
        <v>4</v>
      </c>
      <c r="D11353" s="3" t="s">
        <v>934</v>
      </c>
      <c r="E11353" s="3" t="s">
        <v>250</v>
      </c>
      <c r="F11353" s="3" t="s">
        <v>686</v>
      </c>
    </row>
    <row r="11354" spans="1:6" s="3" customFormat="1" x14ac:dyDescent="0.3">
      <c r="A11354" s="3" t="s">
        <v>29</v>
      </c>
      <c r="B11354" s="3" t="s">
        <v>586</v>
      </c>
      <c r="C11354" s="3">
        <v>8</v>
      </c>
      <c r="D11354" s="3" t="s">
        <v>1208</v>
      </c>
      <c r="E11354" s="3" t="s">
        <v>1032</v>
      </c>
      <c r="F11354" s="3" t="s">
        <v>103</v>
      </c>
    </row>
    <row r="11355" spans="1:6" s="3" customFormat="1" x14ac:dyDescent="0.3">
      <c r="A11355" s="3" t="s">
        <v>29</v>
      </c>
      <c r="B11355" s="3" t="s">
        <v>587</v>
      </c>
      <c r="C11355" s="3">
        <v>2</v>
      </c>
      <c r="D11355" s="3" t="s">
        <v>103</v>
      </c>
      <c r="E11355" s="3" t="s">
        <v>192</v>
      </c>
      <c r="F11355" s="3" t="s">
        <v>103</v>
      </c>
    </row>
    <row r="11356" spans="1:6" s="3" customFormat="1" x14ac:dyDescent="0.3">
      <c r="A11356" s="3" t="s">
        <v>29</v>
      </c>
      <c r="B11356" s="3" t="s">
        <v>588</v>
      </c>
      <c r="C11356" s="3">
        <v>14</v>
      </c>
      <c r="D11356" s="3" t="s">
        <v>568</v>
      </c>
      <c r="E11356" s="3" t="s">
        <v>823</v>
      </c>
      <c r="F11356" s="3" t="s">
        <v>482</v>
      </c>
    </row>
    <row r="11357" spans="1:6" x14ac:dyDescent="0.3">
      <c r="A11357" t="s">
        <v>29</v>
      </c>
      <c r="B11357" t="s">
        <v>2766</v>
      </c>
      <c r="C11357">
        <v>425</v>
      </c>
      <c r="D11357" t="s">
        <v>455</v>
      </c>
      <c r="E11357" t="s">
        <v>1374</v>
      </c>
      <c r="F11357" t="s">
        <v>216</v>
      </c>
    </row>
    <row r="11358" spans="1:6" s="3" customFormat="1" x14ac:dyDescent="0.3">
      <c r="A11358" s="3" t="s">
        <v>28</v>
      </c>
      <c r="B11358" s="3" t="s">
        <v>2765</v>
      </c>
      <c r="C11358" s="3">
        <v>6</v>
      </c>
      <c r="D11358" s="3" t="s">
        <v>173</v>
      </c>
      <c r="E11358" s="3" t="s">
        <v>174</v>
      </c>
      <c r="F11358" s="3" t="s">
        <v>103</v>
      </c>
    </row>
    <row r="11359" spans="1:6" s="3" customFormat="1" x14ac:dyDescent="0.3">
      <c r="A11359" s="3" t="s">
        <v>28</v>
      </c>
      <c r="B11359" s="3" t="s">
        <v>585</v>
      </c>
      <c r="C11359" s="3">
        <v>7</v>
      </c>
      <c r="D11359" s="3" t="s">
        <v>536</v>
      </c>
      <c r="E11359" s="3" t="s">
        <v>603</v>
      </c>
      <c r="F11359" s="3" t="s">
        <v>601</v>
      </c>
    </row>
    <row r="11360" spans="1:6" s="3" customFormat="1" x14ac:dyDescent="0.3">
      <c r="A11360" s="3" t="s">
        <v>28</v>
      </c>
      <c r="B11360" s="3" t="s">
        <v>586</v>
      </c>
      <c r="C11360" s="3">
        <v>6</v>
      </c>
      <c r="D11360" s="3" t="s">
        <v>269</v>
      </c>
      <c r="E11360" s="3" t="s">
        <v>1001</v>
      </c>
      <c r="F11360" s="3" t="s">
        <v>269</v>
      </c>
    </row>
    <row r="11361" spans="1:6" s="3" customFormat="1" x14ac:dyDescent="0.3">
      <c r="A11361" s="3" t="s">
        <v>28</v>
      </c>
      <c r="B11361" s="3" t="s">
        <v>587</v>
      </c>
      <c r="C11361" s="3">
        <v>10</v>
      </c>
      <c r="D11361" s="3" t="s">
        <v>466</v>
      </c>
      <c r="E11361" s="3" t="s">
        <v>636</v>
      </c>
      <c r="F11361" s="3" t="s">
        <v>103</v>
      </c>
    </row>
    <row r="11362" spans="1:6" s="3" customFormat="1" x14ac:dyDescent="0.3">
      <c r="A11362" s="3" t="s">
        <v>28</v>
      </c>
      <c r="B11362" s="3" t="s">
        <v>588</v>
      </c>
      <c r="C11362" s="3">
        <v>30</v>
      </c>
      <c r="D11362" s="3" t="s">
        <v>1223</v>
      </c>
      <c r="E11362" s="3" t="s">
        <v>419</v>
      </c>
      <c r="F11362" s="3" t="s">
        <v>108</v>
      </c>
    </row>
    <row r="11363" spans="1:6" x14ac:dyDescent="0.3">
      <c r="A11363" t="s">
        <v>28</v>
      </c>
      <c r="B11363" t="s">
        <v>2766</v>
      </c>
      <c r="C11363">
        <v>237</v>
      </c>
      <c r="D11363" t="s">
        <v>567</v>
      </c>
      <c r="E11363" t="s">
        <v>1230</v>
      </c>
      <c r="F11363" t="s">
        <v>188</v>
      </c>
    </row>
    <row r="11364" spans="1:6" x14ac:dyDescent="0.3">
      <c r="A11364" t="s">
        <v>27</v>
      </c>
      <c r="B11364" t="s">
        <v>2765</v>
      </c>
      <c r="C11364">
        <v>88</v>
      </c>
      <c r="D11364" t="s">
        <v>937</v>
      </c>
      <c r="E11364" t="s">
        <v>491</v>
      </c>
      <c r="F11364" t="s">
        <v>103</v>
      </c>
    </row>
    <row r="11365" spans="1:6" s="3" customFormat="1" x14ac:dyDescent="0.3">
      <c r="A11365" s="3" t="s">
        <v>27</v>
      </c>
      <c r="B11365" s="3" t="s">
        <v>585</v>
      </c>
      <c r="C11365" s="3">
        <v>1</v>
      </c>
      <c r="D11365" s="3" t="s">
        <v>103</v>
      </c>
      <c r="E11365" s="3" t="s">
        <v>192</v>
      </c>
      <c r="F11365" s="3" t="s">
        <v>103</v>
      </c>
    </row>
    <row r="11366" spans="1:6" s="3" customFormat="1" x14ac:dyDescent="0.3">
      <c r="A11366" s="3" t="s">
        <v>27</v>
      </c>
      <c r="B11366" s="3" t="s">
        <v>586</v>
      </c>
      <c r="C11366" s="3">
        <v>1</v>
      </c>
      <c r="D11366" s="3" t="s">
        <v>103</v>
      </c>
      <c r="E11366" s="3" t="s">
        <v>192</v>
      </c>
      <c r="F11366" s="3" t="s">
        <v>103</v>
      </c>
    </row>
    <row r="11367" spans="1:6" s="3" customFormat="1" x14ac:dyDescent="0.3">
      <c r="A11367" s="3" t="s">
        <v>27</v>
      </c>
      <c r="B11367" s="3" t="s">
        <v>588</v>
      </c>
      <c r="C11367" s="3">
        <v>3</v>
      </c>
      <c r="D11367" s="3" t="s">
        <v>192</v>
      </c>
      <c r="E11367" s="3" t="s">
        <v>103</v>
      </c>
      <c r="F11367" s="3" t="s">
        <v>103</v>
      </c>
    </row>
    <row r="11368" spans="1:6" x14ac:dyDescent="0.3">
      <c r="A11368" t="s">
        <v>27</v>
      </c>
      <c r="B11368" t="s">
        <v>2766</v>
      </c>
      <c r="C11368">
        <v>199</v>
      </c>
      <c r="D11368" t="s">
        <v>491</v>
      </c>
      <c r="E11368" t="s">
        <v>814</v>
      </c>
      <c r="F11368" t="s">
        <v>468</v>
      </c>
    </row>
    <row r="11369" spans="1:6" x14ac:dyDescent="0.3">
      <c r="A11369" t="s">
        <v>41</v>
      </c>
      <c r="B11369" t="s">
        <v>2765</v>
      </c>
      <c r="C11369">
        <v>148</v>
      </c>
      <c r="D11369" t="s">
        <v>492</v>
      </c>
      <c r="E11369" t="s">
        <v>414</v>
      </c>
      <c r="F11369" t="s">
        <v>140</v>
      </c>
    </row>
    <row r="11370" spans="1:6" s="3" customFormat="1" x14ac:dyDescent="0.3">
      <c r="A11370" s="3" t="s">
        <v>41</v>
      </c>
      <c r="B11370" s="3" t="s">
        <v>585</v>
      </c>
      <c r="C11370" s="3">
        <v>17</v>
      </c>
      <c r="D11370" s="3" t="s">
        <v>582</v>
      </c>
      <c r="E11370" s="3" t="s">
        <v>942</v>
      </c>
      <c r="F11370" s="3" t="s">
        <v>687</v>
      </c>
    </row>
    <row r="11371" spans="1:6" x14ac:dyDescent="0.3">
      <c r="A11371" t="s">
        <v>41</v>
      </c>
      <c r="B11371" t="s">
        <v>586</v>
      </c>
      <c r="C11371">
        <v>33</v>
      </c>
      <c r="D11371" t="s">
        <v>658</v>
      </c>
      <c r="E11371" t="s">
        <v>1324</v>
      </c>
      <c r="F11371" t="s">
        <v>139</v>
      </c>
    </row>
    <row r="11372" spans="1:6" s="3" customFormat="1" x14ac:dyDescent="0.3">
      <c r="A11372" s="3" t="s">
        <v>41</v>
      </c>
      <c r="B11372" s="3" t="s">
        <v>587</v>
      </c>
      <c r="C11372" s="3">
        <v>21</v>
      </c>
      <c r="D11372" s="3" t="s">
        <v>244</v>
      </c>
      <c r="E11372" s="3" t="s">
        <v>712</v>
      </c>
      <c r="F11372" s="3" t="s">
        <v>103</v>
      </c>
    </row>
    <row r="11373" spans="1:6" x14ac:dyDescent="0.3">
      <c r="A11373" t="s">
        <v>41</v>
      </c>
      <c r="B11373" t="s">
        <v>588</v>
      </c>
      <c r="C11373">
        <v>67</v>
      </c>
      <c r="D11373" t="s">
        <v>264</v>
      </c>
      <c r="E11373" t="s">
        <v>1325</v>
      </c>
      <c r="F11373" t="s">
        <v>133</v>
      </c>
    </row>
    <row r="11374" spans="1:6" x14ac:dyDescent="0.3">
      <c r="A11374" t="s">
        <v>41</v>
      </c>
      <c r="B11374" t="s">
        <v>2766</v>
      </c>
      <c r="C11374">
        <v>1519</v>
      </c>
      <c r="D11374" t="s">
        <v>129</v>
      </c>
      <c r="E11374" t="s">
        <v>926</v>
      </c>
      <c r="F11374" t="s">
        <v>341</v>
      </c>
    </row>
    <row r="11376" spans="1:6" x14ac:dyDescent="0.3">
      <c r="A11376" t="s">
        <v>2806</v>
      </c>
    </row>
    <row r="11377" spans="1:6" x14ac:dyDescent="0.3">
      <c r="A11377" t="s">
        <v>36</v>
      </c>
      <c r="B11377" t="s">
        <v>2768</v>
      </c>
      <c r="C11377" t="s">
        <v>24</v>
      </c>
      <c r="D11377" t="s">
        <v>2798</v>
      </c>
      <c r="E11377" t="s">
        <v>2797</v>
      </c>
      <c r="F11377" t="s">
        <v>1454</v>
      </c>
    </row>
    <row r="11378" spans="1:6" s="3" customFormat="1" x14ac:dyDescent="0.3">
      <c r="A11378" s="3" t="s">
        <v>25</v>
      </c>
      <c r="B11378" s="3" t="s">
        <v>638</v>
      </c>
      <c r="C11378" s="3">
        <v>5</v>
      </c>
      <c r="D11378" s="3" t="s">
        <v>192</v>
      </c>
      <c r="E11378" s="3" t="s">
        <v>103</v>
      </c>
      <c r="F11378" s="3" t="s">
        <v>103</v>
      </c>
    </row>
    <row r="11379" spans="1:6" s="3" customFormat="1" x14ac:dyDescent="0.3">
      <c r="A11379" s="3" t="s">
        <v>25</v>
      </c>
      <c r="B11379" s="3" t="s">
        <v>639</v>
      </c>
      <c r="C11379" s="3">
        <v>12</v>
      </c>
      <c r="D11379" s="3" t="s">
        <v>153</v>
      </c>
      <c r="E11379" s="3" t="s">
        <v>152</v>
      </c>
      <c r="F11379" s="3" t="s">
        <v>103</v>
      </c>
    </row>
    <row r="11380" spans="1:6" s="3" customFormat="1" x14ac:dyDescent="0.3">
      <c r="A11380" s="3" t="s">
        <v>25</v>
      </c>
      <c r="B11380" s="3" t="s">
        <v>640</v>
      </c>
      <c r="C11380" s="3">
        <v>8</v>
      </c>
      <c r="D11380" s="3" t="s">
        <v>202</v>
      </c>
      <c r="E11380" s="3" t="s">
        <v>253</v>
      </c>
      <c r="F11380" s="3" t="s">
        <v>103</v>
      </c>
    </row>
    <row r="11381" spans="1:6" s="3" customFormat="1" x14ac:dyDescent="0.3">
      <c r="A11381" s="3" t="s">
        <v>25</v>
      </c>
      <c r="B11381" s="3" t="s">
        <v>2765</v>
      </c>
      <c r="C11381" s="3">
        <v>1</v>
      </c>
      <c r="D11381" s="3" t="s">
        <v>192</v>
      </c>
      <c r="E11381" s="3" t="s">
        <v>103</v>
      </c>
      <c r="F11381" s="3" t="s">
        <v>103</v>
      </c>
    </row>
    <row r="11382" spans="1:6" s="3" customFormat="1" x14ac:dyDescent="0.3">
      <c r="A11382" s="3" t="s">
        <v>25</v>
      </c>
      <c r="B11382" s="3" t="s">
        <v>641</v>
      </c>
      <c r="C11382" s="3">
        <v>8</v>
      </c>
      <c r="D11382" s="3" t="s">
        <v>213</v>
      </c>
      <c r="E11382" s="3" t="s">
        <v>214</v>
      </c>
      <c r="F11382" s="3" t="s">
        <v>103</v>
      </c>
    </row>
    <row r="11383" spans="1:6" s="3" customFormat="1" x14ac:dyDescent="0.3">
      <c r="A11383" s="3" t="s">
        <v>25</v>
      </c>
      <c r="B11383" s="3" t="s">
        <v>2769</v>
      </c>
      <c r="C11383" s="3">
        <v>4</v>
      </c>
      <c r="D11383" s="3" t="s">
        <v>2104</v>
      </c>
      <c r="E11383" s="3" t="s">
        <v>829</v>
      </c>
      <c r="F11383" s="3" t="s">
        <v>103</v>
      </c>
    </row>
    <row r="11384" spans="1:6" x14ac:dyDescent="0.3">
      <c r="A11384" t="s">
        <v>25</v>
      </c>
      <c r="B11384" t="s">
        <v>308</v>
      </c>
      <c r="C11384">
        <v>335</v>
      </c>
      <c r="D11384" t="s">
        <v>1369</v>
      </c>
      <c r="E11384" t="s">
        <v>1213</v>
      </c>
      <c r="F11384" t="s">
        <v>217</v>
      </c>
    </row>
    <row r="11385" spans="1:6" s="3" customFormat="1" x14ac:dyDescent="0.3">
      <c r="A11385" s="3" t="s">
        <v>26</v>
      </c>
      <c r="B11385" s="3" t="s">
        <v>639</v>
      </c>
      <c r="C11385" s="3">
        <v>7</v>
      </c>
      <c r="D11385" s="3" t="s">
        <v>618</v>
      </c>
      <c r="E11385" s="3" t="s">
        <v>409</v>
      </c>
      <c r="F11385" s="3" t="s">
        <v>103</v>
      </c>
    </row>
    <row r="11386" spans="1:6" s="3" customFormat="1" x14ac:dyDescent="0.3">
      <c r="A11386" s="3" t="s">
        <v>26</v>
      </c>
      <c r="B11386" s="3" t="s">
        <v>640</v>
      </c>
      <c r="C11386" s="3">
        <v>2</v>
      </c>
      <c r="D11386" s="3" t="s">
        <v>192</v>
      </c>
      <c r="E11386" s="3" t="s">
        <v>103</v>
      </c>
      <c r="F11386" s="3" t="s">
        <v>103</v>
      </c>
    </row>
    <row r="11387" spans="1:6" s="3" customFormat="1" x14ac:dyDescent="0.3">
      <c r="A11387" s="3" t="s">
        <v>26</v>
      </c>
      <c r="B11387" s="3" t="s">
        <v>641</v>
      </c>
      <c r="C11387" s="3">
        <v>4</v>
      </c>
      <c r="D11387" s="3" t="s">
        <v>192</v>
      </c>
      <c r="E11387" s="3" t="s">
        <v>103</v>
      </c>
      <c r="F11387" s="3" t="s">
        <v>103</v>
      </c>
    </row>
    <row r="11388" spans="1:6" s="3" customFormat="1" x14ac:dyDescent="0.3">
      <c r="A11388" s="3" t="s">
        <v>26</v>
      </c>
      <c r="B11388" s="3" t="s">
        <v>2769</v>
      </c>
      <c r="C11388" s="3">
        <v>1</v>
      </c>
      <c r="D11388" s="3" t="s">
        <v>192</v>
      </c>
      <c r="E11388" s="3" t="s">
        <v>103</v>
      </c>
      <c r="F11388" s="3" t="s">
        <v>103</v>
      </c>
    </row>
    <row r="11389" spans="1:6" x14ac:dyDescent="0.3">
      <c r="A11389" t="s">
        <v>26</v>
      </c>
      <c r="B11389" t="s">
        <v>308</v>
      </c>
      <c r="C11389">
        <v>352</v>
      </c>
      <c r="D11389" t="s">
        <v>811</v>
      </c>
      <c r="E11389" t="s">
        <v>1143</v>
      </c>
      <c r="F11389" t="s">
        <v>239</v>
      </c>
    </row>
    <row r="11390" spans="1:6" s="3" customFormat="1" x14ac:dyDescent="0.3">
      <c r="A11390" s="3" t="s">
        <v>29</v>
      </c>
      <c r="B11390" s="3" t="s">
        <v>638</v>
      </c>
      <c r="C11390" s="3">
        <v>2</v>
      </c>
      <c r="D11390" s="3" t="s">
        <v>1228</v>
      </c>
      <c r="E11390" s="3" t="s">
        <v>1030</v>
      </c>
      <c r="F11390" s="3" t="s">
        <v>103</v>
      </c>
    </row>
    <row r="11391" spans="1:6" s="3" customFormat="1" x14ac:dyDescent="0.3">
      <c r="A11391" s="3" t="s">
        <v>29</v>
      </c>
      <c r="B11391" s="3" t="s">
        <v>639</v>
      </c>
      <c r="C11391" s="3">
        <v>3</v>
      </c>
      <c r="D11391" s="3" t="s">
        <v>170</v>
      </c>
      <c r="E11391" s="3" t="s">
        <v>103</v>
      </c>
      <c r="F11391" s="3" t="s">
        <v>169</v>
      </c>
    </row>
    <row r="11392" spans="1:6" s="3" customFormat="1" x14ac:dyDescent="0.3">
      <c r="A11392" s="3" t="s">
        <v>29</v>
      </c>
      <c r="B11392" s="3" t="s">
        <v>640</v>
      </c>
      <c r="C11392" s="3">
        <v>9</v>
      </c>
      <c r="D11392" s="3" t="s">
        <v>944</v>
      </c>
      <c r="E11392" s="3" t="s">
        <v>578</v>
      </c>
      <c r="F11392" s="3" t="s">
        <v>104</v>
      </c>
    </row>
    <row r="11393" spans="1:6" s="3" customFormat="1" x14ac:dyDescent="0.3">
      <c r="A11393" s="3" t="s">
        <v>29</v>
      </c>
      <c r="B11393" s="3" t="s">
        <v>2765</v>
      </c>
      <c r="C11393" s="3">
        <v>7</v>
      </c>
      <c r="D11393" s="3" t="s">
        <v>386</v>
      </c>
      <c r="E11393" s="3" t="s">
        <v>387</v>
      </c>
      <c r="F11393" s="3" t="s">
        <v>103</v>
      </c>
    </row>
    <row r="11394" spans="1:6" s="3" customFormat="1" x14ac:dyDescent="0.3">
      <c r="A11394" s="3" t="s">
        <v>29</v>
      </c>
      <c r="B11394" s="3" t="s">
        <v>641</v>
      </c>
      <c r="C11394" s="3">
        <v>5</v>
      </c>
      <c r="D11394" s="3" t="s">
        <v>546</v>
      </c>
      <c r="E11394" s="3" t="s">
        <v>893</v>
      </c>
      <c r="F11394" s="3" t="s">
        <v>552</v>
      </c>
    </row>
    <row r="11395" spans="1:6" s="3" customFormat="1" x14ac:dyDescent="0.3">
      <c r="A11395" s="3" t="s">
        <v>29</v>
      </c>
      <c r="B11395" s="3" t="s">
        <v>2769</v>
      </c>
      <c r="C11395" s="3">
        <v>2</v>
      </c>
      <c r="D11395" s="3" t="s">
        <v>192</v>
      </c>
      <c r="E11395" s="3" t="s">
        <v>103</v>
      </c>
      <c r="F11395" s="3" t="s">
        <v>103</v>
      </c>
    </row>
    <row r="11396" spans="1:6" x14ac:dyDescent="0.3">
      <c r="A11396" t="s">
        <v>29</v>
      </c>
      <c r="B11396" t="s">
        <v>308</v>
      </c>
      <c r="C11396">
        <v>450</v>
      </c>
      <c r="D11396" t="s">
        <v>726</v>
      </c>
      <c r="E11396" t="s">
        <v>491</v>
      </c>
      <c r="F11396" t="s">
        <v>118</v>
      </c>
    </row>
    <row r="11397" spans="1:6" s="3" customFormat="1" x14ac:dyDescent="0.3">
      <c r="A11397" s="3" t="s">
        <v>28</v>
      </c>
      <c r="B11397" s="3" t="s">
        <v>638</v>
      </c>
      <c r="C11397" s="3">
        <v>8</v>
      </c>
      <c r="D11397" s="3" t="s">
        <v>1135</v>
      </c>
      <c r="E11397" s="3" t="s">
        <v>890</v>
      </c>
      <c r="F11397" s="3" t="s">
        <v>108</v>
      </c>
    </row>
    <row r="11398" spans="1:6" s="3" customFormat="1" x14ac:dyDescent="0.3">
      <c r="A11398" s="3" t="s">
        <v>28</v>
      </c>
      <c r="B11398" s="3" t="s">
        <v>639</v>
      </c>
      <c r="C11398" s="3">
        <v>14</v>
      </c>
      <c r="D11398" s="3" t="s">
        <v>246</v>
      </c>
      <c r="E11398" s="3" t="s">
        <v>32</v>
      </c>
      <c r="F11398" s="3" t="s">
        <v>124</v>
      </c>
    </row>
    <row r="11399" spans="1:6" s="3" customFormat="1" x14ac:dyDescent="0.3">
      <c r="A11399" s="3" t="s">
        <v>28</v>
      </c>
      <c r="B11399" s="3" t="s">
        <v>640</v>
      </c>
      <c r="C11399" s="3">
        <v>20</v>
      </c>
      <c r="D11399" s="3" t="s">
        <v>1058</v>
      </c>
      <c r="E11399" s="3" t="s">
        <v>352</v>
      </c>
      <c r="F11399" s="3" t="s">
        <v>103</v>
      </c>
    </row>
    <row r="11400" spans="1:6" s="3" customFormat="1" x14ac:dyDescent="0.3">
      <c r="A11400" s="3" t="s">
        <v>28</v>
      </c>
      <c r="B11400" s="3" t="s">
        <v>2765</v>
      </c>
      <c r="C11400" s="3">
        <v>2</v>
      </c>
      <c r="D11400" s="3" t="s">
        <v>492</v>
      </c>
      <c r="E11400" s="3" t="s">
        <v>103</v>
      </c>
      <c r="F11400" s="3" t="s">
        <v>1252</v>
      </c>
    </row>
    <row r="11401" spans="1:6" s="3" customFormat="1" x14ac:dyDescent="0.3">
      <c r="A11401" s="3" t="s">
        <v>28</v>
      </c>
      <c r="B11401" s="3" t="s">
        <v>641</v>
      </c>
      <c r="C11401" s="3">
        <v>6</v>
      </c>
      <c r="D11401" s="3" t="s">
        <v>1153</v>
      </c>
      <c r="E11401" s="3" t="s">
        <v>552</v>
      </c>
      <c r="F11401" s="3" t="s">
        <v>103</v>
      </c>
    </row>
    <row r="11402" spans="1:6" s="3" customFormat="1" x14ac:dyDescent="0.3">
      <c r="A11402" s="3" t="s">
        <v>28</v>
      </c>
      <c r="B11402" s="3" t="s">
        <v>2769</v>
      </c>
      <c r="C11402" s="3">
        <v>3</v>
      </c>
      <c r="D11402" s="3" t="s">
        <v>619</v>
      </c>
      <c r="E11402" s="3" t="s">
        <v>858</v>
      </c>
      <c r="F11402" s="3" t="s">
        <v>858</v>
      </c>
    </row>
    <row r="11403" spans="1:6" x14ac:dyDescent="0.3">
      <c r="A11403" t="s">
        <v>28</v>
      </c>
      <c r="B11403" t="s">
        <v>308</v>
      </c>
      <c r="C11403">
        <v>243</v>
      </c>
      <c r="D11403" t="s">
        <v>508</v>
      </c>
      <c r="E11403" t="s">
        <v>380</v>
      </c>
      <c r="F11403" t="s">
        <v>493</v>
      </c>
    </row>
    <row r="11404" spans="1:6" s="3" customFormat="1" x14ac:dyDescent="0.3">
      <c r="A11404" s="3" t="s">
        <v>27</v>
      </c>
      <c r="B11404" s="3" t="s">
        <v>638</v>
      </c>
      <c r="C11404" s="3">
        <v>1</v>
      </c>
      <c r="D11404" s="3" t="s">
        <v>192</v>
      </c>
      <c r="E11404" s="3" t="s">
        <v>103</v>
      </c>
      <c r="F11404" s="3" t="s">
        <v>103</v>
      </c>
    </row>
    <row r="11405" spans="1:6" s="3" customFormat="1" x14ac:dyDescent="0.3">
      <c r="A11405" s="3" t="s">
        <v>27</v>
      </c>
      <c r="B11405" s="3" t="s">
        <v>639</v>
      </c>
      <c r="C11405" s="3">
        <v>1</v>
      </c>
      <c r="D11405" s="3" t="s">
        <v>103</v>
      </c>
      <c r="E11405" s="3" t="s">
        <v>192</v>
      </c>
      <c r="F11405" s="3" t="s">
        <v>103</v>
      </c>
    </row>
    <row r="11406" spans="1:6" s="3" customFormat="1" x14ac:dyDescent="0.3">
      <c r="A11406" s="3" t="s">
        <v>27</v>
      </c>
      <c r="B11406" s="3" t="s">
        <v>640</v>
      </c>
      <c r="C11406" s="3">
        <v>1</v>
      </c>
      <c r="D11406" s="3" t="s">
        <v>103</v>
      </c>
      <c r="E11406" s="3" t="s">
        <v>192</v>
      </c>
      <c r="F11406" s="3" t="s">
        <v>103</v>
      </c>
    </row>
    <row r="11407" spans="1:6" s="3" customFormat="1" x14ac:dyDescent="0.3">
      <c r="A11407" s="3" t="s">
        <v>27</v>
      </c>
      <c r="B11407" s="3" t="s">
        <v>2765</v>
      </c>
      <c r="C11407" s="3">
        <v>1</v>
      </c>
      <c r="D11407" s="3" t="s">
        <v>103</v>
      </c>
      <c r="E11407" s="3" t="s">
        <v>192</v>
      </c>
      <c r="F11407" s="3" t="s">
        <v>103</v>
      </c>
    </row>
    <row r="11408" spans="1:6" s="3" customFormat="1" x14ac:dyDescent="0.3">
      <c r="A11408" s="3" t="s">
        <v>27</v>
      </c>
      <c r="B11408" s="3" t="s">
        <v>641</v>
      </c>
      <c r="C11408" s="3">
        <v>1</v>
      </c>
      <c r="D11408" s="3" t="s">
        <v>192</v>
      </c>
      <c r="E11408" s="3" t="s">
        <v>103</v>
      </c>
      <c r="F11408" s="3" t="s">
        <v>103</v>
      </c>
    </row>
    <row r="11409" spans="1:6" x14ac:dyDescent="0.3">
      <c r="A11409" t="s">
        <v>27</v>
      </c>
      <c r="B11409" t="s">
        <v>308</v>
      </c>
      <c r="C11409">
        <v>287</v>
      </c>
      <c r="D11409" t="s">
        <v>354</v>
      </c>
      <c r="E11409" t="s">
        <v>375</v>
      </c>
      <c r="F11409" t="s">
        <v>139</v>
      </c>
    </row>
    <row r="11410" spans="1:6" s="3" customFormat="1" x14ac:dyDescent="0.3">
      <c r="A11410" s="3" t="s">
        <v>41</v>
      </c>
      <c r="B11410" s="3" t="s">
        <v>638</v>
      </c>
      <c r="C11410" s="3">
        <v>16</v>
      </c>
      <c r="D11410" s="3" t="s">
        <v>1046</v>
      </c>
      <c r="E11410" s="3" t="s">
        <v>646</v>
      </c>
      <c r="F11410" s="3" t="s">
        <v>118</v>
      </c>
    </row>
    <row r="11411" spans="1:6" x14ac:dyDescent="0.3">
      <c r="A11411" t="s">
        <v>41</v>
      </c>
      <c r="B11411" t="s">
        <v>639</v>
      </c>
      <c r="C11411">
        <v>37</v>
      </c>
      <c r="D11411" t="s">
        <v>1308</v>
      </c>
      <c r="E11411" t="s">
        <v>167</v>
      </c>
      <c r="F11411" t="s">
        <v>217</v>
      </c>
    </row>
    <row r="11412" spans="1:6" x14ac:dyDescent="0.3">
      <c r="A11412" t="s">
        <v>41</v>
      </c>
      <c r="B11412" t="s">
        <v>640</v>
      </c>
      <c r="C11412">
        <v>40</v>
      </c>
      <c r="D11412" t="s">
        <v>1017</v>
      </c>
      <c r="E11412" t="s">
        <v>672</v>
      </c>
      <c r="F11412" t="s">
        <v>232</v>
      </c>
    </row>
    <row r="11413" spans="1:6" s="3" customFormat="1" x14ac:dyDescent="0.3">
      <c r="A11413" s="3" t="s">
        <v>41</v>
      </c>
      <c r="B11413" s="3" t="s">
        <v>2765</v>
      </c>
      <c r="C11413" s="3">
        <v>11</v>
      </c>
      <c r="D11413" s="3" t="s">
        <v>423</v>
      </c>
      <c r="E11413" s="3" t="s">
        <v>1024</v>
      </c>
      <c r="F11413" s="3" t="s">
        <v>118</v>
      </c>
    </row>
    <row r="11414" spans="1:6" s="3" customFormat="1" x14ac:dyDescent="0.3">
      <c r="A11414" s="3" t="s">
        <v>41</v>
      </c>
      <c r="B11414" s="3" t="s">
        <v>641</v>
      </c>
      <c r="C11414" s="3">
        <v>24</v>
      </c>
      <c r="D11414" s="3" t="s">
        <v>1317</v>
      </c>
      <c r="E11414" s="3" t="s">
        <v>727</v>
      </c>
      <c r="F11414" s="3" t="s">
        <v>482</v>
      </c>
    </row>
    <row r="11415" spans="1:6" s="3" customFormat="1" x14ac:dyDescent="0.3">
      <c r="A11415" s="3" t="s">
        <v>41</v>
      </c>
      <c r="B11415" s="3" t="s">
        <v>2769</v>
      </c>
      <c r="C11415" s="3">
        <v>10</v>
      </c>
      <c r="D11415" s="3" t="s">
        <v>994</v>
      </c>
      <c r="E11415" s="3" t="s">
        <v>157</v>
      </c>
      <c r="F11415" s="3" t="s">
        <v>329</v>
      </c>
    </row>
    <row r="11416" spans="1:6" x14ac:dyDescent="0.3">
      <c r="A11416" t="s">
        <v>41</v>
      </c>
      <c r="B11416" t="s">
        <v>308</v>
      </c>
      <c r="C11416">
        <v>1667</v>
      </c>
      <c r="D11416" t="s">
        <v>831</v>
      </c>
      <c r="E11416" t="s">
        <v>705</v>
      </c>
      <c r="F11416" t="s">
        <v>93</v>
      </c>
    </row>
    <row r="11418" spans="1:6" x14ac:dyDescent="0.3">
      <c r="A11418" t="s">
        <v>2807</v>
      </c>
    </row>
    <row r="11419" spans="1:6" x14ac:dyDescent="0.3">
      <c r="A11419" t="s">
        <v>36</v>
      </c>
      <c r="B11419" t="s">
        <v>2771</v>
      </c>
      <c r="C11419" t="s">
        <v>24</v>
      </c>
      <c r="D11419" t="s">
        <v>2798</v>
      </c>
      <c r="E11419" t="s">
        <v>2797</v>
      </c>
      <c r="F11419" t="s">
        <v>1454</v>
      </c>
    </row>
    <row r="11420" spans="1:6" s="3" customFormat="1" x14ac:dyDescent="0.3">
      <c r="A11420" s="3" t="s">
        <v>25</v>
      </c>
      <c r="B11420" s="3" t="s">
        <v>2772</v>
      </c>
      <c r="C11420" s="3">
        <v>1</v>
      </c>
      <c r="D11420" s="3" t="s">
        <v>192</v>
      </c>
      <c r="E11420" s="3" t="s">
        <v>103</v>
      </c>
      <c r="F11420" s="3" t="s">
        <v>103</v>
      </c>
    </row>
    <row r="11421" spans="1:6" s="3" customFormat="1" x14ac:dyDescent="0.3">
      <c r="A11421" s="3" t="s">
        <v>25</v>
      </c>
      <c r="B11421" s="3" t="s">
        <v>2773</v>
      </c>
      <c r="C11421" s="3">
        <v>3</v>
      </c>
      <c r="D11421" s="3" t="s">
        <v>728</v>
      </c>
      <c r="E11421" s="3" t="s">
        <v>727</v>
      </c>
      <c r="F11421" s="3" t="s">
        <v>103</v>
      </c>
    </row>
    <row r="11422" spans="1:6" s="3" customFormat="1" x14ac:dyDescent="0.3">
      <c r="A11422" s="3" t="s">
        <v>25</v>
      </c>
      <c r="B11422" s="3" t="s">
        <v>2774</v>
      </c>
      <c r="C11422" s="3">
        <v>9</v>
      </c>
      <c r="D11422" s="3" t="s">
        <v>1171</v>
      </c>
      <c r="E11422" s="3" t="s">
        <v>525</v>
      </c>
      <c r="F11422" s="3" t="s">
        <v>103</v>
      </c>
    </row>
    <row r="11423" spans="1:6" s="3" customFormat="1" x14ac:dyDescent="0.3">
      <c r="A11423" s="3" t="s">
        <v>25</v>
      </c>
      <c r="B11423" s="3" t="s">
        <v>2775</v>
      </c>
      <c r="C11423" s="3">
        <v>20</v>
      </c>
      <c r="D11423" s="3" t="s">
        <v>892</v>
      </c>
      <c r="E11423" s="3" t="s">
        <v>626</v>
      </c>
      <c r="F11423" s="3" t="s">
        <v>114</v>
      </c>
    </row>
    <row r="11424" spans="1:6" x14ac:dyDescent="0.3">
      <c r="A11424" t="s">
        <v>25</v>
      </c>
      <c r="B11424" t="s">
        <v>2776</v>
      </c>
      <c r="C11424">
        <v>44</v>
      </c>
      <c r="D11424" t="s">
        <v>1362</v>
      </c>
      <c r="E11424" t="s">
        <v>456</v>
      </c>
      <c r="F11424" t="s">
        <v>103</v>
      </c>
    </row>
    <row r="11425" spans="1:6" x14ac:dyDescent="0.3">
      <c r="A11425" t="s">
        <v>25</v>
      </c>
      <c r="B11425" t="s">
        <v>2777</v>
      </c>
      <c r="C11425">
        <v>140</v>
      </c>
      <c r="D11425" t="s">
        <v>1259</v>
      </c>
      <c r="E11425" t="s">
        <v>569</v>
      </c>
      <c r="F11425" t="s">
        <v>341</v>
      </c>
    </row>
    <row r="11426" spans="1:6" x14ac:dyDescent="0.3">
      <c r="A11426" t="s">
        <v>25</v>
      </c>
      <c r="B11426" t="s">
        <v>2778</v>
      </c>
      <c r="C11426">
        <v>152</v>
      </c>
      <c r="D11426" t="s">
        <v>1047</v>
      </c>
      <c r="E11426" t="s">
        <v>1213</v>
      </c>
      <c r="F11426" t="s">
        <v>493</v>
      </c>
    </row>
    <row r="11427" spans="1:6" s="3" customFormat="1" x14ac:dyDescent="0.3">
      <c r="A11427" s="3" t="s">
        <v>25</v>
      </c>
      <c r="B11427" s="3" t="s">
        <v>223</v>
      </c>
      <c r="C11427" s="3">
        <v>2</v>
      </c>
      <c r="D11427" s="3" t="s">
        <v>56</v>
      </c>
      <c r="E11427" s="3" t="s">
        <v>55</v>
      </c>
      <c r="F11427" s="3" t="s">
        <v>103</v>
      </c>
    </row>
    <row r="11428" spans="1:6" x14ac:dyDescent="0.3">
      <c r="A11428" t="s">
        <v>25</v>
      </c>
      <c r="B11428" t="s">
        <v>308</v>
      </c>
      <c r="C11428">
        <v>2</v>
      </c>
      <c r="D11428" t="s">
        <v>1199</v>
      </c>
      <c r="E11428" t="s">
        <v>1284</v>
      </c>
      <c r="F11428" t="s">
        <v>103</v>
      </c>
    </row>
    <row r="11429" spans="1:6" s="3" customFormat="1" x14ac:dyDescent="0.3">
      <c r="A11429" s="3" t="s">
        <v>26</v>
      </c>
      <c r="B11429" s="3" t="s">
        <v>2772</v>
      </c>
      <c r="C11429" s="3">
        <v>3</v>
      </c>
      <c r="D11429" s="3" t="s">
        <v>1371</v>
      </c>
      <c r="E11429" s="3" t="s">
        <v>515</v>
      </c>
      <c r="F11429" s="3" t="s">
        <v>103</v>
      </c>
    </row>
    <row r="11430" spans="1:6" s="3" customFormat="1" x14ac:dyDescent="0.3">
      <c r="A11430" s="3" t="s">
        <v>26</v>
      </c>
      <c r="B11430" s="3" t="s">
        <v>2773</v>
      </c>
      <c r="C11430" s="3">
        <v>6</v>
      </c>
      <c r="D11430" s="3" t="s">
        <v>774</v>
      </c>
      <c r="E11430" s="3" t="s">
        <v>273</v>
      </c>
      <c r="F11430" s="3" t="s">
        <v>103</v>
      </c>
    </row>
    <row r="11431" spans="1:6" s="3" customFormat="1" x14ac:dyDescent="0.3">
      <c r="A11431" s="3" t="s">
        <v>26</v>
      </c>
      <c r="B11431" s="3" t="s">
        <v>2774</v>
      </c>
      <c r="C11431" s="3">
        <v>19</v>
      </c>
      <c r="D11431" s="3" t="s">
        <v>258</v>
      </c>
      <c r="E11431" s="3" t="s">
        <v>1041</v>
      </c>
      <c r="F11431" s="3" t="s">
        <v>103</v>
      </c>
    </row>
    <row r="11432" spans="1:6" s="3" customFormat="1" x14ac:dyDescent="0.3">
      <c r="A11432" s="3" t="s">
        <v>26</v>
      </c>
      <c r="B11432" s="3" t="s">
        <v>2775</v>
      </c>
      <c r="C11432" s="3">
        <v>28</v>
      </c>
      <c r="D11432" s="3" t="s">
        <v>1438</v>
      </c>
      <c r="E11432" s="3" t="s">
        <v>686</v>
      </c>
      <c r="F11432" s="3" t="s">
        <v>93</v>
      </c>
    </row>
    <row r="11433" spans="1:6" x14ac:dyDescent="0.3">
      <c r="A11433" t="s">
        <v>26</v>
      </c>
      <c r="B11433" t="s">
        <v>2776</v>
      </c>
      <c r="C11433">
        <v>70</v>
      </c>
      <c r="D11433" t="s">
        <v>1462</v>
      </c>
      <c r="E11433" t="s">
        <v>1211</v>
      </c>
      <c r="F11433" t="s">
        <v>186</v>
      </c>
    </row>
    <row r="11434" spans="1:6" x14ac:dyDescent="0.3">
      <c r="A11434" t="s">
        <v>26</v>
      </c>
      <c r="B11434" t="s">
        <v>2777</v>
      </c>
      <c r="C11434">
        <v>132</v>
      </c>
      <c r="D11434" t="s">
        <v>895</v>
      </c>
      <c r="E11434" t="s">
        <v>554</v>
      </c>
      <c r="F11434" t="s">
        <v>110</v>
      </c>
    </row>
    <row r="11435" spans="1:6" x14ac:dyDescent="0.3">
      <c r="A11435" t="s">
        <v>26</v>
      </c>
      <c r="B11435" t="s">
        <v>2778</v>
      </c>
      <c r="C11435">
        <v>103</v>
      </c>
      <c r="D11435" t="s">
        <v>992</v>
      </c>
      <c r="E11435" t="s">
        <v>580</v>
      </c>
      <c r="F11435" t="s">
        <v>103</v>
      </c>
    </row>
    <row r="11436" spans="1:6" x14ac:dyDescent="0.3">
      <c r="A11436" t="s">
        <v>26</v>
      </c>
      <c r="B11436" t="s">
        <v>308</v>
      </c>
      <c r="C11436">
        <v>5</v>
      </c>
      <c r="D11436" t="s">
        <v>1283</v>
      </c>
      <c r="E11436" t="s">
        <v>1196</v>
      </c>
      <c r="F11436" t="s">
        <v>103</v>
      </c>
    </row>
    <row r="11437" spans="1:6" s="3" customFormat="1" x14ac:dyDescent="0.3">
      <c r="A11437" s="3" t="s">
        <v>29</v>
      </c>
      <c r="B11437" s="3" t="s">
        <v>2772</v>
      </c>
      <c r="C11437" s="3">
        <v>2</v>
      </c>
      <c r="D11437" s="3" t="s">
        <v>1197</v>
      </c>
      <c r="E11437" s="3" t="s">
        <v>103</v>
      </c>
      <c r="F11437" s="3" t="s">
        <v>366</v>
      </c>
    </row>
    <row r="11438" spans="1:6" s="3" customFormat="1" x14ac:dyDescent="0.3">
      <c r="A11438" s="3" t="s">
        <v>29</v>
      </c>
      <c r="B11438" s="3" t="s">
        <v>2773</v>
      </c>
      <c r="C11438" s="3">
        <v>7</v>
      </c>
      <c r="D11438" s="3" t="s">
        <v>863</v>
      </c>
      <c r="E11438" s="3" t="s">
        <v>191</v>
      </c>
      <c r="F11438" s="3" t="s">
        <v>103</v>
      </c>
    </row>
    <row r="11439" spans="1:6" s="3" customFormat="1" x14ac:dyDescent="0.3">
      <c r="A11439" s="3" t="s">
        <v>29</v>
      </c>
      <c r="B11439" s="3" t="s">
        <v>2774</v>
      </c>
      <c r="C11439" s="3">
        <v>18</v>
      </c>
      <c r="D11439" s="3" t="s">
        <v>238</v>
      </c>
      <c r="E11439" s="3" t="s">
        <v>550</v>
      </c>
      <c r="F11439" s="3" t="s">
        <v>103</v>
      </c>
    </row>
    <row r="11440" spans="1:6" s="3" customFormat="1" x14ac:dyDescent="0.3">
      <c r="A11440" s="3" t="s">
        <v>29</v>
      </c>
      <c r="B11440" s="3" t="s">
        <v>2775</v>
      </c>
      <c r="C11440" s="3">
        <v>25</v>
      </c>
      <c r="D11440" s="3" t="s">
        <v>1420</v>
      </c>
      <c r="E11440" s="3" t="s">
        <v>523</v>
      </c>
      <c r="F11440" s="3" t="s">
        <v>615</v>
      </c>
    </row>
    <row r="11441" spans="1:6" x14ac:dyDescent="0.3">
      <c r="A11441" t="s">
        <v>29</v>
      </c>
      <c r="B11441" t="s">
        <v>2776</v>
      </c>
      <c r="C11441">
        <v>57</v>
      </c>
      <c r="D11441" t="s">
        <v>979</v>
      </c>
      <c r="E11441" t="s">
        <v>1088</v>
      </c>
      <c r="F11441" t="s">
        <v>139</v>
      </c>
    </row>
    <row r="11442" spans="1:6" x14ac:dyDescent="0.3">
      <c r="A11442" t="s">
        <v>29</v>
      </c>
      <c r="B11442" t="s">
        <v>2777</v>
      </c>
      <c r="C11442">
        <v>195</v>
      </c>
      <c r="D11442" t="s">
        <v>796</v>
      </c>
      <c r="E11442" t="s">
        <v>647</v>
      </c>
      <c r="F11442" t="s">
        <v>272</v>
      </c>
    </row>
    <row r="11443" spans="1:6" x14ac:dyDescent="0.3">
      <c r="A11443" t="s">
        <v>29</v>
      </c>
      <c r="B11443" t="s">
        <v>2778</v>
      </c>
      <c r="C11443">
        <v>173</v>
      </c>
      <c r="D11443" t="s">
        <v>1241</v>
      </c>
      <c r="E11443" t="s">
        <v>490</v>
      </c>
      <c r="F11443" t="s">
        <v>208</v>
      </c>
    </row>
    <row r="11444" spans="1:6" x14ac:dyDescent="0.3">
      <c r="A11444" t="s">
        <v>29</v>
      </c>
      <c r="B11444" t="s">
        <v>308</v>
      </c>
      <c r="C11444">
        <v>1</v>
      </c>
      <c r="D11444" t="s">
        <v>192</v>
      </c>
      <c r="E11444" t="s">
        <v>103</v>
      </c>
      <c r="F11444" t="s">
        <v>103</v>
      </c>
    </row>
    <row r="11445" spans="1:6" x14ac:dyDescent="0.3">
      <c r="A11445" t="s">
        <v>28</v>
      </c>
      <c r="B11445" t="s">
        <v>2772</v>
      </c>
      <c r="C11445">
        <v>35</v>
      </c>
      <c r="D11445" t="s">
        <v>1142</v>
      </c>
      <c r="E11445" t="s">
        <v>409</v>
      </c>
      <c r="F11445" t="s">
        <v>102</v>
      </c>
    </row>
    <row r="11446" spans="1:6" x14ac:dyDescent="0.3">
      <c r="A11446" t="s">
        <v>28</v>
      </c>
      <c r="B11446" t="s">
        <v>2773</v>
      </c>
      <c r="C11446">
        <v>53</v>
      </c>
      <c r="D11446" t="s">
        <v>561</v>
      </c>
      <c r="E11446" t="s">
        <v>930</v>
      </c>
      <c r="F11446" t="s">
        <v>555</v>
      </c>
    </row>
    <row r="11447" spans="1:6" s="3" customFormat="1" x14ac:dyDescent="0.3">
      <c r="A11447" s="3" t="s">
        <v>28</v>
      </c>
      <c r="B11447" s="3" t="s">
        <v>2774</v>
      </c>
      <c r="C11447" s="3">
        <v>30</v>
      </c>
      <c r="D11447" s="3" t="s">
        <v>1047</v>
      </c>
      <c r="E11447" s="3" t="s">
        <v>541</v>
      </c>
      <c r="F11447" s="3" t="s">
        <v>103</v>
      </c>
    </row>
    <row r="11448" spans="1:6" x14ac:dyDescent="0.3">
      <c r="A11448" t="s">
        <v>28</v>
      </c>
      <c r="B11448" t="s">
        <v>2775</v>
      </c>
      <c r="C11448">
        <v>38</v>
      </c>
      <c r="D11448" t="s">
        <v>300</v>
      </c>
      <c r="E11448" t="s">
        <v>492</v>
      </c>
      <c r="F11448" t="s">
        <v>341</v>
      </c>
    </row>
    <row r="11449" spans="1:6" x14ac:dyDescent="0.3">
      <c r="A11449" t="s">
        <v>28</v>
      </c>
      <c r="B11449" t="s">
        <v>2776</v>
      </c>
      <c r="C11449">
        <v>45</v>
      </c>
      <c r="D11449" t="s">
        <v>811</v>
      </c>
      <c r="E11449" t="s">
        <v>650</v>
      </c>
      <c r="F11449" t="s">
        <v>194</v>
      </c>
    </row>
    <row r="11450" spans="1:6" x14ac:dyDescent="0.3">
      <c r="A11450" t="s">
        <v>28</v>
      </c>
      <c r="B11450" t="s">
        <v>2777</v>
      </c>
      <c r="C11450">
        <v>52</v>
      </c>
      <c r="D11450" t="s">
        <v>1393</v>
      </c>
      <c r="E11450" t="s">
        <v>569</v>
      </c>
      <c r="F11450" t="s">
        <v>103</v>
      </c>
    </row>
    <row r="11451" spans="1:6" x14ac:dyDescent="0.3">
      <c r="A11451" t="s">
        <v>28</v>
      </c>
      <c r="B11451" t="s">
        <v>2778</v>
      </c>
      <c r="C11451">
        <v>37</v>
      </c>
      <c r="D11451" t="s">
        <v>527</v>
      </c>
      <c r="E11451" t="s">
        <v>1055</v>
      </c>
      <c r="F11451" t="s">
        <v>201</v>
      </c>
    </row>
    <row r="11452" spans="1:6" x14ac:dyDescent="0.3">
      <c r="A11452" t="s">
        <v>28</v>
      </c>
      <c r="B11452" t="s">
        <v>308</v>
      </c>
      <c r="C11452">
        <v>6</v>
      </c>
      <c r="D11452" t="s">
        <v>739</v>
      </c>
      <c r="E11452" t="s">
        <v>485</v>
      </c>
      <c r="F11452" t="s">
        <v>103</v>
      </c>
    </row>
    <row r="11453" spans="1:6" s="3" customFormat="1" x14ac:dyDescent="0.3">
      <c r="A11453" s="3" t="s">
        <v>27</v>
      </c>
      <c r="B11453" s="3" t="s">
        <v>2772</v>
      </c>
      <c r="C11453" s="3">
        <v>10</v>
      </c>
      <c r="D11453" s="3" t="s">
        <v>924</v>
      </c>
      <c r="E11453" s="3" t="s">
        <v>537</v>
      </c>
      <c r="F11453" s="3" t="s">
        <v>103</v>
      </c>
    </row>
    <row r="11454" spans="1:6" s="3" customFormat="1" x14ac:dyDescent="0.3">
      <c r="A11454" s="3" t="s">
        <v>27</v>
      </c>
      <c r="B11454" s="3" t="s">
        <v>2773</v>
      </c>
      <c r="C11454" s="3">
        <v>9</v>
      </c>
      <c r="D11454" s="3" t="s">
        <v>414</v>
      </c>
      <c r="E11454" s="3" t="s">
        <v>815</v>
      </c>
      <c r="F11454" s="3" t="s">
        <v>173</v>
      </c>
    </row>
    <row r="11455" spans="1:6" s="3" customFormat="1" x14ac:dyDescent="0.3">
      <c r="A11455" s="3" t="s">
        <v>27</v>
      </c>
      <c r="B11455" s="3" t="s">
        <v>2774</v>
      </c>
      <c r="C11455" s="3">
        <v>18</v>
      </c>
      <c r="D11455" s="3" t="s">
        <v>792</v>
      </c>
      <c r="E11455" s="3" t="s">
        <v>430</v>
      </c>
      <c r="F11455" s="3" t="s">
        <v>103</v>
      </c>
    </row>
    <row r="11456" spans="1:6" x14ac:dyDescent="0.3">
      <c r="A11456" t="s">
        <v>27</v>
      </c>
      <c r="B11456" t="s">
        <v>2775</v>
      </c>
      <c r="C11456">
        <v>33</v>
      </c>
      <c r="D11456" t="s">
        <v>1245</v>
      </c>
      <c r="E11456" t="s">
        <v>816</v>
      </c>
      <c r="F11456" t="s">
        <v>266</v>
      </c>
    </row>
    <row r="11457" spans="1:6" x14ac:dyDescent="0.3">
      <c r="A11457" t="s">
        <v>27</v>
      </c>
      <c r="B11457" t="s">
        <v>2776</v>
      </c>
      <c r="C11457">
        <v>62</v>
      </c>
      <c r="D11457" t="s">
        <v>375</v>
      </c>
      <c r="E11457" t="s">
        <v>374</v>
      </c>
      <c r="F11457" t="s">
        <v>103</v>
      </c>
    </row>
    <row r="11458" spans="1:6" x14ac:dyDescent="0.3">
      <c r="A11458" t="s">
        <v>27</v>
      </c>
      <c r="B11458" t="s">
        <v>2777</v>
      </c>
      <c r="C11458">
        <v>76</v>
      </c>
      <c r="D11458" t="s">
        <v>351</v>
      </c>
      <c r="E11458" t="s">
        <v>421</v>
      </c>
      <c r="F11458" t="s">
        <v>103</v>
      </c>
    </row>
    <row r="11459" spans="1:6" x14ac:dyDescent="0.3">
      <c r="A11459" t="s">
        <v>27</v>
      </c>
      <c r="B11459" t="s">
        <v>2778</v>
      </c>
      <c r="C11459">
        <v>67</v>
      </c>
      <c r="D11459" t="s">
        <v>400</v>
      </c>
      <c r="E11459" t="s">
        <v>399</v>
      </c>
      <c r="F11459" t="s">
        <v>103</v>
      </c>
    </row>
    <row r="11460" spans="1:6" s="3" customFormat="1" x14ac:dyDescent="0.3">
      <c r="A11460" s="3" t="s">
        <v>27</v>
      </c>
      <c r="B11460" s="3" t="s">
        <v>223</v>
      </c>
      <c r="C11460" s="3">
        <v>2</v>
      </c>
      <c r="D11460" s="3" t="s">
        <v>103</v>
      </c>
      <c r="E11460" s="3" t="s">
        <v>192</v>
      </c>
      <c r="F11460" s="3" t="s">
        <v>103</v>
      </c>
    </row>
    <row r="11461" spans="1:6" x14ac:dyDescent="0.3">
      <c r="A11461" t="s">
        <v>27</v>
      </c>
      <c r="B11461" t="s">
        <v>308</v>
      </c>
      <c r="C11461">
        <v>15</v>
      </c>
      <c r="D11461" t="s">
        <v>627</v>
      </c>
      <c r="E11461" t="s">
        <v>1064</v>
      </c>
      <c r="F11461" t="s">
        <v>103</v>
      </c>
    </row>
    <row r="11462" spans="1:6" x14ac:dyDescent="0.3">
      <c r="A11462" t="s">
        <v>41</v>
      </c>
      <c r="B11462" t="s">
        <v>2772</v>
      </c>
      <c r="C11462">
        <v>51</v>
      </c>
      <c r="D11462" t="s">
        <v>1420</v>
      </c>
      <c r="E11462" t="s">
        <v>514</v>
      </c>
      <c r="F11462" t="s">
        <v>750</v>
      </c>
    </row>
    <row r="11463" spans="1:6" x14ac:dyDescent="0.3">
      <c r="A11463" t="s">
        <v>41</v>
      </c>
      <c r="B11463" t="s">
        <v>2773</v>
      </c>
      <c r="C11463">
        <v>78</v>
      </c>
      <c r="D11463" t="s">
        <v>924</v>
      </c>
      <c r="E11463" t="s">
        <v>503</v>
      </c>
      <c r="F11463" t="s">
        <v>90</v>
      </c>
    </row>
    <row r="11464" spans="1:6" x14ac:dyDescent="0.3">
      <c r="A11464" t="s">
        <v>41</v>
      </c>
      <c r="B11464" t="s">
        <v>2774</v>
      </c>
      <c r="C11464">
        <v>94</v>
      </c>
      <c r="D11464" t="s">
        <v>2111</v>
      </c>
      <c r="E11464" t="s">
        <v>935</v>
      </c>
      <c r="F11464" t="s">
        <v>103</v>
      </c>
    </row>
    <row r="11465" spans="1:6" x14ac:dyDescent="0.3">
      <c r="A11465" t="s">
        <v>41</v>
      </c>
      <c r="B11465" t="s">
        <v>2775</v>
      </c>
      <c r="C11465">
        <v>144</v>
      </c>
      <c r="D11465" t="s">
        <v>814</v>
      </c>
      <c r="E11465" t="s">
        <v>645</v>
      </c>
      <c r="F11465" t="s">
        <v>438</v>
      </c>
    </row>
    <row r="11466" spans="1:6" x14ac:dyDescent="0.3">
      <c r="A11466" t="s">
        <v>41</v>
      </c>
      <c r="B11466" t="s">
        <v>2776</v>
      </c>
      <c r="C11466">
        <v>278</v>
      </c>
      <c r="D11466" t="s">
        <v>304</v>
      </c>
      <c r="E11466" t="s">
        <v>138</v>
      </c>
      <c r="F11466" t="s">
        <v>216</v>
      </c>
    </row>
    <row r="11467" spans="1:6" x14ac:dyDescent="0.3">
      <c r="A11467" t="s">
        <v>41</v>
      </c>
      <c r="B11467" t="s">
        <v>2777</v>
      </c>
      <c r="C11467">
        <v>595</v>
      </c>
      <c r="D11467" t="s">
        <v>2111</v>
      </c>
      <c r="E11467" t="s">
        <v>504</v>
      </c>
      <c r="F11467" t="s">
        <v>128</v>
      </c>
    </row>
    <row r="11468" spans="1:6" x14ac:dyDescent="0.3">
      <c r="A11468" t="s">
        <v>41</v>
      </c>
      <c r="B11468" t="s">
        <v>2778</v>
      </c>
      <c r="C11468">
        <v>532</v>
      </c>
      <c r="D11468" t="s">
        <v>235</v>
      </c>
      <c r="E11468" t="s">
        <v>699</v>
      </c>
      <c r="F11468" t="s">
        <v>208</v>
      </c>
    </row>
    <row r="11469" spans="1:6" s="3" customFormat="1" x14ac:dyDescent="0.3">
      <c r="A11469" s="3" t="s">
        <v>41</v>
      </c>
      <c r="B11469" s="3" t="s">
        <v>223</v>
      </c>
      <c r="C11469" s="3">
        <v>4</v>
      </c>
      <c r="D11469" s="3" t="s">
        <v>173</v>
      </c>
      <c r="E11469" s="3" t="s">
        <v>174</v>
      </c>
      <c r="F11469" s="3" t="s">
        <v>103</v>
      </c>
    </row>
    <row r="11470" spans="1:6" x14ac:dyDescent="0.3">
      <c r="A11470" t="s">
        <v>41</v>
      </c>
      <c r="B11470" t="s">
        <v>308</v>
      </c>
      <c r="C11470">
        <v>29</v>
      </c>
      <c r="D11470" t="s">
        <v>722</v>
      </c>
      <c r="E11470" t="s">
        <v>96</v>
      </c>
      <c r="F11470" t="s">
        <v>103</v>
      </c>
    </row>
    <row r="11472" spans="1:6" x14ac:dyDescent="0.3">
      <c r="A11472" t="s">
        <v>2808</v>
      </c>
    </row>
    <row r="11473" spans="1:7" x14ac:dyDescent="0.3">
      <c r="A11473" t="s">
        <v>36</v>
      </c>
      <c r="B11473" t="s">
        <v>197</v>
      </c>
      <c r="C11473" t="s">
        <v>24</v>
      </c>
      <c r="D11473" t="s">
        <v>1454</v>
      </c>
      <c r="E11473" t="s">
        <v>2797</v>
      </c>
      <c r="F11473" t="s">
        <v>2798</v>
      </c>
    </row>
    <row r="11474" spans="1:7" x14ac:dyDescent="0.3">
      <c r="A11474" t="s">
        <v>25</v>
      </c>
      <c r="B11474" t="s">
        <v>198</v>
      </c>
      <c r="C11474">
        <v>92</v>
      </c>
      <c r="D11474" t="s">
        <v>188</v>
      </c>
      <c r="E11474" t="s">
        <v>1196</v>
      </c>
      <c r="F11474" t="s">
        <v>982</v>
      </c>
    </row>
    <row r="11475" spans="1:7" x14ac:dyDescent="0.3">
      <c r="A11475" t="s">
        <v>25</v>
      </c>
      <c r="B11475" t="s">
        <v>199</v>
      </c>
      <c r="C11475">
        <v>281</v>
      </c>
      <c r="D11475" t="s">
        <v>208</v>
      </c>
      <c r="E11475" t="s">
        <v>577</v>
      </c>
      <c r="F11475" t="s">
        <v>1244</v>
      </c>
    </row>
    <row r="11476" spans="1:7" x14ac:dyDescent="0.3">
      <c r="A11476" t="s">
        <v>26</v>
      </c>
      <c r="B11476" t="s">
        <v>198</v>
      </c>
      <c r="C11476">
        <v>38</v>
      </c>
      <c r="D11476" t="s">
        <v>103</v>
      </c>
      <c r="E11476" t="s">
        <v>495</v>
      </c>
      <c r="F11476" t="s">
        <v>612</v>
      </c>
    </row>
    <row r="11477" spans="1:7" x14ac:dyDescent="0.3">
      <c r="A11477" t="s">
        <v>26</v>
      </c>
      <c r="B11477" t="s">
        <v>199</v>
      </c>
      <c r="C11477">
        <v>328</v>
      </c>
      <c r="D11477" t="s">
        <v>216</v>
      </c>
      <c r="E11477" t="s">
        <v>461</v>
      </c>
      <c r="F11477" t="s">
        <v>1142</v>
      </c>
    </row>
    <row r="11478" spans="1:7" x14ac:dyDescent="0.3">
      <c r="A11478" t="s">
        <v>29</v>
      </c>
      <c r="B11478" t="s">
        <v>198</v>
      </c>
      <c r="C11478">
        <v>155</v>
      </c>
      <c r="D11478" t="s">
        <v>105</v>
      </c>
      <c r="E11478" t="s">
        <v>480</v>
      </c>
      <c r="F11478" t="s">
        <v>937</v>
      </c>
    </row>
    <row r="11479" spans="1:7" x14ac:dyDescent="0.3">
      <c r="A11479" t="s">
        <v>29</v>
      </c>
      <c r="B11479" t="s">
        <v>199</v>
      </c>
      <c r="C11479">
        <v>323</v>
      </c>
      <c r="D11479" t="s">
        <v>68</v>
      </c>
      <c r="E11479" t="s">
        <v>561</v>
      </c>
      <c r="F11479" t="s">
        <v>364</v>
      </c>
    </row>
    <row r="11480" spans="1:7" x14ac:dyDescent="0.3">
      <c r="A11480" t="s">
        <v>28</v>
      </c>
      <c r="B11480" t="s">
        <v>198</v>
      </c>
      <c r="C11480">
        <v>69</v>
      </c>
      <c r="D11480" t="s">
        <v>103</v>
      </c>
      <c r="E11480" t="s">
        <v>169</v>
      </c>
      <c r="F11480" t="s">
        <v>170</v>
      </c>
    </row>
    <row r="11481" spans="1:7" x14ac:dyDescent="0.3">
      <c r="A11481" t="s">
        <v>28</v>
      </c>
      <c r="B11481" t="s">
        <v>199</v>
      </c>
      <c r="C11481">
        <v>227</v>
      </c>
      <c r="D11481" t="s">
        <v>558</v>
      </c>
      <c r="E11481" t="s">
        <v>562</v>
      </c>
      <c r="F11481" t="s">
        <v>931</v>
      </c>
    </row>
    <row r="11482" spans="1:7" x14ac:dyDescent="0.3">
      <c r="A11482" t="s">
        <v>27</v>
      </c>
      <c r="B11482" t="s">
        <v>198</v>
      </c>
      <c r="C11482">
        <v>132</v>
      </c>
      <c r="D11482" t="s">
        <v>95</v>
      </c>
      <c r="E11482" t="s">
        <v>387</v>
      </c>
      <c r="F11482" t="s">
        <v>2010</v>
      </c>
    </row>
    <row r="11483" spans="1:7" x14ac:dyDescent="0.3">
      <c r="A11483" t="s">
        <v>27</v>
      </c>
      <c r="B11483" t="s">
        <v>199</v>
      </c>
      <c r="C11483">
        <v>160</v>
      </c>
      <c r="D11483" t="s">
        <v>139</v>
      </c>
      <c r="E11483" t="s">
        <v>396</v>
      </c>
      <c r="F11483" t="s">
        <v>678</v>
      </c>
    </row>
    <row r="11484" spans="1:7" x14ac:dyDescent="0.3">
      <c r="A11484" t="s">
        <v>41</v>
      </c>
      <c r="B11484" t="s">
        <v>198</v>
      </c>
      <c r="C11484">
        <v>486</v>
      </c>
      <c r="D11484" t="s">
        <v>105</v>
      </c>
      <c r="E11484" t="s">
        <v>705</v>
      </c>
      <c r="F11484" t="s">
        <v>979</v>
      </c>
    </row>
    <row r="11485" spans="1:7" x14ac:dyDescent="0.3">
      <c r="A11485" t="s">
        <v>41</v>
      </c>
      <c r="B11485" t="s">
        <v>199</v>
      </c>
      <c r="C11485">
        <v>1319</v>
      </c>
      <c r="D11485" t="s">
        <v>257</v>
      </c>
      <c r="E11485" t="s">
        <v>1204</v>
      </c>
      <c r="F11485" t="s">
        <v>796</v>
      </c>
    </row>
    <row r="11487" spans="1:7" x14ac:dyDescent="0.3">
      <c r="A11487" t="s">
        <v>2809</v>
      </c>
    </row>
    <row r="11488" spans="1:7" x14ac:dyDescent="0.3">
      <c r="A11488" t="s">
        <v>36</v>
      </c>
      <c r="B11488" t="s">
        <v>24</v>
      </c>
      <c r="C11488" t="s">
        <v>58</v>
      </c>
      <c r="D11488" t="s">
        <v>1566</v>
      </c>
      <c r="E11488" t="s">
        <v>2810</v>
      </c>
      <c r="F11488" t="s">
        <v>2811</v>
      </c>
      <c r="G11488" t="s">
        <v>2812</v>
      </c>
    </row>
    <row r="11489" spans="1:8" x14ac:dyDescent="0.3">
      <c r="A11489" t="s">
        <v>25</v>
      </c>
      <c r="B11489">
        <v>414</v>
      </c>
      <c r="C11489" t="s">
        <v>605</v>
      </c>
      <c r="D11489" t="s">
        <v>95</v>
      </c>
      <c r="E11489" t="s">
        <v>558</v>
      </c>
      <c r="F11489" t="s">
        <v>188</v>
      </c>
      <c r="G11489" t="s">
        <v>125</v>
      </c>
    </row>
    <row r="11490" spans="1:8" x14ac:dyDescent="0.3">
      <c r="A11490" t="s">
        <v>26</v>
      </c>
      <c r="B11490">
        <v>477</v>
      </c>
      <c r="C11490" t="s">
        <v>618</v>
      </c>
      <c r="D11490" t="s">
        <v>97</v>
      </c>
      <c r="E11490" t="s">
        <v>438</v>
      </c>
      <c r="F11490" t="s">
        <v>194</v>
      </c>
      <c r="G11490" t="s">
        <v>132</v>
      </c>
    </row>
    <row r="11491" spans="1:8" x14ac:dyDescent="0.3">
      <c r="A11491" t="s">
        <v>29</v>
      </c>
      <c r="B11491">
        <v>530</v>
      </c>
      <c r="C11491" t="s">
        <v>902</v>
      </c>
      <c r="D11491" t="s">
        <v>239</v>
      </c>
      <c r="E11491" t="s">
        <v>201</v>
      </c>
      <c r="F11491" t="s">
        <v>110</v>
      </c>
      <c r="G11491" t="s">
        <v>575</v>
      </c>
    </row>
    <row r="11492" spans="1:8" x14ac:dyDescent="0.3">
      <c r="A11492" t="s">
        <v>28</v>
      </c>
      <c r="B11492">
        <v>317</v>
      </c>
      <c r="C11492" t="s">
        <v>176</v>
      </c>
      <c r="D11492" t="s">
        <v>97</v>
      </c>
      <c r="E11492" t="s">
        <v>466</v>
      </c>
      <c r="F11492" t="s">
        <v>97</v>
      </c>
      <c r="G11492" t="s">
        <v>531</v>
      </c>
    </row>
    <row r="11493" spans="1:8" x14ac:dyDescent="0.3">
      <c r="A11493" t="s">
        <v>27</v>
      </c>
      <c r="B11493">
        <v>300</v>
      </c>
      <c r="C11493" t="s">
        <v>625</v>
      </c>
      <c r="D11493" t="s">
        <v>103</v>
      </c>
      <c r="E11493" t="s">
        <v>120</v>
      </c>
      <c r="F11493" t="s">
        <v>103</v>
      </c>
      <c r="G11493" t="s">
        <v>60</v>
      </c>
    </row>
    <row r="11494" spans="1:8" x14ac:dyDescent="0.3">
      <c r="A11494" t="s">
        <v>41</v>
      </c>
      <c r="B11494">
        <v>2038</v>
      </c>
      <c r="C11494" t="s">
        <v>711</v>
      </c>
      <c r="D11494" t="s">
        <v>282</v>
      </c>
      <c r="E11494" t="s">
        <v>113</v>
      </c>
      <c r="F11494" t="s">
        <v>245</v>
      </c>
      <c r="G11494" t="s">
        <v>693</v>
      </c>
    </row>
    <row r="11496" spans="1:8" x14ac:dyDescent="0.3">
      <c r="A11496" t="s">
        <v>2813</v>
      </c>
    </row>
    <row r="11497" spans="1:8" x14ac:dyDescent="0.3">
      <c r="A11497" t="s">
        <v>36</v>
      </c>
      <c r="B11497" t="s">
        <v>307</v>
      </c>
      <c r="C11497" t="s">
        <v>24</v>
      </c>
      <c r="D11497" t="s">
        <v>58</v>
      </c>
      <c r="E11497" t="s">
        <v>1566</v>
      </c>
      <c r="F11497" t="s">
        <v>2810</v>
      </c>
      <c r="G11497" t="s">
        <v>2811</v>
      </c>
      <c r="H11497" t="s">
        <v>2812</v>
      </c>
    </row>
    <row r="11498" spans="1:8" x14ac:dyDescent="0.3">
      <c r="A11498" t="s">
        <v>25</v>
      </c>
      <c r="B11498" t="s">
        <v>291</v>
      </c>
      <c r="C11498">
        <v>156</v>
      </c>
      <c r="D11498" t="s">
        <v>1357</v>
      </c>
      <c r="E11498" t="s">
        <v>116</v>
      </c>
      <c r="F11498" t="s">
        <v>127</v>
      </c>
      <c r="G11498" t="s">
        <v>272</v>
      </c>
      <c r="H11498" t="s">
        <v>128</v>
      </c>
    </row>
    <row r="11499" spans="1:8" x14ac:dyDescent="0.3">
      <c r="A11499" t="s">
        <v>25</v>
      </c>
      <c r="B11499" t="s">
        <v>292</v>
      </c>
      <c r="C11499">
        <v>254</v>
      </c>
      <c r="D11499" t="s">
        <v>617</v>
      </c>
      <c r="E11499" t="s">
        <v>98</v>
      </c>
      <c r="F11499" t="s">
        <v>615</v>
      </c>
      <c r="G11499" t="s">
        <v>107</v>
      </c>
      <c r="H11499" t="s">
        <v>113</v>
      </c>
    </row>
    <row r="11500" spans="1:8" x14ac:dyDescent="0.3">
      <c r="A11500" t="s">
        <v>25</v>
      </c>
      <c r="B11500" t="s">
        <v>308</v>
      </c>
      <c r="C11500">
        <v>4</v>
      </c>
      <c r="D11500" t="s">
        <v>240</v>
      </c>
      <c r="E11500" t="s">
        <v>103</v>
      </c>
      <c r="F11500" t="s">
        <v>103</v>
      </c>
      <c r="G11500" t="s">
        <v>103</v>
      </c>
      <c r="H11500" t="s">
        <v>693</v>
      </c>
    </row>
    <row r="11501" spans="1:8" x14ac:dyDescent="0.3">
      <c r="A11501" t="s">
        <v>26</v>
      </c>
      <c r="B11501" t="s">
        <v>291</v>
      </c>
      <c r="C11501">
        <v>122</v>
      </c>
      <c r="D11501" t="s">
        <v>1035</v>
      </c>
      <c r="E11501" t="s">
        <v>103</v>
      </c>
      <c r="F11501" t="s">
        <v>64</v>
      </c>
      <c r="G11501" t="s">
        <v>103</v>
      </c>
      <c r="H11501" t="s">
        <v>671</v>
      </c>
    </row>
    <row r="11502" spans="1:8" x14ac:dyDescent="0.3">
      <c r="A11502" t="s">
        <v>26</v>
      </c>
      <c r="B11502" t="s">
        <v>292</v>
      </c>
      <c r="C11502">
        <v>352</v>
      </c>
      <c r="D11502" t="s">
        <v>610</v>
      </c>
      <c r="E11502" t="s">
        <v>95</v>
      </c>
      <c r="F11502" t="s">
        <v>125</v>
      </c>
      <c r="G11502" t="s">
        <v>245</v>
      </c>
      <c r="H11502" t="s">
        <v>550</v>
      </c>
    </row>
    <row r="11503" spans="1:8" x14ac:dyDescent="0.3">
      <c r="A11503" t="s">
        <v>26</v>
      </c>
      <c r="B11503" t="s">
        <v>308</v>
      </c>
      <c r="C11503">
        <v>3</v>
      </c>
      <c r="D11503" t="s">
        <v>699</v>
      </c>
      <c r="E11503" t="s">
        <v>103</v>
      </c>
      <c r="F11503" t="s">
        <v>103</v>
      </c>
      <c r="G11503" t="s">
        <v>103</v>
      </c>
      <c r="H11503" t="s">
        <v>784</v>
      </c>
    </row>
    <row r="11504" spans="1:8" x14ac:dyDescent="0.3">
      <c r="A11504" t="s">
        <v>29</v>
      </c>
      <c r="B11504" t="s">
        <v>291</v>
      </c>
      <c r="C11504">
        <v>205</v>
      </c>
      <c r="D11504" t="s">
        <v>776</v>
      </c>
      <c r="E11504" t="s">
        <v>216</v>
      </c>
      <c r="F11504" t="s">
        <v>186</v>
      </c>
      <c r="G11504" t="s">
        <v>98</v>
      </c>
      <c r="H11504" t="s">
        <v>113</v>
      </c>
    </row>
    <row r="11505" spans="1:8" x14ac:dyDescent="0.3">
      <c r="A11505" t="s">
        <v>29</v>
      </c>
      <c r="B11505" t="s">
        <v>292</v>
      </c>
      <c r="C11505">
        <v>325</v>
      </c>
      <c r="D11505" t="s">
        <v>758</v>
      </c>
      <c r="E11505" t="s">
        <v>239</v>
      </c>
      <c r="F11505" t="s">
        <v>532</v>
      </c>
      <c r="G11505" t="s">
        <v>105</v>
      </c>
      <c r="H11505" t="s">
        <v>135</v>
      </c>
    </row>
    <row r="11506" spans="1:8" x14ac:dyDescent="0.3">
      <c r="A11506" t="s">
        <v>28</v>
      </c>
      <c r="B11506" t="s">
        <v>291</v>
      </c>
      <c r="C11506">
        <v>114</v>
      </c>
      <c r="D11506" t="s">
        <v>622</v>
      </c>
      <c r="E11506" t="s">
        <v>95</v>
      </c>
      <c r="F11506" t="s">
        <v>135</v>
      </c>
      <c r="G11506" t="s">
        <v>194</v>
      </c>
      <c r="H11506" t="s">
        <v>186</v>
      </c>
    </row>
    <row r="11507" spans="1:8" x14ac:dyDescent="0.3">
      <c r="A11507" t="s">
        <v>28</v>
      </c>
      <c r="B11507" t="s">
        <v>292</v>
      </c>
      <c r="C11507">
        <v>191</v>
      </c>
      <c r="D11507" t="s">
        <v>215</v>
      </c>
      <c r="E11507" t="s">
        <v>103</v>
      </c>
      <c r="F11507" t="s">
        <v>438</v>
      </c>
      <c r="G11507" t="s">
        <v>103</v>
      </c>
      <c r="H11507" t="s">
        <v>126</v>
      </c>
    </row>
    <row r="11508" spans="1:8" x14ac:dyDescent="0.3">
      <c r="A11508" t="s">
        <v>28</v>
      </c>
      <c r="B11508" t="s">
        <v>308</v>
      </c>
      <c r="C11508">
        <v>12</v>
      </c>
      <c r="D11508" t="s">
        <v>720</v>
      </c>
      <c r="E11508" t="s">
        <v>112</v>
      </c>
      <c r="F11508" t="s">
        <v>157</v>
      </c>
      <c r="G11508" t="s">
        <v>103</v>
      </c>
      <c r="H11508" t="s">
        <v>103</v>
      </c>
    </row>
    <row r="11509" spans="1:8" x14ac:dyDescent="0.3">
      <c r="A11509" t="s">
        <v>27</v>
      </c>
      <c r="B11509" t="s">
        <v>291</v>
      </c>
      <c r="C11509">
        <v>95</v>
      </c>
      <c r="D11509" t="s">
        <v>614</v>
      </c>
      <c r="E11509" t="s">
        <v>103</v>
      </c>
      <c r="F11509" t="s">
        <v>103</v>
      </c>
      <c r="G11509" t="s">
        <v>103</v>
      </c>
      <c r="H11509" t="s">
        <v>269</v>
      </c>
    </row>
    <row r="11510" spans="1:8" x14ac:dyDescent="0.3">
      <c r="A11510" t="s">
        <v>27</v>
      </c>
      <c r="B11510" t="s">
        <v>292</v>
      </c>
      <c r="C11510">
        <v>198</v>
      </c>
      <c r="D11510" t="s">
        <v>1484</v>
      </c>
      <c r="E11510" t="s">
        <v>103</v>
      </c>
      <c r="F11510" t="s">
        <v>98</v>
      </c>
      <c r="G11510" t="s">
        <v>103</v>
      </c>
      <c r="H11510" t="s">
        <v>206</v>
      </c>
    </row>
    <row r="11511" spans="1:8" x14ac:dyDescent="0.3">
      <c r="A11511" t="s">
        <v>27</v>
      </c>
      <c r="B11511" t="s">
        <v>308</v>
      </c>
      <c r="C11511">
        <v>7</v>
      </c>
      <c r="D11511" t="s">
        <v>192</v>
      </c>
      <c r="E11511" t="s">
        <v>103</v>
      </c>
      <c r="F11511" t="s">
        <v>103</v>
      </c>
      <c r="G11511" t="s">
        <v>103</v>
      </c>
      <c r="H11511" t="s">
        <v>103</v>
      </c>
    </row>
    <row r="11512" spans="1:8" x14ac:dyDescent="0.3">
      <c r="A11512" t="s">
        <v>41</v>
      </c>
      <c r="B11512" t="s">
        <v>291</v>
      </c>
      <c r="C11512">
        <v>692</v>
      </c>
      <c r="D11512" t="s">
        <v>174</v>
      </c>
      <c r="E11512" t="s">
        <v>98</v>
      </c>
      <c r="F11512" t="s">
        <v>32</v>
      </c>
      <c r="G11512" t="s">
        <v>468</v>
      </c>
      <c r="H11512" t="s">
        <v>575</v>
      </c>
    </row>
    <row r="11513" spans="1:8" x14ac:dyDescent="0.3">
      <c r="A11513" t="s">
        <v>41</v>
      </c>
      <c r="B11513" t="s">
        <v>292</v>
      </c>
      <c r="C11513">
        <v>1320</v>
      </c>
      <c r="D11513" t="s">
        <v>45</v>
      </c>
      <c r="E11513" t="s">
        <v>282</v>
      </c>
      <c r="F11513" t="s">
        <v>591</v>
      </c>
      <c r="G11513" t="s">
        <v>208</v>
      </c>
      <c r="H11513" t="s">
        <v>543</v>
      </c>
    </row>
    <row r="11514" spans="1:8" x14ac:dyDescent="0.3">
      <c r="A11514" t="s">
        <v>41</v>
      </c>
      <c r="B11514" t="s">
        <v>308</v>
      </c>
      <c r="C11514">
        <v>26</v>
      </c>
      <c r="D11514" t="s">
        <v>1680</v>
      </c>
      <c r="E11514" t="s">
        <v>216</v>
      </c>
      <c r="F11514" t="s">
        <v>467</v>
      </c>
      <c r="G11514" t="s">
        <v>103</v>
      </c>
      <c r="H11514" t="s">
        <v>548</v>
      </c>
    </row>
    <row r="11516" spans="1:8" x14ac:dyDescent="0.3">
      <c r="A11516" t="s">
        <v>2814</v>
      </c>
    </row>
    <row r="11517" spans="1:8" x14ac:dyDescent="0.3">
      <c r="A11517" t="s">
        <v>36</v>
      </c>
      <c r="B11517" t="s">
        <v>763</v>
      </c>
      <c r="C11517" t="s">
        <v>24</v>
      </c>
      <c r="D11517" t="s">
        <v>58</v>
      </c>
      <c r="E11517" t="s">
        <v>2810</v>
      </c>
      <c r="F11517" t="s">
        <v>2811</v>
      </c>
      <c r="G11517" t="s">
        <v>1566</v>
      </c>
      <c r="H11517" t="s">
        <v>2812</v>
      </c>
    </row>
    <row r="11518" spans="1:8" x14ac:dyDescent="0.3">
      <c r="A11518" t="s">
        <v>25</v>
      </c>
      <c r="B11518" t="s">
        <v>764</v>
      </c>
      <c r="C11518">
        <v>31</v>
      </c>
      <c r="D11518" t="s">
        <v>158</v>
      </c>
      <c r="E11518" t="s">
        <v>125</v>
      </c>
      <c r="F11518" t="s">
        <v>108</v>
      </c>
      <c r="G11518" t="s">
        <v>103</v>
      </c>
      <c r="H11518" t="s">
        <v>103</v>
      </c>
    </row>
    <row r="11519" spans="1:8" x14ac:dyDescent="0.3">
      <c r="A11519" t="s">
        <v>25</v>
      </c>
      <c r="B11519" t="s">
        <v>765</v>
      </c>
      <c r="C11519">
        <v>280</v>
      </c>
      <c r="D11519" t="s">
        <v>53</v>
      </c>
      <c r="E11519" t="s">
        <v>452</v>
      </c>
      <c r="F11519" t="s">
        <v>493</v>
      </c>
      <c r="G11519" t="s">
        <v>282</v>
      </c>
      <c r="H11519" t="s">
        <v>201</v>
      </c>
    </row>
    <row r="11520" spans="1:8" x14ac:dyDescent="0.3">
      <c r="A11520" t="s">
        <v>25</v>
      </c>
      <c r="B11520" t="s">
        <v>767</v>
      </c>
      <c r="C11520">
        <v>103</v>
      </c>
      <c r="D11520" t="s">
        <v>159</v>
      </c>
      <c r="E11520" t="s">
        <v>133</v>
      </c>
      <c r="F11520" t="s">
        <v>270</v>
      </c>
      <c r="G11520" t="s">
        <v>103</v>
      </c>
      <c r="H11520" t="s">
        <v>128</v>
      </c>
    </row>
    <row r="11521" spans="1:8" x14ac:dyDescent="0.3">
      <c r="A11521" t="s">
        <v>26</v>
      </c>
      <c r="B11521" t="s">
        <v>764</v>
      </c>
      <c r="C11521">
        <v>58</v>
      </c>
      <c r="D11521" t="s">
        <v>408</v>
      </c>
      <c r="E11521" t="s">
        <v>278</v>
      </c>
      <c r="F11521" t="s">
        <v>245</v>
      </c>
      <c r="G11521" t="s">
        <v>103</v>
      </c>
      <c r="H11521" t="s">
        <v>474</v>
      </c>
    </row>
    <row r="11522" spans="1:8" x14ac:dyDescent="0.3">
      <c r="A11522" t="s">
        <v>26</v>
      </c>
      <c r="B11522" t="s">
        <v>765</v>
      </c>
      <c r="C11522">
        <v>278</v>
      </c>
      <c r="D11522" t="s">
        <v>252</v>
      </c>
      <c r="E11522" t="s">
        <v>467</v>
      </c>
      <c r="F11522" t="s">
        <v>239</v>
      </c>
      <c r="G11522" t="s">
        <v>103</v>
      </c>
      <c r="H11522" t="s">
        <v>479</v>
      </c>
    </row>
    <row r="11523" spans="1:8" x14ac:dyDescent="0.3">
      <c r="A11523" t="s">
        <v>26</v>
      </c>
      <c r="B11523" t="s">
        <v>767</v>
      </c>
      <c r="C11523">
        <v>141</v>
      </c>
      <c r="D11523" t="s">
        <v>769</v>
      </c>
      <c r="E11523" t="s">
        <v>270</v>
      </c>
      <c r="F11523" t="s">
        <v>139</v>
      </c>
      <c r="G11523" t="s">
        <v>245</v>
      </c>
      <c r="H11523" t="s">
        <v>734</v>
      </c>
    </row>
    <row r="11524" spans="1:8" s="3" customFormat="1" x14ac:dyDescent="0.3">
      <c r="A11524" s="3" t="s">
        <v>29</v>
      </c>
      <c r="B11524" s="3" t="s">
        <v>764</v>
      </c>
      <c r="C11524" s="3">
        <v>11</v>
      </c>
      <c r="D11524" s="3" t="s">
        <v>1154</v>
      </c>
      <c r="E11524" s="3" t="s">
        <v>103</v>
      </c>
      <c r="F11524" s="3" t="s">
        <v>103</v>
      </c>
      <c r="G11524" s="3" t="s">
        <v>136</v>
      </c>
      <c r="H11524" s="3" t="s">
        <v>629</v>
      </c>
    </row>
    <row r="11525" spans="1:8" x14ac:dyDescent="0.3">
      <c r="A11525" t="s">
        <v>29</v>
      </c>
      <c r="B11525" t="s">
        <v>765</v>
      </c>
      <c r="C11525">
        <v>365</v>
      </c>
      <c r="D11525" t="s">
        <v>721</v>
      </c>
      <c r="E11525" t="s">
        <v>591</v>
      </c>
      <c r="F11525" t="s">
        <v>239</v>
      </c>
      <c r="G11525" t="s">
        <v>216</v>
      </c>
      <c r="H11525" t="s">
        <v>108</v>
      </c>
    </row>
    <row r="11526" spans="1:8" x14ac:dyDescent="0.3">
      <c r="A11526" t="s">
        <v>29</v>
      </c>
      <c r="B11526" t="s">
        <v>767</v>
      </c>
      <c r="C11526">
        <v>154</v>
      </c>
      <c r="D11526" t="s">
        <v>870</v>
      </c>
      <c r="E11526" t="s">
        <v>133</v>
      </c>
      <c r="F11526" t="s">
        <v>110</v>
      </c>
      <c r="G11526" t="s">
        <v>98</v>
      </c>
      <c r="H11526" t="s">
        <v>60</v>
      </c>
    </row>
    <row r="11527" spans="1:8" s="3" customFormat="1" x14ac:dyDescent="0.3">
      <c r="A11527" s="3" t="s">
        <v>28</v>
      </c>
      <c r="B11527" s="3" t="s">
        <v>764</v>
      </c>
      <c r="C11527" s="3">
        <v>20</v>
      </c>
      <c r="D11527" s="3" t="s">
        <v>605</v>
      </c>
      <c r="E11527" s="3" t="s">
        <v>107</v>
      </c>
      <c r="F11527" s="3" t="s">
        <v>103</v>
      </c>
      <c r="G11527" s="3" t="s">
        <v>103</v>
      </c>
      <c r="H11527" s="3" t="s">
        <v>99</v>
      </c>
    </row>
    <row r="11528" spans="1:8" x14ac:dyDescent="0.3">
      <c r="A11528" t="s">
        <v>28</v>
      </c>
      <c r="B11528" t="s">
        <v>765</v>
      </c>
      <c r="C11528">
        <v>260</v>
      </c>
      <c r="D11528" t="s">
        <v>740</v>
      </c>
      <c r="E11528" t="s">
        <v>284</v>
      </c>
      <c r="F11528" t="s">
        <v>120</v>
      </c>
      <c r="G11528" t="s">
        <v>120</v>
      </c>
      <c r="H11528" t="s">
        <v>251</v>
      </c>
    </row>
    <row r="11529" spans="1:8" x14ac:dyDescent="0.3">
      <c r="A11529" t="s">
        <v>28</v>
      </c>
      <c r="B11529" t="s">
        <v>767</v>
      </c>
      <c r="C11529">
        <v>37</v>
      </c>
      <c r="D11529" t="s">
        <v>775</v>
      </c>
      <c r="E11529" t="s">
        <v>521</v>
      </c>
      <c r="F11529" t="s">
        <v>103</v>
      </c>
      <c r="G11529" t="s">
        <v>103</v>
      </c>
      <c r="H11529" t="s">
        <v>103</v>
      </c>
    </row>
    <row r="11530" spans="1:8" s="3" customFormat="1" x14ac:dyDescent="0.3">
      <c r="A11530" s="3" t="s">
        <v>27</v>
      </c>
      <c r="B11530" s="3" t="s">
        <v>764</v>
      </c>
      <c r="C11530" s="3">
        <v>29</v>
      </c>
      <c r="D11530" s="3" t="s">
        <v>633</v>
      </c>
      <c r="E11530" s="3" t="s">
        <v>103</v>
      </c>
      <c r="F11530" s="3" t="s">
        <v>103</v>
      </c>
      <c r="G11530" s="3" t="s">
        <v>103</v>
      </c>
      <c r="H11530" s="3" t="s">
        <v>594</v>
      </c>
    </row>
    <row r="11531" spans="1:8" x14ac:dyDescent="0.3">
      <c r="A11531" t="s">
        <v>27</v>
      </c>
      <c r="B11531" t="s">
        <v>765</v>
      </c>
      <c r="C11531">
        <v>209</v>
      </c>
      <c r="D11531" t="s">
        <v>1501</v>
      </c>
      <c r="E11531" t="s">
        <v>282</v>
      </c>
      <c r="F11531" t="s">
        <v>103</v>
      </c>
      <c r="G11531" t="s">
        <v>103</v>
      </c>
      <c r="H11531" t="s">
        <v>466</v>
      </c>
    </row>
    <row r="11532" spans="1:8" x14ac:dyDescent="0.3">
      <c r="A11532" t="s">
        <v>27</v>
      </c>
      <c r="B11532" t="s">
        <v>767</v>
      </c>
      <c r="C11532">
        <v>62</v>
      </c>
      <c r="D11532" t="s">
        <v>193</v>
      </c>
      <c r="E11532" t="s">
        <v>103</v>
      </c>
      <c r="F11532" t="s">
        <v>103</v>
      </c>
      <c r="G11532" t="s">
        <v>103</v>
      </c>
      <c r="H11532" t="s">
        <v>135</v>
      </c>
    </row>
    <row r="11533" spans="1:8" x14ac:dyDescent="0.3">
      <c r="A11533" t="s">
        <v>41</v>
      </c>
      <c r="B11533" t="s">
        <v>764</v>
      </c>
      <c r="C11533">
        <v>149</v>
      </c>
      <c r="D11533" t="s">
        <v>1378</v>
      </c>
      <c r="E11533" t="s">
        <v>125</v>
      </c>
      <c r="F11533" t="s">
        <v>217</v>
      </c>
      <c r="G11533" t="s">
        <v>110</v>
      </c>
      <c r="H11533" t="s">
        <v>463</v>
      </c>
    </row>
    <row r="11534" spans="1:8" x14ac:dyDescent="0.3">
      <c r="A11534" t="s">
        <v>41</v>
      </c>
      <c r="B11534" t="s">
        <v>765</v>
      </c>
      <c r="C11534">
        <v>1392</v>
      </c>
      <c r="D11534" t="s">
        <v>735</v>
      </c>
      <c r="E11534" t="s">
        <v>107</v>
      </c>
      <c r="F11534" t="s">
        <v>105</v>
      </c>
      <c r="G11534" t="s">
        <v>282</v>
      </c>
      <c r="H11534" t="s">
        <v>191</v>
      </c>
    </row>
    <row r="11535" spans="1:8" x14ac:dyDescent="0.3">
      <c r="A11535" t="s">
        <v>41</v>
      </c>
      <c r="B11535" t="s">
        <v>767</v>
      </c>
      <c r="C11535">
        <v>497</v>
      </c>
      <c r="D11535" t="s">
        <v>1308</v>
      </c>
      <c r="E11535" t="s">
        <v>32</v>
      </c>
      <c r="F11535" t="s">
        <v>110</v>
      </c>
      <c r="G11535" t="s">
        <v>98</v>
      </c>
      <c r="H11535" t="s">
        <v>549</v>
      </c>
    </row>
    <row r="11537" spans="1:8" x14ac:dyDescent="0.3">
      <c r="A11537" t="s">
        <v>2815</v>
      </c>
    </row>
    <row r="11538" spans="1:8" x14ac:dyDescent="0.3">
      <c r="A11538" t="s">
        <v>36</v>
      </c>
      <c r="B11538" t="s">
        <v>1647</v>
      </c>
      <c r="C11538" t="s">
        <v>24</v>
      </c>
      <c r="D11538" t="s">
        <v>58</v>
      </c>
      <c r="E11538" t="s">
        <v>1566</v>
      </c>
      <c r="F11538" t="s">
        <v>2810</v>
      </c>
      <c r="G11538" t="s">
        <v>2811</v>
      </c>
      <c r="H11538" t="s">
        <v>2812</v>
      </c>
    </row>
    <row r="11539" spans="1:8" x14ac:dyDescent="0.3">
      <c r="A11539" t="s">
        <v>25</v>
      </c>
      <c r="B11539" t="s">
        <v>1648</v>
      </c>
      <c r="C11539">
        <v>143</v>
      </c>
      <c r="D11539" t="s">
        <v>149</v>
      </c>
      <c r="E11539" t="s">
        <v>110</v>
      </c>
      <c r="F11539" t="s">
        <v>594</v>
      </c>
      <c r="G11539" t="s">
        <v>467</v>
      </c>
      <c r="H11539" t="s">
        <v>105</v>
      </c>
    </row>
    <row r="11540" spans="1:8" x14ac:dyDescent="0.3">
      <c r="A11540" t="s">
        <v>25</v>
      </c>
      <c r="B11540" t="s">
        <v>1649</v>
      </c>
      <c r="C11540">
        <v>271</v>
      </c>
      <c r="D11540" t="s">
        <v>751</v>
      </c>
      <c r="E11540" t="s">
        <v>66</v>
      </c>
      <c r="F11540" t="s">
        <v>70</v>
      </c>
      <c r="G11540" t="s">
        <v>591</v>
      </c>
      <c r="H11540" t="s">
        <v>615</v>
      </c>
    </row>
    <row r="11541" spans="1:8" x14ac:dyDescent="0.3">
      <c r="A11541" t="s">
        <v>26</v>
      </c>
      <c r="B11541" t="s">
        <v>1648</v>
      </c>
      <c r="C11541">
        <v>153</v>
      </c>
      <c r="D11541" t="s">
        <v>884</v>
      </c>
      <c r="E11541" t="s">
        <v>120</v>
      </c>
      <c r="F11541" t="s">
        <v>245</v>
      </c>
      <c r="G11541" t="s">
        <v>120</v>
      </c>
      <c r="H11541" t="s">
        <v>142</v>
      </c>
    </row>
    <row r="11542" spans="1:8" x14ac:dyDescent="0.3">
      <c r="A11542" t="s">
        <v>26</v>
      </c>
      <c r="B11542" t="s">
        <v>1649</v>
      </c>
      <c r="C11542">
        <v>324</v>
      </c>
      <c r="D11542" t="s">
        <v>2108</v>
      </c>
      <c r="E11542" t="s">
        <v>97</v>
      </c>
      <c r="F11542" t="s">
        <v>113</v>
      </c>
      <c r="G11542" t="s">
        <v>216</v>
      </c>
      <c r="H11542" t="s">
        <v>471</v>
      </c>
    </row>
    <row r="11543" spans="1:8" x14ac:dyDescent="0.3">
      <c r="A11543" t="s">
        <v>29</v>
      </c>
      <c r="B11543" t="s">
        <v>1648</v>
      </c>
      <c r="C11543">
        <v>252</v>
      </c>
      <c r="D11543" t="s">
        <v>1135</v>
      </c>
      <c r="E11543" t="s">
        <v>128</v>
      </c>
      <c r="F11543" t="s">
        <v>112</v>
      </c>
      <c r="G11543" t="s">
        <v>329</v>
      </c>
      <c r="H11543" t="s">
        <v>737</v>
      </c>
    </row>
    <row r="11544" spans="1:8" x14ac:dyDescent="0.3">
      <c r="A11544" t="s">
        <v>29</v>
      </c>
      <c r="B11544" t="s">
        <v>1649</v>
      </c>
      <c r="C11544">
        <v>278</v>
      </c>
      <c r="D11544" t="s">
        <v>744</v>
      </c>
      <c r="E11544" t="s">
        <v>139</v>
      </c>
      <c r="F11544" t="s">
        <v>467</v>
      </c>
      <c r="G11544" t="s">
        <v>139</v>
      </c>
      <c r="H11544" t="s">
        <v>60</v>
      </c>
    </row>
    <row r="11545" spans="1:8" x14ac:dyDescent="0.3">
      <c r="A11545" t="s">
        <v>28</v>
      </c>
      <c r="B11545" t="s">
        <v>1648</v>
      </c>
      <c r="C11545">
        <v>77</v>
      </c>
      <c r="D11545" t="s">
        <v>712</v>
      </c>
      <c r="E11545" t="s">
        <v>103</v>
      </c>
      <c r="F11545" t="s">
        <v>94</v>
      </c>
      <c r="G11545" t="s">
        <v>103</v>
      </c>
      <c r="H11545" t="s">
        <v>112</v>
      </c>
    </row>
    <row r="11546" spans="1:8" x14ac:dyDescent="0.3">
      <c r="A11546" t="s">
        <v>28</v>
      </c>
      <c r="B11546" t="s">
        <v>1649</v>
      </c>
      <c r="C11546">
        <v>240</v>
      </c>
      <c r="D11546" t="s">
        <v>994</v>
      </c>
      <c r="E11546" t="s">
        <v>120</v>
      </c>
      <c r="F11546" t="s">
        <v>531</v>
      </c>
      <c r="G11546" t="s">
        <v>95</v>
      </c>
      <c r="H11546" t="s">
        <v>466</v>
      </c>
    </row>
    <row r="11547" spans="1:8" x14ac:dyDescent="0.3">
      <c r="A11547" t="s">
        <v>27</v>
      </c>
      <c r="B11547" t="s">
        <v>1648</v>
      </c>
      <c r="C11547">
        <v>64</v>
      </c>
      <c r="D11547" t="s">
        <v>187</v>
      </c>
      <c r="E11547" t="s">
        <v>103</v>
      </c>
      <c r="F11547" t="s">
        <v>266</v>
      </c>
      <c r="G11547" t="s">
        <v>103</v>
      </c>
      <c r="H11547" t="s">
        <v>459</v>
      </c>
    </row>
    <row r="11548" spans="1:8" x14ac:dyDescent="0.3">
      <c r="A11548" t="s">
        <v>27</v>
      </c>
      <c r="B11548" t="s">
        <v>1649</v>
      </c>
      <c r="C11548">
        <v>236</v>
      </c>
      <c r="D11548" t="s">
        <v>636</v>
      </c>
      <c r="E11548" t="s">
        <v>103</v>
      </c>
      <c r="F11548" t="s">
        <v>103</v>
      </c>
      <c r="G11548" t="s">
        <v>103</v>
      </c>
      <c r="H11548" t="s">
        <v>466</v>
      </c>
    </row>
    <row r="11549" spans="1:8" x14ac:dyDescent="0.3">
      <c r="A11549" t="s">
        <v>41</v>
      </c>
      <c r="B11549" t="s">
        <v>1648</v>
      </c>
      <c r="C11549">
        <v>689</v>
      </c>
      <c r="D11549" t="s">
        <v>274</v>
      </c>
      <c r="E11549" t="s">
        <v>245</v>
      </c>
      <c r="F11549" t="s">
        <v>32</v>
      </c>
      <c r="G11549" t="s">
        <v>341</v>
      </c>
      <c r="H11549" t="s">
        <v>247</v>
      </c>
    </row>
    <row r="11550" spans="1:8" x14ac:dyDescent="0.3">
      <c r="A11550" t="s">
        <v>41</v>
      </c>
      <c r="B11550" t="s">
        <v>1649</v>
      </c>
      <c r="C11550">
        <v>1349</v>
      </c>
      <c r="D11550" t="s">
        <v>1308</v>
      </c>
      <c r="E11550" t="s">
        <v>97</v>
      </c>
      <c r="F11550" t="s">
        <v>591</v>
      </c>
      <c r="G11550" t="s">
        <v>216</v>
      </c>
      <c r="H11550" t="s">
        <v>191</v>
      </c>
    </row>
    <row r="11552" spans="1:8" x14ac:dyDescent="0.3">
      <c r="A11552" t="s">
        <v>2816</v>
      </c>
    </row>
    <row r="11553" spans="1:8" x14ac:dyDescent="0.3">
      <c r="A11553" t="s">
        <v>36</v>
      </c>
      <c r="B11553" t="s">
        <v>2756</v>
      </c>
      <c r="C11553" t="s">
        <v>24</v>
      </c>
      <c r="D11553" t="s">
        <v>58</v>
      </c>
      <c r="E11553" t="s">
        <v>2811</v>
      </c>
      <c r="F11553" t="s">
        <v>1566</v>
      </c>
      <c r="G11553" t="s">
        <v>2810</v>
      </c>
      <c r="H11553" t="s">
        <v>2812</v>
      </c>
    </row>
    <row r="11554" spans="1:8" s="3" customFormat="1" x14ac:dyDescent="0.3">
      <c r="A11554" s="3" t="s">
        <v>25</v>
      </c>
      <c r="B11554" s="3" t="s">
        <v>2757</v>
      </c>
      <c r="C11554" s="3">
        <v>13</v>
      </c>
      <c r="D11554" s="3" t="s">
        <v>851</v>
      </c>
      <c r="E11554" s="3" t="s">
        <v>571</v>
      </c>
      <c r="F11554" s="3" t="s">
        <v>103</v>
      </c>
      <c r="G11554" s="3" t="s">
        <v>103</v>
      </c>
      <c r="H11554" s="3" t="s">
        <v>103</v>
      </c>
    </row>
    <row r="11555" spans="1:8" x14ac:dyDescent="0.3">
      <c r="A11555" t="s">
        <v>25</v>
      </c>
      <c r="B11555" t="s">
        <v>2758</v>
      </c>
      <c r="C11555">
        <v>136</v>
      </c>
      <c r="D11555" t="s">
        <v>870</v>
      </c>
      <c r="E11555" t="s">
        <v>114</v>
      </c>
      <c r="F11555" t="s">
        <v>239</v>
      </c>
      <c r="G11555" t="s">
        <v>494</v>
      </c>
      <c r="H11555" t="s">
        <v>341</v>
      </c>
    </row>
    <row r="11556" spans="1:8" x14ac:dyDescent="0.3">
      <c r="A11556" t="s">
        <v>25</v>
      </c>
      <c r="B11556" t="s">
        <v>2759</v>
      </c>
      <c r="C11556">
        <v>135</v>
      </c>
      <c r="D11556" t="s">
        <v>616</v>
      </c>
      <c r="E11556" t="s">
        <v>272</v>
      </c>
      <c r="F11556" t="s">
        <v>97</v>
      </c>
      <c r="G11556" t="s">
        <v>615</v>
      </c>
      <c r="H11556" t="s">
        <v>257</v>
      </c>
    </row>
    <row r="11557" spans="1:8" x14ac:dyDescent="0.3">
      <c r="A11557" t="s">
        <v>25</v>
      </c>
      <c r="B11557" t="s">
        <v>2760</v>
      </c>
      <c r="C11557">
        <v>122</v>
      </c>
      <c r="D11557" t="s">
        <v>870</v>
      </c>
      <c r="E11557" t="s">
        <v>68</v>
      </c>
      <c r="F11557" t="s">
        <v>103</v>
      </c>
      <c r="G11557" t="s">
        <v>112</v>
      </c>
      <c r="H11557" t="s">
        <v>466</v>
      </c>
    </row>
    <row r="11558" spans="1:8" x14ac:dyDescent="0.3">
      <c r="A11558" t="s">
        <v>25</v>
      </c>
      <c r="B11558" t="s">
        <v>308</v>
      </c>
      <c r="C11558">
        <v>8</v>
      </c>
      <c r="D11558" t="s">
        <v>1369</v>
      </c>
      <c r="E11558" t="s">
        <v>813</v>
      </c>
      <c r="F11558" t="s">
        <v>103</v>
      </c>
      <c r="G11558" t="s">
        <v>201</v>
      </c>
      <c r="H11558" t="s">
        <v>495</v>
      </c>
    </row>
    <row r="11559" spans="1:8" s="3" customFormat="1" x14ac:dyDescent="0.3">
      <c r="A11559" s="3" t="s">
        <v>26</v>
      </c>
      <c r="B11559" s="3" t="s">
        <v>2757</v>
      </c>
      <c r="C11559" s="3">
        <v>17</v>
      </c>
      <c r="D11559" s="3" t="s">
        <v>606</v>
      </c>
      <c r="E11559" s="3" t="s">
        <v>103</v>
      </c>
      <c r="F11559" s="3" t="s">
        <v>103</v>
      </c>
      <c r="G11559" s="3" t="s">
        <v>281</v>
      </c>
      <c r="H11559" s="3" t="s">
        <v>214</v>
      </c>
    </row>
    <row r="11560" spans="1:8" x14ac:dyDescent="0.3">
      <c r="A11560" t="s">
        <v>26</v>
      </c>
      <c r="B11560" t="s">
        <v>2758</v>
      </c>
      <c r="C11560">
        <v>194</v>
      </c>
      <c r="D11560" t="s">
        <v>1359</v>
      </c>
      <c r="E11560" t="s">
        <v>341</v>
      </c>
      <c r="F11560" t="s">
        <v>282</v>
      </c>
      <c r="G11560" t="s">
        <v>64</v>
      </c>
      <c r="H11560" t="s">
        <v>46</v>
      </c>
    </row>
    <row r="11561" spans="1:8" x14ac:dyDescent="0.3">
      <c r="A11561" t="s">
        <v>26</v>
      </c>
      <c r="B11561" t="s">
        <v>2759</v>
      </c>
      <c r="C11561">
        <v>143</v>
      </c>
      <c r="D11561" t="s">
        <v>1439</v>
      </c>
      <c r="E11561" t="s">
        <v>282</v>
      </c>
      <c r="F11561" t="s">
        <v>116</v>
      </c>
      <c r="G11561" t="s">
        <v>591</v>
      </c>
      <c r="H11561" t="s">
        <v>31</v>
      </c>
    </row>
    <row r="11562" spans="1:8" x14ac:dyDescent="0.3">
      <c r="A11562" t="s">
        <v>26</v>
      </c>
      <c r="B11562" t="s">
        <v>2760</v>
      </c>
      <c r="C11562">
        <v>112</v>
      </c>
      <c r="D11562" t="s">
        <v>769</v>
      </c>
      <c r="E11562" t="s">
        <v>95</v>
      </c>
      <c r="F11562" t="s">
        <v>103</v>
      </c>
      <c r="G11562" t="s">
        <v>591</v>
      </c>
      <c r="H11562" t="s">
        <v>551</v>
      </c>
    </row>
    <row r="11563" spans="1:8" x14ac:dyDescent="0.3">
      <c r="A11563" t="s">
        <v>26</v>
      </c>
      <c r="B11563" t="s">
        <v>308</v>
      </c>
      <c r="C11563">
        <v>11</v>
      </c>
      <c r="D11563" t="s">
        <v>1509</v>
      </c>
      <c r="E11563" t="s">
        <v>103</v>
      </c>
      <c r="F11563" t="s">
        <v>103</v>
      </c>
      <c r="G11563" t="s">
        <v>103</v>
      </c>
      <c r="H11563" t="s">
        <v>205</v>
      </c>
    </row>
    <row r="11564" spans="1:8" s="3" customFormat="1" x14ac:dyDescent="0.3">
      <c r="A11564" s="3" t="s">
        <v>29</v>
      </c>
      <c r="B11564" s="3" t="s">
        <v>2757</v>
      </c>
      <c r="C11564" s="3">
        <v>15</v>
      </c>
      <c r="D11564" s="3" t="s">
        <v>1368</v>
      </c>
      <c r="E11564" s="3" t="s">
        <v>103</v>
      </c>
      <c r="F11564" s="3" t="s">
        <v>190</v>
      </c>
      <c r="G11564" s="3" t="s">
        <v>558</v>
      </c>
      <c r="H11564" s="3" t="s">
        <v>111</v>
      </c>
    </row>
    <row r="11565" spans="1:8" x14ac:dyDescent="0.3">
      <c r="A11565" t="s">
        <v>29</v>
      </c>
      <c r="B11565" t="s">
        <v>2758</v>
      </c>
      <c r="C11565">
        <v>245</v>
      </c>
      <c r="D11565" t="s">
        <v>630</v>
      </c>
      <c r="E11565" t="s">
        <v>282</v>
      </c>
      <c r="F11565" t="s">
        <v>341</v>
      </c>
      <c r="G11565" t="s">
        <v>70</v>
      </c>
      <c r="H11565" t="s">
        <v>101</v>
      </c>
    </row>
    <row r="11566" spans="1:8" x14ac:dyDescent="0.3">
      <c r="A11566" t="s">
        <v>29</v>
      </c>
      <c r="B11566" t="s">
        <v>2759</v>
      </c>
      <c r="C11566">
        <v>139</v>
      </c>
      <c r="D11566" t="s">
        <v>151</v>
      </c>
      <c r="E11566" t="s">
        <v>64</v>
      </c>
      <c r="F11566" t="s">
        <v>139</v>
      </c>
      <c r="G11566" t="s">
        <v>341</v>
      </c>
      <c r="H11566" t="s">
        <v>108</v>
      </c>
    </row>
    <row r="11567" spans="1:8" x14ac:dyDescent="0.3">
      <c r="A11567" t="s">
        <v>29</v>
      </c>
      <c r="B11567" t="s">
        <v>2760</v>
      </c>
      <c r="C11567">
        <v>122</v>
      </c>
      <c r="D11567" t="s">
        <v>984</v>
      </c>
      <c r="E11567" t="s">
        <v>282</v>
      </c>
      <c r="F11567" t="s">
        <v>282</v>
      </c>
      <c r="G11567" t="s">
        <v>112</v>
      </c>
      <c r="H11567" t="s">
        <v>190</v>
      </c>
    </row>
    <row r="11568" spans="1:8" x14ac:dyDescent="0.3">
      <c r="A11568" t="s">
        <v>29</v>
      </c>
      <c r="B11568" t="s">
        <v>308</v>
      </c>
      <c r="C11568">
        <v>9</v>
      </c>
      <c r="D11568" t="s">
        <v>704</v>
      </c>
      <c r="E11568" t="s">
        <v>103</v>
      </c>
      <c r="F11568" t="s">
        <v>103</v>
      </c>
      <c r="G11568" t="s">
        <v>93</v>
      </c>
      <c r="H11568" t="s">
        <v>435</v>
      </c>
    </row>
    <row r="11569" spans="1:8" x14ac:dyDescent="0.3">
      <c r="A11569" t="s">
        <v>28</v>
      </c>
      <c r="B11569" t="s">
        <v>2757</v>
      </c>
      <c r="C11569">
        <v>31</v>
      </c>
      <c r="D11569" t="s">
        <v>213</v>
      </c>
      <c r="E11569" t="s">
        <v>103</v>
      </c>
      <c r="F11569" t="s">
        <v>103</v>
      </c>
      <c r="G11569" t="s">
        <v>214</v>
      </c>
      <c r="H11569" t="s">
        <v>103</v>
      </c>
    </row>
    <row r="11570" spans="1:8" x14ac:dyDescent="0.3">
      <c r="A11570" t="s">
        <v>28</v>
      </c>
      <c r="B11570" t="s">
        <v>2758</v>
      </c>
      <c r="C11570">
        <v>100</v>
      </c>
      <c r="D11570" t="s">
        <v>774</v>
      </c>
      <c r="E11570" t="s">
        <v>103</v>
      </c>
      <c r="F11570" t="s">
        <v>103</v>
      </c>
      <c r="G11570" t="s">
        <v>101</v>
      </c>
      <c r="H11570" t="s">
        <v>571</v>
      </c>
    </row>
    <row r="11571" spans="1:8" x14ac:dyDescent="0.3">
      <c r="A11571" t="s">
        <v>28</v>
      </c>
      <c r="B11571" t="s">
        <v>2759</v>
      </c>
      <c r="C11571">
        <v>104</v>
      </c>
      <c r="D11571" t="s">
        <v>1308</v>
      </c>
      <c r="E11571" t="s">
        <v>103</v>
      </c>
      <c r="F11571" t="s">
        <v>120</v>
      </c>
      <c r="G11571" t="s">
        <v>575</v>
      </c>
      <c r="H11571" t="s">
        <v>494</v>
      </c>
    </row>
    <row r="11572" spans="1:8" x14ac:dyDescent="0.3">
      <c r="A11572" t="s">
        <v>28</v>
      </c>
      <c r="B11572" t="s">
        <v>2760</v>
      </c>
      <c r="C11572">
        <v>82</v>
      </c>
      <c r="D11572" t="s">
        <v>170</v>
      </c>
      <c r="E11572" t="s">
        <v>245</v>
      </c>
      <c r="F11572" t="s">
        <v>139</v>
      </c>
      <c r="G11572" t="s">
        <v>186</v>
      </c>
      <c r="H11572" t="s">
        <v>591</v>
      </c>
    </row>
    <row r="11573" spans="1:8" s="3" customFormat="1" x14ac:dyDescent="0.3">
      <c r="A11573" s="3" t="s">
        <v>27</v>
      </c>
      <c r="B11573" s="3" t="s">
        <v>2757</v>
      </c>
      <c r="C11573" s="3">
        <v>2</v>
      </c>
      <c r="D11573" s="3" t="s">
        <v>192</v>
      </c>
      <c r="E11573" s="3" t="s">
        <v>103</v>
      </c>
      <c r="F11573" s="3" t="s">
        <v>103</v>
      </c>
      <c r="G11573" s="3" t="s">
        <v>103</v>
      </c>
      <c r="H11573" s="3" t="s">
        <v>103</v>
      </c>
    </row>
    <row r="11574" spans="1:8" x14ac:dyDescent="0.3">
      <c r="A11574" t="s">
        <v>27</v>
      </c>
      <c r="B11574" t="s">
        <v>2758</v>
      </c>
      <c r="C11574">
        <v>86</v>
      </c>
      <c r="D11574" t="s">
        <v>172</v>
      </c>
      <c r="E11574" t="s">
        <v>103</v>
      </c>
      <c r="F11574" t="s">
        <v>103</v>
      </c>
      <c r="G11574" t="s">
        <v>329</v>
      </c>
      <c r="H11574" t="s">
        <v>111</v>
      </c>
    </row>
    <row r="11575" spans="1:8" x14ac:dyDescent="0.3">
      <c r="A11575" t="s">
        <v>27</v>
      </c>
      <c r="B11575" t="s">
        <v>2759</v>
      </c>
      <c r="C11575">
        <v>82</v>
      </c>
      <c r="D11575" t="s">
        <v>200</v>
      </c>
      <c r="E11575" t="s">
        <v>103</v>
      </c>
      <c r="F11575" t="s">
        <v>103</v>
      </c>
      <c r="G11575" t="s">
        <v>103</v>
      </c>
      <c r="H11575" t="s">
        <v>201</v>
      </c>
    </row>
    <row r="11576" spans="1:8" x14ac:dyDescent="0.3">
      <c r="A11576" t="s">
        <v>27</v>
      </c>
      <c r="B11576" t="s">
        <v>2760</v>
      </c>
      <c r="C11576">
        <v>128</v>
      </c>
      <c r="D11576" t="s">
        <v>288</v>
      </c>
      <c r="E11576" t="s">
        <v>103</v>
      </c>
      <c r="F11576" t="s">
        <v>103</v>
      </c>
      <c r="G11576" t="s">
        <v>103</v>
      </c>
      <c r="H11576" t="s">
        <v>452</v>
      </c>
    </row>
    <row r="11577" spans="1:8" x14ac:dyDescent="0.3">
      <c r="A11577" t="s">
        <v>27</v>
      </c>
      <c r="B11577" t="s">
        <v>308</v>
      </c>
      <c r="C11577">
        <v>2</v>
      </c>
      <c r="D11577" t="s">
        <v>192</v>
      </c>
      <c r="E11577" t="s">
        <v>103</v>
      </c>
      <c r="F11577" t="s">
        <v>103</v>
      </c>
      <c r="G11577" t="s">
        <v>103</v>
      </c>
      <c r="H11577" t="s">
        <v>103</v>
      </c>
    </row>
    <row r="11578" spans="1:8" x14ac:dyDescent="0.3">
      <c r="A11578" t="s">
        <v>41</v>
      </c>
      <c r="B11578" t="s">
        <v>2757</v>
      </c>
      <c r="C11578">
        <v>78</v>
      </c>
      <c r="D11578" t="s">
        <v>902</v>
      </c>
      <c r="E11578" t="s">
        <v>239</v>
      </c>
      <c r="F11578" t="s">
        <v>270</v>
      </c>
      <c r="G11578" t="s">
        <v>201</v>
      </c>
      <c r="H11578" t="s">
        <v>466</v>
      </c>
    </row>
    <row r="11579" spans="1:8" x14ac:dyDescent="0.3">
      <c r="A11579" t="s">
        <v>41</v>
      </c>
      <c r="B11579" t="s">
        <v>2758</v>
      </c>
      <c r="C11579">
        <v>761</v>
      </c>
      <c r="D11579" t="s">
        <v>720</v>
      </c>
      <c r="E11579" t="s">
        <v>216</v>
      </c>
      <c r="F11579" t="s">
        <v>239</v>
      </c>
      <c r="G11579" t="s">
        <v>33</v>
      </c>
      <c r="H11579" t="s">
        <v>137</v>
      </c>
    </row>
    <row r="11580" spans="1:8" x14ac:dyDescent="0.3">
      <c r="A11580" t="s">
        <v>41</v>
      </c>
      <c r="B11580" t="s">
        <v>2759</v>
      </c>
      <c r="C11580">
        <v>603</v>
      </c>
      <c r="D11580" t="s">
        <v>189</v>
      </c>
      <c r="E11580" t="s">
        <v>329</v>
      </c>
      <c r="F11580" t="s">
        <v>97</v>
      </c>
      <c r="G11580" t="s">
        <v>272</v>
      </c>
      <c r="H11580" t="s">
        <v>890</v>
      </c>
    </row>
    <row r="11581" spans="1:8" x14ac:dyDescent="0.3">
      <c r="A11581" t="s">
        <v>41</v>
      </c>
      <c r="B11581" t="s">
        <v>2760</v>
      </c>
      <c r="C11581">
        <v>566</v>
      </c>
      <c r="D11581" t="s">
        <v>630</v>
      </c>
      <c r="E11581" t="s">
        <v>110</v>
      </c>
      <c r="F11581" t="s">
        <v>97</v>
      </c>
      <c r="G11581" t="s">
        <v>214</v>
      </c>
      <c r="H11581" t="s">
        <v>549</v>
      </c>
    </row>
    <row r="11582" spans="1:8" x14ac:dyDescent="0.3">
      <c r="A11582" t="s">
        <v>41</v>
      </c>
      <c r="B11582" t="s">
        <v>308</v>
      </c>
      <c r="C11582">
        <v>30</v>
      </c>
      <c r="D11582" t="s">
        <v>976</v>
      </c>
      <c r="E11582" t="s">
        <v>68</v>
      </c>
      <c r="F11582" t="s">
        <v>103</v>
      </c>
      <c r="G11582" t="s">
        <v>208</v>
      </c>
      <c r="H11582" t="s">
        <v>680</v>
      </c>
    </row>
    <row r="11584" spans="1:8" x14ac:dyDescent="0.3">
      <c r="A11584" t="s">
        <v>2817</v>
      </c>
    </row>
    <row r="11585" spans="1:8" x14ac:dyDescent="0.3">
      <c r="A11585" t="s">
        <v>36</v>
      </c>
      <c r="B11585" t="s">
        <v>310</v>
      </c>
      <c r="C11585" t="s">
        <v>24</v>
      </c>
      <c r="D11585" t="s">
        <v>58</v>
      </c>
      <c r="E11585" t="s">
        <v>1566</v>
      </c>
      <c r="F11585" t="s">
        <v>2810</v>
      </c>
      <c r="G11585" t="s">
        <v>2811</v>
      </c>
      <c r="H11585" t="s">
        <v>2812</v>
      </c>
    </row>
    <row r="11586" spans="1:8" x14ac:dyDescent="0.3">
      <c r="A11586" t="s">
        <v>25</v>
      </c>
      <c r="B11586" t="s">
        <v>311</v>
      </c>
      <c r="C11586">
        <v>324</v>
      </c>
      <c r="D11586" t="s">
        <v>174</v>
      </c>
      <c r="E11586" t="s">
        <v>120</v>
      </c>
      <c r="F11586" t="s">
        <v>206</v>
      </c>
      <c r="G11586" t="s">
        <v>591</v>
      </c>
      <c r="H11586" t="s">
        <v>186</v>
      </c>
    </row>
    <row r="11587" spans="1:8" x14ac:dyDescent="0.3">
      <c r="A11587" t="s">
        <v>25</v>
      </c>
      <c r="B11587" t="s">
        <v>312</v>
      </c>
      <c r="C11587">
        <v>80</v>
      </c>
      <c r="D11587" t="s">
        <v>710</v>
      </c>
      <c r="E11587" t="s">
        <v>98</v>
      </c>
      <c r="F11587" t="s">
        <v>278</v>
      </c>
      <c r="G11587" t="s">
        <v>341</v>
      </c>
      <c r="H11587" t="s">
        <v>66</v>
      </c>
    </row>
    <row r="11588" spans="1:8" x14ac:dyDescent="0.3">
      <c r="A11588" t="s">
        <v>25</v>
      </c>
      <c r="B11588" t="s">
        <v>308</v>
      </c>
      <c r="C11588">
        <v>10</v>
      </c>
      <c r="D11588" t="s">
        <v>1016</v>
      </c>
      <c r="E11588" t="s">
        <v>103</v>
      </c>
      <c r="F11588" t="s">
        <v>438</v>
      </c>
      <c r="G11588" t="s">
        <v>135</v>
      </c>
      <c r="H11588" t="s">
        <v>517</v>
      </c>
    </row>
    <row r="11589" spans="1:8" x14ac:dyDescent="0.3">
      <c r="A11589" t="s">
        <v>26</v>
      </c>
      <c r="B11589" t="s">
        <v>311</v>
      </c>
      <c r="C11589">
        <v>343</v>
      </c>
      <c r="D11589" t="s">
        <v>1046</v>
      </c>
      <c r="E11589" t="s">
        <v>122</v>
      </c>
      <c r="F11589" t="s">
        <v>266</v>
      </c>
      <c r="G11589" t="s">
        <v>468</v>
      </c>
      <c r="H11589" t="s">
        <v>264</v>
      </c>
    </row>
    <row r="11590" spans="1:8" x14ac:dyDescent="0.3">
      <c r="A11590" t="s">
        <v>26</v>
      </c>
      <c r="B11590" t="s">
        <v>312</v>
      </c>
      <c r="C11590">
        <v>96</v>
      </c>
      <c r="D11590" t="s">
        <v>1056</v>
      </c>
      <c r="E11590" t="s">
        <v>345</v>
      </c>
      <c r="F11590" t="s">
        <v>186</v>
      </c>
      <c r="G11590" t="s">
        <v>118</v>
      </c>
      <c r="H11590" t="s">
        <v>918</v>
      </c>
    </row>
    <row r="11591" spans="1:8" x14ac:dyDescent="0.3">
      <c r="A11591" t="s">
        <v>26</v>
      </c>
      <c r="B11591" t="s">
        <v>308</v>
      </c>
      <c r="C11591">
        <v>38</v>
      </c>
      <c r="D11591" t="s">
        <v>1001</v>
      </c>
      <c r="E11591" t="s">
        <v>103</v>
      </c>
      <c r="F11591" t="s">
        <v>205</v>
      </c>
      <c r="G11591" t="s">
        <v>103</v>
      </c>
      <c r="H11591" t="s">
        <v>164</v>
      </c>
    </row>
    <row r="11592" spans="1:8" x14ac:dyDescent="0.3">
      <c r="A11592" t="s">
        <v>29</v>
      </c>
      <c r="B11592" t="s">
        <v>311</v>
      </c>
      <c r="C11592">
        <v>414</v>
      </c>
      <c r="D11592" t="s">
        <v>605</v>
      </c>
      <c r="E11592" t="s">
        <v>245</v>
      </c>
      <c r="F11592" t="s">
        <v>591</v>
      </c>
      <c r="G11592" t="s">
        <v>110</v>
      </c>
      <c r="H11592" t="s">
        <v>190</v>
      </c>
    </row>
    <row r="11593" spans="1:8" x14ac:dyDescent="0.3">
      <c r="A11593" t="s">
        <v>29</v>
      </c>
      <c r="B11593" t="s">
        <v>312</v>
      </c>
      <c r="C11593">
        <v>103</v>
      </c>
      <c r="D11593" t="s">
        <v>45</v>
      </c>
      <c r="E11593" t="s">
        <v>345</v>
      </c>
      <c r="F11593" t="s">
        <v>133</v>
      </c>
      <c r="G11593" t="s">
        <v>139</v>
      </c>
      <c r="H11593" t="s">
        <v>146</v>
      </c>
    </row>
    <row r="11594" spans="1:8" x14ac:dyDescent="0.3">
      <c r="A11594" t="s">
        <v>29</v>
      </c>
      <c r="B11594" t="s">
        <v>308</v>
      </c>
      <c r="C11594">
        <v>13</v>
      </c>
      <c r="D11594" t="s">
        <v>1018</v>
      </c>
      <c r="E11594" t="s">
        <v>103</v>
      </c>
      <c r="F11594" t="s">
        <v>146</v>
      </c>
      <c r="G11594" t="s">
        <v>254</v>
      </c>
      <c r="H11594" t="s">
        <v>581</v>
      </c>
    </row>
    <row r="11595" spans="1:8" x14ac:dyDescent="0.3">
      <c r="A11595" t="s">
        <v>28</v>
      </c>
      <c r="B11595" t="s">
        <v>311</v>
      </c>
      <c r="C11595">
        <v>223</v>
      </c>
      <c r="D11595" t="s">
        <v>1357</v>
      </c>
      <c r="E11595" t="s">
        <v>120</v>
      </c>
      <c r="F11595" t="s">
        <v>466</v>
      </c>
      <c r="G11595" t="s">
        <v>95</v>
      </c>
      <c r="H11595" t="s">
        <v>232</v>
      </c>
    </row>
    <row r="11596" spans="1:8" x14ac:dyDescent="0.3">
      <c r="A11596" t="s">
        <v>28</v>
      </c>
      <c r="B11596" t="s">
        <v>312</v>
      </c>
      <c r="C11596">
        <v>93</v>
      </c>
      <c r="D11596" t="s">
        <v>1019</v>
      </c>
      <c r="E11596" t="s">
        <v>103</v>
      </c>
      <c r="F11596" t="s">
        <v>531</v>
      </c>
      <c r="G11596" t="s">
        <v>103</v>
      </c>
      <c r="H11596" t="s">
        <v>607</v>
      </c>
    </row>
    <row r="11597" spans="1:8" x14ac:dyDescent="0.3">
      <c r="A11597" t="s">
        <v>28</v>
      </c>
      <c r="B11597" t="s">
        <v>308</v>
      </c>
      <c r="C11597">
        <v>1</v>
      </c>
      <c r="D11597" t="s">
        <v>192</v>
      </c>
      <c r="E11597" t="s">
        <v>103</v>
      </c>
      <c r="F11597" t="s">
        <v>103</v>
      </c>
      <c r="G11597" t="s">
        <v>103</v>
      </c>
      <c r="H11597" t="s">
        <v>103</v>
      </c>
    </row>
    <row r="11598" spans="1:8" x14ac:dyDescent="0.3">
      <c r="A11598" t="s">
        <v>27</v>
      </c>
      <c r="B11598" t="s">
        <v>311</v>
      </c>
      <c r="C11598">
        <v>237</v>
      </c>
      <c r="D11598" t="s">
        <v>1501</v>
      </c>
      <c r="E11598" t="s">
        <v>103</v>
      </c>
      <c r="F11598" t="s">
        <v>139</v>
      </c>
      <c r="G11598" t="s">
        <v>103</v>
      </c>
      <c r="H11598" t="s">
        <v>251</v>
      </c>
    </row>
    <row r="11599" spans="1:8" x14ac:dyDescent="0.3">
      <c r="A11599" t="s">
        <v>27</v>
      </c>
      <c r="B11599" t="s">
        <v>312</v>
      </c>
      <c r="C11599">
        <v>60</v>
      </c>
      <c r="D11599" t="s">
        <v>889</v>
      </c>
      <c r="E11599" t="s">
        <v>103</v>
      </c>
      <c r="F11599" t="s">
        <v>103</v>
      </c>
      <c r="G11599" t="s">
        <v>103</v>
      </c>
      <c r="H11599" t="s">
        <v>890</v>
      </c>
    </row>
    <row r="11600" spans="1:8" x14ac:dyDescent="0.3">
      <c r="A11600" t="s">
        <v>27</v>
      </c>
      <c r="B11600" t="s">
        <v>308</v>
      </c>
      <c r="C11600">
        <v>3</v>
      </c>
      <c r="D11600" t="s">
        <v>192</v>
      </c>
      <c r="E11600" t="s">
        <v>103</v>
      </c>
      <c r="F11600" t="s">
        <v>103</v>
      </c>
      <c r="G11600" t="s">
        <v>103</v>
      </c>
      <c r="H11600" t="s">
        <v>103</v>
      </c>
    </row>
    <row r="11601" spans="1:8" x14ac:dyDescent="0.3">
      <c r="A11601" t="s">
        <v>41</v>
      </c>
      <c r="B11601" t="s">
        <v>311</v>
      </c>
      <c r="C11601">
        <v>1541</v>
      </c>
      <c r="D11601" t="s">
        <v>903</v>
      </c>
      <c r="E11601" t="s">
        <v>282</v>
      </c>
      <c r="F11601" t="s">
        <v>591</v>
      </c>
      <c r="G11601" t="s">
        <v>245</v>
      </c>
      <c r="H11601" t="s">
        <v>693</v>
      </c>
    </row>
    <row r="11602" spans="1:8" x14ac:dyDescent="0.3">
      <c r="A11602" t="s">
        <v>41</v>
      </c>
      <c r="B11602" t="s">
        <v>312</v>
      </c>
      <c r="C11602">
        <v>432</v>
      </c>
      <c r="D11602" t="s">
        <v>725</v>
      </c>
      <c r="E11602" t="s">
        <v>98</v>
      </c>
      <c r="F11602" t="s">
        <v>32</v>
      </c>
      <c r="G11602" t="s">
        <v>194</v>
      </c>
      <c r="H11602" t="s">
        <v>224</v>
      </c>
    </row>
    <row r="11603" spans="1:8" x14ac:dyDescent="0.3">
      <c r="A11603" t="s">
        <v>41</v>
      </c>
      <c r="B11603" t="s">
        <v>308</v>
      </c>
      <c r="C11603">
        <v>65</v>
      </c>
      <c r="D11603" t="s">
        <v>811</v>
      </c>
      <c r="E11603" t="s">
        <v>103</v>
      </c>
      <c r="F11603" t="s">
        <v>126</v>
      </c>
      <c r="G11603" t="s">
        <v>114</v>
      </c>
      <c r="H11603" t="s">
        <v>273</v>
      </c>
    </row>
    <row r="11605" spans="1:8" x14ac:dyDescent="0.3">
      <c r="A11605" t="s">
        <v>2818</v>
      </c>
    </row>
    <row r="11606" spans="1:8" x14ac:dyDescent="0.3">
      <c r="A11606" t="s">
        <v>36</v>
      </c>
      <c r="B11606" t="s">
        <v>1233</v>
      </c>
      <c r="C11606" t="s">
        <v>24</v>
      </c>
      <c r="D11606" t="s">
        <v>58</v>
      </c>
      <c r="E11606" t="s">
        <v>1566</v>
      </c>
      <c r="F11606" t="s">
        <v>2810</v>
      </c>
      <c r="G11606" t="s">
        <v>2811</v>
      </c>
      <c r="H11606" t="s">
        <v>2812</v>
      </c>
    </row>
    <row r="11607" spans="1:8" x14ac:dyDescent="0.3">
      <c r="A11607" t="s">
        <v>25</v>
      </c>
      <c r="B11607" t="s">
        <v>1234</v>
      </c>
      <c r="C11607">
        <v>257</v>
      </c>
      <c r="D11607" t="s">
        <v>599</v>
      </c>
      <c r="E11607" t="s">
        <v>139</v>
      </c>
      <c r="F11607" t="s">
        <v>281</v>
      </c>
      <c r="G11607" t="s">
        <v>125</v>
      </c>
      <c r="H11607" t="s">
        <v>64</v>
      </c>
    </row>
    <row r="11608" spans="1:8" s="3" customFormat="1" x14ac:dyDescent="0.3">
      <c r="A11608" s="3" t="s">
        <v>25</v>
      </c>
      <c r="B11608" s="3" t="s">
        <v>1235</v>
      </c>
      <c r="C11608" s="3">
        <v>25</v>
      </c>
      <c r="D11608" s="3" t="s">
        <v>1307</v>
      </c>
      <c r="E11608" s="3" t="s">
        <v>103</v>
      </c>
      <c r="F11608" s="3" t="s">
        <v>216</v>
      </c>
      <c r="G11608" s="3" t="s">
        <v>103</v>
      </c>
      <c r="H11608" s="3" t="s">
        <v>101</v>
      </c>
    </row>
    <row r="11609" spans="1:8" x14ac:dyDescent="0.3">
      <c r="A11609" t="s">
        <v>25</v>
      </c>
      <c r="B11609" t="s">
        <v>1237</v>
      </c>
      <c r="C11609">
        <v>132</v>
      </c>
      <c r="D11609" t="s">
        <v>274</v>
      </c>
      <c r="E11609" t="s">
        <v>97</v>
      </c>
      <c r="F11609" t="s">
        <v>127</v>
      </c>
      <c r="G11609" t="s">
        <v>284</v>
      </c>
      <c r="H11609" t="s">
        <v>532</v>
      </c>
    </row>
    <row r="11610" spans="1:8" x14ac:dyDescent="0.3">
      <c r="A11610" t="s">
        <v>26</v>
      </c>
      <c r="B11610" t="s">
        <v>1234</v>
      </c>
      <c r="C11610">
        <v>296</v>
      </c>
      <c r="D11610" t="s">
        <v>1368</v>
      </c>
      <c r="E11610" t="s">
        <v>139</v>
      </c>
      <c r="F11610" t="s">
        <v>102</v>
      </c>
      <c r="G11610" t="s">
        <v>116</v>
      </c>
      <c r="H11610" t="s">
        <v>50</v>
      </c>
    </row>
    <row r="11611" spans="1:8" x14ac:dyDescent="0.3">
      <c r="A11611" t="s">
        <v>26</v>
      </c>
      <c r="B11611" t="s">
        <v>1235</v>
      </c>
      <c r="C11611">
        <v>37</v>
      </c>
      <c r="D11611" t="s">
        <v>1239</v>
      </c>
      <c r="E11611" t="s">
        <v>103</v>
      </c>
      <c r="F11611" t="s">
        <v>98</v>
      </c>
      <c r="G11611" t="s">
        <v>103</v>
      </c>
      <c r="H11611" t="s">
        <v>644</v>
      </c>
    </row>
    <row r="11612" spans="1:8" x14ac:dyDescent="0.3">
      <c r="A11612" t="s">
        <v>26</v>
      </c>
      <c r="B11612" t="s">
        <v>1237</v>
      </c>
      <c r="C11612">
        <v>144</v>
      </c>
      <c r="D11612" t="s">
        <v>1239</v>
      </c>
      <c r="E11612" t="s">
        <v>103</v>
      </c>
      <c r="F11612" t="s">
        <v>114</v>
      </c>
      <c r="G11612" t="s">
        <v>188</v>
      </c>
      <c r="H11612" t="s">
        <v>807</v>
      </c>
    </row>
    <row r="11613" spans="1:8" x14ac:dyDescent="0.3">
      <c r="A11613" t="s">
        <v>29</v>
      </c>
      <c r="B11613" t="s">
        <v>1234</v>
      </c>
      <c r="C11613">
        <v>372</v>
      </c>
      <c r="D11613" t="s">
        <v>897</v>
      </c>
      <c r="E11613" t="s">
        <v>105</v>
      </c>
      <c r="F11613" t="s">
        <v>214</v>
      </c>
      <c r="G11613" t="s">
        <v>110</v>
      </c>
      <c r="H11613" t="s">
        <v>607</v>
      </c>
    </row>
    <row r="11614" spans="1:8" x14ac:dyDescent="0.3">
      <c r="A11614" t="s">
        <v>29</v>
      </c>
      <c r="B11614" t="s">
        <v>1235</v>
      </c>
      <c r="C11614">
        <v>38</v>
      </c>
      <c r="D11614" t="s">
        <v>709</v>
      </c>
      <c r="E11614" t="s">
        <v>103</v>
      </c>
      <c r="F11614" t="s">
        <v>239</v>
      </c>
      <c r="G11614" t="s">
        <v>270</v>
      </c>
      <c r="H11614" t="s">
        <v>164</v>
      </c>
    </row>
    <row r="11615" spans="1:8" x14ac:dyDescent="0.3">
      <c r="A11615" t="s">
        <v>29</v>
      </c>
      <c r="B11615" t="s">
        <v>1237</v>
      </c>
      <c r="C11615">
        <v>120</v>
      </c>
      <c r="D11615" t="s">
        <v>902</v>
      </c>
      <c r="E11615" t="s">
        <v>282</v>
      </c>
      <c r="F11615" t="s">
        <v>107</v>
      </c>
      <c r="G11615" t="s">
        <v>282</v>
      </c>
      <c r="H11615" t="s">
        <v>254</v>
      </c>
    </row>
    <row r="11616" spans="1:8" x14ac:dyDescent="0.3">
      <c r="A11616" t="s">
        <v>28</v>
      </c>
      <c r="B11616" t="s">
        <v>1234</v>
      </c>
      <c r="C11616">
        <v>126</v>
      </c>
      <c r="D11616" t="s">
        <v>605</v>
      </c>
      <c r="E11616" t="s">
        <v>97</v>
      </c>
      <c r="F11616" t="s">
        <v>693</v>
      </c>
      <c r="G11616" t="s">
        <v>103</v>
      </c>
      <c r="H11616" t="s">
        <v>188</v>
      </c>
    </row>
    <row r="11617" spans="1:8" s="3" customFormat="1" x14ac:dyDescent="0.3">
      <c r="A11617" s="3" t="s">
        <v>28</v>
      </c>
      <c r="B11617" s="3" t="s">
        <v>1235</v>
      </c>
      <c r="C11617" s="3">
        <v>17</v>
      </c>
      <c r="D11617" s="3" t="s">
        <v>203</v>
      </c>
      <c r="E11617" s="3" t="s">
        <v>103</v>
      </c>
      <c r="F11617" s="3" t="s">
        <v>127</v>
      </c>
      <c r="G11617" s="3" t="s">
        <v>103</v>
      </c>
      <c r="H11617" s="3" t="s">
        <v>103</v>
      </c>
    </row>
    <row r="11618" spans="1:8" x14ac:dyDescent="0.3">
      <c r="A11618" t="s">
        <v>28</v>
      </c>
      <c r="B11618" t="s">
        <v>1237</v>
      </c>
      <c r="C11618">
        <v>174</v>
      </c>
      <c r="D11618" t="s">
        <v>1357</v>
      </c>
      <c r="E11618" t="s">
        <v>97</v>
      </c>
      <c r="F11618" t="s">
        <v>188</v>
      </c>
      <c r="G11618" t="s">
        <v>98</v>
      </c>
      <c r="H11618" t="s">
        <v>90</v>
      </c>
    </row>
    <row r="11619" spans="1:8" x14ac:dyDescent="0.3">
      <c r="A11619" t="s">
        <v>27</v>
      </c>
      <c r="B11619" t="s">
        <v>1234</v>
      </c>
      <c r="C11619">
        <v>149</v>
      </c>
      <c r="D11619" t="s">
        <v>168</v>
      </c>
      <c r="E11619" t="s">
        <v>103</v>
      </c>
      <c r="F11619" t="s">
        <v>468</v>
      </c>
      <c r="G11619" t="s">
        <v>103</v>
      </c>
      <c r="H11619" t="s">
        <v>743</v>
      </c>
    </row>
    <row r="11620" spans="1:8" s="3" customFormat="1" x14ac:dyDescent="0.3">
      <c r="A11620" s="3" t="s">
        <v>27</v>
      </c>
      <c r="B11620" s="3" t="s">
        <v>1235</v>
      </c>
      <c r="C11620" s="3">
        <v>10</v>
      </c>
      <c r="D11620" s="3" t="s">
        <v>192</v>
      </c>
      <c r="E11620" s="3" t="s">
        <v>103</v>
      </c>
      <c r="F11620" s="3" t="s">
        <v>103</v>
      </c>
      <c r="G11620" s="3" t="s">
        <v>103</v>
      </c>
      <c r="H11620" s="3" t="s">
        <v>103</v>
      </c>
    </row>
    <row r="11621" spans="1:8" x14ac:dyDescent="0.3">
      <c r="A11621" t="s">
        <v>27</v>
      </c>
      <c r="B11621" t="s">
        <v>1237</v>
      </c>
      <c r="C11621">
        <v>141</v>
      </c>
      <c r="D11621" t="s">
        <v>340</v>
      </c>
      <c r="E11621" t="s">
        <v>103</v>
      </c>
      <c r="F11621" t="s">
        <v>103</v>
      </c>
      <c r="G11621" t="s">
        <v>103</v>
      </c>
      <c r="H11621" t="s">
        <v>216</v>
      </c>
    </row>
    <row r="11622" spans="1:8" x14ac:dyDescent="0.3">
      <c r="A11622" t="s">
        <v>41</v>
      </c>
      <c r="B11622" t="s">
        <v>1234</v>
      </c>
      <c r="C11622">
        <v>1200</v>
      </c>
      <c r="D11622" t="s">
        <v>189</v>
      </c>
      <c r="E11622" t="s">
        <v>194</v>
      </c>
      <c r="F11622" t="s">
        <v>532</v>
      </c>
      <c r="G11622" t="s">
        <v>239</v>
      </c>
      <c r="H11622" t="s">
        <v>137</v>
      </c>
    </row>
    <row r="11623" spans="1:8" x14ac:dyDescent="0.3">
      <c r="A11623" t="s">
        <v>41</v>
      </c>
      <c r="B11623" t="s">
        <v>1235</v>
      </c>
      <c r="C11623">
        <v>127</v>
      </c>
      <c r="D11623" t="s">
        <v>202</v>
      </c>
      <c r="E11623" t="s">
        <v>103</v>
      </c>
      <c r="F11623" t="s">
        <v>239</v>
      </c>
      <c r="G11623" t="s">
        <v>110</v>
      </c>
      <c r="H11623" t="s">
        <v>162</v>
      </c>
    </row>
    <row r="11624" spans="1:8" x14ac:dyDescent="0.3">
      <c r="A11624" t="s">
        <v>41</v>
      </c>
      <c r="B11624" t="s">
        <v>1237</v>
      </c>
      <c r="C11624">
        <v>711</v>
      </c>
      <c r="D11624" t="s">
        <v>775</v>
      </c>
      <c r="E11624" t="s">
        <v>97</v>
      </c>
      <c r="F11624" t="s">
        <v>532</v>
      </c>
      <c r="G11624" t="s">
        <v>118</v>
      </c>
      <c r="H11624" t="s">
        <v>247</v>
      </c>
    </row>
    <row r="11626" spans="1:8" x14ac:dyDescent="0.3">
      <c r="A11626" t="s">
        <v>2819</v>
      </c>
    </row>
    <row r="11627" spans="1:8" x14ac:dyDescent="0.3">
      <c r="A11627" t="s">
        <v>36</v>
      </c>
      <c r="B11627" t="s">
        <v>2764</v>
      </c>
      <c r="C11627" t="s">
        <v>24</v>
      </c>
      <c r="D11627" t="s">
        <v>58</v>
      </c>
      <c r="E11627" t="s">
        <v>2810</v>
      </c>
      <c r="F11627" t="s">
        <v>1566</v>
      </c>
      <c r="G11627" t="s">
        <v>2811</v>
      </c>
      <c r="H11627" t="s">
        <v>2812</v>
      </c>
    </row>
    <row r="11628" spans="1:8" s="3" customFormat="1" x14ac:dyDescent="0.3">
      <c r="A11628" s="3" t="s">
        <v>25</v>
      </c>
      <c r="B11628" s="3" t="s">
        <v>2765</v>
      </c>
      <c r="C11628" s="3">
        <v>16</v>
      </c>
      <c r="D11628" s="3" t="s">
        <v>1381</v>
      </c>
      <c r="E11628" s="3" t="s">
        <v>30</v>
      </c>
      <c r="F11628" s="3" t="s">
        <v>103</v>
      </c>
      <c r="G11628" s="3" t="s">
        <v>103</v>
      </c>
      <c r="H11628" s="3" t="s">
        <v>103</v>
      </c>
    </row>
    <row r="11629" spans="1:8" s="3" customFormat="1" x14ac:dyDescent="0.3">
      <c r="A11629" s="3" t="s">
        <v>25</v>
      </c>
      <c r="B11629" s="3" t="s">
        <v>585</v>
      </c>
      <c r="C11629" s="3">
        <v>5</v>
      </c>
      <c r="D11629" s="3" t="s">
        <v>156</v>
      </c>
      <c r="E11629" s="3" t="s">
        <v>155</v>
      </c>
      <c r="F11629" s="3" t="s">
        <v>103</v>
      </c>
      <c r="G11629" s="3" t="s">
        <v>103</v>
      </c>
      <c r="H11629" s="3" t="s">
        <v>103</v>
      </c>
    </row>
    <row r="11630" spans="1:8" s="3" customFormat="1" x14ac:dyDescent="0.3">
      <c r="A11630" s="3" t="s">
        <v>25</v>
      </c>
      <c r="B11630" s="3" t="s">
        <v>586</v>
      </c>
      <c r="C11630" s="3">
        <v>17</v>
      </c>
      <c r="D11630" s="3" t="s">
        <v>929</v>
      </c>
      <c r="E11630" s="3" t="s">
        <v>352</v>
      </c>
      <c r="F11630" s="3" t="s">
        <v>281</v>
      </c>
      <c r="G11630" s="3" t="s">
        <v>124</v>
      </c>
      <c r="H11630" s="3" t="s">
        <v>493</v>
      </c>
    </row>
    <row r="11631" spans="1:8" s="3" customFormat="1" x14ac:dyDescent="0.3">
      <c r="A11631" s="3" t="s">
        <v>25</v>
      </c>
      <c r="B11631" s="3" t="s">
        <v>587</v>
      </c>
      <c r="C11631" s="3">
        <v>2</v>
      </c>
      <c r="D11631" s="3" t="s">
        <v>192</v>
      </c>
      <c r="E11631" s="3" t="s">
        <v>103</v>
      </c>
      <c r="F11631" s="3" t="s">
        <v>103</v>
      </c>
      <c r="G11631" s="3" t="s">
        <v>103</v>
      </c>
      <c r="H11631" s="3" t="s">
        <v>103</v>
      </c>
    </row>
    <row r="11632" spans="1:8" s="3" customFormat="1" x14ac:dyDescent="0.3">
      <c r="A11632" s="3" t="s">
        <v>25</v>
      </c>
      <c r="B11632" s="3" t="s">
        <v>588</v>
      </c>
      <c r="C11632" s="3">
        <v>20</v>
      </c>
      <c r="D11632" s="3" t="s">
        <v>240</v>
      </c>
      <c r="E11632" s="3" t="s">
        <v>103</v>
      </c>
      <c r="F11632" s="3" t="s">
        <v>103</v>
      </c>
      <c r="G11632" s="3" t="s">
        <v>532</v>
      </c>
      <c r="H11632" s="3" t="s">
        <v>32</v>
      </c>
    </row>
    <row r="11633" spans="1:8" x14ac:dyDescent="0.3">
      <c r="A11633" t="s">
        <v>25</v>
      </c>
      <c r="B11633" t="s">
        <v>2766</v>
      </c>
      <c r="C11633">
        <v>354</v>
      </c>
      <c r="D11633" t="s">
        <v>145</v>
      </c>
      <c r="E11633" t="s">
        <v>186</v>
      </c>
      <c r="F11633" t="s">
        <v>120</v>
      </c>
      <c r="G11633" t="s">
        <v>114</v>
      </c>
      <c r="H11633" t="s">
        <v>493</v>
      </c>
    </row>
    <row r="11634" spans="1:8" s="3" customFormat="1" x14ac:dyDescent="0.3">
      <c r="A11634" s="3" t="s">
        <v>26</v>
      </c>
      <c r="B11634" s="3" t="s">
        <v>2765</v>
      </c>
      <c r="C11634" s="3">
        <v>26</v>
      </c>
      <c r="D11634" s="3" t="s">
        <v>740</v>
      </c>
      <c r="E11634" s="3" t="s">
        <v>466</v>
      </c>
      <c r="F11634" s="3" t="s">
        <v>103</v>
      </c>
      <c r="G11634" s="3" t="s">
        <v>103</v>
      </c>
      <c r="H11634" s="3" t="s">
        <v>251</v>
      </c>
    </row>
    <row r="11635" spans="1:8" s="3" customFormat="1" x14ac:dyDescent="0.3">
      <c r="A11635" s="3" t="s">
        <v>26</v>
      </c>
      <c r="B11635" s="3" t="s">
        <v>586</v>
      </c>
      <c r="C11635" s="3">
        <v>4</v>
      </c>
      <c r="D11635" s="3" t="s">
        <v>1394</v>
      </c>
      <c r="E11635" s="3" t="s">
        <v>1210</v>
      </c>
      <c r="F11635" s="3" t="s">
        <v>103</v>
      </c>
      <c r="G11635" s="3" t="s">
        <v>103</v>
      </c>
      <c r="H11635" s="3" t="s">
        <v>103</v>
      </c>
    </row>
    <row r="11636" spans="1:8" s="3" customFormat="1" x14ac:dyDescent="0.3">
      <c r="A11636" s="3" t="s">
        <v>26</v>
      </c>
      <c r="B11636" s="3" t="s">
        <v>587</v>
      </c>
      <c r="C11636" s="3">
        <v>8</v>
      </c>
      <c r="D11636" s="3" t="s">
        <v>1137</v>
      </c>
      <c r="E11636" s="3" t="s">
        <v>532</v>
      </c>
      <c r="F11636" s="3" t="s">
        <v>103</v>
      </c>
      <c r="G11636" s="3" t="s">
        <v>103</v>
      </c>
      <c r="H11636" s="3" t="s">
        <v>409</v>
      </c>
    </row>
    <row r="11637" spans="1:8" s="3" customFormat="1" x14ac:dyDescent="0.3">
      <c r="A11637" s="3" t="s">
        <v>26</v>
      </c>
      <c r="B11637" s="3" t="s">
        <v>588</v>
      </c>
      <c r="C11637" s="3">
        <v>4</v>
      </c>
      <c r="D11637" s="3" t="s">
        <v>50</v>
      </c>
      <c r="E11637" s="3" t="s">
        <v>547</v>
      </c>
      <c r="F11637" s="3" t="s">
        <v>103</v>
      </c>
      <c r="G11637" s="3" t="s">
        <v>103</v>
      </c>
      <c r="H11637" s="3" t="s">
        <v>795</v>
      </c>
    </row>
    <row r="11638" spans="1:8" x14ac:dyDescent="0.3">
      <c r="A11638" t="s">
        <v>26</v>
      </c>
      <c r="B11638" t="s">
        <v>2766</v>
      </c>
      <c r="C11638">
        <v>435</v>
      </c>
      <c r="D11638" t="s">
        <v>1368</v>
      </c>
      <c r="E11638" t="s">
        <v>64</v>
      </c>
      <c r="F11638" t="s">
        <v>97</v>
      </c>
      <c r="G11638" t="s">
        <v>110</v>
      </c>
      <c r="H11638" t="s">
        <v>555</v>
      </c>
    </row>
    <row r="11639" spans="1:8" s="3" customFormat="1" x14ac:dyDescent="0.3">
      <c r="A11639" s="3" t="s">
        <v>29</v>
      </c>
      <c r="B11639" s="3" t="s">
        <v>2765</v>
      </c>
      <c r="C11639" s="3">
        <v>30</v>
      </c>
      <c r="D11639" s="3" t="s">
        <v>1169</v>
      </c>
      <c r="E11639" s="3" t="s">
        <v>242</v>
      </c>
      <c r="F11639" s="3" t="s">
        <v>97</v>
      </c>
      <c r="G11639" s="3" t="s">
        <v>208</v>
      </c>
      <c r="H11639" s="3" t="s">
        <v>813</v>
      </c>
    </row>
    <row r="11640" spans="1:8" s="3" customFormat="1" x14ac:dyDescent="0.3">
      <c r="A11640" s="3" t="s">
        <v>29</v>
      </c>
      <c r="B11640" s="3" t="s">
        <v>585</v>
      </c>
      <c r="C11640" s="3">
        <v>6</v>
      </c>
      <c r="D11640" s="3" t="s">
        <v>399</v>
      </c>
      <c r="E11640" s="3" t="s">
        <v>455</v>
      </c>
      <c r="F11640" s="3" t="s">
        <v>103</v>
      </c>
      <c r="G11640" s="3" t="s">
        <v>103</v>
      </c>
      <c r="H11640" s="3" t="s">
        <v>654</v>
      </c>
    </row>
    <row r="11641" spans="1:8" s="3" customFormat="1" x14ac:dyDescent="0.3">
      <c r="A11641" s="3" t="s">
        <v>29</v>
      </c>
      <c r="B11641" s="3" t="s">
        <v>586</v>
      </c>
      <c r="C11641" s="3">
        <v>12</v>
      </c>
      <c r="D11641" s="3" t="s">
        <v>527</v>
      </c>
      <c r="E11641" s="3" t="s">
        <v>754</v>
      </c>
      <c r="F11641" s="3" t="s">
        <v>103</v>
      </c>
      <c r="G11641" s="3" t="s">
        <v>103</v>
      </c>
      <c r="H11641" s="3" t="s">
        <v>539</v>
      </c>
    </row>
    <row r="11642" spans="1:8" s="3" customFormat="1" x14ac:dyDescent="0.3">
      <c r="A11642" s="3" t="s">
        <v>29</v>
      </c>
      <c r="B11642" s="3" t="s">
        <v>587</v>
      </c>
      <c r="C11642" s="3">
        <v>3</v>
      </c>
      <c r="D11642" s="3" t="s">
        <v>396</v>
      </c>
      <c r="E11642" s="3" t="s">
        <v>890</v>
      </c>
      <c r="F11642" s="3" t="s">
        <v>103</v>
      </c>
      <c r="G11642" s="3" t="s">
        <v>103</v>
      </c>
      <c r="H11642" s="3" t="s">
        <v>1461</v>
      </c>
    </row>
    <row r="11643" spans="1:8" s="3" customFormat="1" x14ac:dyDescent="0.3">
      <c r="A11643" s="3" t="s">
        <v>29</v>
      </c>
      <c r="B11643" s="3" t="s">
        <v>588</v>
      </c>
      <c r="C11643" s="3">
        <v>15</v>
      </c>
      <c r="D11643" s="3" t="s">
        <v>238</v>
      </c>
      <c r="E11643" s="3" t="s">
        <v>224</v>
      </c>
      <c r="F11643" s="3" t="s">
        <v>103</v>
      </c>
      <c r="G11643" s="3" t="s">
        <v>103</v>
      </c>
      <c r="H11643" s="3" t="s">
        <v>127</v>
      </c>
    </row>
    <row r="11644" spans="1:8" x14ac:dyDescent="0.3">
      <c r="A11644" t="s">
        <v>29</v>
      </c>
      <c r="B11644" t="s">
        <v>2766</v>
      </c>
      <c r="C11644">
        <v>464</v>
      </c>
      <c r="D11644" t="s">
        <v>1357</v>
      </c>
      <c r="E11644" t="s">
        <v>438</v>
      </c>
      <c r="F11644" t="s">
        <v>245</v>
      </c>
      <c r="G11644" t="s">
        <v>239</v>
      </c>
      <c r="H11644" t="s">
        <v>607</v>
      </c>
    </row>
    <row r="11645" spans="1:8" s="3" customFormat="1" x14ac:dyDescent="0.3">
      <c r="A11645" s="3" t="s">
        <v>28</v>
      </c>
      <c r="B11645" s="3" t="s">
        <v>2765</v>
      </c>
      <c r="C11645" s="3">
        <v>6</v>
      </c>
      <c r="D11645" s="3" t="s">
        <v>174</v>
      </c>
      <c r="E11645" s="3" t="s">
        <v>103</v>
      </c>
      <c r="F11645" s="3" t="s">
        <v>173</v>
      </c>
      <c r="G11645" s="3" t="s">
        <v>103</v>
      </c>
      <c r="H11645" s="3" t="s">
        <v>103</v>
      </c>
    </row>
    <row r="11646" spans="1:8" s="3" customFormat="1" x14ac:dyDescent="0.3">
      <c r="A11646" s="3" t="s">
        <v>28</v>
      </c>
      <c r="B11646" s="3" t="s">
        <v>585</v>
      </c>
      <c r="C11646" s="3">
        <v>8</v>
      </c>
      <c r="D11646" s="3" t="s">
        <v>192</v>
      </c>
      <c r="E11646" s="3" t="s">
        <v>103</v>
      </c>
      <c r="F11646" s="3" t="s">
        <v>103</v>
      </c>
      <c r="G11646" s="3" t="s">
        <v>103</v>
      </c>
      <c r="H11646" s="3" t="s">
        <v>103</v>
      </c>
    </row>
    <row r="11647" spans="1:8" s="3" customFormat="1" x14ac:dyDescent="0.3">
      <c r="A11647" s="3" t="s">
        <v>28</v>
      </c>
      <c r="B11647" s="3" t="s">
        <v>586</v>
      </c>
      <c r="C11647" s="3">
        <v>6</v>
      </c>
      <c r="D11647" s="3" t="s">
        <v>1046</v>
      </c>
      <c r="E11647" s="3" t="s">
        <v>103</v>
      </c>
      <c r="F11647" s="3" t="s">
        <v>103</v>
      </c>
      <c r="G11647" s="3" t="s">
        <v>103</v>
      </c>
      <c r="H11647" s="3" t="s">
        <v>651</v>
      </c>
    </row>
    <row r="11648" spans="1:8" s="3" customFormat="1" x14ac:dyDescent="0.3">
      <c r="A11648" s="3" t="s">
        <v>28</v>
      </c>
      <c r="B11648" s="3" t="s">
        <v>587</v>
      </c>
      <c r="C11648" s="3">
        <v>11</v>
      </c>
      <c r="D11648" s="3" t="s">
        <v>192</v>
      </c>
      <c r="E11648" s="3" t="s">
        <v>103</v>
      </c>
      <c r="F11648" s="3" t="s">
        <v>103</v>
      </c>
      <c r="G11648" s="3" t="s">
        <v>103</v>
      </c>
      <c r="H11648" s="3" t="s">
        <v>103</v>
      </c>
    </row>
    <row r="11649" spans="1:8" x14ac:dyDescent="0.3">
      <c r="A11649" t="s">
        <v>28</v>
      </c>
      <c r="B11649" t="s">
        <v>588</v>
      </c>
      <c r="C11649">
        <v>33</v>
      </c>
      <c r="D11649" t="s">
        <v>53</v>
      </c>
      <c r="E11649" t="s">
        <v>103</v>
      </c>
      <c r="F11649" t="s">
        <v>195</v>
      </c>
      <c r="G11649" t="s">
        <v>103</v>
      </c>
      <c r="H11649" t="s">
        <v>918</v>
      </c>
    </row>
    <row r="11650" spans="1:8" x14ac:dyDescent="0.3">
      <c r="A11650" t="s">
        <v>28</v>
      </c>
      <c r="B11650" t="s">
        <v>2766</v>
      </c>
      <c r="C11650">
        <v>253</v>
      </c>
      <c r="D11650" t="s">
        <v>596</v>
      </c>
      <c r="E11650" t="s">
        <v>127</v>
      </c>
      <c r="F11650" t="s">
        <v>103</v>
      </c>
      <c r="G11650" t="s">
        <v>120</v>
      </c>
      <c r="H11650" t="s">
        <v>662</v>
      </c>
    </row>
    <row r="11651" spans="1:8" x14ac:dyDescent="0.3">
      <c r="A11651" t="s">
        <v>27</v>
      </c>
      <c r="B11651" t="s">
        <v>2765</v>
      </c>
      <c r="C11651">
        <v>92</v>
      </c>
      <c r="D11651" t="s">
        <v>876</v>
      </c>
      <c r="E11651" t="s">
        <v>103</v>
      </c>
      <c r="F11651" t="s">
        <v>103</v>
      </c>
      <c r="G11651" t="s">
        <v>103</v>
      </c>
      <c r="H11651" t="s">
        <v>282</v>
      </c>
    </row>
    <row r="11652" spans="1:8" s="3" customFormat="1" x14ac:dyDescent="0.3">
      <c r="A11652" s="3" t="s">
        <v>27</v>
      </c>
      <c r="B11652" s="3" t="s">
        <v>585</v>
      </c>
      <c r="C11652" s="3">
        <v>1</v>
      </c>
      <c r="D11652" s="3" t="s">
        <v>192</v>
      </c>
      <c r="E11652" s="3" t="s">
        <v>103</v>
      </c>
      <c r="F11652" s="3" t="s">
        <v>103</v>
      </c>
      <c r="G11652" s="3" t="s">
        <v>103</v>
      </c>
      <c r="H11652" s="3" t="s">
        <v>103</v>
      </c>
    </row>
    <row r="11653" spans="1:8" s="3" customFormat="1" x14ac:dyDescent="0.3">
      <c r="A11653" s="3" t="s">
        <v>27</v>
      </c>
      <c r="B11653" s="3" t="s">
        <v>586</v>
      </c>
      <c r="C11653" s="3">
        <v>1</v>
      </c>
      <c r="D11653" s="3" t="s">
        <v>103</v>
      </c>
      <c r="E11653" s="3" t="s">
        <v>103</v>
      </c>
      <c r="F11653" s="3" t="s">
        <v>103</v>
      </c>
      <c r="G11653" s="3" t="s">
        <v>103</v>
      </c>
      <c r="H11653" s="3" t="s">
        <v>192</v>
      </c>
    </row>
    <row r="11654" spans="1:8" s="3" customFormat="1" x14ac:dyDescent="0.3">
      <c r="A11654" s="3" t="s">
        <v>27</v>
      </c>
      <c r="B11654" s="3" t="s">
        <v>588</v>
      </c>
      <c r="C11654" s="3">
        <v>3</v>
      </c>
      <c r="D11654" s="3" t="s">
        <v>192</v>
      </c>
      <c r="E11654" s="3" t="s">
        <v>103</v>
      </c>
      <c r="F11654" s="3" t="s">
        <v>103</v>
      </c>
      <c r="G11654" s="3" t="s">
        <v>103</v>
      </c>
      <c r="H11654" s="3" t="s">
        <v>103</v>
      </c>
    </row>
    <row r="11655" spans="1:8" x14ac:dyDescent="0.3">
      <c r="A11655" t="s">
        <v>27</v>
      </c>
      <c r="B11655" t="s">
        <v>2766</v>
      </c>
      <c r="C11655">
        <v>203</v>
      </c>
      <c r="D11655" t="s">
        <v>974</v>
      </c>
      <c r="E11655" t="s">
        <v>282</v>
      </c>
      <c r="F11655" t="s">
        <v>103</v>
      </c>
      <c r="G11655" t="s">
        <v>103</v>
      </c>
      <c r="H11655" t="s">
        <v>146</v>
      </c>
    </row>
    <row r="11656" spans="1:8" x14ac:dyDescent="0.3">
      <c r="A11656" t="s">
        <v>41</v>
      </c>
      <c r="B11656" t="s">
        <v>2765</v>
      </c>
      <c r="C11656">
        <v>170</v>
      </c>
      <c r="D11656" t="s">
        <v>870</v>
      </c>
      <c r="E11656" t="s">
        <v>101</v>
      </c>
      <c r="F11656" t="s">
        <v>122</v>
      </c>
      <c r="G11656" t="s">
        <v>139</v>
      </c>
      <c r="H11656" t="s">
        <v>140</v>
      </c>
    </row>
    <row r="11657" spans="1:8" s="3" customFormat="1" x14ac:dyDescent="0.3">
      <c r="A11657" s="3" t="s">
        <v>41</v>
      </c>
      <c r="B11657" s="3" t="s">
        <v>585</v>
      </c>
      <c r="C11657" s="3">
        <v>20</v>
      </c>
      <c r="D11657" s="3" t="s">
        <v>260</v>
      </c>
      <c r="E11657" s="3" t="s">
        <v>702</v>
      </c>
      <c r="F11657" s="3" t="s">
        <v>103</v>
      </c>
      <c r="G11657" s="3" t="s">
        <v>103</v>
      </c>
      <c r="H11657" s="3" t="s">
        <v>164</v>
      </c>
    </row>
    <row r="11658" spans="1:8" x14ac:dyDescent="0.3">
      <c r="A11658" t="s">
        <v>41</v>
      </c>
      <c r="B11658" t="s">
        <v>586</v>
      </c>
      <c r="C11658">
        <v>40</v>
      </c>
      <c r="D11658" t="s">
        <v>1242</v>
      </c>
      <c r="E11658" t="s">
        <v>683</v>
      </c>
      <c r="F11658" t="s">
        <v>208</v>
      </c>
      <c r="G11658" t="s">
        <v>64</v>
      </c>
      <c r="H11658" t="s">
        <v>516</v>
      </c>
    </row>
    <row r="11659" spans="1:8" s="3" customFormat="1" x14ac:dyDescent="0.3">
      <c r="A11659" s="3" t="s">
        <v>41</v>
      </c>
      <c r="B11659" s="3" t="s">
        <v>587</v>
      </c>
      <c r="C11659" s="3">
        <v>24</v>
      </c>
      <c r="D11659" s="3" t="s">
        <v>1063</v>
      </c>
      <c r="E11659" s="3" t="s">
        <v>107</v>
      </c>
      <c r="F11659" s="3" t="s">
        <v>103</v>
      </c>
      <c r="G11659" s="3" t="s">
        <v>103</v>
      </c>
      <c r="H11659" s="3" t="s">
        <v>1219</v>
      </c>
    </row>
    <row r="11660" spans="1:8" x14ac:dyDescent="0.3">
      <c r="A11660" t="s">
        <v>41</v>
      </c>
      <c r="B11660" t="s">
        <v>588</v>
      </c>
      <c r="C11660">
        <v>75</v>
      </c>
      <c r="D11660" t="s">
        <v>243</v>
      </c>
      <c r="E11660" t="s">
        <v>284</v>
      </c>
      <c r="F11660" t="s">
        <v>122</v>
      </c>
      <c r="G11660" t="s">
        <v>239</v>
      </c>
      <c r="H11660" t="s">
        <v>135</v>
      </c>
    </row>
    <row r="11661" spans="1:8" x14ac:dyDescent="0.3">
      <c r="A11661" t="s">
        <v>41</v>
      </c>
      <c r="B11661" t="s">
        <v>2766</v>
      </c>
      <c r="C11661">
        <v>1709</v>
      </c>
      <c r="D11661" t="s">
        <v>1308</v>
      </c>
      <c r="E11661" t="s">
        <v>102</v>
      </c>
      <c r="F11661" t="s">
        <v>282</v>
      </c>
      <c r="G11661" t="s">
        <v>105</v>
      </c>
      <c r="H11661" t="s">
        <v>693</v>
      </c>
    </row>
    <row r="11663" spans="1:8" x14ac:dyDescent="0.3">
      <c r="A11663" t="s">
        <v>2820</v>
      </c>
    </row>
    <row r="11664" spans="1:8" x14ac:dyDescent="0.3">
      <c r="A11664" t="s">
        <v>36</v>
      </c>
      <c r="B11664" t="s">
        <v>2768</v>
      </c>
      <c r="C11664" t="s">
        <v>24</v>
      </c>
      <c r="D11664" t="s">
        <v>58</v>
      </c>
      <c r="E11664" t="s">
        <v>2810</v>
      </c>
      <c r="F11664" t="s">
        <v>2811</v>
      </c>
      <c r="G11664" t="s">
        <v>2812</v>
      </c>
      <c r="H11664" t="s">
        <v>1566</v>
      </c>
    </row>
    <row r="11665" spans="1:8" s="3" customFormat="1" x14ac:dyDescent="0.3">
      <c r="A11665" s="3" t="s">
        <v>25</v>
      </c>
      <c r="B11665" s="3" t="s">
        <v>638</v>
      </c>
      <c r="C11665" s="3">
        <v>5</v>
      </c>
      <c r="D11665" s="3" t="s">
        <v>156</v>
      </c>
      <c r="E11665" s="3" t="s">
        <v>155</v>
      </c>
      <c r="F11665" s="3" t="s">
        <v>103</v>
      </c>
      <c r="G11665" s="3" t="s">
        <v>103</v>
      </c>
      <c r="H11665" s="3" t="s">
        <v>103</v>
      </c>
    </row>
    <row r="11666" spans="1:8" s="3" customFormat="1" x14ac:dyDescent="0.3">
      <c r="A11666" s="3" t="s">
        <v>25</v>
      </c>
      <c r="B11666" s="3" t="s">
        <v>639</v>
      </c>
      <c r="C11666" s="3">
        <v>13</v>
      </c>
      <c r="D11666" s="3" t="s">
        <v>1355</v>
      </c>
      <c r="E11666" s="3" t="s">
        <v>103</v>
      </c>
      <c r="F11666" s="3" t="s">
        <v>607</v>
      </c>
      <c r="G11666" s="3" t="s">
        <v>103</v>
      </c>
      <c r="H11666" s="3" t="s">
        <v>103</v>
      </c>
    </row>
    <row r="11667" spans="1:8" s="3" customFormat="1" x14ac:dyDescent="0.3">
      <c r="A11667" s="3" t="s">
        <v>25</v>
      </c>
      <c r="B11667" s="3" t="s">
        <v>640</v>
      </c>
      <c r="C11667" s="3">
        <v>11</v>
      </c>
      <c r="D11667" s="3" t="s">
        <v>681</v>
      </c>
      <c r="E11667" s="3" t="s">
        <v>349</v>
      </c>
      <c r="F11667" s="3" t="s">
        <v>117</v>
      </c>
      <c r="G11667" s="3" t="s">
        <v>578</v>
      </c>
      <c r="H11667" s="3" t="s">
        <v>103</v>
      </c>
    </row>
    <row r="11668" spans="1:8" s="3" customFormat="1" x14ac:dyDescent="0.3">
      <c r="A11668" s="3" t="s">
        <v>25</v>
      </c>
      <c r="B11668" s="3" t="s">
        <v>2765</v>
      </c>
      <c r="C11668" s="3">
        <v>2</v>
      </c>
      <c r="D11668" s="3" t="s">
        <v>761</v>
      </c>
      <c r="E11668" s="3" t="s">
        <v>695</v>
      </c>
      <c r="F11668" s="3" t="s">
        <v>103</v>
      </c>
      <c r="G11668" s="3" t="s">
        <v>103</v>
      </c>
      <c r="H11668" s="3" t="s">
        <v>103</v>
      </c>
    </row>
    <row r="11669" spans="1:8" s="3" customFormat="1" x14ac:dyDescent="0.3">
      <c r="A11669" s="3" t="s">
        <v>25</v>
      </c>
      <c r="B11669" s="3" t="s">
        <v>641</v>
      </c>
      <c r="C11669" s="3">
        <v>8</v>
      </c>
      <c r="D11669" s="3" t="s">
        <v>151</v>
      </c>
      <c r="E11669" s="3" t="s">
        <v>103</v>
      </c>
      <c r="F11669" s="3" t="s">
        <v>103</v>
      </c>
      <c r="G11669" s="3" t="s">
        <v>103</v>
      </c>
      <c r="H11669" s="3" t="s">
        <v>150</v>
      </c>
    </row>
    <row r="11670" spans="1:8" s="3" customFormat="1" x14ac:dyDescent="0.3">
      <c r="A11670" s="3" t="s">
        <v>25</v>
      </c>
      <c r="B11670" s="3" t="s">
        <v>2769</v>
      </c>
      <c r="C11670" s="3">
        <v>5</v>
      </c>
      <c r="D11670" s="3" t="s">
        <v>192</v>
      </c>
      <c r="E11670" s="3" t="s">
        <v>103</v>
      </c>
      <c r="F11670" s="3" t="s">
        <v>103</v>
      </c>
      <c r="G11670" s="3" t="s">
        <v>103</v>
      </c>
      <c r="H11670" s="3" t="s">
        <v>103</v>
      </c>
    </row>
    <row r="11671" spans="1:8" x14ac:dyDescent="0.3">
      <c r="A11671" t="s">
        <v>25</v>
      </c>
      <c r="B11671" t="s">
        <v>308</v>
      </c>
      <c r="C11671">
        <v>370</v>
      </c>
      <c r="D11671" t="s">
        <v>187</v>
      </c>
      <c r="E11671" t="s">
        <v>32</v>
      </c>
      <c r="F11671" t="s">
        <v>493</v>
      </c>
      <c r="G11671" t="s">
        <v>125</v>
      </c>
      <c r="H11671" t="s">
        <v>120</v>
      </c>
    </row>
    <row r="11672" spans="1:8" s="3" customFormat="1" x14ac:dyDescent="0.3">
      <c r="A11672" s="3" t="s">
        <v>26</v>
      </c>
      <c r="B11672" s="3" t="s">
        <v>639</v>
      </c>
      <c r="C11672" s="3">
        <v>7</v>
      </c>
      <c r="D11672" s="3" t="s">
        <v>1282</v>
      </c>
      <c r="E11672" s="3" t="s">
        <v>103</v>
      </c>
      <c r="F11672" s="3" t="s">
        <v>103</v>
      </c>
      <c r="G11672" s="3" t="s">
        <v>556</v>
      </c>
      <c r="H11672" s="3" t="s">
        <v>103</v>
      </c>
    </row>
    <row r="11673" spans="1:8" s="3" customFormat="1" x14ac:dyDescent="0.3">
      <c r="A11673" s="3" t="s">
        <v>26</v>
      </c>
      <c r="B11673" s="3" t="s">
        <v>640</v>
      </c>
      <c r="C11673" s="3">
        <v>2</v>
      </c>
      <c r="D11673" s="3" t="s">
        <v>1426</v>
      </c>
      <c r="E11673" s="3" t="s">
        <v>103</v>
      </c>
      <c r="F11673" s="3" t="s">
        <v>103</v>
      </c>
      <c r="G11673" s="3" t="s">
        <v>546</v>
      </c>
      <c r="H11673" s="3" t="s">
        <v>103</v>
      </c>
    </row>
    <row r="11674" spans="1:8" s="3" customFormat="1" x14ac:dyDescent="0.3">
      <c r="A11674" s="3" t="s">
        <v>26</v>
      </c>
      <c r="B11674" s="3" t="s">
        <v>641</v>
      </c>
      <c r="C11674" s="3">
        <v>5</v>
      </c>
      <c r="D11674" s="3" t="s">
        <v>1084</v>
      </c>
      <c r="E11674" s="3" t="s">
        <v>1039</v>
      </c>
      <c r="F11674" s="3" t="s">
        <v>103</v>
      </c>
      <c r="G11674" s="3" t="s">
        <v>155</v>
      </c>
      <c r="H11674" s="3" t="s">
        <v>103</v>
      </c>
    </row>
    <row r="11675" spans="1:8" s="3" customFormat="1" x14ac:dyDescent="0.3">
      <c r="A11675" s="3" t="s">
        <v>26</v>
      </c>
      <c r="B11675" s="3" t="s">
        <v>2769</v>
      </c>
      <c r="C11675" s="3">
        <v>2</v>
      </c>
      <c r="D11675" s="3" t="s">
        <v>227</v>
      </c>
      <c r="E11675" s="3" t="s">
        <v>697</v>
      </c>
      <c r="F11675" s="3" t="s">
        <v>103</v>
      </c>
      <c r="G11675" s="3" t="s">
        <v>103</v>
      </c>
      <c r="H11675" s="3" t="s">
        <v>103</v>
      </c>
    </row>
    <row r="11676" spans="1:8" x14ac:dyDescent="0.3">
      <c r="A11676" t="s">
        <v>26</v>
      </c>
      <c r="B11676" t="s">
        <v>308</v>
      </c>
      <c r="C11676">
        <v>461</v>
      </c>
      <c r="D11676" t="s">
        <v>895</v>
      </c>
      <c r="E11676" t="s">
        <v>270</v>
      </c>
      <c r="F11676" t="s">
        <v>194</v>
      </c>
      <c r="G11676" t="s">
        <v>514</v>
      </c>
      <c r="H11676" t="s">
        <v>97</v>
      </c>
    </row>
    <row r="11677" spans="1:8" s="3" customFormat="1" x14ac:dyDescent="0.3">
      <c r="A11677" s="3" t="s">
        <v>29</v>
      </c>
      <c r="B11677" s="3" t="s">
        <v>638</v>
      </c>
      <c r="C11677" s="3">
        <v>5</v>
      </c>
      <c r="D11677" s="3" t="s">
        <v>1379</v>
      </c>
      <c r="E11677" s="3" t="s">
        <v>531</v>
      </c>
      <c r="F11677" s="3" t="s">
        <v>103</v>
      </c>
      <c r="G11677" s="3" t="s">
        <v>674</v>
      </c>
      <c r="H11677" s="3" t="s">
        <v>103</v>
      </c>
    </row>
    <row r="11678" spans="1:8" s="3" customFormat="1" x14ac:dyDescent="0.3">
      <c r="A11678" s="3" t="s">
        <v>29</v>
      </c>
      <c r="B11678" s="3" t="s">
        <v>639</v>
      </c>
      <c r="C11678" s="3">
        <v>4</v>
      </c>
      <c r="D11678" s="3" t="s">
        <v>1484</v>
      </c>
      <c r="E11678" s="3" t="s">
        <v>511</v>
      </c>
      <c r="F11678" s="3" t="s">
        <v>103</v>
      </c>
      <c r="G11678" s="3" t="s">
        <v>103</v>
      </c>
      <c r="H11678" s="3" t="s">
        <v>103</v>
      </c>
    </row>
    <row r="11679" spans="1:8" s="3" customFormat="1" x14ac:dyDescent="0.3">
      <c r="A11679" s="3" t="s">
        <v>29</v>
      </c>
      <c r="B11679" s="3" t="s">
        <v>640</v>
      </c>
      <c r="C11679" s="3">
        <v>10</v>
      </c>
      <c r="D11679" s="3" t="s">
        <v>51</v>
      </c>
      <c r="E11679" s="3" t="s">
        <v>115</v>
      </c>
      <c r="F11679" s="3" t="s">
        <v>103</v>
      </c>
      <c r="G11679" s="3" t="s">
        <v>488</v>
      </c>
      <c r="H11679" s="3" t="s">
        <v>103</v>
      </c>
    </row>
    <row r="11680" spans="1:8" s="3" customFormat="1" x14ac:dyDescent="0.3">
      <c r="A11680" s="3" t="s">
        <v>29</v>
      </c>
      <c r="B11680" s="3" t="s">
        <v>2765</v>
      </c>
      <c r="C11680" s="3">
        <v>8</v>
      </c>
      <c r="D11680" s="3" t="s">
        <v>545</v>
      </c>
      <c r="E11680" s="3" t="s">
        <v>54</v>
      </c>
      <c r="F11680" s="3" t="s">
        <v>103</v>
      </c>
      <c r="G11680" s="3" t="s">
        <v>943</v>
      </c>
      <c r="H11680" s="3" t="s">
        <v>103</v>
      </c>
    </row>
    <row r="11681" spans="1:8" s="3" customFormat="1" x14ac:dyDescent="0.3">
      <c r="A11681" s="3" t="s">
        <v>29</v>
      </c>
      <c r="B11681" s="3" t="s">
        <v>641</v>
      </c>
      <c r="C11681" s="3">
        <v>7</v>
      </c>
      <c r="D11681" s="3" t="s">
        <v>620</v>
      </c>
      <c r="E11681" s="3" t="s">
        <v>1057</v>
      </c>
      <c r="F11681" s="3" t="s">
        <v>103</v>
      </c>
      <c r="G11681" s="3" t="s">
        <v>103</v>
      </c>
      <c r="H11681" s="3" t="s">
        <v>103</v>
      </c>
    </row>
    <row r="11682" spans="1:8" s="3" customFormat="1" x14ac:dyDescent="0.3">
      <c r="A11682" s="3" t="s">
        <v>29</v>
      </c>
      <c r="B11682" s="3" t="s">
        <v>2769</v>
      </c>
      <c r="C11682" s="3">
        <v>2</v>
      </c>
      <c r="D11682" s="3" t="s">
        <v>192</v>
      </c>
      <c r="E11682" s="3" t="s">
        <v>103</v>
      </c>
      <c r="F11682" s="3" t="s">
        <v>103</v>
      </c>
      <c r="G11682" s="3" t="s">
        <v>103</v>
      </c>
      <c r="H11682" s="3" t="s">
        <v>103</v>
      </c>
    </row>
    <row r="11683" spans="1:8" x14ac:dyDescent="0.3">
      <c r="A11683" t="s">
        <v>29</v>
      </c>
      <c r="B11683" t="s">
        <v>308</v>
      </c>
      <c r="C11683">
        <v>494</v>
      </c>
      <c r="D11683" t="s">
        <v>163</v>
      </c>
      <c r="E11683" t="s">
        <v>493</v>
      </c>
      <c r="F11683" t="s">
        <v>239</v>
      </c>
      <c r="G11683" t="s">
        <v>60</v>
      </c>
      <c r="H11683" t="s">
        <v>216</v>
      </c>
    </row>
    <row r="11684" spans="1:8" s="3" customFormat="1" x14ac:dyDescent="0.3">
      <c r="A11684" s="3" t="s">
        <v>28</v>
      </c>
      <c r="B11684" s="3" t="s">
        <v>638</v>
      </c>
      <c r="C11684" s="3">
        <v>9</v>
      </c>
      <c r="D11684" s="3" t="s">
        <v>192</v>
      </c>
      <c r="E11684" s="3" t="s">
        <v>103</v>
      </c>
      <c r="F11684" s="3" t="s">
        <v>103</v>
      </c>
      <c r="G11684" s="3" t="s">
        <v>103</v>
      </c>
      <c r="H11684" s="3" t="s">
        <v>103</v>
      </c>
    </row>
    <row r="11685" spans="1:8" s="3" customFormat="1" x14ac:dyDescent="0.3">
      <c r="A11685" s="3" t="s">
        <v>28</v>
      </c>
      <c r="B11685" s="3" t="s">
        <v>639</v>
      </c>
      <c r="C11685" s="3">
        <v>17</v>
      </c>
      <c r="D11685" s="3" t="s">
        <v>192</v>
      </c>
      <c r="E11685" s="3" t="s">
        <v>103</v>
      </c>
      <c r="F11685" s="3" t="s">
        <v>103</v>
      </c>
      <c r="G11685" s="3" t="s">
        <v>103</v>
      </c>
      <c r="H11685" s="3" t="s">
        <v>103</v>
      </c>
    </row>
    <row r="11686" spans="1:8" s="3" customFormat="1" x14ac:dyDescent="0.3">
      <c r="A11686" s="3" t="s">
        <v>28</v>
      </c>
      <c r="B11686" s="3" t="s">
        <v>640</v>
      </c>
      <c r="C11686" s="3">
        <v>20</v>
      </c>
      <c r="D11686" s="3" t="s">
        <v>828</v>
      </c>
      <c r="E11686" s="3" t="s">
        <v>103</v>
      </c>
      <c r="F11686" s="3" t="s">
        <v>103</v>
      </c>
      <c r="G11686" s="3" t="s">
        <v>615</v>
      </c>
      <c r="H11686" s="3" t="s">
        <v>284</v>
      </c>
    </row>
    <row r="11687" spans="1:8" s="3" customFormat="1" x14ac:dyDescent="0.3">
      <c r="A11687" s="3" t="s">
        <v>28</v>
      </c>
      <c r="B11687" s="3" t="s">
        <v>2765</v>
      </c>
      <c r="C11687" s="3">
        <v>2</v>
      </c>
      <c r="D11687" s="3" t="s">
        <v>492</v>
      </c>
      <c r="E11687" s="3" t="s">
        <v>103</v>
      </c>
      <c r="F11687" s="3" t="s">
        <v>103</v>
      </c>
      <c r="G11687" s="3" t="s">
        <v>1252</v>
      </c>
      <c r="H11687" s="3" t="s">
        <v>103</v>
      </c>
    </row>
    <row r="11688" spans="1:8" s="3" customFormat="1" x14ac:dyDescent="0.3">
      <c r="A11688" s="3" t="s">
        <v>28</v>
      </c>
      <c r="B11688" s="3" t="s">
        <v>641</v>
      </c>
      <c r="C11688" s="3">
        <v>7</v>
      </c>
      <c r="D11688" s="3" t="s">
        <v>372</v>
      </c>
      <c r="E11688" s="3" t="s">
        <v>103</v>
      </c>
      <c r="F11688" s="3" t="s">
        <v>103</v>
      </c>
      <c r="G11688" s="3" t="s">
        <v>573</v>
      </c>
      <c r="H11688" s="3" t="s">
        <v>103</v>
      </c>
    </row>
    <row r="11689" spans="1:8" s="3" customFormat="1" x14ac:dyDescent="0.3">
      <c r="A11689" s="3" t="s">
        <v>28</v>
      </c>
      <c r="B11689" s="3" t="s">
        <v>2769</v>
      </c>
      <c r="C11689" s="3">
        <v>3</v>
      </c>
      <c r="D11689" s="3" t="s">
        <v>192</v>
      </c>
      <c r="E11689" s="3" t="s">
        <v>103</v>
      </c>
      <c r="F11689" s="3" t="s">
        <v>103</v>
      </c>
      <c r="G11689" s="3" t="s">
        <v>103</v>
      </c>
      <c r="H11689" s="3" t="s">
        <v>103</v>
      </c>
    </row>
    <row r="11690" spans="1:8" x14ac:dyDescent="0.3">
      <c r="A11690" t="s">
        <v>28</v>
      </c>
      <c r="B11690" t="s">
        <v>308</v>
      </c>
      <c r="C11690">
        <v>259</v>
      </c>
      <c r="D11690" t="s">
        <v>596</v>
      </c>
      <c r="E11690" t="s">
        <v>100</v>
      </c>
      <c r="F11690" t="s">
        <v>120</v>
      </c>
      <c r="G11690" t="s">
        <v>112</v>
      </c>
      <c r="H11690" t="s">
        <v>66</v>
      </c>
    </row>
    <row r="11691" spans="1:8" s="3" customFormat="1" x14ac:dyDescent="0.3">
      <c r="A11691" s="3" t="s">
        <v>27</v>
      </c>
      <c r="B11691" s="3" t="s">
        <v>638</v>
      </c>
      <c r="C11691" s="3">
        <v>1</v>
      </c>
      <c r="D11691" s="3" t="s">
        <v>192</v>
      </c>
      <c r="E11691" s="3" t="s">
        <v>103</v>
      </c>
      <c r="F11691" s="3" t="s">
        <v>103</v>
      </c>
      <c r="G11691" s="3" t="s">
        <v>103</v>
      </c>
      <c r="H11691" s="3" t="s">
        <v>103</v>
      </c>
    </row>
    <row r="11692" spans="1:8" s="3" customFormat="1" x14ac:dyDescent="0.3">
      <c r="A11692" s="3" t="s">
        <v>27</v>
      </c>
      <c r="B11692" s="3" t="s">
        <v>639</v>
      </c>
      <c r="C11692" s="3">
        <v>1</v>
      </c>
      <c r="D11692" s="3" t="s">
        <v>192</v>
      </c>
      <c r="E11692" s="3" t="s">
        <v>103</v>
      </c>
      <c r="F11692" s="3" t="s">
        <v>103</v>
      </c>
      <c r="G11692" s="3" t="s">
        <v>103</v>
      </c>
      <c r="H11692" s="3" t="s">
        <v>103</v>
      </c>
    </row>
    <row r="11693" spans="1:8" s="3" customFormat="1" x14ac:dyDescent="0.3">
      <c r="A11693" s="3" t="s">
        <v>27</v>
      </c>
      <c r="B11693" s="3" t="s">
        <v>640</v>
      </c>
      <c r="C11693" s="3">
        <v>1</v>
      </c>
      <c r="D11693" s="3" t="s">
        <v>192</v>
      </c>
      <c r="E11693" s="3" t="s">
        <v>103</v>
      </c>
      <c r="F11693" s="3" t="s">
        <v>103</v>
      </c>
      <c r="G11693" s="3" t="s">
        <v>103</v>
      </c>
      <c r="H11693" s="3" t="s">
        <v>103</v>
      </c>
    </row>
    <row r="11694" spans="1:8" s="3" customFormat="1" x14ac:dyDescent="0.3">
      <c r="A11694" s="3" t="s">
        <v>27</v>
      </c>
      <c r="B11694" s="3" t="s">
        <v>2765</v>
      </c>
      <c r="C11694" s="3">
        <v>1</v>
      </c>
      <c r="D11694" s="3" t="s">
        <v>192</v>
      </c>
      <c r="E11694" s="3" t="s">
        <v>103</v>
      </c>
      <c r="F11694" s="3" t="s">
        <v>103</v>
      </c>
      <c r="G11694" s="3" t="s">
        <v>103</v>
      </c>
      <c r="H11694" s="3" t="s">
        <v>103</v>
      </c>
    </row>
    <row r="11695" spans="1:8" s="3" customFormat="1" x14ac:dyDescent="0.3">
      <c r="A11695" s="3" t="s">
        <v>27</v>
      </c>
      <c r="B11695" s="3" t="s">
        <v>641</v>
      </c>
      <c r="C11695" s="3">
        <v>1</v>
      </c>
      <c r="D11695" s="3" t="s">
        <v>103</v>
      </c>
      <c r="E11695" s="3" t="s">
        <v>103</v>
      </c>
      <c r="F11695" s="3" t="s">
        <v>103</v>
      </c>
      <c r="G11695" s="3" t="s">
        <v>192</v>
      </c>
      <c r="H11695" s="3" t="s">
        <v>103</v>
      </c>
    </row>
    <row r="11696" spans="1:8" x14ac:dyDescent="0.3">
      <c r="A11696" t="s">
        <v>27</v>
      </c>
      <c r="B11696" t="s">
        <v>308</v>
      </c>
      <c r="C11696">
        <v>295</v>
      </c>
      <c r="D11696" t="s">
        <v>869</v>
      </c>
      <c r="E11696" t="s">
        <v>120</v>
      </c>
      <c r="F11696" t="s">
        <v>103</v>
      </c>
      <c r="G11696" t="s">
        <v>607</v>
      </c>
      <c r="H11696" t="s">
        <v>103</v>
      </c>
    </row>
    <row r="11697" spans="1:8" s="3" customFormat="1" x14ac:dyDescent="0.3">
      <c r="A11697" s="3" t="s">
        <v>41</v>
      </c>
      <c r="B11697" s="3" t="s">
        <v>638</v>
      </c>
      <c r="C11697" s="3">
        <v>20</v>
      </c>
      <c r="D11697" s="3" t="s">
        <v>1348</v>
      </c>
      <c r="E11697" s="3" t="s">
        <v>100</v>
      </c>
      <c r="F11697" s="3" t="s">
        <v>103</v>
      </c>
      <c r="G11697" s="3" t="s">
        <v>106</v>
      </c>
      <c r="H11697" s="3" t="s">
        <v>103</v>
      </c>
    </row>
    <row r="11698" spans="1:8" x14ac:dyDescent="0.3">
      <c r="A11698" t="s">
        <v>41</v>
      </c>
      <c r="B11698" t="s">
        <v>639</v>
      </c>
      <c r="C11698">
        <v>42</v>
      </c>
      <c r="D11698" t="s">
        <v>818</v>
      </c>
      <c r="E11698" t="s">
        <v>468</v>
      </c>
      <c r="F11698" t="s">
        <v>270</v>
      </c>
      <c r="G11698" t="s">
        <v>232</v>
      </c>
      <c r="H11698" t="s">
        <v>103</v>
      </c>
    </row>
    <row r="11699" spans="1:8" x14ac:dyDescent="0.3">
      <c r="A11699" t="s">
        <v>41</v>
      </c>
      <c r="B11699" t="s">
        <v>640</v>
      </c>
      <c r="C11699">
        <v>44</v>
      </c>
      <c r="D11699" t="s">
        <v>372</v>
      </c>
      <c r="E11699" t="s">
        <v>264</v>
      </c>
      <c r="F11699" t="s">
        <v>195</v>
      </c>
      <c r="G11699" t="s">
        <v>528</v>
      </c>
      <c r="H11699" t="s">
        <v>139</v>
      </c>
    </row>
    <row r="11700" spans="1:8" s="3" customFormat="1" x14ac:dyDescent="0.3">
      <c r="A11700" s="3" t="s">
        <v>41</v>
      </c>
      <c r="B11700" s="3" t="s">
        <v>2765</v>
      </c>
      <c r="C11700" s="3">
        <v>13</v>
      </c>
      <c r="D11700" s="3" t="s">
        <v>1015</v>
      </c>
      <c r="E11700" s="3" t="s">
        <v>495</v>
      </c>
      <c r="F11700" s="3" t="s">
        <v>103</v>
      </c>
      <c r="G11700" s="3" t="s">
        <v>355</v>
      </c>
      <c r="H11700" s="3" t="s">
        <v>103</v>
      </c>
    </row>
    <row r="11701" spans="1:8" s="3" customFormat="1" x14ac:dyDescent="0.3">
      <c r="A11701" s="3" t="s">
        <v>41</v>
      </c>
      <c r="B11701" s="3" t="s">
        <v>641</v>
      </c>
      <c r="C11701" s="3">
        <v>28</v>
      </c>
      <c r="D11701" s="3" t="s">
        <v>1241</v>
      </c>
      <c r="E11701" s="3" t="s">
        <v>230</v>
      </c>
      <c r="F11701" s="3" t="s">
        <v>103</v>
      </c>
      <c r="G11701" s="3" t="s">
        <v>99</v>
      </c>
      <c r="H11701" s="3" t="s">
        <v>266</v>
      </c>
    </row>
    <row r="11702" spans="1:8" s="3" customFormat="1" x14ac:dyDescent="0.3">
      <c r="A11702" s="3" t="s">
        <v>41</v>
      </c>
      <c r="B11702" s="3" t="s">
        <v>2769</v>
      </c>
      <c r="C11702" s="3">
        <v>12</v>
      </c>
      <c r="D11702" s="3" t="s">
        <v>65</v>
      </c>
      <c r="E11702" s="3" t="s">
        <v>64</v>
      </c>
      <c r="F11702" s="3" t="s">
        <v>103</v>
      </c>
      <c r="G11702" s="3" t="s">
        <v>103</v>
      </c>
      <c r="H11702" s="3" t="s">
        <v>103</v>
      </c>
    </row>
    <row r="11703" spans="1:8" x14ac:dyDescent="0.3">
      <c r="A11703" t="s">
        <v>41</v>
      </c>
      <c r="B11703" t="s">
        <v>308</v>
      </c>
      <c r="C11703">
        <v>1879</v>
      </c>
      <c r="D11703" t="s">
        <v>1308</v>
      </c>
      <c r="E11703" t="s">
        <v>493</v>
      </c>
      <c r="F11703" t="s">
        <v>105</v>
      </c>
      <c r="G11703" t="s">
        <v>247</v>
      </c>
      <c r="H11703" t="s">
        <v>282</v>
      </c>
    </row>
    <row r="11705" spans="1:8" x14ac:dyDescent="0.3">
      <c r="A11705" t="s">
        <v>2821</v>
      </c>
    </row>
    <row r="11706" spans="1:8" x14ac:dyDescent="0.3">
      <c r="A11706" t="s">
        <v>36</v>
      </c>
      <c r="B11706" t="s">
        <v>2771</v>
      </c>
      <c r="C11706" t="s">
        <v>24</v>
      </c>
      <c r="D11706" t="s">
        <v>58</v>
      </c>
      <c r="E11706" t="s">
        <v>2810</v>
      </c>
      <c r="F11706" t="s">
        <v>2811</v>
      </c>
      <c r="G11706" t="s">
        <v>2812</v>
      </c>
      <c r="H11706" t="s">
        <v>1566</v>
      </c>
    </row>
    <row r="11707" spans="1:8" s="3" customFormat="1" x14ac:dyDescent="0.3">
      <c r="A11707" s="3" t="s">
        <v>25</v>
      </c>
      <c r="B11707" s="3" t="s">
        <v>2772</v>
      </c>
      <c r="C11707" s="3">
        <v>1</v>
      </c>
      <c r="D11707" s="3" t="s">
        <v>192</v>
      </c>
      <c r="E11707" s="3" t="s">
        <v>103</v>
      </c>
      <c r="F11707" s="3" t="s">
        <v>103</v>
      </c>
      <c r="G11707" s="3" t="s">
        <v>103</v>
      </c>
      <c r="H11707" s="3" t="s">
        <v>103</v>
      </c>
    </row>
    <row r="11708" spans="1:8" s="3" customFormat="1" x14ac:dyDescent="0.3">
      <c r="A11708" s="3" t="s">
        <v>25</v>
      </c>
      <c r="B11708" s="3" t="s">
        <v>2773</v>
      </c>
      <c r="C11708" s="3">
        <v>3</v>
      </c>
      <c r="D11708" s="3" t="s">
        <v>192</v>
      </c>
      <c r="E11708" s="3" t="s">
        <v>103</v>
      </c>
      <c r="F11708" s="3" t="s">
        <v>103</v>
      </c>
      <c r="G11708" s="3" t="s">
        <v>103</v>
      </c>
      <c r="H11708" s="3" t="s">
        <v>103</v>
      </c>
    </row>
    <row r="11709" spans="1:8" s="3" customFormat="1" x14ac:dyDescent="0.3">
      <c r="A11709" s="3" t="s">
        <v>25</v>
      </c>
      <c r="B11709" s="3" t="s">
        <v>2774</v>
      </c>
      <c r="C11709" s="3">
        <v>9</v>
      </c>
      <c r="D11709" s="3" t="s">
        <v>725</v>
      </c>
      <c r="E11709" s="3" t="s">
        <v>469</v>
      </c>
      <c r="F11709" s="3" t="s">
        <v>103</v>
      </c>
      <c r="G11709" s="3" t="s">
        <v>103</v>
      </c>
      <c r="H11709" s="3" t="s">
        <v>103</v>
      </c>
    </row>
    <row r="11710" spans="1:8" s="3" customFormat="1" x14ac:dyDescent="0.3">
      <c r="A11710" s="3" t="s">
        <v>25</v>
      </c>
      <c r="B11710" s="3" t="s">
        <v>2775</v>
      </c>
      <c r="C11710" s="3">
        <v>21</v>
      </c>
      <c r="D11710" s="3" t="s">
        <v>286</v>
      </c>
      <c r="E11710" s="3" t="s">
        <v>493</v>
      </c>
      <c r="F11710" s="3" t="s">
        <v>103</v>
      </c>
      <c r="G11710" s="3" t="s">
        <v>103</v>
      </c>
      <c r="H11710" s="3" t="s">
        <v>103</v>
      </c>
    </row>
    <row r="11711" spans="1:8" x14ac:dyDescent="0.3">
      <c r="A11711" t="s">
        <v>25</v>
      </c>
      <c r="B11711" t="s">
        <v>2776</v>
      </c>
      <c r="C11711">
        <v>51</v>
      </c>
      <c r="D11711" t="s">
        <v>738</v>
      </c>
      <c r="E11711" t="s">
        <v>125</v>
      </c>
      <c r="F11711" t="s">
        <v>208</v>
      </c>
      <c r="G11711" t="s">
        <v>266</v>
      </c>
      <c r="H11711" t="s">
        <v>103</v>
      </c>
    </row>
    <row r="11712" spans="1:8" x14ac:dyDescent="0.3">
      <c r="A11712" t="s">
        <v>25</v>
      </c>
      <c r="B11712" t="s">
        <v>2777</v>
      </c>
      <c r="C11712">
        <v>151</v>
      </c>
      <c r="D11712" t="s">
        <v>174</v>
      </c>
      <c r="E11712" t="s">
        <v>112</v>
      </c>
      <c r="F11712" t="s">
        <v>217</v>
      </c>
      <c r="G11712" t="s">
        <v>112</v>
      </c>
      <c r="H11712" t="s">
        <v>345</v>
      </c>
    </row>
    <row r="11713" spans="1:8" x14ac:dyDescent="0.3">
      <c r="A11713" t="s">
        <v>25</v>
      </c>
      <c r="B11713" t="s">
        <v>2778</v>
      </c>
      <c r="C11713">
        <v>174</v>
      </c>
      <c r="D11713" t="s">
        <v>1371</v>
      </c>
      <c r="E11713" t="s">
        <v>452</v>
      </c>
      <c r="F11713" t="s">
        <v>466</v>
      </c>
      <c r="G11713" t="s">
        <v>195</v>
      </c>
      <c r="H11713" t="s">
        <v>120</v>
      </c>
    </row>
    <row r="11714" spans="1:8" s="3" customFormat="1" x14ac:dyDescent="0.3">
      <c r="A11714" s="3" t="s">
        <v>25</v>
      </c>
      <c r="B11714" s="3" t="s">
        <v>223</v>
      </c>
      <c r="C11714" s="3">
        <v>2</v>
      </c>
      <c r="D11714" s="3" t="s">
        <v>192</v>
      </c>
      <c r="E11714" s="3" t="s">
        <v>103</v>
      </c>
      <c r="F11714" s="3" t="s">
        <v>103</v>
      </c>
      <c r="G11714" s="3" t="s">
        <v>103</v>
      </c>
      <c r="H11714" s="3" t="s">
        <v>103</v>
      </c>
    </row>
    <row r="11715" spans="1:8" x14ac:dyDescent="0.3">
      <c r="A11715" t="s">
        <v>25</v>
      </c>
      <c r="B11715" t="s">
        <v>308</v>
      </c>
      <c r="C11715">
        <v>2</v>
      </c>
      <c r="D11715" t="s">
        <v>1199</v>
      </c>
      <c r="E11715" t="s">
        <v>1284</v>
      </c>
      <c r="F11715" t="s">
        <v>103</v>
      </c>
      <c r="G11715" t="s">
        <v>103</v>
      </c>
      <c r="H11715" t="s">
        <v>103</v>
      </c>
    </row>
    <row r="11716" spans="1:8" s="3" customFormat="1" x14ac:dyDescent="0.3">
      <c r="A11716" s="3" t="s">
        <v>26</v>
      </c>
      <c r="B11716" s="3" t="s">
        <v>2772</v>
      </c>
      <c r="C11716" s="3">
        <v>3</v>
      </c>
      <c r="D11716" s="3" t="s">
        <v>1199</v>
      </c>
      <c r="E11716" s="3" t="s">
        <v>103</v>
      </c>
      <c r="F11716" s="3" t="s">
        <v>103</v>
      </c>
      <c r="G11716" s="3" t="s">
        <v>1284</v>
      </c>
      <c r="H11716" s="3" t="s">
        <v>103</v>
      </c>
    </row>
    <row r="11717" spans="1:8" s="3" customFormat="1" x14ac:dyDescent="0.3">
      <c r="A11717" s="3" t="s">
        <v>26</v>
      </c>
      <c r="B11717" s="3" t="s">
        <v>2773</v>
      </c>
      <c r="C11717" s="3">
        <v>8</v>
      </c>
      <c r="D11717" s="3" t="s">
        <v>238</v>
      </c>
      <c r="E11717" s="3" t="s">
        <v>550</v>
      </c>
      <c r="F11717" s="3" t="s">
        <v>103</v>
      </c>
      <c r="G11717" s="3" t="s">
        <v>103</v>
      </c>
      <c r="H11717" s="3" t="s">
        <v>103</v>
      </c>
    </row>
    <row r="11718" spans="1:8" s="3" customFormat="1" x14ac:dyDescent="0.3">
      <c r="A11718" s="3" t="s">
        <v>26</v>
      </c>
      <c r="B11718" s="3" t="s">
        <v>2774</v>
      </c>
      <c r="C11718" s="3">
        <v>22</v>
      </c>
      <c r="D11718" s="3" t="s">
        <v>1374</v>
      </c>
      <c r="E11718" s="3" t="s">
        <v>103</v>
      </c>
      <c r="F11718" s="3" t="s">
        <v>103</v>
      </c>
      <c r="G11718" s="3" t="s">
        <v>1097</v>
      </c>
      <c r="H11718" s="3" t="s">
        <v>103</v>
      </c>
    </row>
    <row r="11719" spans="1:8" x14ac:dyDescent="0.3">
      <c r="A11719" t="s">
        <v>26</v>
      </c>
      <c r="B11719" t="s">
        <v>2775</v>
      </c>
      <c r="C11719">
        <v>33</v>
      </c>
      <c r="D11719" t="s">
        <v>1031</v>
      </c>
      <c r="E11719" t="s">
        <v>110</v>
      </c>
      <c r="F11719" t="s">
        <v>103</v>
      </c>
      <c r="G11719" t="s">
        <v>921</v>
      </c>
      <c r="H11719" t="s">
        <v>103</v>
      </c>
    </row>
    <row r="11720" spans="1:8" x14ac:dyDescent="0.3">
      <c r="A11720" t="s">
        <v>26</v>
      </c>
      <c r="B11720" t="s">
        <v>2776</v>
      </c>
      <c r="C11720">
        <v>86</v>
      </c>
      <c r="D11720" t="s">
        <v>785</v>
      </c>
      <c r="E11720" t="s">
        <v>329</v>
      </c>
      <c r="F11720" t="s">
        <v>208</v>
      </c>
      <c r="G11720" t="s">
        <v>1008</v>
      </c>
      <c r="H11720" t="s">
        <v>103</v>
      </c>
    </row>
    <row r="11721" spans="1:8" x14ac:dyDescent="0.3">
      <c r="A11721" t="s">
        <v>26</v>
      </c>
      <c r="B11721" t="s">
        <v>2777</v>
      </c>
      <c r="C11721">
        <v>192</v>
      </c>
      <c r="D11721" t="s">
        <v>1361</v>
      </c>
      <c r="E11721" t="s">
        <v>102</v>
      </c>
      <c r="F11721" t="s">
        <v>208</v>
      </c>
      <c r="G11721" t="s">
        <v>518</v>
      </c>
      <c r="H11721" t="s">
        <v>282</v>
      </c>
    </row>
    <row r="11722" spans="1:8" x14ac:dyDescent="0.3">
      <c r="A11722" t="s">
        <v>26</v>
      </c>
      <c r="B11722" t="s">
        <v>2778</v>
      </c>
      <c r="C11722">
        <v>126</v>
      </c>
      <c r="D11722" t="s">
        <v>1141</v>
      </c>
      <c r="E11722" t="s">
        <v>114</v>
      </c>
      <c r="F11722" t="s">
        <v>116</v>
      </c>
      <c r="G11722" t="s">
        <v>171</v>
      </c>
      <c r="H11722" t="s">
        <v>116</v>
      </c>
    </row>
    <row r="11723" spans="1:8" x14ac:dyDescent="0.3">
      <c r="A11723" t="s">
        <v>26</v>
      </c>
      <c r="B11723" t="s">
        <v>308</v>
      </c>
      <c r="C11723">
        <v>7</v>
      </c>
      <c r="D11723" t="s">
        <v>1252</v>
      </c>
      <c r="E11723" t="s">
        <v>275</v>
      </c>
      <c r="F11723" t="s">
        <v>103</v>
      </c>
      <c r="G11723" t="s">
        <v>525</v>
      </c>
      <c r="H11723" t="s">
        <v>103</v>
      </c>
    </row>
    <row r="11724" spans="1:8" s="3" customFormat="1" x14ac:dyDescent="0.3">
      <c r="A11724" s="3" t="s">
        <v>29</v>
      </c>
      <c r="B11724" s="3" t="s">
        <v>2772</v>
      </c>
      <c r="C11724" s="3">
        <v>2</v>
      </c>
      <c r="D11724" s="3" t="s">
        <v>192</v>
      </c>
      <c r="E11724" s="3" t="s">
        <v>103</v>
      </c>
      <c r="F11724" s="3" t="s">
        <v>103</v>
      </c>
      <c r="G11724" s="3" t="s">
        <v>103</v>
      </c>
      <c r="H11724" s="3" t="s">
        <v>103</v>
      </c>
    </row>
    <row r="11725" spans="1:8" s="3" customFormat="1" x14ac:dyDescent="0.3">
      <c r="A11725" s="3" t="s">
        <v>29</v>
      </c>
      <c r="B11725" s="3" t="s">
        <v>2773</v>
      </c>
      <c r="C11725" s="3">
        <v>8</v>
      </c>
      <c r="D11725" s="3" t="s">
        <v>1374</v>
      </c>
      <c r="E11725" s="3" t="s">
        <v>103</v>
      </c>
      <c r="F11725" s="3" t="s">
        <v>103</v>
      </c>
      <c r="G11725" s="3" t="s">
        <v>1097</v>
      </c>
      <c r="H11725" s="3" t="s">
        <v>103</v>
      </c>
    </row>
    <row r="11726" spans="1:8" s="3" customFormat="1" x14ac:dyDescent="0.3">
      <c r="A11726" s="3" t="s">
        <v>29</v>
      </c>
      <c r="B11726" s="3" t="s">
        <v>2774</v>
      </c>
      <c r="C11726" s="3">
        <v>21</v>
      </c>
      <c r="D11726" s="3" t="s">
        <v>599</v>
      </c>
      <c r="E11726" s="3" t="s">
        <v>271</v>
      </c>
      <c r="F11726" s="3" t="s">
        <v>103</v>
      </c>
      <c r="G11726" s="3" t="s">
        <v>103</v>
      </c>
      <c r="H11726" s="3" t="s">
        <v>103</v>
      </c>
    </row>
    <row r="11727" spans="1:8" x14ac:dyDescent="0.3">
      <c r="A11727" t="s">
        <v>29</v>
      </c>
      <c r="B11727" t="s">
        <v>2775</v>
      </c>
      <c r="C11727">
        <v>31</v>
      </c>
      <c r="D11727" t="s">
        <v>1177</v>
      </c>
      <c r="E11727" t="s">
        <v>90</v>
      </c>
      <c r="F11727" t="s">
        <v>103</v>
      </c>
      <c r="G11727" t="s">
        <v>103</v>
      </c>
      <c r="H11727" t="s">
        <v>103</v>
      </c>
    </row>
    <row r="11728" spans="1:8" x14ac:dyDescent="0.3">
      <c r="A11728" t="s">
        <v>29</v>
      </c>
      <c r="B11728" t="s">
        <v>2776</v>
      </c>
      <c r="C11728">
        <v>65</v>
      </c>
      <c r="D11728" t="s">
        <v>752</v>
      </c>
      <c r="E11728" t="s">
        <v>270</v>
      </c>
      <c r="F11728" t="s">
        <v>103</v>
      </c>
      <c r="G11728" t="s">
        <v>345</v>
      </c>
      <c r="H11728" t="s">
        <v>245</v>
      </c>
    </row>
    <row r="11729" spans="1:8" x14ac:dyDescent="0.3">
      <c r="A11729" t="s">
        <v>29</v>
      </c>
      <c r="B11729" t="s">
        <v>2777</v>
      </c>
      <c r="C11729">
        <v>219</v>
      </c>
      <c r="D11729" t="s">
        <v>274</v>
      </c>
      <c r="E11729" t="s">
        <v>186</v>
      </c>
      <c r="F11729" t="s">
        <v>245</v>
      </c>
      <c r="G11729" t="s">
        <v>146</v>
      </c>
      <c r="H11729" t="s">
        <v>245</v>
      </c>
    </row>
    <row r="11730" spans="1:8" x14ac:dyDescent="0.3">
      <c r="A11730" t="s">
        <v>29</v>
      </c>
      <c r="B11730" t="s">
        <v>2778</v>
      </c>
      <c r="C11730">
        <v>183</v>
      </c>
      <c r="D11730" t="s">
        <v>775</v>
      </c>
      <c r="E11730" t="s">
        <v>591</v>
      </c>
      <c r="F11730" t="s">
        <v>93</v>
      </c>
      <c r="G11730" t="s">
        <v>254</v>
      </c>
      <c r="H11730" t="s">
        <v>245</v>
      </c>
    </row>
    <row r="11731" spans="1:8" x14ac:dyDescent="0.3">
      <c r="A11731" t="s">
        <v>29</v>
      </c>
      <c r="B11731" t="s">
        <v>308</v>
      </c>
      <c r="C11731">
        <v>1</v>
      </c>
      <c r="D11731" t="s">
        <v>192</v>
      </c>
      <c r="E11731" t="s">
        <v>103</v>
      </c>
      <c r="F11731" t="s">
        <v>103</v>
      </c>
      <c r="G11731" t="s">
        <v>103</v>
      </c>
      <c r="H11731" t="s">
        <v>103</v>
      </c>
    </row>
    <row r="11732" spans="1:8" x14ac:dyDescent="0.3">
      <c r="A11732" t="s">
        <v>28</v>
      </c>
      <c r="B11732" t="s">
        <v>2772</v>
      </c>
      <c r="C11732">
        <v>39</v>
      </c>
      <c r="D11732" t="s">
        <v>279</v>
      </c>
      <c r="E11732" t="s">
        <v>103</v>
      </c>
      <c r="F11732" t="s">
        <v>103</v>
      </c>
      <c r="G11732" t="s">
        <v>32</v>
      </c>
      <c r="H11732" t="s">
        <v>103</v>
      </c>
    </row>
    <row r="11733" spans="1:8" x14ac:dyDescent="0.3">
      <c r="A11733" t="s">
        <v>28</v>
      </c>
      <c r="B11733" t="s">
        <v>2773</v>
      </c>
      <c r="C11733">
        <v>57</v>
      </c>
      <c r="D11733" t="s">
        <v>274</v>
      </c>
      <c r="E11733" t="s">
        <v>103</v>
      </c>
      <c r="F11733" t="s">
        <v>103</v>
      </c>
      <c r="G11733" t="s">
        <v>474</v>
      </c>
      <c r="H11733" t="s">
        <v>103</v>
      </c>
    </row>
    <row r="11734" spans="1:8" s="3" customFormat="1" x14ac:dyDescent="0.3">
      <c r="A11734" s="3" t="s">
        <v>28</v>
      </c>
      <c r="B11734" s="3" t="s">
        <v>2774</v>
      </c>
      <c r="C11734" s="3">
        <v>30</v>
      </c>
      <c r="D11734" s="3" t="s">
        <v>328</v>
      </c>
      <c r="E11734" s="3" t="s">
        <v>103</v>
      </c>
      <c r="F11734" s="3" t="s">
        <v>103</v>
      </c>
      <c r="G11734" s="3" t="s">
        <v>103</v>
      </c>
      <c r="H11734" s="3" t="s">
        <v>329</v>
      </c>
    </row>
    <row r="11735" spans="1:8" x14ac:dyDescent="0.3">
      <c r="A11735" t="s">
        <v>28</v>
      </c>
      <c r="B11735" t="s">
        <v>2775</v>
      </c>
      <c r="C11735">
        <v>41</v>
      </c>
      <c r="D11735" t="s">
        <v>49</v>
      </c>
      <c r="E11735" t="s">
        <v>103</v>
      </c>
      <c r="F11735" t="s">
        <v>113</v>
      </c>
      <c r="G11735" t="s">
        <v>152</v>
      </c>
      <c r="H11735" t="s">
        <v>329</v>
      </c>
    </row>
    <row r="11736" spans="1:8" x14ac:dyDescent="0.3">
      <c r="A11736" t="s">
        <v>28</v>
      </c>
      <c r="B11736" t="s">
        <v>2776</v>
      </c>
      <c r="C11736">
        <v>45</v>
      </c>
      <c r="D11736" t="s">
        <v>200</v>
      </c>
      <c r="E11736" t="s">
        <v>468</v>
      </c>
      <c r="F11736" t="s">
        <v>103</v>
      </c>
      <c r="G11736" t="s">
        <v>68</v>
      </c>
      <c r="H11736" t="s">
        <v>103</v>
      </c>
    </row>
    <row r="11737" spans="1:8" x14ac:dyDescent="0.3">
      <c r="A11737" t="s">
        <v>28</v>
      </c>
      <c r="B11737" t="s">
        <v>2777</v>
      </c>
      <c r="C11737">
        <v>55</v>
      </c>
      <c r="D11737" t="s">
        <v>889</v>
      </c>
      <c r="E11737" t="s">
        <v>594</v>
      </c>
      <c r="F11737" t="s">
        <v>103</v>
      </c>
      <c r="G11737" t="s">
        <v>186</v>
      </c>
      <c r="H11737" t="s">
        <v>103</v>
      </c>
    </row>
    <row r="11738" spans="1:8" x14ac:dyDescent="0.3">
      <c r="A11738" t="s">
        <v>28</v>
      </c>
      <c r="B11738" t="s">
        <v>2778</v>
      </c>
      <c r="C11738">
        <v>44</v>
      </c>
      <c r="D11738" t="s">
        <v>233</v>
      </c>
      <c r="E11738" t="s">
        <v>440</v>
      </c>
      <c r="F11738" t="s">
        <v>103</v>
      </c>
      <c r="G11738" t="s">
        <v>103</v>
      </c>
      <c r="H11738" t="s">
        <v>103</v>
      </c>
    </row>
    <row r="11739" spans="1:8" x14ac:dyDescent="0.3">
      <c r="A11739" t="s">
        <v>28</v>
      </c>
      <c r="B11739" t="s">
        <v>308</v>
      </c>
      <c r="C11739">
        <v>6</v>
      </c>
      <c r="D11739" t="s">
        <v>620</v>
      </c>
      <c r="E11739" t="s">
        <v>1057</v>
      </c>
      <c r="F11739" t="s">
        <v>103</v>
      </c>
      <c r="G11739" t="s">
        <v>103</v>
      </c>
      <c r="H11739" t="s">
        <v>103</v>
      </c>
    </row>
    <row r="11740" spans="1:8" s="3" customFormat="1" x14ac:dyDescent="0.3">
      <c r="A11740" s="3" t="s">
        <v>27</v>
      </c>
      <c r="B11740" s="3" t="s">
        <v>2772</v>
      </c>
      <c r="C11740" s="3">
        <v>10</v>
      </c>
      <c r="D11740" s="3" t="s">
        <v>192</v>
      </c>
      <c r="E11740" s="3" t="s">
        <v>103</v>
      </c>
      <c r="F11740" s="3" t="s">
        <v>103</v>
      </c>
      <c r="G11740" s="3" t="s">
        <v>103</v>
      </c>
      <c r="H11740" s="3" t="s">
        <v>103</v>
      </c>
    </row>
    <row r="11741" spans="1:8" s="3" customFormat="1" x14ac:dyDescent="0.3">
      <c r="A11741" s="3" t="s">
        <v>27</v>
      </c>
      <c r="B11741" s="3" t="s">
        <v>2773</v>
      </c>
      <c r="C11741" s="3">
        <v>9</v>
      </c>
      <c r="D11741" s="3" t="s">
        <v>192</v>
      </c>
      <c r="E11741" s="3" t="s">
        <v>103</v>
      </c>
      <c r="F11741" s="3" t="s">
        <v>103</v>
      </c>
      <c r="G11741" s="3" t="s">
        <v>103</v>
      </c>
      <c r="H11741" s="3" t="s">
        <v>103</v>
      </c>
    </row>
    <row r="11742" spans="1:8" s="3" customFormat="1" x14ac:dyDescent="0.3">
      <c r="A11742" s="3" t="s">
        <v>27</v>
      </c>
      <c r="B11742" s="3" t="s">
        <v>2774</v>
      </c>
      <c r="C11742" s="3">
        <v>18</v>
      </c>
      <c r="D11742" s="3" t="s">
        <v>2104</v>
      </c>
      <c r="E11742" s="3" t="s">
        <v>103</v>
      </c>
      <c r="F11742" s="3" t="s">
        <v>103</v>
      </c>
      <c r="G11742" s="3" t="s">
        <v>829</v>
      </c>
      <c r="H11742" s="3" t="s">
        <v>103</v>
      </c>
    </row>
    <row r="11743" spans="1:8" x14ac:dyDescent="0.3">
      <c r="A11743" t="s">
        <v>27</v>
      </c>
      <c r="B11743" t="s">
        <v>2775</v>
      </c>
      <c r="C11743">
        <v>33</v>
      </c>
      <c r="D11743" t="s">
        <v>192</v>
      </c>
      <c r="E11743" t="s">
        <v>103</v>
      </c>
      <c r="F11743" t="s">
        <v>103</v>
      </c>
      <c r="G11743" t="s">
        <v>103</v>
      </c>
      <c r="H11743" t="s">
        <v>103</v>
      </c>
    </row>
    <row r="11744" spans="1:8" x14ac:dyDescent="0.3">
      <c r="A11744" t="s">
        <v>27</v>
      </c>
      <c r="B11744" t="s">
        <v>2776</v>
      </c>
      <c r="C11744">
        <v>65</v>
      </c>
      <c r="D11744" t="s">
        <v>849</v>
      </c>
      <c r="E11744" t="s">
        <v>245</v>
      </c>
      <c r="F11744" t="s">
        <v>103</v>
      </c>
      <c r="G11744" t="s">
        <v>107</v>
      </c>
      <c r="H11744" t="s">
        <v>103</v>
      </c>
    </row>
    <row r="11745" spans="1:8" x14ac:dyDescent="0.3">
      <c r="A11745" t="s">
        <v>27</v>
      </c>
      <c r="B11745" t="s">
        <v>2777</v>
      </c>
      <c r="C11745">
        <v>78</v>
      </c>
      <c r="D11745" t="s">
        <v>863</v>
      </c>
      <c r="E11745" t="s">
        <v>194</v>
      </c>
      <c r="F11745" t="s">
        <v>103</v>
      </c>
      <c r="G11745" t="s">
        <v>737</v>
      </c>
      <c r="H11745" t="s">
        <v>103</v>
      </c>
    </row>
    <row r="11746" spans="1:8" x14ac:dyDescent="0.3">
      <c r="A11746" t="s">
        <v>27</v>
      </c>
      <c r="B11746" t="s">
        <v>2778</v>
      </c>
      <c r="C11746">
        <v>70</v>
      </c>
      <c r="D11746" t="s">
        <v>168</v>
      </c>
      <c r="E11746" t="s">
        <v>103</v>
      </c>
      <c r="F11746" t="s">
        <v>103</v>
      </c>
      <c r="G11746" t="s">
        <v>167</v>
      </c>
      <c r="H11746" t="s">
        <v>103</v>
      </c>
    </row>
    <row r="11747" spans="1:8" s="3" customFormat="1" x14ac:dyDescent="0.3">
      <c r="A11747" s="3" t="s">
        <v>27</v>
      </c>
      <c r="B11747" s="3" t="s">
        <v>223</v>
      </c>
      <c r="C11747" s="3">
        <v>2</v>
      </c>
      <c r="D11747" s="3" t="s">
        <v>192</v>
      </c>
      <c r="E11747" s="3" t="s">
        <v>103</v>
      </c>
      <c r="F11747" s="3" t="s">
        <v>103</v>
      </c>
      <c r="G11747" s="3" t="s">
        <v>103</v>
      </c>
      <c r="H11747" s="3" t="s">
        <v>103</v>
      </c>
    </row>
    <row r="11748" spans="1:8" x14ac:dyDescent="0.3">
      <c r="A11748" t="s">
        <v>27</v>
      </c>
      <c r="B11748" t="s">
        <v>308</v>
      </c>
      <c r="C11748">
        <v>15</v>
      </c>
      <c r="D11748" t="s">
        <v>192</v>
      </c>
      <c r="E11748" t="s">
        <v>103</v>
      </c>
      <c r="F11748" t="s">
        <v>103</v>
      </c>
      <c r="G11748" t="s">
        <v>103</v>
      </c>
      <c r="H11748" t="s">
        <v>103</v>
      </c>
    </row>
    <row r="11749" spans="1:8" x14ac:dyDescent="0.3">
      <c r="A11749" t="s">
        <v>41</v>
      </c>
      <c r="B11749" t="s">
        <v>2772</v>
      </c>
      <c r="C11749">
        <v>55</v>
      </c>
      <c r="D11749" t="s">
        <v>871</v>
      </c>
      <c r="E11749" t="s">
        <v>103</v>
      </c>
      <c r="F11749" t="s">
        <v>103</v>
      </c>
      <c r="G11749" t="s">
        <v>224</v>
      </c>
      <c r="H11749" t="s">
        <v>103</v>
      </c>
    </row>
    <row r="11750" spans="1:8" x14ac:dyDescent="0.3">
      <c r="A11750" t="s">
        <v>41</v>
      </c>
      <c r="B11750" t="s">
        <v>2773</v>
      </c>
      <c r="C11750">
        <v>85</v>
      </c>
      <c r="D11750" t="s">
        <v>806</v>
      </c>
      <c r="E11750" t="s">
        <v>102</v>
      </c>
      <c r="F11750" t="s">
        <v>103</v>
      </c>
      <c r="G11750" t="s">
        <v>687</v>
      </c>
      <c r="H11750" t="s">
        <v>103</v>
      </c>
    </row>
    <row r="11751" spans="1:8" x14ac:dyDescent="0.3">
      <c r="A11751" t="s">
        <v>41</v>
      </c>
      <c r="B11751" t="s">
        <v>2774</v>
      </c>
      <c r="C11751">
        <v>100</v>
      </c>
      <c r="D11751" t="s">
        <v>143</v>
      </c>
      <c r="E11751" t="s">
        <v>190</v>
      </c>
      <c r="F11751" t="s">
        <v>103</v>
      </c>
      <c r="G11751" t="s">
        <v>119</v>
      </c>
      <c r="H11751" t="s">
        <v>66</v>
      </c>
    </row>
    <row r="11752" spans="1:8" x14ac:dyDescent="0.3">
      <c r="A11752" t="s">
        <v>41</v>
      </c>
      <c r="B11752" t="s">
        <v>2775</v>
      </c>
      <c r="C11752">
        <v>159</v>
      </c>
      <c r="D11752" t="s">
        <v>772</v>
      </c>
      <c r="E11752" t="s">
        <v>107</v>
      </c>
      <c r="F11752" t="s">
        <v>122</v>
      </c>
      <c r="G11752" t="s">
        <v>127</v>
      </c>
      <c r="H11752" t="s">
        <v>66</v>
      </c>
    </row>
    <row r="11753" spans="1:8" x14ac:dyDescent="0.3">
      <c r="A11753" t="s">
        <v>41</v>
      </c>
      <c r="B11753" t="s">
        <v>2776</v>
      </c>
      <c r="C11753">
        <v>312</v>
      </c>
      <c r="D11753" t="s">
        <v>605</v>
      </c>
      <c r="E11753" t="s">
        <v>217</v>
      </c>
      <c r="F11753" t="s">
        <v>98</v>
      </c>
      <c r="G11753" t="s">
        <v>99</v>
      </c>
      <c r="H11753" t="s">
        <v>95</v>
      </c>
    </row>
    <row r="11754" spans="1:8" x14ac:dyDescent="0.3">
      <c r="A11754" t="s">
        <v>41</v>
      </c>
      <c r="B11754" t="s">
        <v>2777</v>
      </c>
      <c r="C11754">
        <v>695</v>
      </c>
      <c r="D11754" t="s">
        <v>274</v>
      </c>
      <c r="E11754" t="s">
        <v>107</v>
      </c>
      <c r="F11754" t="s">
        <v>105</v>
      </c>
      <c r="G11754" t="s">
        <v>543</v>
      </c>
      <c r="H11754" t="s">
        <v>194</v>
      </c>
    </row>
    <row r="11755" spans="1:8" x14ac:dyDescent="0.3">
      <c r="A11755" t="s">
        <v>41</v>
      </c>
      <c r="B11755" t="s">
        <v>2778</v>
      </c>
      <c r="C11755">
        <v>597</v>
      </c>
      <c r="D11755" t="s">
        <v>202</v>
      </c>
      <c r="E11755" t="s">
        <v>33</v>
      </c>
      <c r="F11755" t="s">
        <v>266</v>
      </c>
      <c r="G11755" t="s">
        <v>90</v>
      </c>
      <c r="H11755" t="s">
        <v>345</v>
      </c>
    </row>
    <row r="11756" spans="1:8" s="3" customFormat="1" x14ac:dyDescent="0.3">
      <c r="A11756" s="3" t="s">
        <v>41</v>
      </c>
      <c r="B11756" s="3" t="s">
        <v>223</v>
      </c>
      <c r="C11756" s="3">
        <v>4</v>
      </c>
      <c r="D11756" s="3" t="s">
        <v>192</v>
      </c>
      <c r="E11756" s="3" t="s">
        <v>103</v>
      </c>
      <c r="F11756" s="3" t="s">
        <v>103</v>
      </c>
      <c r="G11756" s="3" t="s">
        <v>103</v>
      </c>
      <c r="H11756" s="3" t="s">
        <v>103</v>
      </c>
    </row>
    <row r="11757" spans="1:8" x14ac:dyDescent="0.3">
      <c r="A11757" t="s">
        <v>41</v>
      </c>
      <c r="B11757" t="s">
        <v>308</v>
      </c>
      <c r="C11757">
        <v>31</v>
      </c>
      <c r="D11757" t="s">
        <v>296</v>
      </c>
      <c r="E11757" t="s">
        <v>515</v>
      </c>
      <c r="F11757" t="s">
        <v>103</v>
      </c>
      <c r="G11757" t="s">
        <v>191</v>
      </c>
      <c r="H11757" t="s">
        <v>103</v>
      </c>
    </row>
    <row r="11759" spans="1:8" x14ac:dyDescent="0.3">
      <c r="A11759" t="s">
        <v>2822</v>
      </c>
    </row>
    <row r="11760" spans="1:8" x14ac:dyDescent="0.3">
      <c r="A11760" t="s">
        <v>36</v>
      </c>
      <c r="B11760" t="s">
        <v>197</v>
      </c>
      <c r="C11760" t="s">
        <v>24</v>
      </c>
      <c r="D11760" t="s">
        <v>58</v>
      </c>
      <c r="E11760" t="s">
        <v>1566</v>
      </c>
      <c r="F11760" t="s">
        <v>2810</v>
      </c>
      <c r="G11760" t="s">
        <v>2811</v>
      </c>
      <c r="H11760" t="s">
        <v>2812</v>
      </c>
    </row>
    <row r="11761" spans="1:11" x14ac:dyDescent="0.3">
      <c r="A11761" t="s">
        <v>25</v>
      </c>
      <c r="B11761" t="s">
        <v>198</v>
      </c>
      <c r="C11761">
        <v>104</v>
      </c>
      <c r="D11761" t="s">
        <v>897</v>
      </c>
      <c r="E11761" t="s">
        <v>95</v>
      </c>
      <c r="F11761" t="s">
        <v>133</v>
      </c>
      <c r="G11761" t="s">
        <v>272</v>
      </c>
      <c r="H11761" t="s">
        <v>133</v>
      </c>
    </row>
    <row r="11762" spans="1:11" x14ac:dyDescent="0.3">
      <c r="A11762" t="s">
        <v>25</v>
      </c>
      <c r="B11762" t="s">
        <v>199</v>
      </c>
      <c r="C11762">
        <v>310</v>
      </c>
      <c r="D11762" t="s">
        <v>1357</v>
      </c>
      <c r="E11762" t="s">
        <v>120</v>
      </c>
      <c r="F11762" t="s">
        <v>232</v>
      </c>
      <c r="G11762" t="s">
        <v>114</v>
      </c>
      <c r="H11762" t="s">
        <v>68</v>
      </c>
    </row>
    <row r="11763" spans="1:11" x14ac:dyDescent="0.3">
      <c r="A11763" t="s">
        <v>26</v>
      </c>
      <c r="B11763" t="s">
        <v>198</v>
      </c>
      <c r="C11763">
        <v>41</v>
      </c>
      <c r="D11763" t="s">
        <v>204</v>
      </c>
      <c r="E11763" t="s">
        <v>103</v>
      </c>
      <c r="F11763" t="s">
        <v>607</v>
      </c>
      <c r="G11763" t="s">
        <v>103</v>
      </c>
      <c r="H11763" t="s">
        <v>528</v>
      </c>
    </row>
    <row r="11764" spans="1:11" x14ac:dyDescent="0.3">
      <c r="A11764" t="s">
        <v>26</v>
      </c>
      <c r="B11764" t="s">
        <v>199</v>
      </c>
      <c r="C11764">
        <v>436</v>
      </c>
      <c r="D11764" t="s">
        <v>1239</v>
      </c>
      <c r="E11764" t="s">
        <v>97</v>
      </c>
      <c r="F11764" t="s">
        <v>272</v>
      </c>
      <c r="G11764" t="s">
        <v>110</v>
      </c>
      <c r="H11764" t="s">
        <v>56</v>
      </c>
    </row>
    <row r="11765" spans="1:11" x14ac:dyDescent="0.3">
      <c r="A11765" t="s">
        <v>29</v>
      </c>
      <c r="B11765" t="s">
        <v>198</v>
      </c>
      <c r="C11765">
        <v>170</v>
      </c>
      <c r="D11765" t="s">
        <v>725</v>
      </c>
      <c r="E11765" t="s">
        <v>103</v>
      </c>
      <c r="F11765" t="s">
        <v>94</v>
      </c>
      <c r="G11765" t="s">
        <v>110</v>
      </c>
      <c r="H11765" t="s">
        <v>575</v>
      </c>
    </row>
    <row r="11766" spans="1:11" x14ac:dyDescent="0.3">
      <c r="A11766" t="s">
        <v>29</v>
      </c>
      <c r="B11766" t="s">
        <v>199</v>
      </c>
      <c r="C11766">
        <v>360</v>
      </c>
      <c r="D11766" t="s">
        <v>870</v>
      </c>
      <c r="E11766" t="s">
        <v>93</v>
      </c>
      <c r="F11766" t="s">
        <v>438</v>
      </c>
      <c r="G11766" t="s">
        <v>110</v>
      </c>
      <c r="H11766" t="s">
        <v>575</v>
      </c>
    </row>
    <row r="11767" spans="1:11" x14ac:dyDescent="0.3">
      <c r="A11767" t="s">
        <v>28</v>
      </c>
      <c r="B11767" t="s">
        <v>198</v>
      </c>
      <c r="C11767">
        <v>70</v>
      </c>
      <c r="D11767" t="s">
        <v>903</v>
      </c>
      <c r="E11767" t="s">
        <v>103</v>
      </c>
      <c r="F11767" t="s">
        <v>102</v>
      </c>
      <c r="G11767" t="s">
        <v>329</v>
      </c>
      <c r="H11767" t="s">
        <v>269</v>
      </c>
    </row>
    <row r="11768" spans="1:11" x14ac:dyDescent="0.3">
      <c r="A11768" t="s">
        <v>28</v>
      </c>
      <c r="B11768" t="s">
        <v>199</v>
      </c>
      <c r="C11768">
        <v>247</v>
      </c>
      <c r="D11768" t="s">
        <v>772</v>
      </c>
      <c r="E11768" t="s">
        <v>120</v>
      </c>
      <c r="F11768" t="s">
        <v>101</v>
      </c>
      <c r="G11768" t="s">
        <v>103</v>
      </c>
      <c r="H11768" t="s">
        <v>615</v>
      </c>
    </row>
    <row r="11769" spans="1:11" x14ac:dyDescent="0.3">
      <c r="A11769" t="s">
        <v>27</v>
      </c>
      <c r="B11769" t="s">
        <v>198</v>
      </c>
      <c r="C11769">
        <v>136</v>
      </c>
      <c r="D11769" t="s">
        <v>861</v>
      </c>
      <c r="E11769" t="s">
        <v>103</v>
      </c>
      <c r="F11769" t="s">
        <v>103</v>
      </c>
      <c r="G11769" t="s">
        <v>103</v>
      </c>
      <c r="H11769" t="s">
        <v>113</v>
      </c>
    </row>
    <row r="11770" spans="1:11" x14ac:dyDescent="0.3">
      <c r="A11770" t="s">
        <v>27</v>
      </c>
      <c r="B11770" t="s">
        <v>199</v>
      </c>
      <c r="C11770">
        <v>164</v>
      </c>
      <c r="D11770" t="s">
        <v>771</v>
      </c>
      <c r="E11770" t="s">
        <v>103</v>
      </c>
      <c r="F11770" t="s">
        <v>468</v>
      </c>
      <c r="G11770" t="s">
        <v>103</v>
      </c>
      <c r="H11770" t="s">
        <v>191</v>
      </c>
    </row>
    <row r="11771" spans="1:11" x14ac:dyDescent="0.3">
      <c r="A11771" t="s">
        <v>41</v>
      </c>
      <c r="B11771" t="s">
        <v>198</v>
      </c>
      <c r="C11771">
        <v>521</v>
      </c>
      <c r="D11771" t="s">
        <v>174</v>
      </c>
      <c r="E11771" t="s">
        <v>91</v>
      </c>
      <c r="F11771" t="s">
        <v>112</v>
      </c>
      <c r="G11771" t="s">
        <v>239</v>
      </c>
      <c r="H11771" t="s">
        <v>100</v>
      </c>
    </row>
    <row r="11772" spans="1:11" x14ac:dyDescent="0.3">
      <c r="A11772" t="s">
        <v>41</v>
      </c>
      <c r="B11772" t="s">
        <v>199</v>
      </c>
      <c r="C11772">
        <v>1517</v>
      </c>
      <c r="D11772" t="s">
        <v>720</v>
      </c>
      <c r="E11772" t="s">
        <v>468</v>
      </c>
      <c r="F11772" t="s">
        <v>114</v>
      </c>
      <c r="G11772" t="s">
        <v>105</v>
      </c>
      <c r="H11772" t="s">
        <v>652</v>
      </c>
    </row>
    <row r="11774" spans="1:11" x14ac:dyDescent="0.3">
      <c r="A11774" t="s">
        <v>2823</v>
      </c>
    </row>
    <row r="11775" spans="1:11" x14ac:dyDescent="0.3">
      <c r="A11775" t="s">
        <v>36</v>
      </c>
      <c r="B11775" t="s">
        <v>24</v>
      </c>
      <c r="C11775" t="s">
        <v>2824</v>
      </c>
      <c r="D11775" t="s">
        <v>2825</v>
      </c>
      <c r="E11775" t="s">
        <v>2826</v>
      </c>
      <c r="F11775" t="s">
        <v>2827</v>
      </c>
      <c r="G11775" t="s">
        <v>2828</v>
      </c>
      <c r="H11775" t="s">
        <v>2829</v>
      </c>
      <c r="I11775" t="s">
        <v>2830</v>
      </c>
      <c r="J11775" t="s">
        <v>2831</v>
      </c>
      <c r="K11775" t="s">
        <v>89</v>
      </c>
    </row>
    <row r="11776" spans="1:11" x14ac:dyDescent="0.3">
      <c r="A11776" t="s">
        <v>25</v>
      </c>
      <c r="B11776">
        <v>55</v>
      </c>
      <c r="C11776" t="s">
        <v>1205</v>
      </c>
      <c r="D11776" t="s">
        <v>103</v>
      </c>
      <c r="E11776" t="s">
        <v>789</v>
      </c>
      <c r="F11776" t="s">
        <v>101</v>
      </c>
      <c r="G11776" t="s">
        <v>118</v>
      </c>
      <c r="H11776" t="s">
        <v>1050</v>
      </c>
      <c r="I11776" t="s">
        <v>693</v>
      </c>
      <c r="J11776" t="s">
        <v>64</v>
      </c>
      <c r="K11776" t="s">
        <v>103</v>
      </c>
    </row>
    <row r="11777" spans="1:12" x14ac:dyDescent="0.3">
      <c r="A11777" t="s">
        <v>26</v>
      </c>
      <c r="B11777">
        <v>119</v>
      </c>
      <c r="C11777" t="s">
        <v>469</v>
      </c>
      <c r="D11777" t="s">
        <v>468</v>
      </c>
      <c r="E11777" t="s">
        <v>413</v>
      </c>
      <c r="F11777" t="s">
        <v>214</v>
      </c>
      <c r="G11777" t="s">
        <v>103</v>
      </c>
      <c r="H11777" t="s">
        <v>258</v>
      </c>
      <c r="I11777" t="s">
        <v>282</v>
      </c>
      <c r="J11777" t="s">
        <v>245</v>
      </c>
      <c r="K11777" t="s">
        <v>103</v>
      </c>
    </row>
    <row r="11778" spans="1:12" x14ac:dyDescent="0.3">
      <c r="A11778" t="s">
        <v>29</v>
      </c>
      <c r="B11778">
        <v>73</v>
      </c>
      <c r="C11778" t="s">
        <v>670</v>
      </c>
      <c r="D11778" t="s">
        <v>269</v>
      </c>
      <c r="E11778" t="s">
        <v>815</v>
      </c>
      <c r="F11778" t="s">
        <v>270</v>
      </c>
      <c r="G11778" t="s">
        <v>103</v>
      </c>
      <c r="H11778" t="s">
        <v>455</v>
      </c>
      <c r="I11778" t="s">
        <v>32</v>
      </c>
      <c r="J11778" t="s">
        <v>481</v>
      </c>
      <c r="K11778" t="s">
        <v>345</v>
      </c>
    </row>
    <row r="11779" spans="1:12" x14ac:dyDescent="0.3">
      <c r="A11779" t="s">
        <v>28</v>
      </c>
      <c r="B11779">
        <v>38</v>
      </c>
      <c r="C11779" t="s">
        <v>460</v>
      </c>
      <c r="D11779" t="s">
        <v>113</v>
      </c>
      <c r="E11779" t="s">
        <v>103</v>
      </c>
      <c r="F11779" t="s">
        <v>103</v>
      </c>
      <c r="G11779" t="s">
        <v>103</v>
      </c>
      <c r="H11779" t="s">
        <v>1090</v>
      </c>
      <c r="I11779" t="s">
        <v>297</v>
      </c>
      <c r="J11779" t="s">
        <v>568</v>
      </c>
      <c r="K11779" t="s">
        <v>103</v>
      </c>
    </row>
    <row r="11780" spans="1:12" s="3" customFormat="1" x14ac:dyDescent="0.3">
      <c r="A11780" s="3" t="s">
        <v>27</v>
      </c>
      <c r="B11780" s="3">
        <v>20</v>
      </c>
      <c r="C11780" s="3" t="s">
        <v>116</v>
      </c>
      <c r="D11780" s="3" t="s">
        <v>103</v>
      </c>
      <c r="E11780" s="3" t="s">
        <v>1423</v>
      </c>
      <c r="F11780" s="3" t="s">
        <v>148</v>
      </c>
      <c r="G11780" s="3" t="s">
        <v>103</v>
      </c>
      <c r="H11780" s="3" t="s">
        <v>578</v>
      </c>
      <c r="I11780" s="3" t="s">
        <v>103</v>
      </c>
      <c r="J11780" s="3" t="s">
        <v>103</v>
      </c>
      <c r="K11780" s="3" t="s">
        <v>103</v>
      </c>
    </row>
    <row r="11781" spans="1:12" x14ac:dyDescent="0.3">
      <c r="A11781" t="s">
        <v>41</v>
      </c>
      <c r="B11781">
        <v>305</v>
      </c>
      <c r="C11781" t="s">
        <v>651</v>
      </c>
      <c r="D11781" t="s">
        <v>33</v>
      </c>
      <c r="E11781" t="s">
        <v>1014</v>
      </c>
      <c r="F11781" t="s">
        <v>201</v>
      </c>
      <c r="G11781" t="s">
        <v>122</v>
      </c>
      <c r="H11781" t="s">
        <v>1091</v>
      </c>
      <c r="I11781" t="s">
        <v>70</v>
      </c>
      <c r="J11781" t="s">
        <v>140</v>
      </c>
      <c r="K11781" t="s">
        <v>122</v>
      </c>
    </row>
    <row r="11783" spans="1:12" x14ac:dyDescent="0.3">
      <c r="A11783" t="s">
        <v>2832</v>
      </c>
    </row>
    <row r="11784" spans="1:12" x14ac:dyDescent="0.3">
      <c r="A11784" t="s">
        <v>36</v>
      </c>
      <c r="B11784" t="s">
        <v>307</v>
      </c>
      <c r="C11784" t="s">
        <v>24</v>
      </c>
      <c r="D11784" t="s">
        <v>2824</v>
      </c>
      <c r="E11784" t="s">
        <v>2825</v>
      </c>
      <c r="F11784" t="s">
        <v>2826</v>
      </c>
      <c r="G11784" t="s">
        <v>2827</v>
      </c>
      <c r="H11784" t="s">
        <v>2828</v>
      </c>
      <c r="I11784" t="s">
        <v>2829</v>
      </c>
      <c r="J11784" t="s">
        <v>2830</v>
      </c>
      <c r="K11784" t="s">
        <v>2831</v>
      </c>
      <c r="L11784" t="s">
        <v>89</v>
      </c>
    </row>
    <row r="11785" spans="1:12" s="3" customFormat="1" x14ac:dyDescent="0.3">
      <c r="A11785" s="3" t="s">
        <v>25</v>
      </c>
      <c r="B11785" s="3" t="s">
        <v>291</v>
      </c>
      <c r="C11785" s="3">
        <v>21</v>
      </c>
      <c r="D11785" s="3" t="s">
        <v>1053</v>
      </c>
      <c r="E11785" s="3" t="s">
        <v>103</v>
      </c>
      <c r="F11785" s="3" t="s">
        <v>693</v>
      </c>
      <c r="G11785" s="3" t="s">
        <v>113</v>
      </c>
      <c r="H11785" s="3" t="s">
        <v>594</v>
      </c>
      <c r="I11785" s="3" t="s">
        <v>108</v>
      </c>
      <c r="J11785" s="3" t="s">
        <v>469</v>
      </c>
      <c r="K11785" s="3" t="s">
        <v>607</v>
      </c>
      <c r="L11785" s="3" t="s">
        <v>103</v>
      </c>
    </row>
    <row r="11786" spans="1:12" x14ac:dyDescent="0.3">
      <c r="A11786" t="s">
        <v>25</v>
      </c>
      <c r="B11786" t="s">
        <v>292</v>
      </c>
      <c r="C11786">
        <v>33</v>
      </c>
      <c r="D11786" t="s">
        <v>138</v>
      </c>
      <c r="E11786" t="s">
        <v>103</v>
      </c>
      <c r="F11786" t="s">
        <v>1090</v>
      </c>
      <c r="G11786" t="s">
        <v>254</v>
      </c>
      <c r="H11786" t="s">
        <v>103</v>
      </c>
      <c r="I11786" t="s">
        <v>664</v>
      </c>
      <c r="J11786" t="s">
        <v>558</v>
      </c>
      <c r="K11786" t="s">
        <v>122</v>
      </c>
      <c r="L11786" t="s">
        <v>103</v>
      </c>
    </row>
    <row r="11787" spans="1:12" x14ac:dyDescent="0.3">
      <c r="A11787" t="s">
        <v>25</v>
      </c>
      <c r="B11787" t="s">
        <v>308</v>
      </c>
      <c r="C11787">
        <v>1</v>
      </c>
      <c r="D11787" t="s">
        <v>103</v>
      </c>
      <c r="E11787" t="s">
        <v>103</v>
      </c>
      <c r="F11787" t="s">
        <v>103</v>
      </c>
      <c r="G11787" t="s">
        <v>103</v>
      </c>
      <c r="H11787" t="s">
        <v>103</v>
      </c>
      <c r="I11787" t="s">
        <v>192</v>
      </c>
      <c r="J11787" t="s">
        <v>103</v>
      </c>
      <c r="K11787" t="s">
        <v>103</v>
      </c>
      <c r="L11787" t="s">
        <v>103</v>
      </c>
    </row>
    <row r="11788" spans="1:12" x14ac:dyDescent="0.3">
      <c r="A11788" t="s">
        <v>26</v>
      </c>
      <c r="B11788" t="s">
        <v>291</v>
      </c>
      <c r="C11788">
        <v>36</v>
      </c>
      <c r="D11788" t="s">
        <v>32</v>
      </c>
      <c r="E11788" t="s">
        <v>103</v>
      </c>
      <c r="F11788" t="s">
        <v>377</v>
      </c>
      <c r="G11788" t="s">
        <v>438</v>
      </c>
      <c r="H11788" t="s">
        <v>103</v>
      </c>
      <c r="I11788" t="s">
        <v>2109</v>
      </c>
      <c r="J11788" t="s">
        <v>266</v>
      </c>
      <c r="K11788" t="s">
        <v>103</v>
      </c>
      <c r="L11788" t="s">
        <v>103</v>
      </c>
    </row>
    <row r="11789" spans="1:12" x14ac:dyDescent="0.3">
      <c r="A11789" t="s">
        <v>26</v>
      </c>
      <c r="B11789" t="s">
        <v>292</v>
      </c>
      <c r="C11789">
        <v>81</v>
      </c>
      <c r="D11789" t="s">
        <v>695</v>
      </c>
      <c r="E11789" t="s">
        <v>105</v>
      </c>
      <c r="F11789" t="s">
        <v>440</v>
      </c>
      <c r="G11789" t="s">
        <v>133</v>
      </c>
      <c r="H11789" t="s">
        <v>103</v>
      </c>
      <c r="I11789" t="s">
        <v>1257</v>
      </c>
      <c r="J11789" t="s">
        <v>116</v>
      </c>
      <c r="K11789" t="s">
        <v>257</v>
      </c>
      <c r="L11789" t="s">
        <v>103</v>
      </c>
    </row>
    <row r="11790" spans="1:12" x14ac:dyDescent="0.3">
      <c r="A11790" t="s">
        <v>26</v>
      </c>
      <c r="B11790" t="s">
        <v>308</v>
      </c>
      <c r="C11790">
        <v>2</v>
      </c>
      <c r="D11790" t="s">
        <v>103</v>
      </c>
      <c r="E11790" t="s">
        <v>103</v>
      </c>
      <c r="F11790" t="s">
        <v>192</v>
      </c>
      <c r="G11790" t="s">
        <v>103</v>
      </c>
      <c r="H11790" t="s">
        <v>103</v>
      </c>
      <c r="I11790" t="s">
        <v>192</v>
      </c>
      <c r="J11790" t="s">
        <v>103</v>
      </c>
      <c r="K11790" t="s">
        <v>103</v>
      </c>
      <c r="L11790" t="s">
        <v>103</v>
      </c>
    </row>
    <row r="11791" spans="1:12" s="3" customFormat="1" x14ac:dyDescent="0.3">
      <c r="A11791" s="3" t="s">
        <v>29</v>
      </c>
      <c r="B11791" s="3" t="s">
        <v>291</v>
      </c>
      <c r="C11791" s="3">
        <v>21</v>
      </c>
      <c r="D11791" s="3" t="s">
        <v>567</v>
      </c>
      <c r="E11791" s="3" t="s">
        <v>648</v>
      </c>
      <c r="F11791" s="3" t="s">
        <v>549</v>
      </c>
      <c r="G11791" s="3" t="s">
        <v>139</v>
      </c>
      <c r="H11791" s="3" t="s">
        <v>103</v>
      </c>
      <c r="I11791" s="3" t="s">
        <v>644</v>
      </c>
      <c r="J11791" s="3" t="s">
        <v>345</v>
      </c>
      <c r="K11791" s="3" t="s">
        <v>756</v>
      </c>
      <c r="L11791" s="3" t="s">
        <v>113</v>
      </c>
    </row>
    <row r="11792" spans="1:12" x14ac:dyDescent="0.3">
      <c r="A11792" t="s">
        <v>29</v>
      </c>
      <c r="B11792" t="s">
        <v>292</v>
      </c>
      <c r="C11792">
        <v>52</v>
      </c>
      <c r="D11792" t="s">
        <v>534</v>
      </c>
      <c r="E11792" t="s">
        <v>33</v>
      </c>
      <c r="F11792" t="s">
        <v>499</v>
      </c>
      <c r="G11792" t="s">
        <v>125</v>
      </c>
      <c r="H11792" t="s">
        <v>103</v>
      </c>
      <c r="I11792" t="s">
        <v>1070</v>
      </c>
      <c r="J11792" t="s">
        <v>531</v>
      </c>
      <c r="K11792" t="s">
        <v>549</v>
      </c>
      <c r="L11792" t="s">
        <v>103</v>
      </c>
    </row>
    <row r="11793" spans="1:12" s="3" customFormat="1" x14ac:dyDescent="0.3">
      <c r="A11793" s="3" t="s">
        <v>28</v>
      </c>
      <c r="B11793" s="3" t="s">
        <v>291</v>
      </c>
      <c r="C11793" s="3">
        <v>15</v>
      </c>
      <c r="D11793" s="3" t="s">
        <v>511</v>
      </c>
      <c r="E11793" s="3" t="s">
        <v>146</v>
      </c>
      <c r="F11793" s="3" t="s">
        <v>103</v>
      </c>
      <c r="G11793" s="3" t="s">
        <v>103</v>
      </c>
      <c r="H11793" s="3" t="s">
        <v>103</v>
      </c>
      <c r="I11793" s="3" t="s">
        <v>514</v>
      </c>
      <c r="J11793" s="3" t="s">
        <v>407</v>
      </c>
      <c r="K11793" s="3" t="s">
        <v>477</v>
      </c>
      <c r="L11793" s="3" t="s">
        <v>103</v>
      </c>
    </row>
    <row r="11794" spans="1:12" s="3" customFormat="1" x14ac:dyDescent="0.3">
      <c r="A11794" s="3" t="s">
        <v>28</v>
      </c>
      <c r="B11794" s="3" t="s">
        <v>292</v>
      </c>
      <c r="C11794" s="3">
        <v>21</v>
      </c>
      <c r="D11794" s="3" t="s">
        <v>242</v>
      </c>
      <c r="E11794" s="3" t="s">
        <v>103</v>
      </c>
      <c r="F11794" s="3" t="s">
        <v>103</v>
      </c>
      <c r="G11794" s="3" t="s">
        <v>103</v>
      </c>
      <c r="H11794" s="3" t="s">
        <v>103</v>
      </c>
      <c r="I11794" s="3" t="s">
        <v>666</v>
      </c>
      <c r="J11794" s="3" t="s">
        <v>1576</v>
      </c>
      <c r="K11794" s="3" t="s">
        <v>807</v>
      </c>
      <c r="L11794" s="3" t="s">
        <v>103</v>
      </c>
    </row>
    <row r="11795" spans="1:12" x14ac:dyDescent="0.3">
      <c r="A11795" t="s">
        <v>28</v>
      </c>
      <c r="B11795" t="s">
        <v>308</v>
      </c>
      <c r="C11795">
        <v>2</v>
      </c>
      <c r="D11795" t="s">
        <v>103</v>
      </c>
      <c r="E11795" t="s">
        <v>103</v>
      </c>
      <c r="F11795" t="s">
        <v>103</v>
      </c>
      <c r="G11795" t="s">
        <v>103</v>
      </c>
      <c r="H11795" t="s">
        <v>103</v>
      </c>
      <c r="I11795" t="s">
        <v>538</v>
      </c>
      <c r="J11795" t="s">
        <v>810</v>
      </c>
      <c r="K11795" t="s">
        <v>103</v>
      </c>
      <c r="L11795" t="s">
        <v>103</v>
      </c>
    </row>
    <row r="11796" spans="1:12" s="3" customFormat="1" x14ac:dyDescent="0.3">
      <c r="A11796" s="3" t="s">
        <v>27</v>
      </c>
      <c r="B11796" s="3" t="s">
        <v>291</v>
      </c>
      <c r="C11796" s="3">
        <v>9</v>
      </c>
      <c r="D11796" s="3" t="s">
        <v>139</v>
      </c>
      <c r="E11796" s="3" t="s">
        <v>103</v>
      </c>
      <c r="F11796" s="3" t="s">
        <v>378</v>
      </c>
      <c r="G11796" s="3" t="s">
        <v>667</v>
      </c>
      <c r="H11796" s="3" t="s">
        <v>103</v>
      </c>
      <c r="I11796" s="3" t="s">
        <v>667</v>
      </c>
      <c r="J11796" s="3" t="s">
        <v>103</v>
      </c>
      <c r="K11796" s="3" t="s">
        <v>103</v>
      </c>
      <c r="L11796" s="3" t="s">
        <v>103</v>
      </c>
    </row>
    <row r="11797" spans="1:12" s="3" customFormat="1" x14ac:dyDescent="0.3">
      <c r="A11797" s="3" t="s">
        <v>27</v>
      </c>
      <c r="B11797" s="3" t="s">
        <v>292</v>
      </c>
      <c r="C11797" s="3">
        <v>11</v>
      </c>
      <c r="D11797" s="3" t="s">
        <v>103</v>
      </c>
      <c r="E11797" s="3" t="s">
        <v>103</v>
      </c>
      <c r="F11797" s="3" t="s">
        <v>1153</v>
      </c>
      <c r="G11797" s="3" t="s">
        <v>511</v>
      </c>
      <c r="H11797" s="3" t="s">
        <v>103</v>
      </c>
      <c r="I11797" s="3" t="s">
        <v>809</v>
      </c>
      <c r="J11797" s="3" t="s">
        <v>103</v>
      </c>
      <c r="K11797" s="3" t="s">
        <v>103</v>
      </c>
      <c r="L11797" s="3" t="s">
        <v>103</v>
      </c>
    </row>
    <row r="11798" spans="1:12" x14ac:dyDescent="0.3">
      <c r="A11798" t="s">
        <v>41</v>
      </c>
      <c r="B11798" t="s">
        <v>291</v>
      </c>
      <c r="C11798">
        <v>102</v>
      </c>
      <c r="D11798" t="s">
        <v>684</v>
      </c>
      <c r="E11798" t="s">
        <v>649</v>
      </c>
      <c r="F11798" t="s">
        <v>705</v>
      </c>
      <c r="G11798" t="s">
        <v>68</v>
      </c>
      <c r="H11798" t="s">
        <v>194</v>
      </c>
      <c r="I11798" t="s">
        <v>492</v>
      </c>
      <c r="J11798" t="s">
        <v>251</v>
      </c>
      <c r="K11798" t="s">
        <v>459</v>
      </c>
      <c r="L11798" t="s">
        <v>239</v>
      </c>
    </row>
    <row r="11799" spans="1:12" x14ac:dyDescent="0.3">
      <c r="A11799" t="s">
        <v>41</v>
      </c>
      <c r="B11799" t="s">
        <v>292</v>
      </c>
      <c r="C11799">
        <v>198</v>
      </c>
      <c r="D11799" t="s">
        <v>651</v>
      </c>
      <c r="E11799" t="s">
        <v>64</v>
      </c>
      <c r="F11799" t="s">
        <v>357</v>
      </c>
      <c r="G11799" t="s">
        <v>284</v>
      </c>
      <c r="H11799" t="s">
        <v>103</v>
      </c>
      <c r="I11799" t="s">
        <v>1293</v>
      </c>
      <c r="J11799" t="s">
        <v>32</v>
      </c>
      <c r="K11799" t="s">
        <v>281</v>
      </c>
      <c r="L11799" t="s">
        <v>103</v>
      </c>
    </row>
    <row r="11800" spans="1:12" x14ac:dyDescent="0.3">
      <c r="A11800" t="s">
        <v>41</v>
      </c>
      <c r="B11800" t="s">
        <v>308</v>
      </c>
      <c r="C11800">
        <v>5</v>
      </c>
      <c r="D11800" t="s">
        <v>103</v>
      </c>
      <c r="E11800" t="s">
        <v>103</v>
      </c>
      <c r="F11800" t="s">
        <v>1017</v>
      </c>
      <c r="G11800" t="s">
        <v>103</v>
      </c>
      <c r="H11800" t="s">
        <v>103</v>
      </c>
      <c r="I11800" t="s">
        <v>590</v>
      </c>
      <c r="J11800" t="s">
        <v>126</v>
      </c>
      <c r="K11800" t="s">
        <v>103</v>
      </c>
      <c r="L11800" t="s">
        <v>103</v>
      </c>
    </row>
    <row r="11802" spans="1:12" x14ac:dyDescent="0.3">
      <c r="A11802" t="s">
        <v>2833</v>
      </c>
    </row>
    <row r="11803" spans="1:12" x14ac:dyDescent="0.3">
      <c r="A11803" t="s">
        <v>36</v>
      </c>
      <c r="B11803" t="s">
        <v>763</v>
      </c>
      <c r="C11803" t="s">
        <v>24</v>
      </c>
      <c r="D11803" t="s">
        <v>2824</v>
      </c>
      <c r="E11803" t="s">
        <v>2825</v>
      </c>
      <c r="F11803" t="s">
        <v>2826</v>
      </c>
      <c r="G11803" t="s">
        <v>2827</v>
      </c>
      <c r="H11803" t="s">
        <v>2828</v>
      </c>
      <c r="I11803" t="s">
        <v>2829</v>
      </c>
      <c r="J11803" t="s">
        <v>2830</v>
      </c>
      <c r="K11803" t="s">
        <v>2831</v>
      </c>
      <c r="L11803" t="s">
        <v>89</v>
      </c>
    </row>
    <row r="11804" spans="1:12" s="3" customFormat="1" x14ac:dyDescent="0.3">
      <c r="A11804" s="3" t="s">
        <v>25</v>
      </c>
      <c r="B11804" s="3" t="s">
        <v>764</v>
      </c>
      <c r="C11804" s="3">
        <v>3</v>
      </c>
      <c r="D11804" s="3" t="s">
        <v>504</v>
      </c>
      <c r="E11804" s="3" t="s">
        <v>103</v>
      </c>
      <c r="F11804" s="3" t="s">
        <v>103</v>
      </c>
      <c r="G11804" s="3" t="s">
        <v>103</v>
      </c>
      <c r="H11804" s="3" t="s">
        <v>103</v>
      </c>
      <c r="I11804" s="3" t="s">
        <v>797</v>
      </c>
      <c r="J11804" s="3" t="s">
        <v>656</v>
      </c>
      <c r="K11804" s="3" t="s">
        <v>103</v>
      </c>
      <c r="L11804" s="3" t="s">
        <v>103</v>
      </c>
    </row>
    <row r="11805" spans="1:12" x14ac:dyDescent="0.3">
      <c r="A11805" t="s">
        <v>25</v>
      </c>
      <c r="B11805" t="s">
        <v>765</v>
      </c>
      <c r="C11805">
        <v>40</v>
      </c>
      <c r="D11805" t="s">
        <v>357</v>
      </c>
      <c r="E11805" t="s">
        <v>103</v>
      </c>
      <c r="F11805" t="s">
        <v>507</v>
      </c>
      <c r="G11805" t="s">
        <v>206</v>
      </c>
      <c r="H11805" t="s">
        <v>103</v>
      </c>
      <c r="I11805" t="s">
        <v>427</v>
      </c>
      <c r="J11805" t="s">
        <v>543</v>
      </c>
      <c r="K11805" t="s">
        <v>591</v>
      </c>
      <c r="L11805" t="s">
        <v>103</v>
      </c>
    </row>
    <row r="11806" spans="1:12" s="3" customFormat="1" x14ac:dyDescent="0.3">
      <c r="A11806" s="3" t="s">
        <v>25</v>
      </c>
      <c r="B11806" s="3" t="s">
        <v>767</v>
      </c>
      <c r="C11806" s="3">
        <v>12</v>
      </c>
      <c r="D11806" s="3" t="s">
        <v>428</v>
      </c>
      <c r="E11806" s="3" t="s">
        <v>103</v>
      </c>
      <c r="F11806" s="3" t="s">
        <v>278</v>
      </c>
      <c r="G11806" s="3" t="s">
        <v>813</v>
      </c>
      <c r="H11806" s="3" t="s">
        <v>136</v>
      </c>
      <c r="I11806" s="3" t="s">
        <v>278</v>
      </c>
      <c r="J11806" s="3" t="s">
        <v>103</v>
      </c>
      <c r="K11806" s="3" t="s">
        <v>103</v>
      </c>
      <c r="L11806" s="3" t="s">
        <v>103</v>
      </c>
    </row>
    <row r="11807" spans="1:12" s="3" customFormat="1" x14ac:dyDescent="0.3">
      <c r="A11807" s="3" t="s">
        <v>26</v>
      </c>
      <c r="B11807" s="3" t="s">
        <v>764</v>
      </c>
      <c r="C11807" s="3">
        <v>13</v>
      </c>
      <c r="D11807" s="3" t="s">
        <v>734</v>
      </c>
      <c r="E11807" s="3" t="s">
        <v>103</v>
      </c>
      <c r="F11807" s="3" t="s">
        <v>405</v>
      </c>
      <c r="G11807" s="3" t="s">
        <v>140</v>
      </c>
      <c r="H11807" s="3" t="s">
        <v>103</v>
      </c>
      <c r="I11807" s="3" t="s">
        <v>1439</v>
      </c>
      <c r="J11807" s="3" t="s">
        <v>103</v>
      </c>
      <c r="K11807" s="3" t="s">
        <v>103</v>
      </c>
      <c r="L11807" s="3" t="s">
        <v>103</v>
      </c>
    </row>
    <row r="11808" spans="1:12" x14ac:dyDescent="0.3">
      <c r="A11808" t="s">
        <v>26</v>
      </c>
      <c r="B11808" t="s">
        <v>765</v>
      </c>
      <c r="C11808">
        <v>74</v>
      </c>
      <c r="D11808" t="s">
        <v>30</v>
      </c>
      <c r="E11808" t="s">
        <v>103</v>
      </c>
      <c r="F11808" t="s">
        <v>1060</v>
      </c>
      <c r="G11808" t="s">
        <v>93</v>
      </c>
      <c r="H11808" t="s">
        <v>103</v>
      </c>
      <c r="I11808" t="s">
        <v>1240</v>
      </c>
      <c r="J11808" t="s">
        <v>245</v>
      </c>
      <c r="K11808" t="s">
        <v>64</v>
      </c>
      <c r="L11808" t="s">
        <v>103</v>
      </c>
    </row>
    <row r="11809" spans="1:12" x14ac:dyDescent="0.3">
      <c r="A11809" t="s">
        <v>26</v>
      </c>
      <c r="B11809" t="s">
        <v>767</v>
      </c>
      <c r="C11809">
        <v>32</v>
      </c>
      <c r="D11809" t="s">
        <v>33</v>
      </c>
      <c r="E11809" t="s">
        <v>32</v>
      </c>
      <c r="F11809" t="s">
        <v>369</v>
      </c>
      <c r="G11809" t="s">
        <v>135</v>
      </c>
      <c r="H11809" t="s">
        <v>103</v>
      </c>
      <c r="I11809" t="s">
        <v>795</v>
      </c>
      <c r="J11809" t="s">
        <v>103</v>
      </c>
      <c r="K11809" t="s">
        <v>103</v>
      </c>
      <c r="L11809" t="s">
        <v>103</v>
      </c>
    </row>
    <row r="11810" spans="1:12" s="3" customFormat="1" x14ac:dyDescent="0.3">
      <c r="A11810" s="3" t="s">
        <v>29</v>
      </c>
      <c r="B11810" s="3" t="s">
        <v>764</v>
      </c>
      <c r="C11810" s="3">
        <v>1</v>
      </c>
      <c r="D11810" s="3" t="s">
        <v>103</v>
      </c>
      <c r="E11810" s="3" t="s">
        <v>103</v>
      </c>
      <c r="F11810" s="3" t="s">
        <v>103</v>
      </c>
      <c r="G11810" s="3" t="s">
        <v>103</v>
      </c>
      <c r="H11810" s="3" t="s">
        <v>103</v>
      </c>
      <c r="I11810" s="3" t="s">
        <v>103</v>
      </c>
      <c r="J11810" s="3" t="s">
        <v>192</v>
      </c>
      <c r="K11810" s="3" t="s">
        <v>103</v>
      </c>
      <c r="L11810" s="3" t="s">
        <v>103</v>
      </c>
    </row>
    <row r="11811" spans="1:12" x14ac:dyDescent="0.3">
      <c r="A11811" t="s">
        <v>29</v>
      </c>
      <c r="B11811" t="s">
        <v>765</v>
      </c>
      <c r="C11811">
        <v>49</v>
      </c>
      <c r="D11811" t="s">
        <v>456</v>
      </c>
      <c r="E11811" t="s">
        <v>146</v>
      </c>
      <c r="F11811" t="s">
        <v>858</v>
      </c>
      <c r="G11811" t="s">
        <v>114</v>
      </c>
      <c r="H11811" t="s">
        <v>103</v>
      </c>
      <c r="I11811" t="s">
        <v>510</v>
      </c>
      <c r="J11811" t="s">
        <v>266</v>
      </c>
      <c r="K11811" t="s">
        <v>104</v>
      </c>
      <c r="L11811" t="s">
        <v>216</v>
      </c>
    </row>
    <row r="11812" spans="1:12" s="3" customFormat="1" x14ac:dyDescent="0.3">
      <c r="A11812" s="3" t="s">
        <v>29</v>
      </c>
      <c r="B11812" s="3" t="s">
        <v>767</v>
      </c>
      <c r="C11812" s="3">
        <v>23</v>
      </c>
      <c r="D11812" s="3" t="s">
        <v>816</v>
      </c>
      <c r="E11812" s="3" t="s">
        <v>244</v>
      </c>
      <c r="F11812" s="3" t="s">
        <v>650</v>
      </c>
      <c r="G11812" s="3" t="s">
        <v>95</v>
      </c>
      <c r="H11812" s="3" t="s">
        <v>103</v>
      </c>
      <c r="I11812" s="3" t="s">
        <v>457</v>
      </c>
      <c r="J11812" s="3" t="s">
        <v>112</v>
      </c>
      <c r="K11812" s="3" t="s">
        <v>813</v>
      </c>
      <c r="L11812" s="3" t="s">
        <v>103</v>
      </c>
    </row>
    <row r="11813" spans="1:12" s="3" customFormat="1" x14ac:dyDescent="0.3">
      <c r="A11813" s="3" t="s">
        <v>28</v>
      </c>
      <c r="B11813" s="3" t="s">
        <v>764</v>
      </c>
      <c r="C11813" s="3">
        <v>3</v>
      </c>
      <c r="D11813" s="3" t="s">
        <v>770</v>
      </c>
      <c r="E11813" s="3" t="s">
        <v>103</v>
      </c>
      <c r="F11813" s="3" t="s">
        <v>103</v>
      </c>
      <c r="G11813" s="3" t="s">
        <v>103</v>
      </c>
      <c r="H11813" s="3" t="s">
        <v>103</v>
      </c>
      <c r="I11813" s="3" t="s">
        <v>754</v>
      </c>
      <c r="J11813" s="3" t="s">
        <v>103</v>
      </c>
      <c r="K11813" s="3" t="s">
        <v>705</v>
      </c>
      <c r="L11813" s="3" t="s">
        <v>103</v>
      </c>
    </row>
    <row r="11814" spans="1:12" s="3" customFormat="1" x14ac:dyDescent="0.3">
      <c r="A11814" s="3" t="s">
        <v>28</v>
      </c>
      <c r="B11814" s="3" t="s">
        <v>765</v>
      </c>
      <c r="C11814" s="3">
        <v>29</v>
      </c>
      <c r="D11814" s="3" t="s">
        <v>103</v>
      </c>
      <c r="E11814" s="3" t="s">
        <v>662</v>
      </c>
      <c r="F11814" s="3" t="s">
        <v>103</v>
      </c>
      <c r="G11814" s="3" t="s">
        <v>103</v>
      </c>
      <c r="H11814" s="3" t="s">
        <v>103</v>
      </c>
      <c r="I11814" s="3" t="s">
        <v>138</v>
      </c>
      <c r="J11814" s="3" t="s">
        <v>1043</v>
      </c>
      <c r="K11814" s="3" t="s">
        <v>681</v>
      </c>
      <c r="L11814" s="3" t="s">
        <v>103</v>
      </c>
    </row>
    <row r="11815" spans="1:12" s="3" customFormat="1" x14ac:dyDescent="0.3">
      <c r="A11815" s="3" t="s">
        <v>28</v>
      </c>
      <c r="B11815" s="3" t="s">
        <v>767</v>
      </c>
      <c r="C11815" s="3">
        <v>6</v>
      </c>
      <c r="D11815" s="3" t="s">
        <v>695</v>
      </c>
      <c r="E11815" s="3" t="s">
        <v>103</v>
      </c>
      <c r="F11815" s="3" t="s">
        <v>103</v>
      </c>
      <c r="G11815" s="3" t="s">
        <v>103</v>
      </c>
      <c r="H11815" s="3" t="s">
        <v>103</v>
      </c>
      <c r="I11815" s="3" t="s">
        <v>111</v>
      </c>
      <c r="J11815" s="3" t="s">
        <v>359</v>
      </c>
      <c r="K11815" s="3" t="s">
        <v>695</v>
      </c>
      <c r="L11815" s="3" t="s">
        <v>103</v>
      </c>
    </row>
    <row r="11816" spans="1:12" s="3" customFormat="1" x14ac:dyDescent="0.3">
      <c r="A11816" s="3" t="s">
        <v>27</v>
      </c>
      <c r="B11816" s="3" t="s">
        <v>764</v>
      </c>
      <c r="C11816" s="3">
        <v>2</v>
      </c>
      <c r="D11816" s="3" t="s">
        <v>103</v>
      </c>
      <c r="E11816" s="3" t="s">
        <v>103</v>
      </c>
      <c r="F11816" s="3" t="s">
        <v>1260</v>
      </c>
      <c r="G11816" s="3" t="s">
        <v>1215</v>
      </c>
      <c r="H11816" s="3" t="s">
        <v>103</v>
      </c>
      <c r="I11816" s="3" t="s">
        <v>103</v>
      </c>
      <c r="J11816" s="3" t="s">
        <v>103</v>
      </c>
      <c r="K11816" s="3" t="s">
        <v>103</v>
      </c>
      <c r="L11816" s="3" t="s">
        <v>103</v>
      </c>
    </row>
    <row r="11817" spans="1:12" s="3" customFormat="1" x14ac:dyDescent="0.3">
      <c r="A11817" s="3" t="s">
        <v>27</v>
      </c>
      <c r="B11817" s="3" t="s">
        <v>765</v>
      </c>
      <c r="C11817" s="3">
        <v>14</v>
      </c>
      <c r="D11817" s="3" t="s">
        <v>97</v>
      </c>
      <c r="E11817" s="3" t="s">
        <v>103</v>
      </c>
      <c r="F11817" s="3" t="s">
        <v>502</v>
      </c>
      <c r="G11817" s="3" t="s">
        <v>162</v>
      </c>
      <c r="H11817" s="3" t="s">
        <v>103</v>
      </c>
      <c r="I11817" s="3" t="s">
        <v>1203</v>
      </c>
      <c r="J11817" s="3" t="s">
        <v>103</v>
      </c>
      <c r="K11817" s="3" t="s">
        <v>103</v>
      </c>
      <c r="L11817" s="3" t="s">
        <v>103</v>
      </c>
    </row>
    <row r="11818" spans="1:12" s="3" customFormat="1" x14ac:dyDescent="0.3">
      <c r="A11818" s="3" t="s">
        <v>27</v>
      </c>
      <c r="B11818" s="3" t="s">
        <v>767</v>
      </c>
      <c r="C11818" s="3">
        <v>4</v>
      </c>
      <c r="D11818" s="3" t="s">
        <v>103</v>
      </c>
      <c r="E11818" s="3" t="s">
        <v>103</v>
      </c>
      <c r="F11818" s="3" t="s">
        <v>192</v>
      </c>
      <c r="G11818" s="3" t="s">
        <v>103</v>
      </c>
      <c r="H11818" s="3" t="s">
        <v>103</v>
      </c>
      <c r="I11818" s="3" t="s">
        <v>103</v>
      </c>
      <c r="J11818" s="3" t="s">
        <v>103</v>
      </c>
      <c r="K11818" s="3" t="s">
        <v>103</v>
      </c>
      <c r="L11818" s="3" t="s">
        <v>103</v>
      </c>
    </row>
    <row r="11819" spans="1:12" s="3" customFormat="1" x14ac:dyDescent="0.3">
      <c r="A11819" s="3" t="s">
        <v>41</v>
      </c>
      <c r="B11819" s="3" t="s">
        <v>764</v>
      </c>
      <c r="C11819" s="3">
        <v>22</v>
      </c>
      <c r="D11819" s="3" t="s">
        <v>483</v>
      </c>
      <c r="E11819" s="3" t="s">
        <v>103</v>
      </c>
      <c r="F11819" s="3" t="s">
        <v>357</v>
      </c>
      <c r="G11819" s="3" t="s">
        <v>531</v>
      </c>
      <c r="H11819" s="3" t="s">
        <v>103</v>
      </c>
      <c r="I11819" s="3" t="s">
        <v>1292</v>
      </c>
      <c r="J11819" s="3" t="s">
        <v>743</v>
      </c>
      <c r="K11819" s="3" t="s">
        <v>216</v>
      </c>
      <c r="L11819" s="3" t="s">
        <v>103</v>
      </c>
    </row>
    <row r="11820" spans="1:12" x14ac:dyDescent="0.3">
      <c r="A11820" t="s">
        <v>41</v>
      </c>
      <c r="B11820" t="s">
        <v>765</v>
      </c>
      <c r="C11820">
        <v>206</v>
      </c>
      <c r="D11820" t="s">
        <v>660</v>
      </c>
      <c r="E11820" t="s">
        <v>532</v>
      </c>
      <c r="F11820" t="s">
        <v>458</v>
      </c>
      <c r="G11820" t="s">
        <v>493</v>
      </c>
      <c r="H11820" t="s">
        <v>103</v>
      </c>
      <c r="I11820" t="s">
        <v>676</v>
      </c>
      <c r="J11820" t="s">
        <v>70</v>
      </c>
      <c r="K11820" t="s">
        <v>460</v>
      </c>
      <c r="L11820" t="s">
        <v>95</v>
      </c>
    </row>
    <row r="11821" spans="1:12" x14ac:dyDescent="0.3">
      <c r="A11821" t="s">
        <v>41</v>
      </c>
      <c r="B11821" t="s">
        <v>767</v>
      </c>
      <c r="C11821">
        <v>77</v>
      </c>
      <c r="D11821" t="s">
        <v>1008</v>
      </c>
      <c r="E11821" t="s">
        <v>60</v>
      </c>
      <c r="F11821" t="s">
        <v>626</v>
      </c>
      <c r="G11821" t="s">
        <v>112</v>
      </c>
      <c r="H11821" t="s">
        <v>239</v>
      </c>
      <c r="I11821" t="s">
        <v>376</v>
      </c>
      <c r="J11821" t="s">
        <v>102</v>
      </c>
      <c r="K11821" t="s">
        <v>94</v>
      </c>
      <c r="L11821" t="s">
        <v>103</v>
      </c>
    </row>
    <row r="11823" spans="1:12" x14ac:dyDescent="0.3">
      <c r="A11823" t="s">
        <v>2834</v>
      </c>
    </row>
    <row r="11824" spans="1:12" x14ac:dyDescent="0.3">
      <c r="A11824" t="s">
        <v>36</v>
      </c>
      <c r="B11824" t="s">
        <v>1647</v>
      </c>
      <c r="C11824" t="s">
        <v>24</v>
      </c>
      <c r="D11824" t="s">
        <v>2824</v>
      </c>
      <c r="E11824" t="s">
        <v>2825</v>
      </c>
      <c r="F11824" t="s">
        <v>2826</v>
      </c>
      <c r="G11824" t="s">
        <v>2827</v>
      </c>
      <c r="H11824" t="s">
        <v>2828</v>
      </c>
      <c r="I11824" t="s">
        <v>2829</v>
      </c>
      <c r="J11824" t="s">
        <v>2830</v>
      </c>
      <c r="K11824" t="s">
        <v>2831</v>
      </c>
      <c r="L11824" t="s">
        <v>89</v>
      </c>
    </row>
    <row r="11825" spans="1:12" s="3" customFormat="1" x14ac:dyDescent="0.3">
      <c r="A11825" s="3" t="s">
        <v>25</v>
      </c>
      <c r="B11825" s="3" t="s">
        <v>1648</v>
      </c>
      <c r="C11825" s="3">
        <v>17</v>
      </c>
      <c r="D11825" s="3" t="s">
        <v>1221</v>
      </c>
      <c r="E11825" s="3" t="s">
        <v>103</v>
      </c>
      <c r="F11825" s="3" t="s">
        <v>103</v>
      </c>
      <c r="G11825" s="3" t="s">
        <v>918</v>
      </c>
      <c r="H11825" s="3" t="s">
        <v>103</v>
      </c>
      <c r="I11825" s="3" t="s">
        <v>157</v>
      </c>
      <c r="J11825" s="3" t="s">
        <v>190</v>
      </c>
      <c r="K11825" s="3" t="s">
        <v>549</v>
      </c>
      <c r="L11825" s="3" t="s">
        <v>103</v>
      </c>
    </row>
    <row r="11826" spans="1:12" x14ac:dyDescent="0.3">
      <c r="A11826" t="s">
        <v>25</v>
      </c>
      <c r="B11826" t="s">
        <v>1649</v>
      </c>
      <c r="C11826">
        <v>38</v>
      </c>
      <c r="D11826" t="s">
        <v>938</v>
      </c>
      <c r="E11826" t="s">
        <v>103</v>
      </c>
      <c r="F11826" t="s">
        <v>906</v>
      </c>
      <c r="G11826" t="s">
        <v>33</v>
      </c>
      <c r="H11826" t="s">
        <v>438</v>
      </c>
      <c r="I11826" t="s">
        <v>512</v>
      </c>
      <c r="J11826" t="s">
        <v>169</v>
      </c>
      <c r="K11826" t="s">
        <v>116</v>
      </c>
      <c r="L11826" t="s">
        <v>103</v>
      </c>
    </row>
    <row r="11827" spans="1:12" x14ac:dyDescent="0.3">
      <c r="A11827" t="s">
        <v>26</v>
      </c>
      <c r="B11827" t="s">
        <v>1648</v>
      </c>
      <c r="C11827">
        <v>37</v>
      </c>
      <c r="D11827" t="s">
        <v>531</v>
      </c>
      <c r="E11827" t="s">
        <v>591</v>
      </c>
      <c r="F11827" t="s">
        <v>462</v>
      </c>
      <c r="G11827" t="s">
        <v>190</v>
      </c>
      <c r="H11827" t="s">
        <v>103</v>
      </c>
      <c r="I11827" t="s">
        <v>2106</v>
      </c>
      <c r="J11827" t="s">
        <v>103</v>
      </c>
      <c r="K11827" t="s">
        <v>195</v>
      </c>
      <c r="L11827" t="s">
        <v>103</v>
      </c>
    </row>
    <row r="11828" spans="1:12" x14ac:dyDescent="0.3">
      <c r="A11828" t="s">
        <v>26</v>
      </c>
      <c r="B11828" t="s">
        <v>1649</v>
      </c>
      <c r="C11828">
        <v>82</v>
      </c>
      <c r="D11828" t="s">
        <v>30</v>
      </c>
      <c r="E11828" t="s">
        <v>103</v>
      </c>
      <c r="F11828" t="s">
        <v>436</v>
      </c>
      <c r="G11828" t="s">
        <v>114</v>
      </c>
      <c r="H11828" t="s">
        <v>103</v>
      </c>
      <c r="I11828" t="s">
        <v>1327</v>
      </c>
      <c r="J11828" t="s">
        <v>239</v>
      </c>
      <c r="K11828" t="s">
        <v>345</v>
      </c>
      <c r="L11828" t="s">
        <v>103</v>
      </c>
    </row>
    <row r="11829" spans="1:12" x14ac:dyDescent="0.3">
      <c r="A11829" t="s">
        <v>29</v>
      </c>
      <c r="B11829" t="s">
        <v>1648</v>
      </c>
      <c r="C11829">
        <v>40</v>
      </c>
      <c r="D11829" t="s">
        <v>1196</v>
      </c>
      <c r="E11829" t="s">
        <v>108</v>
      </c>
      <c r="F11829" t="s">
        <v>698</v>
      </c>
      <c r="G11829" t="s">
        <v>201</v>
      </c>
      <c r="H11829" t="s">
        <v>103</v>
      </c>
      <c r="I11829" t="s">
        <v>402</v>
      </c>
      <c r="J11829" t="s">
        <v>558</v>
      </c>
      <c r="K11829" t="s">
        <v>607</v>
      </c>
      <c r="L11829" t="s">
        <v>103</v>
      </c>
    </row>
    <row r="11830" spans="1:12" x14ac:dyDescent="0.3">
      <c r="A11830" t="s">
        <v>29</v>
      </c>
      <c r="B11830" t="s">
        <v>1649</v>
      </c>
      <c r="C11830">
        <v>33</v>
      </c>
      <c r="D11830" t="s">
        <v>504</v>
      </c>
      <c r="E11830" t="s">
        <v>566</v>
      </c>
      <c r="F11830" t="s">
        <v>534</v>
      </c>
      <c r="G11830" t="s">
        <v>98</v>
      </c>
      <c r="H11830" t="s">
        <v>103</v>
      </c>
      <c r="I11830" t="s">
        <v>489</v>
      </c>
      <c r="J11830" t="s">
        <v>125</v>
      </c>
      <c r="K11830" t="s">
        <v>483</v>
      </c>
      <c r="L11830" t="s">
        <v>257</v>
      </c>
    </row>
    <row r="11831" spans="1:12" s="3" customFormat="1" x14ac:dyDescent="0.3">
      <c r="A11831" s="3" t="s">
        <v>28</v>
      </c>
      <c r="B11831" s="3" t="s">
        <v>1648</v>
      </c>
      <c r="C11831" s="3">
        <v>9</v>
      </c>
      <c r="D11831" s="3" t="s">
        <v>103</v>
      </c>
      <c r="E11831" s="3" t="s">
        <v>103</v>
      </c>
      <c r="F11831" s="3" t="s">
        <v>103</v>
      </c>
      <c r="G11831" s="3" t="s">
        <v>103</v>
      </c>
      <c r="H11831" s="3" t="s">
        <v>103</v>
      </c>
      <c r="I11831" s="3" t="s">
        <v>679</v>
      </c>
      <c r="J11831" s="3" t="s">
        <v>297</v>
      </c>
      <c r="K11831" s="3" t="s">
        <v>234</v>
      </c>
      <c r="L11831" s="3" t="s">
        <v>103</v>
      </c>
    </row>
    <row r="11832" spans="1:12" s="3" customFormat="1" x14ac:dyDescent="0.3">
      <c r="A11832" s="3" t="s">
        <v>28</v>
      </c>
      <c r="B11832" s="3" t="s">
        <v>1649</v>
      </c>
      <c r="C11832" s="3">
        <v>29</v>
      </c>
      <c r="D11832" s="3" t="s">
        <v>247</v>
      </c>
      <c r="E11832" s="3" t="s">
        <v>133</v>
      </c>
      <c r="F11832" s="3" t="s">
        <v>103</v>
      </c>
      <c r="G11832" s="3" t="s">
        <v>103</v>
      </c>
      <c r="H11832" s="3" t="s">
        <v>103</v>
      </c>
      <c r="I11832" s="3" t="s">
        <v>574</v>
      </c>
      <c r="J11832" s="3" t="s">
        <v>297</v>
      </c>
      <c r="K11832" s="3" t="s">
        <v>132</v>
      </c>
      <c r="L11832" s="3" t="s">
        <v>103</v>
      </c>
    </row>
    <row r="11833" spans="1:12" s="3" customFormat="1" x14ac:dyDescent="0.3">
      <c r="A11833" s="3" t="s">
        <v>27</v>
      </c>
      <c r="B11833" s="3" t="s">
        <v>1648</v>
      </c>
      <c r="C11833" s="3">
        <v>6</v>
      </c>
      <c r="D11833" s="3" t="s">
        <v>103</v>
      </c>
      <c r="E11833" s="3" t="s">
        <v>103</v>
      </c>
      <c r="F11833" s="3" t="s">
        <v>1361</v>
      </c>
      <c r="G11833" s="3" t="s">
        <v>136</v>
      </c>
      <c r="H11833" s="3" t="s">
        <v>103</v>
      </c>
      <c r="I11833" s="3" t="s">
        <v>890</v>
      </c>
      <c r="J11833" s="3" t="s">
        <v>103</v>
      </c>
      <c r="K11833" s="3" t="s">
        <v>103</v>
      </c>
      <c r="L11833" s="3" t="s">
        <v>103</v>
      </c>
    </row>
    <row r="11834" spans="1:12" s="3" customFormat="1" x14ac:dyDescent="0.3">
      <c r="A11834" s="3" t="s">
        <v>27</v>
      </c>
      <c r="B11834" s="3" t="s">
        <v>1649</v>
      </c>
      <c r="C11834" s="3">
        <v>14</v>
      </c>
      <c r="D11834" s="3" t="s">
        <v>97</v>
      </c>
      <c r="E11834" s="3" t="s">
        <v>103</v>
      </c>
      <c r="F11834" s="3" t="s">
        <v>1373</v>
      </c>
      <c r="G11834" s="3" t="s">
        <v>162</v>
      </c>
      <c r="H11834" s="3" t="s">
        <v>103</v>
      </c>
      <c r="I11834" s="3" t="s">
        <v>1219</v>
      </c>
      <c r="J11834" s="3" t="s">
        <v>103</v>
      </c>
      <c r="K11834" s="3" t="s">
        <v>103</v>
      </c>
      <c r="L11834" s="3" t="s">
        <v>103</v>
      </c>
    </row>
    <row r="11835" spans="1:12" x14ac:dyDescent="0.3">
      <c r="A11835" t="s">
        <v>41</v>
      </c>
      <c r="B11835" t="s">
        <v>1648</v>
      </c>
      <c r="C11835">
        <v>109</v>
      </c>
      <c r="D11835" t="s">
        <v>477</v>
      </c>
      <c r="E11835" t="s">
        <v>662</v>
      </c>
      <c r="F11835" t="s">
        <v>542</v>
      </c>
      <c r="G11835" t="s">
        <v>452</v>
      </c>
      <c r="H11835" t="s">
        <v>103</v>
      </c>
      <c r="I11835" t="s">
        <v>393</v>
      </c>
      <c r="J11835" t="s">
        <v>32</v>
      </c>
      <c r="K11835" t="s">
        <v>466</v>
      </c>
      <c r="L11835" t="s">
        <v>103</v>
      </c>
    </row>
    <row r="11836" spans="1:12" x14ac:dyDescent="0.3">
      <c r="A11836" t="s">
        <v>41</v>
      </c>
      <c r="B11836" t="s">
        <v>1649</v>
      </c>
      <c r="C11836">
        <v>196</v>
      </c>
      <c r="D11836" t="s">
        <v>754</v>
      </c>
      <c r="E11836" t="s">
        <v>201</v>
      </c>
      <c r="F11836" t="s">
        <v>530</v>
      </c>
      <c r="G11836" t="s">
        <v>272</v>
      </c>
      <c r="H11836" t="s">
        <v>120</v>
      </c>
      <c r="I11836" t="s">
        <v>932</v>
      </c>
      <c r="J11836" t="s">
        <v>558</v>
      </c>
      <c r="K11836" t="s">
        <v>607</v>
      </c>
      <c r="L11836" t="s">
        <v>139</v>
      </c>
    </row>
    <row r="11838" spans="1:12" x14ac:dyDescent="0.3">
      <c r="A11838" t="s">
        <v>2835</v>
      </c>
    </row>
    <row r="11839" spans="1:12" x14ac:dyDescent="0.3">
      <c r="A11839" t="s">
        <v>36</v>
      </c>
      <c r="B11839" t="s">
        <v>2756</v>
      </c>
      <c r="C11839" t="s">
        <v>24</v>
      </c>
      <c r="D11839" t="s">
        <v>2824</v>
      </c>
      <c r="E11839" t="s">
        <v>2825</v>
      </c>
      <c r="F11839" t="s">
        <v>2826</v>
      </c>
      <c r="G11839" t="s">
        <v>2827</v>
      </c>
      <c r="H11839" t="s">
        <v>2828</v>
      </c>
      <c r="I11839" t="s">
        <v>2829</v>
      </c>
      <c r="J11839" t="s">
        <v>2830</v>
      </c>
      <c r="K11839" t="s">
        <v>2831</v>
      </c>
      <c r="L11839" t="s">
        <v>89</v>
      </c>
    </row>
    <row r="11840" spans="1:12" s="3" customFormat="1" x14ac:dyDescent="0.3">
      <c r="A11840" s="3" t="s">
        <v>25</v>
      </c>
      <c r="B11840" s="3" t="s">
        <v>2757</v>
      </c>
      <c r="C11840" s="3">
        <v>1</v>
      </c>
      <c r="D11840" s="3" t="s">
        <v>103</v>
      </c>
      <c r="E11840" s="3" t="s">
        <v>103</v>
      </c>
      <c r="F11840" s="3" t="s">
        <v>103</v>
      </c>
      <c r="G11840" s="3" t="s">
        <v>192</v>
      </c>
      <c r="H11840" s="3" t="s">
        <v>103</v>
      </c>
      <c r="I11840" s="3" t="s">
        <v>103</v>
      </c>
      <c r="J11840" s="3" t="s">
        <v>103</v>
      </c>
      <c r="K11840" s="3" t="s">
        <v>103</v>
      </c>
      <c r="L11840" s="3" t="s">
        <v>103</v>
      </c>
    </row>
    <row r="11841" spans="1:12" s="3" customFormat="1" x14ac:dyDescent="0.3">
      <c r="A11841" s="3" t="s">
        <v>25</v>
      </c>
      <c r="B11841" s="3" t="s">
        <v>2758</v>
      </c>
      <c r="C11841" s="3">
        <v>17</v>
      </c>
      <c r="D11841" s="3" t="s">
        <v>1180</v>
      </c>
      <c r="E11841" s="3" t="s">
        <v>103</v>
      </c>
      <c r="F11841" s="3" t="s">
        <v>103</v>
      </c>
      <c r="G11841" s="3" t="s">
        <v>103</v>
      </c>
      <c r="H11841" s="3" t="s">
        <v>103</v>
      </c>
      <c r="I11841" s="3" t="s">
        <v>50</v>
      </c>
      <c r="J11841" s="3" t="s">
        <v>531</v>
      </c>
      <c r="K11841" s="3" t="s">
        <v>242</v>
      </c>
      <c r="L11841" s="3" t="s">
        <v>103</v>
      </c>
    </row>
    <row r="11842" spans="1:12" s="3" customFormat="1" x14ac:dyDescent="0.3">
      <c r="A11842" s="3" t="s">
        <v>25</v>
      </c>
      <c r="B11842" s="3" t="s">
        <v>2759</v>
      </c>
      <c r="C11842" s="3">
        <v>17</v>
      </c>
      <c r="D11842" s="3" t="s">
        <v>393</v>
      </c>
      <c r="E11842" s="3" t="s">
        <v>103</v>
      </c>
      <c r="F11842" s="3" t="s">
        <v>536</v>
      </c>
      <c r="G11842" s="3" t="s">
        <v>485</v>
      </c>
      <c r="H11842" s="3" t="s">
        <v>103</v>
      </c>
      <c r="I11842" s="3" t="s">
        <v>504</v>
      </c>
      <c r="J11842" s="3" t="s">
        <v>829</v>
      </c>
      <c r="K11842" s="3" t="s">
        <v>282</v>
      </c>
      <c r="L11842" s="3" t="s">
        <v>103</v>
      </c>
    </row>
    <row r="11843" spans="1:12" s="3" customFormat="1" x14ac:dyDescent="0.3">
      <c r="A11843" s="3" t="s">
        <v>25</v>
      </c>
      <c r="B11843" s="3" t="s">
        <v>2760</v>
      </c>
      <c r="C11843" s="3">
        <v>17</v>
      </c>
      <c r="D11843" s="3" t="s">
        <v>656</v>
      </c>
      <c r="E11843" s="3" t="s">
        <v>103</v>
      </c>
      <c r="F11843" s="3" t="s">
        <v>1559</v>
      </c>
      <c r="G11843" s="3" t="s">
        <v>103</v>
      </c>
      <c r="H11843" s="3" t="s">
        <v>103</v>
      </c>
      <c r="I11843" s="3" t="s">
        <v>795</v>
      </c>
      <c r="J11843" s="3" t="s">
        <v>649</v>
      </c>
      <c r="K11843" s="3" t="s">
        <v>103</v>
      </c>
      <c r="L11843" s="3" t="s">
        <v>103</v>
      </c>
    </row>
    <row r="11844" spans="1:12" x14ac:dyDescent="0.3">
      <c r="A11844" t="s">
        <v>25</v>
      </c>
      <c r="B11844" t="s">
        <v>308</v>
      </c>
      <c r="C11844">
        <v>3</v>
      </c>
      <c r="D11844" t="s">
        <v>103</v>
      </c>
      <c r="E11844" t="s">
        <v>103</v>
      </c>
      <c r="F11844" t="s">
        <v>500</v>
      </c>
      <c r="G11844" t="s">
        <v>92</v>
      </c>
      <c r="H11844" t="s">
        <v>1007</v>
      </c>
      <c r="I11844" t="s">
        <v>103</v>
      </c>
      <c r="J11844" t="s">
        <v>103</v>
      </c>
      <c r="K11844" t="s">
        <v>103</v>
      </c>
      <c r="L11844" t="s">
        <v>103</v>
      </c>
    </row>
    <row r="11845" spans="1:12" s="3" customFormat="1" x14ac:dyDescent="0.3">
      <c r="A11845" s="3" t="s">
        <v>26</v>
      </c>
      <c r="B11845" s="3" t="s">
        <v>2757</v>
      </c>
      <c r="C11845" s="3">
        <v>2</v>
      </c>
      <c r="D11845" s="3" t="s">
        <v>103</v>
      </c>
      <c r="E11845" s="3" t="s">
        <v>103</v>
      </c>
      <c r="F11845" s="3" t="s">
        <v>103</v>
      </c>
      <c r="G11845" s="3" t="s">
        <v>103</v>
      </c>
      <c r="H11845" s="3" t="s">
        <v>103</v>
      </c>
      <c r="I11845" s="3" t="s">
        <v>192</v>
      </c>
      <c r="J11845" s="3" t="s">
        <v>103</v>
      </c>
      <c r="K11845" s="3" t="s">
        <v>103</v>
      </c>
      <c r="L11845" s="3" t="s">
        <v>103</v>
      </c>
    </row>
    <row r="11846" spans="1:12" x14ac:dyDescent="0.3">
      <c r="A11846" t="s">
        <v>26</v>
      </c>
      <c r="B11846" t="s">
        <v>2758</v>
      </c>
      <c r="C11846">
        <v>49</v>
      </c>
      <c r="D11846" t="s">
        <v>549</v>
      </c>
      <c r="E11846" t="s">
        <v>270</v>
      </c>
      <c r="F11846" t="s">
        <v>538</v>
      </c>
      <c r="G11846" t="s">
        <v>33</v>
      </c>
      <c r="H11846" t="s">
        <v>103</v>
      </c>
      <c r="I11846" t="s">
        <v>1240</v>
      </c>
      <c r="J11846" t="s">
        <v>103</v>
      </c>
      <c r="K11846" t="s">
        <v>186</v>
      </c>
      <c r="L11846" t="s">
        <v>103</v>
      </c>
    </row>
    <row r="11847" spans="1:12" x14ac:dyDescent="0.3">
      <c r="A11847" t="s">
        <v>26</v>
      </c>
      <c r="B11847" t="s">
        <v>2759</v>
      </c>
      <c r="C11847">
        <v>42</v>
      </c>
      <c r="D11847" t="s">
        <v>483</v>
      </c>
      <c r="E11847" t="s">
        <v>103</v>
      </c>
      <c r="F11847" t="s">
        <v>1081</v>
      </c>
      <c r="G11847" t="s">
        <v>94</v>
      </c>
      <c r="H11847" t="s">
        <v>103</v>
      </c>
      <c r="I11847" t="s">
        <v>924</v>
      </c>
      <c r="J11847" t="s">
        <v>270</v>
      </c>
      <c r="K11847" t="s">
        <v>103</v>
      </c>
      <c r="L11847" t="s">
        <v>103</v>
      </c>
    </row>
    <row r="11848" spans="1:12" s="3" customFormat="1" x14ac:dyDescent="0.3">
      <c r="A11848" s="3" t="s">
        <v>26</v>
      </c>
      <c r="B11848" s="3" t="s">
        <v>2760</v>
      </c>
      <c r="C11848" s="3">
        <v>25</v>
      </c>
      <c r="D11848" s="3" t="s">
        <v>667</v>
      </c>
      <c r="E11848" s="3" t="s">
        <v>103</v>
      </c>
      <c r="F11848" s="3" t="s">
        <v>1199</v>
      </c>
      <c r="G11848" s="3" t="s">
        <v>329</v>
      </c>
      <c r="H11848" s="3" t="s">
        <v>103</v>
      </c>
      <c r="I11848" s="3" t="s">
        <v>1549</v>
      </c>
      <c r="J11848" s="3" t="s">
        <v>103</v>
      </c>
      <c r="K11848" s="3" t="s">
        <v>103</v>
      </c>
      <c r="L11848" s="3" t="s">
        <v>103</v>
      </c>
    </row>
    <row r="11849" spans="1:12" x14ac:dyDescent="0.3">
      <c r="A11849" t="s">
        <v>26</v>
      </c>
      <c r="B11849" t="s">
        <v>308</v>
      </c>
      <c r="C11849">
        <v>1</v>
      </c>
      <c r="D11849" t="s">
        <v>192</v>
      </c>
      <c r="E11849" t="s">
        <v>103</v>
      </c>
      <c r="F11849" t="s">
        <v>103</v>
      </c>
      <c r="G11849" t="s">
        <v>103</v>
      </c>
      <c r="H11849" t="s">
        <v>103</v>
      </c>
      <c r="I11849" t="s">
        <v>103</v>
      </c>
      <c r="J11849" t="s">
        <v>103</v>
      </c>
      <c r="K11849" t="s">
        <v>103</v>
      </c>
      <c r="L11849" t="s">
        <v>103</v>
      </c>
    </row>
    <row r="11850" spans="1:12" s="3" customFormat="1" x14ac:dyDescent="0.3">
      <c r="A11850" s="3" t="s">
        <v>29</v>
      </c>
      <c r="B11850" s="3" t="s">
        <v>2757</v>
      </c>
      <c r="C11850" s="3">
        <v>3</v>
      </c>
      <c r="D11850" s="3" t="s">
        <v>103</v>
      </c>
      <c r="E11850" s="3" t="s">
        <v>103</v>
      </c>
      <c r="F11850" s="3" t="s">
        <v>679</v>
      </c>
      <c r="G11850" s="3" t="s">
        <v>103</v>
      </c>
      <c r="H11850" s="3" t="s">
        <v>103</v>
      </c>
      <c r="I11850" s="3" t="s">
        <v>1050</v>
      </c>
      <c r="J11850" s="3" t="s">
        <v>1050</v>
      </c>
      <c r="K11850" s="3" t="s">
        <v>103</v>
      </c>
      <c r="L11850" s="3" t="s">
        <v>103</v>
      </c>
    </row>
    <row r="11851" spans="1:12" x14ac:dyDescent="0.3">
      <c r="A11851" t="s">
        <v>29</v>
      </c>
      <c r="B11851" t="s">
        <v>2758</v>
      </c>
      <c r="C11851">
        <v>33</v>
      </c>
      <c r="D11851" t="s">
        <v>1211</v>
      </c>
      <c r="E11851" t="s">
        <v>130</v>
      </c>
      <c r="F11851" t="s">
        <v>1198</v>
      </c>
      <c r="G11851" t="s">
        <v>112</v>
      </c>
      <c r="H11851" t="s">
        <v>103</v>
      </c>
      <c r="I11851" t="s">
        <v>1097</v>
      </c>
      <c r="J11851" t="s">
        <v>60</v>
      </c>
      <c r="K11851" t="s">
        <v>571</v>
      </c>
      <c r="L11851" t="s">
        <v>103</v>
      </c>
    </row>
    <row r="11852" spans="1:12" s="3" customFormat="1" x14ac:dyDescent="0.3">
      <c r="A11852" s="3" t="s">
        <v>29</v>
      </c>
      <c r="B11852" s="3" t="s">
        <v>2759</v>
      </c>
      <c r="C11852" s="3">
        <v>17</v>
      </c>
      <c r="D11852" s="3" t="s">
        <v>552</v>
      </c>
      <c r="E11852" s="3" t="s">
        <v>103</v>
      </c>
      <c r="F11852" s="3" t="s">
        <v>1212</v>
      </c>
      <c r="G11852" s="3" t="s">
        <v>139</v>
      </c>
      <c r="H11852" s="3" t="s">
        <v>103</v>
      </c>
      <c r="I11852" s="3" t="s">
        <v>422</v>
      </c>
      <c r="J11852" s="3" t="s">
        <v>103</v>
      </c>
      <c r="K11852" s="3" t="s">
        <v>273</v>
      </c>
      <c r="L11852" s="3" t="s">
        <v>103</v>
      </c>
    </row>
    <row r="11853" spans="1:12" s="3" customFormat="1" x14ac:dyDescent="0.3">
      <c r="A11853" s="3" t="s">
        <v>29</v>
      </c>
      <c r="B11853" s="3" t="s">
        <v>2760</v>
      </c>
      <c r="C11853" s="3">
        <v>17</v>
      </c>
      <c r="D11853" s="3" t="s">
        <v>1055</v>
      </c>
      <c r="E11853" s="3" t="s">
        <v>525</v>
      </c>
      <c r="F11853" s="3" t="s">
        <v>547</v>
      </c>
      <c r="G11853" s="3" t="s">
        <v>282</v>
      </c>
      <c r="H11853" s="3" t="s">
        <v>103</v>
      </c>
      <c r="I11853" s="3" t="s">
        <v>100</v>
      </c>
      <c r="J11853" s="3" t="s">
        <v>194</v>
      </c>
      <c r="K11853" s="3" t="s">
        <v>579</v>
      </c>
      <c r="L11853" s="3" t="s">
        <v>70</v>
      </c>
    </row>
    <row r="11854" spans="1:12" x14ac:dyDescent="0.3">
      <c r="A11854" t="s">
        <v>29</v>
      </c>
      <c r="B11854" t="s">
        <v>308</v>
      </c>
      <c r="C11854">
        <v>3</v>
      </c>
      <c r="D11854" t="s">
        <v>101</v>
      </c>
      <c r="E11854" t="s">
        <v>103</v>
      </c>
      <c r="F11854" t="s">
        <v>882</v>
      </c>
      <c r="G11854" t="s">
        <v>103</v>
      </c>
      <c r="H11854" t="s">
        <v>103</v>
      </c>
      <c r="I11854" t="s">
        <v>1197</v>
      </c>
      <c r="J11854" t="s">
        <v>103</v>
      </c>
      <c r="K11854" t="s">
        <v>103</v>
      </c>
      <c r="L11854" t="s">
        <v>103</v>
      </c>
    </row>
    <row r="11855" spans="1:12" s="3" customFormat="1" x14ac:dyDescent="0.3">
      <c r="A11855" s="3" t="s">
        <v>28</v>
      </c>
      <c r="B11855" s="3" t="s">
        <v>2757</v>
      </c>
      <c r="C11855" s="3">
        <v>1</v>
      </c>
      <c r="D11855" s="3" t="s">
        <v>103</v>
      </c>
      <c r="E11855" s="3" t="s">
        <v>103</v>
      </c>
      <c r="F11855" s="3" t="s">
        <v>103</v>
      </c>
      <c r="G11855" s="3" t="s">
        <v>103</v>
      </c>
      <c r="H11855" s="3" t="s">
        <v>103</v>
      </c>
      <c r="I11855" s="3" t="s">
        <v>103</v>
      </c>
      <c r="J11855" s="3" t="s">
        <v>192</v>
      </c>
      <c r="K11855" s="3" t="s">
        <v>103</v>
      </c>
      <c r="L11855" s="3" t="s">
        <v>103</v>
      </c>
    </row>
    <row r="11856" spans="1:12" s="3" customFormat="1" x14ac:dyDescent="0.3">
      <c r="A11856" s="3" t="s">
        <v>28</v>
      </c>
      <c r="B11856" s="3" t="s">
        <v>2758</v>
      </c>
      <c r="C11856" s="3">
        <v>16</v>
      </c>
      <c r="D11856" s="3" t="s">
        <v>681</v>
      </c>
      <c r="E11856" s="3" t="s">
        <v>103</v>
      </c>
      <c r="F11856" s="3" t="s">
        <v>103</v>
      </c>
      <c r="G11856" s="3" t="s">
        <v>103</v>
      </c>
      <c r="H11856" s="3" t="s">
        <v>103</v>
      </c>
      <c r="I11856" s="3" t="s">
        <v>359</v>
      </c>
      <c r="J11856" s="3" t="s">
        <v>483</v>
      </c>
      <c r="K11856" s="3" t="s">
        <v>469</v>
      </c>
      <c r="L11856" s="3" t="s">
        <v>103</v>
      </c>
    </row>
    <row r="11857" spans="1:12" s="3" customFormat="1" x14ac:dyDescent="0.3">
      <c r="A11857" s="3" t="s">
        <v>28</v>
      </c>
      <c r="B11857" s="3" t="s">
        <v>2759</v>
      </c>
      <c r="C11857" s="3">
        <v>12</v>
      </c>
      <c r="D11857" s="3" t="s">
        <v>103</v>
      </c>
      <c r="E11857" s="3" t="s">
        <v>103</v>
      </c>
      <c r="F11857" s="3" t="s">
        <v>103</v>
      </c>
      <c r="G11857" s="3" t="s">
        <v>103</v>
      </c>
      <c r="H11857" s="3" t="s">
        <v>103</v>
      </c>
      <c r="I11857" s="3" t="s">
        <v>463</v>
      </c>
      <c r="J11857" s="3" t="s">
        <v>1137</v>
      </c>
      <c r="K11857" s="3" t="s">
        <v>268</v>
      </c>
      <c r="L11857" s="3" t="s">
        <v>103</v>
      </c>
    </row>
    <row r="11858" spans="1:12" s="3" customFormat="1" x14ac:dyDescent="0.3">
      <c r="A11858" s="3" t="s">
        <v>28</v>
      </c>
      <c r="B11858" s="3" t="s">
        <v>2760</v>
      </c>
      <c r="C11858" s="3">
        <v>9</v>
      </c>
      <c r="D11858" s="3" t="s">
        <v>103</v>
      </c>
      <c r="E11858" s="3" t="s">
        <v>331</v>
      </c>
      <c r="F11858" s="3" t="s">
        <v>103</v>
      </c>
      <c r="G11858" s="3" t="s">
        <v>103</v>
      </c>
      <c r="H11858" s="3" t="s">
        <v>103</v>
      </c>
      <c r="I11858" s="3" t="s">
        <v>1223</v>
      </c>
      <c r="J11858" s="3" t="s">
        <v>331</v>
      </c>
      <c r="K11858" s="3" t="s">
        <v>1200</v>
      </c>
      <c r="L11858" s="3" t="s">
        <v>103</v>
      </c>
    </row>
    <row r="11859" spans="1:12" s="3" customFormat="1" x14ac:dyDescent="0.3">
      <c r="A11859" s="3" t="s">
        <v>27</v>
      </c>
      <c r="B11859" s="3" t="s">
        <v>2758</v>
      </c>
      <c r="C11859" s="3">
        <v>9</v>
      </c>
      <c r="D11859" s="3" t="s">
        <v>103</v>
      </c>
      <c r="E11859" s="3" t="s">
        <v>103</v>
      </c>
      <c r="F11859" s="3" t="s">
        <v>161</v>
      </c>
      <c r="G11859" s="3" t="s">
        <v>242</v>
      </c>
      <c r="H11859" s="3" t="s">
        <v>103</v>
      </c>
      <c r="I11859" s="3" t="s">
        <v>127</v>
      </c>
      <c r="J11859" s="3" t="s">
        <v>103</v>
      </c>
      <c r="K11859" s="3" t="s">
        <v>103</v>
      </c>
      <c r="L11859" s="3" t="s">
        <v>103</v>
      </c>
    </row>
    <row r="11860" spans="1:12" s="3" customFormat="1" x14ac:dyDescent="0.3">
      <c r="A11860" s="3" t="s">
        <v>27</v>
      </c>
      <c r="B11860" s="3" t="s">
        <v>2759</v>
      </c>
      <c r="C11860" s="3">
        <v>5</v>
      </c>
      <c r="D11860" s="3" t="s">
        <v>105</v>
      </c>
      <c r="E11860" s="3" t="s">
        <v>103</v>
      </c>
      <c r="F11860" s="3" t="s">
        <v>673</v>
      </c>
      <c r="G11860" s="3" t="s">
        <v>702</v>
      </c>
      <c r="H11860" s="3" t="s">
        <v>103</v>
      </c>
      <c r="I11860" s="3" t="s">
        <v>702</v>
      </c>
      <c r="J11860" s="3" t="s">
        <v>103</v>
      </c>
      <c r="K11860" s="3" t="s">
        <v>103</v>
      </c>
      <c r="L11860" s="3" t="s">
        <v>103</v>
      </c>
    </row>
    <row r="11861" spans="1:12" s="3" customFormat="1" x14ac:dyDescent="0.3">
      <c r="A11861" s="3" t="s">
        <v>27</v>
      </c>
      <c r="B11861" s="3" t="s">
        <v>2760</v>
      </c>
      <c r="C11861" s="3">
        <v>6</v>
      </c>
      <c r="D11861" s="3" t="s">
        <v>103</v>
      </c>
      <c r="E11861" s="3" t="s">
        <v>103</v>
      </c>
      <c r="F11861" s="3" t="s">
        <v>2033</v>
      </c>
      <c r="G11861" s="3" t="s">
        <v>475</v>
      </c>
      <c r="H11861" s="3" t="s">
        <v>103</v>
      </c>
      <c r="I11861" s="3" t="s">
        <v>683</v>
      </c>
      <c r="J11861" s="3" t="s">
        <v>103</v>
      </c>
      <c r="K11861" s="3" t="s">
        <v>103</v>
      </c>
      <c r="L11861" s="3" t="s">
        <v>103</v>
      </c>
    </row>
    <row r="11862" spans="1:12" s="3" customFormat="1" x14ac:dyDescent="0.3">
      <c r="A11862" s="3" t="s">
        <v>41</v>
      </c>
      <c r="B11862" s="3" t="s">
        <v>2757</v>
      </c>
      <c r="C11862" s="3">
        <v>7</v>
      </c>
      <c r="D11862" s="3" t="s">
        <v>103</v>
      </c>
      <c r="E11862" s="3" t="s">
        <v>103</v>
      </c>
      <c r="F11862" s="3" t="s">
        <v>695</v>
      </c>
      <c r="G11862" s="3" t="s">
        <v>148</v>
      </c>
      <c r="H11862" s="3" t="s">
        <v>103</v>
      </c>
      <c r="I11862" s="3" t="s">
        <v>1043</v>
      </c>
      <c r="J11862" s="3" t="s">
        <v>660</v>
      </c>
      <c r="K11862" s="3" t="s">
        <v>103</v>
      </c>
      <c r="L11862" s="3" t="s">
        <v>103</v>
      </c>
    </row>
    <row r="11863" spans="1:12" x14ac:dyDescent="0.3">
      <c r="A11863" t="s">
        <v>41</v>
      </c>
      <c r="B11863" t="s">
        <v>2758</v>
      </c>
      <c r="C11863">
        <v>124</v>
      </c>
      <c r="D11863" t="s">
        <v>1008</v>
      </c>
      <c r="E11863" t="s">
        <v>190</v>
      </c>
      <c r="F11863" t="s">
        <v>301</v>
      </c>
      <c r="G11863" t="s">
        <v>532</v>
      </c>
      <c r="H11863" t="s">
        <v>103</v>
      </c>
      <c r="I11863" t="s">
        <v>370</v>
      </c>
      <c r="J11863" t="s">
        <v>532</v>
      </c>
      <c r="K11863" t="s">
        <v>607</v>
      </c>
      <c r="L11863" t="s">
        <v>103</v>
      </c>
    </row>
    <row r="11864" spans="1:12" x14ac:dyDescent="0.3">
      <c r="A11864" t="s">
        <v>41</v>
      </c>
      <c r="B11864" t="s">
        <v>2759</v>
      </c>
      <c r="C11864">
        <v>93</v>
      </c>
      <c r="D11864" t="s">
        <v>552</v>
      </c>
      <c r="E11864" t="s">
        <v>103</v>
      </c>
      <c r="F11864" t="s">
        <v>919</v>
      </c>
      <c r="G11864" t="s">
        <v>232</v>
      </c>
      <c r="H11864" t="s">
        <v>103</v>
      </c>
      <c r="I11864" t="s">
        <v>1087</v>
      </c>
      <c r="J11864" t="s">
        <v>607</v>
      </c>
      <c r="K11864" t="s">
        <v>94</v>
      </c>
      <c r="L11864" t="s">
        <v>103</v>
      </c>
    </row>
    <row r="11865" spans="1:12" x14ac:dyDescent="0.3">
      <c r="A11865" t="s">
        <v>41</v>
      </c>
      <c r="B11865" t="s">
        <v>2760</v>
      </c>
      <c r="C11865">
        <v>74</v>
      </c>
      <c r="D11865" t="s">
        <v>674</v>
      </c>
      <c r="E11865" t="s">
        <v>254</v>
      </c>
      <c r="F11865" t="s">
        <v>420</v>
      </c>
      <c r="G11865" t="s">
        <v>239</v>
      </c>
      <c r="H11865" t="s">
        <v>103</v>
      </c>
      <c r="I11865" t="s">
        <v>501</v>
      </c>
      <c r="J11865" t="s">
        <v>102</v>
      </c>
      <c r="K11865" t="s">
        <v>205</v>
      </c>
      <c r="L11865" t="s">
        <v>341</v>
      </c>
    </row>
    <row r="11866" spans="1:12" x14ac:dyDescent="0.3">
      <c r="A11866" t="s">
        <v>41</v>
      </c>
      <c r="B11866" t="s">
        <v>308</v>
      </c>
      <c r="C11866">
        <v>7</v>
      </c>
      <c r="D11866" t="s">
        <v>273</v>
      </c>
      <c r="E11866" t="s">
        <v>103</v>
      </c>
      <c r="F11866" t="s">
        <v>1283</v>
      </c>
      <c r="G11866" t="s">
        <v>532</v>
      </c>
      <c r="H11866" t="s">
        <v>175</v>
      </c>
      <c r="I11866" t="s">
        <v>789</v>
      </c>
      <c r="J11866" t="s">
        <v>103</v>
      </c>
      <c r="K11866" t="s">
        <v>103</v>
      </c>
      <c r="L11866" t="s">
        <v>103</v>
      </c>
    </row>
    <row r="11868" spans="1:12" x14ac:dyDescent="0.3">
      <c r="A11868" t="s">
        <v>2836</v>
      </c>
    </row>
    <row r="11869" spans="1:12" x14ac:dyDescent="0.3">
      <c r="A11869" t="s">
        <v>36</v>
      </c>
      <c r="B11869" t="s">
        <v>310</v>
      </c>
      <c r="C11869" t="s">
        <v>24</v>
      </c>
      <c r="D11869" t="s">
        <v>2824</v>
      </c>
      <c r="E11869" t="s">
        <v>2825</v>
      </c>
      <c r="F11869" t="s">
        <v>2826</v>
      </c>
      <c r="G11869" t="s">
        <v>2827</v>
      </c>
      <c r="H11869" t="s">
        <v>2828</v>
      </c>
      <c r="I11869" t="s">
        <v>2829</v>
      </c>
      <c r="J11869" t="s">
        <v>2830</v>
      </c>
      <c r="K11869" t="s">
        <v>2831</v>
      </c>
      <c r="L11869" t="s">
        <v>89</v>
      </c>
    </row>
    <row r="11870" spans="1:12" x14ac:dyDescent="0.3">
      <c r="A11870" t="s">
        <v>25</v>
      </c>
      <c r="B11870" t="s">
        <v>311</v>
      </c>
      <c r="C11870">
        <v>45</v>
      </c>
      <c r="D11870" t="s">
        <v>1081</v>
      </c>
      <c r="E11870" t="s">
        <v>103</v>
      </c>
      <c r="F11870" t="s">
        <v>900</v>
      </c>
      <c r="G11870" t="s">
        <v>251</v>
      </c>
      <c r="H11870" t="s">
        <v>103</v>
      </c>
      <c r="I11870" t="s">
        <v>729</v>
      </c>
      <c r="J11870" t="s">
        <v>104</v>
      </c>
      <c r="K11870" t="s">
        <v>438</v>
      </c>
      <c r="L11870" t="s">
        <v>103</v>
      </c>
    </row>
    <row r="11871" spans="1:12" s="3" customFormat="1" x14ac:dyDescent="0.3">
      <c r="A11871" s="3" t="s">
        <v>25</v>
      </c>
      <c r="B11871" s="3" t="s">
        <v>312</v>
      </c>
      <c r="C11871" s="3">
        <v>7</v>
      </c>
      <c r="D11871" s="3" t="s">
        <v>1375</v>
      </c>
      <c r="E11871" s="3" t="s">
        <v>103</v>
      </c>
      <c r="F11871" s="3" t="s">
        <v>103</v>
      </c>
      <c r="G11871" s="3" t="s">
        <v>108</v>
      </c>
      <c r="H11871" s="3" t="s">
        <v>103</v>
      </c>
      <c r="I11871" s="3" t="s">
        <v>556</v>
      </c>
      <c r="J11871" s="3" t="s">
        <v>103</v>
      </c>
      <c r="K11871" s="3" t="s">
        <v>103</v>
      </c>
      <c r="L11871" s="3" t="s">
        <v>103</v>
      </c>
    </row>
    <row r="11872" spans="1:12" x14ac:dyDescent="0.3">
      <c r="A11872" t="s">
        <v>25</v>
      </c>
      <c r="B11872" t="s">
        <v>308</v>
      </c>
      <c r="C11872">
        <v>3</v>
      </c>
      <c r="D11872" t="s">
        <v>103</v>
      </c>
      <c r="E11872" t="s">
        <v>103</v>
      </c>
      <c r="F11872" t="s">
        <v>500</v>
      </c>
      <c r="G11872" t="s">
        <v>92</v>
      </c>
      <c r="H11872" t="s">
        <v>1007</v>
      </c>
      <c r="I11872" t="s">
        <v>103</v>
      </c>
      <c r="J11872" t="s">
        <v>103</v>
      </c>
      <c r="K11872" t="s">
        <v>103</v>
      </c>
      <c r="L11872" t="s">
        <v>103</v>
      </c>
    </row>
    <row r="11873" spans="1:12" x14ac:dyDescent="0.3">
      <c r="A11873" t="s">
        <v>26</v>
      </c>
      <c r="B11873" t="s">
        <v>311</v>
      </c>
      <c r="C11873">
        <v>89</v>
      </c>
      <c r="D11873" t="s">
        <v>152</v>
      </c>
      <c r="E11873" t="s">
        <v>216</v>
      </c>
      <c r="F11873" t="s">
        <v>405</v>
      </c>
      <c r="G11873" t="s">
        <v>118</v>
      </c>
      <c r="H11873" t="s">
        <v>103</v>
      </c>
      <c r="I11873" t="s">
        <v>730</v>
      </c>
      <c r="J11873" t="s">
        <v>282</v>
      </c>
      <c r="K11873" t="s">
        <v>93</v>
      </c>
      <c r="L11873" t="s">
        <v>103</v>
      </c>
    </row>
    <row r="11874" spans="1:12" s="3" customFormat="1" x14ac:dyDescent="0.3">
      <c r="A11874" s="3" t="s">
        <v>26</v>
      </c>
      <c r="B11874" s="3" t="s">
        <v>312</v>
      </c>
      <c r="C11874" s="3">
        <v>21</v>
      </c>
      <c r="D11874" s="3" t="s">
        <v>681</v>
      </c>
      <c r="E11874" s="3" t="s">
        <v>103</v>
      </c>
      <c r="F11874" s="3" t="s">
        <v>648</v>
      </c>
      <c r="G11874" s="3" t="s">
        <v>155</v>
      </c>
      <c r="H11874" s="3" t="s">
        <v>103</v>
      </c>
      <c r="I11874" s="3" t="s">
        <v>1064</v>
      </c>
      <c r="J11874" s="3" t="s">
        <v>239</v>
      </c>
      <c r="K11874" s="3" t="s">
        <v>103</v>
      </c>
      <c r="L11874" s="3" t="s">
        <v>103</v>
      </c>
    </row>
    <row r="11875" spans="1:12" x14ac:dyDescent="0.3">
      <c r="A11875" t="s">
        <v>26</v>
      </c>
      <c r="B11875" t="s">
        <v>308</v>
      </c>
      <c r="C11875">
        <v>9</v>
      </c>
      <c r="D11875" t="s">
        <v>352</v>
      </c>
      <c r="E11875" t="s">
        <v>103</v>
      </c>
      <c r="F11875" t="s">
        <v>839</v>
      </c>
      <c r="G11875" t="s">
        <v>103</v>
      </c>
      <c r="H11875" t="s">
        <v>103</v>
      </c>
      <c r="I11875" t="s">
        <v>921</v>
      </c>
      <c r="J11875" t="s">
        <v>103</v>
      </c>
      <c r="K11875" t="s">
        <v>103</v>
      </c>
      <c r="L11875" t="s">
        <v>103</v>
      </c>
    </row>
    <row r="11876" spans="1:12" x14ac:dyDescent="0.3">
      <c r="A11876" t="s">
        <v>29</v>
      </c>
      <c r="B11876" t="s">
        <v>311</v>
      </c>
      <c r="C11876">
        <v>52</v>
      </c>
      <c r="D11876" t="s">
        <v>815</v>
      </c>
      <c r="E11876" t="s">
        <v>133</v>
      </c>
      <c r="F11876" t="s">
        <v>534</v>
      </c>
      <c r="G11876" t="s">
        <v>120</v>
      </c>
      <c r="H11876" t="s">
        <v>103</v>
      </c>
      <c r="I11876" t="s">
        <v>1057</v>
      </c>
      <c r="J11876" t="s">
        <v>186</v>
      </c>
      <c r="K11876" t="s">
        <v>528</v>
      </c>
      <c r="L11876" t="s">
        <v>216</v>
      </c>
    </row>
    <row r="11877" spans="1:12" s="3" customFormat="1" x14ac:dyDescent="0.3">
      <c r="A11877" s="3" t="s">
        <v>29</v>
      </c>
      <c r="B11877" s="3" t="s">
        <v>312</v>
      </c>
      <c r="C11877" s="3">
        <v>16</v>
      </c>
      <c r="D11877" s="3" t="s">
        <v>501</v>
      </c>
      <c r="E11877" s="3" t="s">
        <v>650</v>
      </c>
      <c r="F11877" s="3" t="s">
        <v>556</v>
      </c>
      <c r="G11877" s="3" t="s">
        <v>123</v>
      </c>
      <c r="H11877" s="3" t="s">
        <v>103</v>
      </c>
      <c r="I11877" s="3" t="s">
        <v>514</v>
      </c>
      <c r="J11877" s="3" t="s">
        <v>737</v>
      </c>
      <c r="K11877" s="3" t="s">
        <v>32</v>
      </c>
      <c r="L11877" s="3" t="s">
        <v>103</v>
      </c>
    </row>
    <row r="11878" spans="1:12" x14ac:dyDescent="0.3">
      <c r="A11878" t="s">
        <v>29</v>
      </c>
      <c r="B11878" t="s">
        <v>308</v>
      </c>
      <c r="C11878">
        <v>5</v>
      </c>
      <c r="D11878" t="s">
        <v>544</v>
      </c>
      <c r="E11878" t="s">
        <v>544</v>
      </c>
      <c r="F11878" t="s">
        <v>431</v>
      </c>
      <c r="G11878" t="s">
        <v>103</v>
      </c>
      <c r="H11878" t="s">
        <v>103</v>
      </c>
      <c r="I11878" t="s">
        <v>1098</v>
      </c>
      <c r="J11878" t="s">
        <v>103</v>
      </c>
      <c r="K11878" t="s">
        <v>103</v>
      </c>
      <c r="L11878" t="s">
        <v>103</v>
      </c>
    </row>
    <row r="11879" spans="1:12" s="3" customFormat="1" x14ac:dyDescent="0.3">
      <c r="A11879" s="3" t="s">
        <v>28</v>
      </c>
      <c r="B11879" s="3" t="s">
        <v>311</v>
      </c>
      <c r="C11879" s="3">
        <v>27</v>
      </c>
      <c r="D11879" s="3" t="s">
        <v>146</v>
      </c>
      <c r="E11879" s="3" t="s">
        <v>452</v>
      </c>
      <c r="F11879" s="3" t="s">
        <v>103</v>
      </c>
      <c r="G11879" s="3" t="s">
        <v>103</v>
      </c>
      <c r="H11879" s="3" t="s">
        <v>103</v>
      </c>
      <c r="I11879" s="3" t="s">
        <v>825</v>
      </c>
      <c r="J11879" s="3" t="s">
        <v>1293</v>
      </c>
      <c r="K11879" s="3" t="s">
        <v>807</v>
      </c>
      <c r="L11879" s="3" t="s">
        <v>103</v>
      </c>
    </row>
    <row r="11880" spans="1:12" s="3" customFormat="1" x14ac:dyDescent="0.3">
      <c r="A11880" s="3" t="s">
        <v>28</v>
      </c>
      <c r="B11880" s="3" t="s">
        <v>312</v>
      </c>
      <c r="C11880" s="3">
        <v>11</v>
      </c>
      <c r="D11880" s="3" t="s">
        <v>103</v>
      </c>
      <c r="E11880" s="3" t="s">
        <v>103</v>
      </c>
      <c r="F11880" s="3" t="s">
        <v>103</v>
      </c>
      <c r="G11880" s="3" t="s">
        <v>103</v>
      </c>
      <c r="H11880" s="3" t="s">
        <v>103</v>
      </c>
      <c r="I11880" s="3" t="s">
        <v>1216</v>
      </c>
      <c r="J11880" s="3" t="s">
        <v>259</v>
      </c>
      <c r="K11880" s="3" t="s">
        <v>542</v>
      </c>
      <c r="L11880" s="3" t="s">
        <v>103</v>
      </c>
    </row>
    <row r="11881" spans="1:12" s="3" customFormat="1" x14ac:dyDescent="0.3">
      <c r="A11881" s="3" t="s">
        <v>27</v>
      </c>
      <c r="B11881" s="3" t="s">
        <v>311</v>
      </c>
      <c r="C11881" s="3">
        <v>15</v>
      </c>
      <c r="D11881" s="3" t="s">
        <v>122</v>
      </c>
      <c r="E11881" s="3" t="s">
        <v>103</v>
      </c>
      <c r="F11881" s="3" t="s">
        <v>610</v>
      </c>
      <c r="G11881" s="3" t="s">
        <v>517</v>
      </c>
      <c r="H11881" s="3" t="s">
        <v>103</v>
      </c>
      <c r="I11881" s="3" t="s">
        <v>550</v>
      </c>
      <c r="J11881" s="3" t="s">
        <v>103</v>
      </c>
      <c r="K11881" s="3" t="s">
        <v>103</v>
      </c>
      <c r="L11881" s="3" t="s">
        <v>103</v>
      </c>
    </row>
    <row r="11882" spans="1:12" s="3" customFormat="1" x14ac:dyDescent="0.3">
      <c r="A11882" s="3" t="s">
        <v>27</v>
      </c>
      <c r="B11882" s="3" t="s">
        <v>312</v>
      </c>
      <c r="C11882" s="3">
        <v>5</v>
      </c>
      <c r="D11882" s="3" t="s">
        <v>103</v>
      </c>
      <c r="E11882" s="3" t="s">
        <v>103</v>
      </c>
      <c r="F11882" s="3" t="s">
        <v>394</v>
      </c>
      <c r="G11882" s="3" t="s">
        <v>471</v>
      </c>
      <c r="H11882" s="3" t="s">
        <v>103</v>
      </c>
      <c r="I11882" s="3" t="s">
        <v>471</v>
      </c>
      <c r="J11882" s="3" t="s">
        <v>103</v>
      </c>
      <c r="K11882" s="3" t="s">
        <v>103</v>
      </c>
      <c r="L11882" s="3" t="s">
        <v>103</v>
      </c>
    </row>
    <row r="11883" spans="1:12" x14ac:dyDescent="0.3">
      <c r="A11883" t="s">
        <v>41</v>
      </c>
      <c r="B11883" t="s">
        <v>311</v>
      </c>
      <c r="C11883">
        <v>228</v>
      </c>
      <c r="D11883" t="s">
        <v>691</v>
      </c>
      <c r="E11883" t="s">
        <v>270</v>
      </c>
      <c r="F11883" t="s">
        <v>365</v>
      </c>
      <c r="G11883" t="s">
        <v>257</v>
      </c>
      <c r="H11883" t="s">
        <v>103</v>
      </c>
      <c r="I11883" t="s">
        <v>932</v>
      </c>
      <c r="J11883" t="s">
        <v>662</v>
      </c>
      <c r="K11883" t="s">
        <v>575</v>
      </c>
      <c r="L11883" t="s">
        <v>120</v>
      </c>
    </row>
    <row r="11884" spans="1:12" x14ac:dyDescent="0.3">
      <c r="A11884" t="s">
        <v>41</v>
      </c>
      <c r="B11884" t="s">
        <v>312</v>
      </c>
      <c r="C11884">
        <v>60</v>
      </c>
      <c r="D11884" t="s">
        <v>1038</v>
      </c>
      <c r="E11884" t="s">
        <v>175</v>
      </c>
      <c r="F11884" t="s">
        <v>505</v>
      </c>
      <c r="G11884" t="s">
        <v>148</v>
      </c>
      <c r="H11884" t="s">
        <v>103</v>
      </c>
      <c r="I11884" t="s">
        <v>138</v>
      </c>
      <c r="J11884" t="s">
        <v>594</v>
      </c>
      <c r="K11884" t="s">
        <v>201</v>
      </c>
      <c r="L11884" t="s">
        <v>103</v>
      </c>
    </row>
    <row r="11885" spans="1:12" x14ac:dyDescent="0.3">
      <c r="A11885" t="s">
        <v>41</v>
      </c>
      <c r="B11885" t="s">
        <v>308</v>
      </c>
      <c r="C11885">
        <v>17</v>
      </c>
      <c r="D11885" t="s">
        <v>707</v>
      </c>
      <c r="E11885" t="s">
        <v>284</v>
      </c>
      <c r="F11885" t="s">
        <v>1000</v>
      </c>
      <c r="G11885" t="s">
        <v>208</v>
      </c>
      <c r="H11885" t="s">
        <v>232</v>
      </c>
      <c r="I11885" t="s">
        <v>788</v>
      </c>
      <c r="J11885" t="s">
        <v>103</v>
      </c>
      <c r="K11885" t="s">
        <v>103</v>
      </c>
      <c r="L11885" t="s">
        <v>103</v>
      </c>
    </row>
    <row r="11887" spans="1:12" x14ac:dyDescent="0.3">
      <c r="A11887" t="s">
        <v>2837</v>
      </c>
    </row>
    <row r="11888" spans="1:12" x14ac:dyDescent="0.3">
      <c r="A11888" t="s">
        <v>36</v>
      </c>
      <c r="B11888" t="s">
        <v>1233</v>
      </c>
      <c r="C11888" t="s">
        <v>24</v>
      </c>
      <c r="D11888" t="s">
        <v>2824</v>
      </c>
      <c r="E11888" t="s">
        <v>2825</v>
      </c>
      <c r="F11888" t="s">
        <v>2826</v>
      </c>
      <c r="G11888" t="s">
        <v>2827</v>
      </c>
      <c r="H11888" t="s">
        <v>2828</v>
      </c>
      <c r="I11888" t="s">
        <v>2829</v>
      </c>
      <c r="J11888" t="s">
        <v>2830</v>
      </c>
      <c r="K11888" t="s">
        <v>2831</v>
      </c>
      <c r="L11888" t="s">
        <v>89</v>
      </c>
    </row>
    <row r="11889" spans="1:12" x14ac:dyDescent="0.3">
      <c r="A11889" t="s">
        <v>25</v>
      </c>
      <c r="B11889" t="s">
        <v>1234</v>
      </c>
      <c r="C11889">
        <v>31</v>
      </c>
      <c r="D11889" t="s">
        <v>420</v>
      </c>
      <c r="E11889" t="s">
        <v>103</v>
      </c>
      <c r="F11889" t="s">
        <v>809</v>
      </c>
      <c r="G11889" t="s">
        <v>284</v>
      </c>
      <c r="H11889" t="s">
        <v>107</v>
      </c>
      <c r="I11889" t="s">
        <v>541</v>
      </c>
      <c r="J11889" t="s">
        <v>123</v>
      </c>
      <c r="K11889" t="s">
        <v>615</v>
      </c>
      <c r="L11889" t="s">
        <v>103</v>
      </c>
    </row>
    <row r="11890" spans="1:12" s="3" customFormat="1" x14ac:dyDescent="0.3">
      <c r="A11890" s="3" t="s">
        <v>25</v>
      </c>
      <c r="B11890" s="3" t="s">
        <v>1235</v>
      </c>
      <c r="C11890" s="3">
        <v>3</v>
      </c>
      <c r="D11890" s="3" t="s">
        <v>760</v>
      </c>
      <c r="E11890" s="3" t="s">
        <v>103</v>
      </c>
      <c r="F11890" s="3" t="s">
        <v>103</v>
      </c>
      <c r="G11890" s="3" t="s">
        <v>486</v>
      </c>
      <c r="H11890" s="3" t="s">
        <v>103</v>
      </c>
      <c r="I11890" s="3" t="s">
        <v>103</v>
      </c>
      <c r="J11890" s="3" t="s">
        <v>103</v>
      </c>
      <c r="K11890" s="3" t="s">
        <v>103</v>
      </c>
      <c r="L11890" s="3" t="s">
        <v>103</v>
      </c>
    </row>
    <row r="11891" spans="1:12" s="3" customFormat="1" x14ac:dyDescent="0.3">
      <c r="A11891" s="3" t="s">
        <v>25</v>
      </c>
      <c r="B11891" s="3" t="s">
        <v>1237</v>
      </c>
      <c r="C11891" s="3">
        <v>21</v>
      </c>
      <c r="D11891" s="3" t="s">
        <v>1293</v>
      </c>
      <c r="E11891" s="3" t="s">
        <v>103</v>
      </c>
      <c r="F11891" s="3" t="s">
        <v>1011</v>
      </c>
      <c r="G11891" s="3" t="s">
        <v>254</v>
      </c>
      <c r="H11891" s="3" t="s">
        <v>103</v>
      </c>
      <c r="I11891" s="3" t="s">
        <v>492</v>
      </c>
      <c r="J11891" s="3" t="s">
        <v>571</v>
      </c>
      <c r="K11891" s="3" t="s">
        <v>120</v>
      </c>
      <c r="L11891" s="3" t="s">
        <v>103</v>
      </c>
    </row>
    <row r="11892" spans="1:12" x14ac:dyDescent="0.3">
      <c r="A11892" t="s">
        <v>26</v>
      </c>
      <c r="B11892" t="s">
        <v>1234</v>
      </c>
      <c r="C11892">
        <v>71</v>
      </c>
      <c r="D11892" t="s">
        <v>578</v>
      </c>
      <c r="E11892" t="s">
        <v>208</v>
      </c>
      <c r="F11892" t="s">
        <v>362</v>
      </c>
      <c r="G11892" t="s">
        <v>112</v>
      </c>
      <c r="H11892" t="s">
        <v>103</v>
      </c>
      <c r="I11892" t="s">
        <v>415</v>
      </c>
      <c r="J11892" t="s">
        <v>245</v>
      </c>
      <c r="K11892" t="s">
        <v>103</v>
      </c>
      <c r="L11892" t="s">
        <v>103</v>
      </c>
    </row>
    <row r="11893" spans="1:12" s="3" customFormat="1" x14ac:dyDescent="0.3">
      <c r="A11893" s="3" t="s">
        <v>26</v>
      </c>
      <c r="B11893" s="3" t="s">
        <v>1235</v>
      </c>
      <c r="C11893" s="3">
        <v>12</v>
      </c>
      <c r="D11893" s="3" t="s">
        <v>188</v>
      </c>
      <c r="E11893" s="3" t="s">
        <v>103</v>
      </c>
      <c r="F11893" s="3" t="s">
        <v>934</v>
      </c>
      <c r="G11893" s="3" t="s">
        <v>123</v>
      </c>
      <c r="H11893" s="3" t="s">
        <v>103</v>
      </c>
      <c r="I11893" s="3" t="s">
        <v>1012</v>
      </c>
      <c r="J11893" s="3" t="s">
        <v>103</v>
      </c>
      <c r="K11893" s="3" t="s">
        <v>62</v>
      </c>
      <c r="L11893" s="3" t="s">
        <v>103</v>
      </c>
    </row>
    <row r="11894" spans="1:12" x14ac:dyDescent="0.3">
      <c r="A11894" t="s">
        <v>26</v>
      </c>
      <c r="B11894" t="s">
        <v>1237</v>
      </c>
      <c r="C11894">
        <v>36</v>
      </c>
      <c r="D11894" t="s">
        <v>570</v>
      </c>
      <c r="E11894" t="s">
        <v>103</v>
      </c>
      <c r="F11894" t="s">
        <v>393</v>
      </c>
      <c r="G11894" t="s">
        <v>468</v>
      </c>
      <c r="H11894" t="s">
        <v>103</v>
      </c>
      <c r="I11894" t="s">
        <v>1321</v>
      </c>
      <c r="J11894" t="s">
        <v>103</v>
      </c>
      <c r="K11894" t="s">
        <v>217</v>
      </c>
      <c r="L11894" t="s">
        <v>103</v>
      </c>
    </row>
    <row r="11895" spans="1:12" x14ac:dyDescent="0.3">
      <c r="A11895" t="s">
        <v>29</v>
      </c>
      <c r="B11895" t="s">
        <v>1234</v>
      </c>
      <c r="C11895">
        <v>49</v>
      </c>
      <c r="D11895" t="s">
        <v>440</v>
      </c>
      <c r="E11895" t="s">
        <v>186</v>
      </c>
      <c r="F11895" t="s">
        <v>382</v>
      </c>
      <c r="G11895" t="s">
        <v>113</v>
      </c>
      <c r="H11895" t="s">
        <v>103</v>
      </c>
      <c r="I11895" t="s">
        <v>537</v>
      </c>
      <c r="J11895" t="s">
        <v>32</v>
      </c>
      <c r="K11895" t="s">
        <v>111</v>
      </c>
      <c r="L11895" t="s">
        <v>103</v>
      </c>
    </row>
    <row r="11896" spans="1:12" s="3" customFormat="1" x14ac:dyDescent="0.3">
      <c r="A11896" s="3" t="s">
        <v>29</v>
      </c>
      <c r="B11896" s="3" t="s">
        <v>1235</v>
      </c>
      <c r="C11896" s="3">
        <v>6</v>
      </c>
      <c r="D11896" s="3" t="s">
        <v>103</v>
      </c>
      <c r="E11896" s="3" t="s">
        <v>1206</v>
      </c>
      <c r="F11896" s="3" t="s">
        <v>1041</v>
      </c>
      <c r="G11896" s="3" t="s">
        <v>103</v>
      </c>
      <c r="H11896" s="3" t="s">
        <v>103</v>
      </c>
      <c r="I11896" s="3" t="s">
        <v>507</v>
      </c>
      <c r="J11896" s="3" t="s">
        <v>103</v>
      </c>
      <c r="K11896" s="3" t="s">
        <v>103</v>
      </c>
      <c r="L11896" s="3" t="s">
        <v>103</v>
      </c>
    </row>
    <row r="11897" spans="1:12" s="3" customFormat="1" x14ac:dyDescent="0.3">
      <c r="A11897" s="3" t="s">
        <v>29</v>
      </c>
      <c r="B11897" s="3" t="s">
        <v>1237</v>
      </c>
      <c r="C11897" s="3">
        <v>18</v>
      </c>
      <c r="D11897" s="3" t="s">
        <v>529</v>
      </c>
      <c r="E11897" s="3" t="s">
        <v>506</v>
      </c>
      <c r="F11897" s="3" t="s">
        <v>548</v>
      </c>
      <c r="G11897" s="3" t="s">
        <v>103</v>
      </c>
      <c r="H11897" s="3" t="s">
        <v>103</v>
      </c>
      <c r="I11897" s="3" t="s">
        <v>577</v>
      </c>
      <c r="J11897" s="3" t="s">
        <v>607</v>
      </c>
      <c r="K11897" s="3" t="s">
        <v>578</v>
      </c>
      <c r="L11897" s="3" t="s">
        <v>32</v>
      </c>
    </row>
    <row r="11898" spans="1:12" s="3" customFormat="1" x14ac:dyDescent="0.3">
      <c r="A11898" s="3" t="s">
        <v>28</v>
      </c>
      <c r="B11898" s="3" t="s">
        <v>1234</v>
      </c>
      <c r="C11898" s="3">
        <v>14</v>
      </c>
      <c r="D11898" s="3" t="s">
        <v>205</v>
      </c>
      <c r="E11898" s="3" t="s">
        <v>103</v>
      </c>
      <c r="F11898" s="3" t="s">
        <v>103</v>
      </c>
      <c r="G11898" s="3" t="s">
        <v>103</v>
      </c>
      <c r="H11898" s="3" t="s">
        <v>103</v>
      </c>
      <c r="I11898" s="3" t="s">
        <v>727</v>
      </c>
      <c r="J11898" s="3" t="s">
        <v>442</v>
      </c>
      <c r="K11898" s="3" t="s">
        <v>520</v>
      </c>
      <c r="L11898" s="3" t="s">
        <v>103</v>
      </c>
    </row>
    <row r="11899" spans="1:12" s="3" customFormat="1" x14ac:dyDescent="0.3">
      <c r="A11899" s="3" t="s">
        <v>28</v>
      </c>
      <c r="B11899" s="3" t="s">
        <v>1235</v>
      </c>
      <c r="C11899" s="3">
        <v>2</v>
      </c>
      <c r="D11899" s="3" t="s">
        <v>103</v>
      </c>
      <c r="E11899" s="3" t="s">
        <v>103</v>
      </c>
      <c r="F11899" s="3" t="s">
        <v>103</v>
      </c>
      <c r="G11899" s="3" t="s">
        <v>103</v>
      </c>
      <c r="H11899" s="3" t="s">
        <v>103</v>
      </c>
      <c r="I11899" s="3" t="s">
        <v>538</v>
      </c>
      <c r="J11899" s="3" t="s">
        <v>810</v>
      </c>
      <c r="K11899" s="3" t="s">
        <v>103</v>
      </c>
      <c r="L11899" s="3" t="s">
        <v>103</v>
      </c>
    </row>
    <row r="11900" spans="1:12" s="3" customFormat="1" x14ac:dyDescent="0.3">
      <c r="A11900" s="3" t="s">
        <v>28</v>
      </c>
      <c r="B11900" s="3" t="s">
        <v>1237</v>
      </c>
      <c r="C11900" s="3">
        <v>22</v>
      </c>
      <c r="D11900" s="3" t="s">
        <v>60</v>
      </c>
      <c r="E11900" s="3" t="s">
        <v>60</v>
      </c>
      <c r="F11900" s="3" t="s">
        <v>103</v>
      </c>
      <c r="G11900" s="3" t="s">
        <v>103</v>
      </c>
      <c r="H11900" s="3" t="s">
        <v>103</v>
      </c>
      <c r="I11900" s="3" t="s">
        <v>1218</v>
      </c>
      <c r="J11900" s="3" t="s">
        <v>382</v>
      </c>
      <c r="K11900" s="3" t="s">
        <v>155</v>
      </c>
      <c r="L11900" s="3" t="s">
        <v>103</v>
      </c>
    </row>
    <row r="11901" spans="1:12" s="3" customFormat="1" x14ac:dyDescent="0.3">
      <c r="A11901" s="3" t="s">
        <v>27</v>
      </c>
      <c r="B11901" s="3" t="s">
        <v>1234</v>
      </c>
      <c r="C11901" s="3">
        <v>17</v>
      </c>
      <c r="D11901" s="3" t="s">
        <v>103</v>
      </c>
      <c r="E11901" s="3" t="s">
        <v>103</v>
      </c>
      <c r="F11901" s="3" t="s">
        <v>895</v>
      </c>
      <c r="G11901" s="3" t="s">
        <v>693</v>
      </c>
      <c r="H11901" s="3" t="s">
        <v>103</v>
      </c>
      <c r="I11901" s="3" t="s">
        <v>680</v>
      </c>
      <c r="J11901" s="3" t="s">
        <v>103</v>
      </c>
      <c r="K11901" s="3" t="s">
        <v>103</v>
      </c>
      <c r="L11901" s="3" t="s">
        <v>103</v>
      </c>
    </row>
    <row r="11902" spans="1:12" s="3" customFormat="1" x14ac:dyDescent="0.3">
      <c r="A11902" s="3" t="s">
        <v>27</v>
      </c>
      <c r="B11902" s="3" t="s">
        <v>1237</v>
      </c>
      <c r="C11902" s="3">
        <v>3</v>
      </c>
      <c r="D11902" s="3" t="s">
        <v>125</v>
      </c>
      <c r="E11902" s="3" t="s">
        <v>103</v>
      </c>
      <c r="F11902" s="3" t="s">
        <v>386</v>
      </c>
      <c r="G11902" s="3" t="s">
        <v>1024</v>
      </c>
      <c r="H11902" s="3" t="s">
        <v>103</v>
      </c>
      <c r="I11902" s="3" t="s">
        <v>103</v>
      </c>
      <c r="J11902" s="3" t="s">
        <v>103</v>
      </c>
      <c r="K11902" s="3" t="s">
        <v>103</v>
      </c>
      <c r="L11902" s="3" t="s">
        <v>103</v>
      </c>
    </row>
    <row r="11903" spans="1:12" x14ac:dyDescent="0.3">
      <c r="A11903" t="s">
        <v>41</v>
      </c>
      <c r="B11903" t="s">
        <v>1234</v>
      </c>
      <c r="C11903">
        <v>182</v>
      </c>
      <c r="D11903" t="s">
        <v>686</v>
      </c>
      <c r="E11903" t="s">
        <v>257</v>
      </c>
      <c r="F11903" t="s">
        <v>1011</v>
      </c>
      <c r="G11903" t="s">
        <v>33</v>
      </c>
      <c r="H11903" t="s">
        <v>120</v>
      </c>
      <c r="I11903" t="s">
        <v>513</v>
      </c>
      <c r="J11903" t="s">
        <v>70</v>
      </c>
      <c r="K11903" t="s">
        <v>466</v>
      </c>
      <c r="L11903" t="s">
        <v>103</v>
      </c>
    </row>
    <row r="11904" spans="1:12" s="3" customFormat="1" x14ac:dyDescent="0.3">
      <c r="A11904" s="3" t="s">
        <v>41</v>
      </c>
      <c r="B11904" s="3" t="s">
        <v>1235</v>
      </c>
      <c r="C11904" s="3">
        <v>23</v>
      </c>
      <c r="D11904" s="3" t="s">
        <v>601</v>
      </c>
      <c r="E11904" s="3" t="s">
        <v>106</v>
      </c>
      <c r="F11904" s="3" t="s">
        <v>293</v>
      </c>
      <c r="G11904" s="3" t="s">
        <v>531</v>
      </c>
      <c r="H11904" s="3" t="s">
        <v>103</v>
      </c>
      <c r="I11904" s="3" t="s">
        <v>353</v>
      </c>
      <c r="J11904" s="3" t="s">
        <v>98</v>
      </c>
      <c r="K11904" s="3" t="s">
        <v>107</v>
      </c>
      <c r="L11904" s="3" t="s">
        <v>103</v>
      </c>
    </row>
    <row r="11905" spans="1:12" x14ac:dyDescent="0.3">
      <c r="A11905" t="s">
        <v>41</v>
      </c>
      <c r="B11905" t="s">
        <v>1237</v>
      </c>
      <c r="C11905">
        <v>100</v>
      </c>
      <c r="D11905" t="s">
        <v>556</v>
      </c>
      <c r="E11905" t="s">
        <v>460</v>
      </c>
      <c r="F11905" t="s">
        <v>507</v>
      </c>
      <c r="G11905" t="s">
        <v>266</v>
      </c>
      <c r="H11905" t="s">
        <v>103</v>
      </c>
      <c r="I11905" t="s">
        <v>1055</v>
      </c>
      <c r="J11905" t="s">
        <v>140</v>
      </c>
      <c r="K11905" t="s">
        <v>205</v>
      </c>
      <c r="L11905" t="s">
        <v>216</v>
      </c>
    </row>
    <row r="11907" spans="1:12" x14ac:dyDescent="0.3">
      <c r="A11907" t="s">
        <v>2838</v>
      </c>
    </row>
    <row r="11908" spans="1:12" x14ac:dyDescent="0.3">
      <c r="A11908" t="s">
        <v>36</v>
      </c>
      <c r="B11908" t="s">
        <v>2764</v>
      </c>
      <c r="C11908" t="s">
        <v>24</v>
      </c>
      <c r="D11908" t="s">
        <v>2824</v>
      </c>
      <c r="E11908" t="s">
        <v>2825</v>
      </c>
      <c r="F11908" t="s">
        <v>2826</v>
      </c>
      <c r="G11908" t="s">
        <v>2827</v>
      </c>
      <c r="H11908" t="s">
        <v>2828</v>
      </c>
      <c r="I11908" t="s">
        <v>2829</v>
      </c>
      <c r="J11908" t="s">
        <v>2830</v>
      </c>
      <c r="K11908" t="s">
        <v>2831</v>
      </c>
      <c r="L11908" t="s">
        <v>89</v>
      </c>
    </row>
    <row r="11909" spans="1:12" s="3" customFormat="1" x14ac:dyDescent="0.3">
      <c r="A11909" s="3" t="s">
        <v>25</v>
      </c>
      <c r="B11909" s="3" t="s">
        <v>2765</v>
      </c>
      <c r="C11909" s="3">
        <v>4</v>
      </c>
      <c r="D11909" s="3" t="s">
        <v>823</v>
      </c>
      <c r="E11909" s="3" t="s">
        <v>103</v>
      </c>
      <c r="F11909" s="3" t="s">
        <v>103</v>
      </c>
      <c r="G11909" s="3" t="s">
        <v>103</v>
      </c>
      <c r="H11909" s="3" t="s">
        <v>103</v>
      </c>
      <c r="I11909" s="3" t="s">
        <v>103</v>
      </c>
      <c r="J11909" s="3" t="s">
        <v>1093</v>
      </c>
      <c r="K11909" s="3" t="s">
        <v>103</v>
      </c>
      <c r="L11909" s="3" t="s">
        <v>103</v>
      </c>
    </row>
    <row r="11910" spans="1:12" s="3" customFormat="1" x14ac:dyDescent="0.3">
      <c r="A11910" s="3" t="s">
        <v>25</v>
      </c>
      <c r="B11910" s="3" t="s">
        <v>585</v>
      </c>
      <c r="C11910" s="3">
        <v>2</v>
      </c>
      <c r="D11910" s="3" t="s">
        <v>103</v>
      </c>
      <c r="E11910" s="3" t="s">
        <v>103</v>
      </c>
      <c r="F11910" s="3" t="s">
        <v>103</v>
      </c>
      <c r="G11910" s="3" t="s">
        <v>1004</v>
      </c>
      <c r="H11910" s="3" t="s">
        <v>103</v>
      </c>
      <c r="I11910" s="3" t="s">
        <v>103</v>
      </c>
      <c r="J11910" s="3" t="s">
        <v>103</v>
      </c>
      <c r="K11910" s="3" t="s">
        <v>554</v>
      </c>
      <c r="L11910" s="3" t="s">
        <v>103</v>
      </c>
    </row>
    <row r="11911" spans="1:12" s="3" customFormat="1" x14ac:dyDescent="0.3">
      <c r="A11911" s="3" t="s">
        <v>25</v>
      </c>
      <c r="B11911" s="3" t="s">
        <v>586</v>
      </c>
      <c r="C11911" s="3">
        <v>7</v>
      </c>
      <c r="D11911" s="3" t="s">
        <v>624</v>
      </c>
      <c r="E11911" s="3" t="s">
        <v>103</v>
      </c>
      <c r="F11911" s="3" t="s">
        <v>100</v>
      </c>
      <c r="G11911" s="3" t="s">
        <v>103</v>
      </c>
      <c r="H11911" s="3" t="s">
        <v>103</v>
      </c>
      <c r="I11911" s="3" t="s">
        <v>100</v>
      </c>
      <c r="J11911" s="3" t="s">
        <v>103</v>
      </c>
      <c r="K11911" s="3" t="s">
        <v>103</v>
      </c>
      <c r="L11911" s="3" t="s">
        <v>103</v>
      </c>
    </row>
    <row r="11912" spans="1:12" s="3" customFormat="1" x14ac:dyDescent="0.3">
      <c r="A11912" s="3" t="s">
        <v>25</v>
      </c>
      <c r="B11912" s="3" t="s">
        <v>588</v>
      </c>
      <c r="C11912" s="3">
        <v>3</v>
      </c>
      <c r="D11912" s="3" t="s">
        <v>1025</v>
      </c>
      <c r="E11912" s="3" t="s">
        <v>103</v>
      </c>
      <c r="F11912" s="3" t="s">
        <v>103</v>
      </c>
      <c r="G11912" s="3" t="s">
        <v>103</v>
      </c>
      <c r="H11912" s="3" t="s">
        <v>103</v>
      </c>
      <c r="I11912" s="3" t="s">
        <v>1214</v>
      </c>
      <c r="J11912" s="3" t="s">
        <v>103</v>
      </c>
      <c r="K11912" s="3" t="s">
        <v>103</v>
      </c>
      <c r="L11912" s="3" t="s">
        <v>103</v>
      </c>
    </row>
    <row r="11913" spans="1:12" x14ac:dyDescent="0.3">
      <c r="A11913" t="s">
        <v>25</v>
      </c>
      <c r="B11913" t="s">
        <v>2766</v>
      </c>
      <c r="C11913">
        <v>39</v>
      </c>
      <c r="D11913" t="s">
        <v>559</v>
      </c>
      <c r="E11913" t="s">
        <v>103</v>
      </c>
      <c r="F11913" t="s">
        <v>504</v>
      </c>
      <c r="G11913" t="s">
        <v>90</v>
      </c>
      <c r="H11913" t="s">
        <v>68</v>
      </c>
      <c r="I11913" t="s">
        <v>396</v>
      </c>
      <c r="J11913" t="s">
        <v>191</v>
      </c>
      <c r="K11913" t="s">
        <v>438</v>
      </c>
      <c r="L11913" t="s">
        <v>103</v>
      </c>
    </row>
    <row r="11914" spans="1:12" s="3" customFormat="1" x14ac:dyDescent="0.3">
      <c r="A11914" s="3" t="s">
        <v>26</v>
      </c>
      <c r="B11914" s="3" t="s">
        <v>2765</v>
      </c>
      <c r="C11914" s="3">
        <v>6</v>
      </c>
      <c r="D11914" s="3" t="s">
        <v>1177</v>
      </c>
      <c r="E11914" s="3" t="s">
        <v>103</v>
      </c>
      <c r="F11914" s="3" t="s">
        <v>103</v>
      </c>
      <c r="G11914" s="3" t="s">
        <v>103</v>
      </c>
      <c r="H11914" s="3" t="s">
        <v>103</v>
      </c>
      <c r="I11914" s="3" t="s">
        <v>103</v>
      </c>
      <c r="J11914" s="3" t="s">
        <v>367</v>
      </c>
      <c r="K11914" s="3" t="s">
        <v>103</v>
      </c>
      <c r="L11914" s="3" t="s">
        <v>103</v>
      </c>
    </row>
    <row r="11915" spans="1:12" s="3" customFormat="1" x14ac:dyDescent="0.3">
      <c r="A11915" s="3" t="s">
        <v>26</v>
      </c>
      <c r="B11915" s="3" t="s">
        <v>586</v>
      </c>
      <c r="C11915" s="3">
        <v>2</v>
      </c>
      <c r="D11915" s="3" t="s">
        <v>192</v>
      </c>
      <c r="E11915" s="3" t="s">
        <v>103</v>
      </c>
      <c r="F11915" s="3" t="s">
        <v>103</v>
      </c>
      <c r="G11915" s="3" t="s">
        <v>103</v>
      </c>
      <c r="H11915" s="3" t="s">
        <v>103</v>
      </c>
      <c r="I11915" s="3" t="s">
        <v>103</v>
      </c>
      <c r="J11915" s="3" t="s">
        <v>103</v>
      </c>
      <c r="K11915" s="3" t="s">
        <v>103</v>
      </c>
      <c r="L11915" s="3" t="s">
        <v>103</v>
      </c>
    </row>
    <row r="11916" spans="1:12" s="3" customFormat="1" x14ac:dyDescent="0.3">
      <c r="A11916" s="3" t="s">
        <v>26</v>
      </c>
      <c r="B11916" s="3" t="s">
        <v>587</v>
      </c>
      <c r="C11916" s="3">
        <v>3</v>
      </c>
      <c r="D11916" s="3" t="s">
        <v>687</v>
      </c>
      <c r="E11916" s="3" t="s">
        <v>103</v>
      </c>
      <c r="F11916" s="3" t="s">
        <v>622</v>
      </c>
      <c r="G11916" s="3" t="s">
        <v>103</v>
      </c>
      <c r="H11916" s="3" t="s">
        <v>103</v>
      </c>
      <c r="I11916" s="3" t="s">
        <v>622</v>
      </c>
      <c r="J11916" s="3" t="s">
        <v>103</v>
      </c>
      <c r="K11916" s="3" t="s">
        <v>103</v>
      </c>
      <c r="L11916" s="3" t="s">
        <v>103</v>
      </c>
    </row>
    <row r="11917" spans="1:12" s="3" customFormat="1" x14ac:dyDescent="0.3">
      <c r="A11917" s="3" t="s">
        <v>26</v>
      </c>
      <c r="B11917" s="3" t="s">
        <v>588</v>
      </c>
      <c r="C11917" s="3">
        <v>3</v>
      </c>
      <c r="D11917" s="3" t="s">
        <v>523</v>
      </c>
      <c r="E11917" s="3" t="s">
        <v>103</v>
      </c>
      <c r="F11917" s="3" t="s">
        <v>1244</v>
      </c>
      <c r="G11917" s="3" t="s">
        <v>103</v>
      </c>
      <c r="H11917" s="3" t="s">
        <v>103</v>
      </c>
      <c r="I11917" s="3" t="s">
        <v>510</v>
      </c>
      <c r="J11917" s="3" t="s">
        <v>103</v>
      </c>
      <c r="K11917" s="3" t="s">
        <v>103</v>
      </c>
      <c r="L11917" s="3" t="s">
        <v>103</v>
      </c>
    </row>
    <row r="11918" spans="1:12" x14ac:dyDescent="0.3">
      <c r="A11918" t="s">
        <v>26</v>
      </c>
      <c r="B11918" t="s">
        <v>2766</v>
      </c>
      <c r="C11918">
        <v>105</v>
      </c>
      <c r="D11918" t="s">
        <v>157</v>
      </c>
      <c r="E11918" t="s">
        <v>194</v>
      </c>
      <c r="F11918" t="s">
        <v>399</v>
      </c>
      <c r="G11918" t="s">
        <v>278</v>
      </c>
      <c r="H11918" t="s">
        <v>103</v>
      </c>
      <c r="I11918" t="s">
        <v>1379</v>
      </c>
      <c r="J11918" t="s">
        <v>103</v>
      </c>
      <c r="K11918" t="s">
        <v>341</v>
      </c>
      <c r="L11918" t="s">
        <v>103</v>
      </c>
    </row>
    <row r="11919" spans="1:12" s="3" customFormat="1" x14ac:dyDescent="0.3">
      <c r="A11919" s="3" t="s">
        <v>29</v>
      </c>
      <c r="B11919" s="3" t="s">
        <v>2765</v>
      </c>
      <c r="C11919" s="3">
        <v>9</v>
      </c>
      <c r="D11919" s="3" t="s">
        <v>1555</v>
      </c>
      <c r="E11919" s="3" t="s">
        <v>409</v>
      </c>
      <c r="F11919" s="3" t="s">
        <v>472</v>
      </c>
      <c r="G11919" s="3" t="s">
        <v>329</v>
      </c>
      <c r="H11919" s="3" t="s">
        <v>103</v>
      </c>
      <c r="I11919" s="3" t="s">
        <v>734</v>
      </c>
      <c r="J11919" s="3" t="s">
        <v>103</v>
      </c>
      <c r="K11919" s="3" t="s">
        <v>103</v>
      </c>
      <c r="L11919" s="3" t="s">
        <v>743</v>
      </c>
    </row>
    <row r="11920" spans="1:12" s="3" customFormat="1" x14ac:dyDescent="0.3">
      <c r="A11920" s="3" t="s">
        <v>29</v>
      </c>
      <c r="B11920" s="3" t="s">
        <v>585</v>
      </c>
      <c r="C11920" s="3">
        <v>3</v>
      </c>
      <c r="D11920" s="3" t="s">
        <v>755</v>
      </c>
      <c r="E11920" s="3" t="s">
        <v>754</v>
      </c>
      <c r="F11920" s="3" t="s">
        <v>103</v>
      </c>
      <c r="G11920" s="3" t="s">
        <v>103</v>
      </c>
      <c r="H11920" s="3" t="s">
        <v>103</v>
      </c>
      <c r="I11920" s="3" t="s">
        <v>103</v>
      </c>
      <c r="J11920" s="3" t="s">
        <v>103</v>
      </c>
      <c r="K11920" s="3" t="s">
        <v>103</v>
      </c>
      <c r="L11920" s="3" t="s">
        <v>103</v>
      </c>
    </row>
    <row r="11921" spans="1:12" s="3" customFormat="1" x14ac:dyDescent="0.3">
      <c r="A11921" s="3" t="s">
        <v>29</v>
      </c>
      <c r="B11921" s="3" t="s">
        <v>586</v>
      </c>
      <c r="C11921" s="3">
        <v>7</v>
      </c>
      <c r="D11921" s="3" t="s">
        <v>545</v>
      </c>
      <c r="E11921" s="3" t="s">
        <v>103</v>
      </c>
      <c r="F11921" s="3" t="s">
        <v>604</v>
      </c>
      <c r="G11921" s="3" t="s">
        <v>205</v>
      </c>
      <c r="H11921" s="3" t="s">
        <v>103</v>
      </c>
      <c r="I11921" s="3" t="s">
        <v>788</v>
      </c>
      <c r="J11921" s="3" t="s">
        <v>650</v>
      </c>
      <c r="K11921" s="3" t="s">
        <v>103</v>
      </c>
      <c r="L11921" s="3" t="s">
        <v>103</v>
      </c>
    </row>
    <row r="11922" spans="1:12" s="3" customFormat="1" x14ac:dyDescent="0.3">
      <c r="A11922" s="3" t="s">
        <v>29</v>
      </c>
      <c r="B11922" s="3" t="s">
        <v>587</v>
      </c>
      <c r="C11922" s="3">
        <v>2</v>
      </c>
      <c r="D11922" s="3" t="s">
        <v>103</v>
      </c>
      <c r="E11922" s="3" t="s">
        <v>103</v>
      </c>
      <c r="F11922" s="3" t="s">
        <v>103</v>
      </c>
      <c r="G11922" s="3" t="s">
        <v>103</v>
      </c>
      <c r="H11922" s="3" t="s">
        <v>103</v>
      </c>
      <c r="I11922" s="3" t="s">
        <v>103</v>
      </c>
      <c r="J11922" s="3" t="s">
        <v>473</v>
      </c>
      <c r="K11922" s="3" t="s">
        <v>709</v>
      </c>
      <c r="L11922" s="3" t="s">
        <v>103</v>
      </c>
    </row>
    <row r="11923" spans="1:12" s="3" customFormat="1" x14ac:dyDescent="0.3">
      <c r="A11923" s="3" t="s">
        <v>29</v>
      </c>
      <c r="B11923" s="3" t="s">
        <v>588</v>
      </c>
      <c r="C11923" s="3">
        <v>3</v>
      </c>
      <c r="D11923" s="3" t="s">
        <v>1546</v>
      </c>
      <c r="E11923" s="3" t="s">
        <v>103</v>
      </c>
      <c r="F11923" s="3" t="s">
        <v>103</v>
      </c>
      <c r="G11923" s="3" t="s">
        <v>103</v>
      </c>
      <c r="H11923" s="3" t="s">
        <v>103</v>
      </c>
      <c r="I11923" s="3" t="s">
        <v>1356</v>
      </c>
      <c r="J11923" s="3" t="s">
        <v>103</v>
      </c>
      <c r="K11923" s="3" t="s">
        <v>103</v>
      </c>
      <c r="L11923" s="3" t="s">
        <v>103</v>
      </c>
    </row>
    <row r="11924" spans="1:12" x14ac:dyDescent="0.3">
      <c r="A11924" t="s">
        <v>29</v>
      </c>
      <c r="B11924" t="s">
        <v>2766</v>
      </c>
      <c r="C11924">
        <v>49</v>
      </c>
      <c r="D11924" t="s">
        <v>651</v>
      </c>
      <c r="E11924" t="s">
        <v>191</v>
      </c>
      <c r="F11924" t="s">
        <v>1211</v>
      </c>
      <c r="G11924" t="s">
        <v>195</v>
      </c>
      <c r="H11924" t="s">
        <v>103</v>
      </c>
      <c r="I11924" t="s">
        <v>1057</v>
      </c>
      <c r="J11924" t="s">
        <v>107</v>
      </c>
      <c r="K11924" t="s">
        <v>175</v>
      </c>
      <c r="L11924" t="s">
        <v>103</v>
      </c>
    </row>
    <row r="11925" spans="1:12" s="3" customFormat="1" x14ac:dyDescent="0.3">
      <c r="A11925" s="3" t="s">
        <v>28</v>
      </c>
      <c r="B11925" s="3" t="s">
        <v>586</v>
      </c>
      <c r="C11925" s="3">
        <v>1</v>
      </c>
      <c r="D11925" s="3" t="s">
        <v>192</v>
      </c>
      <c r="E11925" s="3" t="s">
        <v>103</v>
      </c>
      <c r="F11925" s="3" t="s">
        <v>103</v>
      </c>
      <c r="G11925" s="3" t="s">
        <v>103</v>
      </c>
      <c r="H11925" s="3" t="s">
        <v>103</v>
      </c>
      <c r="I11925" s="3" t="s">
        <v>103</v>
      </c>
      <c r="J11925" s="3" t="s">
        <v>103</v>
      </c>
      <c r="K11925" s="3" t="s">
        <v>103</v>
      </c>
      <c r="L11925" s="3" t="s">
        <v>103</v>
      </c>
    </row>
    <row r="11926" spans="1:12" s="3" customFormat="1" x14ac:dyDescent="0.3">
      <c r="A11926" s="3" t="s">
        <v>28</v>
      </c>
      <c r="B11926" s="3" t="s">
        <v>588</v>
      </c>
      <c r="C11926" s="3">
        <v>3</v>
      </c>
      <c r="D11926" s="3" t="s">
        <v>103</v>
      </c>
      <c r="E11926" s="3" t="s">
        <v>103</v>
      </c>
      <c r="F11926" s="3" t="s">
        <v>103</v>
      </c>
      <c r="G11926" s="3" t="s">
        <v>103</v>
      </c>
      <c r="H11926" s="3" t="s">
        <v>103</v>
      </c>
      <c r="I11926" s="3" t="s">
        <v>386</v>
      </c>
      <c r="J11926" s="3" t="s">
        <v>387</v>
      </c>
      <c r="K11926" s="3" t="s">
        <v>103</v>
      </c>
      <c r="L11926" s="3" t="s">
        <v>103</v>
      </c>
    </row>
    <row r="11927" spans="1:12" x14ac:dyDescent="0.3">
      <c r="A11927" t="s">
        <v>28</v>
      </c>
      <c r="B11927" t="s">
        <v>2766</v>
      </c>
      <c r="C11927">
        <v>34</v>
      </c>
      <c r="D11927" t="s">
        <v>438</v>
      </c>
      <c r="E11927" t="s">
        <v>33</v>
      </c>
      <c r="F11927" t="s">
        <v>103</v>
      </c>
      <c r="G11927" t="s">
        <v>103</v>
      </c>
      <c r="H11927" t="s">
        <v>103</v>
      </c>
      <c r="I11927" t="s">
        <v>301</v>
      </c>
      <c r="J11927" t="s">
        <v>498</v>
      </c>
      <c r="K11927" t="s">
        <v>754</v>
      </c>
      <c r="L11927" t="s">
        <v>103</v>
      </c>
    </row>
    <row r="11928" spans="1:12" s="3" customFormat="1" x14ac:dyDescent="0.3">
      <c r="A11928" s="3" t="s">
        <v>27</v>
      </c>
      <c r="B11928" s="3" t="s">
        <v>2765</v>
      </c>
      <c r="C11928" s="3">
        <v>2</v>
      </c>
      <c r="D11928" s="3" t="s">
        <v>190</v>
      </c>
      <c r="E11928" s="3" t="s">
        <v>103</v>
      </c>
      <c r="F11928" s="3" t="s">
        <v>1167</v>
      </c>
      <c r="G11928" s="3" t="s">
        <v>103</v>
      </c>
      <c r="H11928" s="3" t="s">
        <v>103</v>
      </c>
      <c r="I11928" s="3" t="s">
        <v>103</v>
      </c>
      <c r="J11928" s="3" t="s">
        <v>103</v>
      </c>
      <c r="K11928" s="3" t="s">
        <v>103</v>
      </c>
      <c r="L11928" s="3" t="s">
        <v>103</v>
      </c>
    </row>
    <row r="11929" spans="1:12" s="3" customFormat="1" x14ac:dyDescent="0.3">
      <c r="A11929" s="3" t="s">
        <v>27</v>
      </c>
      <c r="B11929" s="3" t="s">
        <v>586</v>
      </c>
      <c r="C11929" s="3">
        <v>1</v>
      </c>
      <c r="D11929" s="3" t="s">
        <v>103</v>
      </c>
      <c r="E11929" s="3" t="s">
        <v>103</v>
      </c>
      <c r="F11929" s="3" t="s">
        <v>192</v>
      </c>
      <c r="G11929" s="3" t="s">
        <v>103</v>
      </c>
      <c r="H11929" s="3" t="s">
        <v>103</v>
      </c>
      <c r="I11929" s="3" t="s">
        <v>103</v>
      </c>
      <c r="J11929" s="3" t="s">
        <v>103</v>
      </c>
      <c r="K11929" s="3" t="s">
        <v>103</v>
      </c>
      <c r="L11929" s="3" t="s">
        <v>103</v>
      </c>
    </row>
    <row r="11930" spans="1:12" s="3" customFormat="1" x14ac:dyDescent="0.3">
      <c r="A11930" s="3" t="s">
        <v>27</v>
      </c>
      <c r="B11930" s="3" t="s">
        <v>2766</v>
      </c>
      <c r="C11930" s="3">
        <v>17</v>
      </c>
      <c r="D11930" s="3" t="s">
        <v>103</v>
      </c>
      <c r="E11930" s="3" t="s">
        <v>103</v>
      </c>
      <c r="F11930" s="3" t="s">
        <v>1244</v>
      </c>
      <c r="G11930" s="3" t="s">
        <v>750</v>
      </c>
      <c r="H11930" s="3" t="s">
        <v>103</v>
      </c>
      <c r="I11930" s="3" t="s">
        <v>132</v>
      </c>
      <c r="J11930" s="3" t="s">
        <v>103</v>
      </c>
      <c r="K11930" s="3" t="s">
        <v>103</v>
      </c>
      <c r="L11930" s="3" t="s">
        <v>103</v>
      </c>
    </row>
    <row r="11931" spans="1:12" s="3" customFormat="1" x14ac:dyDescent="0.3">
      <c r="A11931" s="3" t="s">
        <v>41</v>
      </c>
      <c r="B11931" s="3" t="s">
        <v>2765</v>
      </c>
      <c r="C11931" s="3">
        <v>21</v>
      </c>
      <c r="D11931" s="3" t="s">
        <v>1064</v>
      </c>
      <c r="E11931" s="3" t="s">
        <v>475</v>
      </c>
      <c r="F11931" s="3" t="s">
        <v>175</v>
      </c>
      <c r="G11931" s="3" t="s">
        <v>194</v>
      </c>
      <c r="H11931" s="3" t="s">
        <v>103</v>
      </c>
      <c r="I11931" s="3" t="s">
        <v>890</v>
      </c>
      <c r="J11931" s="3" t="s">
        <v>244</v>
      </c>
      <c r="K11931" s="3" t="s">
        <v>103</v>
      </c>
      <c r="L11931" s="3" t="s">
        <v>100</v>
      </c>
    </row>
    <row r="11932" spans="1:12" s="3" customFormat="1" x14ac:dyDescent="0.3">
      <c r="A11932" s="3" t="s">
        <v>41</v>
      </c>
      <c r="B11932" s="3" t="s">
        <v>585</v>
      </c>
      <c r="C11932" s="3">
        <v>5</v>
      </c>
      <c r="D11932" s="3" t="s">
        <v>1369</v>
      </c>
      <c r="E11932" s="3" t="s">
        <v>1219</v>
      </c>
      <c r="F11932" s="3" t="s">
        <v>103</v>
      </c>
      <c r="G11932" s="3" t="s">
        <v>737</v>
      </c>
      <c r="H11932" s="3" t="s">
        <v>103</v>
      </c>
      <c r="I11932" s="3" t="s">
        <v>103</v>
      </c>
      <c r="J11932" s="3" t="s">
        <v>103</v>
      </c>
      <c r="K11932" s="3" t="s">
        <v>128</v>
      </c>
      <c r="L11932" s="3" t="s">
        <v>103</v>
      </c>
    </row>
    <row r="11933" spans="1:12" s="3" customFormat="1" x14ac:dyDescent="0.3">
      <c r="A11933" s="3" t="s">
        <v>41</v>
      </c>
      <c r="B11933" s="3" t="s">
        <v>586</v>
      </c>
      <c r="C11933" s="3">
        <v>18</v>
      </c>
      <c r="D11933" s="3" t="s">
        <v>403</v>
      </c>
      <c r="E11933" s="3" t="s">
        <v>103</v>
      </c>
      <c r="F11933" s="3" t="s">
        <v>727</v>
      </c>
      <c r="G11933" s="3" t="s">
        <v>438</v>
      </c>
      <c r="H11933" s="3" t="s">
        <v>103</v>
      </c>
      <c r="I11933" s="3" t="s">
        <v>275</v>
      </c>
      <c r="J11933" s="3" t="s">
        <v>123</v>
      </c>
      <c r="K11933" s="3" t="s">
        <v>103</v>
      </c>
      <c r="L11933" s="3" t="s">
        <v>103</v>
      </c>
    </row>
    <row r="11934" spans="1:12" s="3" customFormat="1" x14ac:dyDescent="0.3">
      <c r="A11934" s="3" t="s">
        <v>41</v>
      </c>
      <c r="B11934" s="3" t="s">
        <v>587</v>
      </c>
      <c r="C11934" s="3">
        <v>5</v>
      </c>
      <c r="D11934" s="3" t="s">
        <v>205</v>
      </c>
      <c r="E11934" s="3" t="s">
        <v>103</v>
      </c>
      <c r="F11934" s="3" t="s">
        <v>661</v>
      </c>
      <c r="G11934" s="3" t="s">
        <v>103</v>
      </c>
      <c r="H11934" s="3" t="s">
        <v>103</v>
      </c>
      <c r="I11934" s="3" t="s">
        <v>661</v>
      </c>
      <c r="J11934" s="3" t="s">
        <v>224</v>
      </c>
      <c r="K11934" s="3" t="s">
        <v>1637</v>
      </c>
      <c r="L11934" s="3" t="s">
        <v>103</v>
      </c>
    </row>
    <row r="11935" spans="1:12" s="3" customFormat="1" x14ac:dyDescent="0.3">
      <c r="A11935" s="3" t="s">
        <v>41</v>
      </c>
      <c r="B11935" s="3" t="s">
        <v>588</v>
      </c>
      <c r="C11935" s="3">
        <v>12</v>
      </c>
      <c r="D11935" s="3" t="s">
        <v>427</v>
      </c>
      <c r="E11935" s="3" t="s">
        <v>103</v>
      </c>
      <c r="F11935" s="3" t="s">
        <v>472</v>
      </c>
      <c r="G11935" s="3" t="s">
        <v>103</v>
      </c>
      <c r="H11935" s="3" t="s">
        <v>103</v>
      </c>
      <c r="I11935" s="3" t="s">
        <v>443</v>
      </c>
      <c r="J11935" s="3" t="s">
        <v>112</v>
      </c>
      <c r="K11935" s="3" t="s">
        <v>103</v>
      </c>
      <c r="L11935" s="3" t="s">
        <v>103</v>
      </c>
    </row>
    <row r="11936" spans="1:12" x14ac:dyDescent="0.3">
      <c r="A11936" t="s">
        <v>41</v>
      </c>
      <c r="B11936" t="s">
        <v>2766</v>
      </c>
      <c r="C11936">
        <v>244</v>
      </c>
      <c r="D11936" t="s">
        <v>50</v>
      </c>
      <c r="E11936" t="s">
        <v>201</v>
      </c>
      <c r="F11936" t="s">
        <v>499</v>
      </c>
      <c r="G11936" t="s">
        <v>32</v>
      </c>
      <c r="H11936" t="s">
        <v>97</v>
      </c>
      <c r="I11936" t="s">
        <v>1006</v>
      </c>
      <c r="J11936" t="s">
        <v>615</v>
      </c>
      <c r="K11936" t="s">
        <v>460</v>
      </c>
      <c r="L11936" t="s">
        <v>103</v>
      </c>
    </row>
    <row r="11938" spans="1:12" x14ac:dyDescent="0.3">
      <c r="A11938" t="s">
        <v>2839</v>
      </c>
    </row>
    <row r="11939" spans="1:12" x14ac:dyDescent="0.3">
      <c r="A11939" t="s">
        <v>36</v>
      </c>
      <c r="B11939" t="s">
        <v>2768</v>
      </c>
      <c r="C11939" t="s">
        <v>24</v>
      </c>
      <c r="D11939" t="s">
        <v>2824</v>
      </c>
      <c r="E11939" t="s">
        <v>2825</v>
      </c>
      <c r="F11939" t="s">
        <v>2826</v>
      </c>
      <c r="G11939" t="s">
        <v>2827</v>
      </c>
      <c r="H11939" t="s">
        <v>2828</v>
      </c>
      <c r="I11939" t="s">
        <v>2829</v>
      </c>
      <c r="J11939" t="s">
        <v>2830</v>
      </c>
      <c r="K11939" t="s">
        <v>2831</v>
      </c>
      <c r="L11939" t="s">
        <v>89</v>
      </c>
    </row>
    <row r="11940" spans="1:12" s="3" customFormat="1" x14ac:dyDescent="0.3">
      <c r="A11940" s="3" t="s">
        <v>25</v>
      </c>
      <c r="B11940" s="3" t="s">
        <v>638</v>
      </c>
      <c r="C11940" s="3">
        <v>2</v>
      </c>
      <c r="D11940" s="3" t="s">
        <v>103</v>
      </c>
      <c r="E11940" s="3" t="s">
        <v>103</v>
      </c>
      <c r="F11940" s="3" t="s">
        <v>103</v>
      </c>
      <c r="G11940" s="3" t="s">
        <v>1004</v>
      </c>
      <c r="H11940" s="3" t="s">
        <v>103</v>
      </c>
      <c r="I11940" s="3" t="s">
        <v>103</v>
      </c>
      <c r="J11940" s="3" t="s">
        <v>103</v>
      </c>
      <c r="K11940" s="3" t="s">
        <v>554</v>
      </c>
      <c r="L11940" s="3" t="s">
        <v>103</v>
      </c>
    </row>
    <row r="11941" spans="1:12" s="3" customFormat="1" x14ac:dyDescent="0.3">
      <c r="A11941" s="3" t="s">
        <v>25</v>
      </c>
      <c r="B11941" s="3" t="s">
        <v>639</v>
      </c>
      <c r="C11941" s="3">
        <v>1</v>
      </c>
      <c r="D11941" s="3" t="s">
        <v>192</v>
      </c>
      <c r="E11941" s="3" t="s">
        <v>103</v>
      </c>
      <c r="F11941" s="3" t="s">
        <v>103</v>
      </c>
      <c r="G11941" s="3" t="s">
        <v>103</v>
      </c>
      <c r="H11941" s="3" t="s">
        <v>103</v>
      </c>
      <c r="I11941" s="3" t="s">
        <v>103</v>
      </c>
      <c r="J11941" s="3" t="s">
        <v>103</v>
      </c>
      <c r="K11941" s="3" t="s">
        <v>103</v>
      </c>
      <c r="L11941" s="3" t="s">
        <v>103</v>
      </c>
    </row>
    <row r="11942" spans="1:12" s="3" customFormat="1" x14ac:dyDescent="0.3">
      <c r="A11942" s="3" t="s">
        <v>25</v>
      </c>
      <c r="B11942" s="3" t="s">
        <v>640</v>
      </c>
      <c r="C11942" s="3">
        <v>8</v>
      </c>
      <c r="D11942" s="3" t="s">
        <v>1456</v>
      </c>
      <c r="E11942" s="3" t="s">
        <v>103</v>
      </c>
      <c r="F11942" s="3" t="s">
        <v>140</v>
      </c>
      <c r="G11942" s="3" t="s">
        <v>103</v>
      </c>
      <c r="H11942" s="3" t="s">
        <v>103</v>
      </c>
      <c r="I11942" s="3" t="s">
        <v>555</v>
      </c>
      <c r="J11942" s="3" t="s">
        <v>103</v>
      </c>
      <c r="K11942" s="3" t="s">
        <v>103</v>
      </c>
      <c r="L11942" s="3" t="s">
        <v>103</v>
      </c>
    </row>
    <row r="11943" spans="1:12" s="3" customFormat="1" x14ac:dyDescent="0.3">
      <c r="A11943" s="3" t="s">
        <v>25</v>
      </c>
      <c r="B11943" s="3" t="s">
        <v>2765</v>
      </c>
      <c r="C11943" s="3">
        <v>1</v>
      </c>
      <c r="D11943" s="3" t="s">
        <v>192</v>
      </c>
      <c r="E11943" s="3" t="s">
        <v>103</v>
      </c>
      <c r="F11943" s="3" t="s">
        <v>103</v>
      </c>
      <c r="G11943" s="3" t="s">
        <v>103</v>
      </c>
      <c r="H11943" s="3" t="s">
        <v>103</v>
      </c>
      <c r="I11943" s="3" t="s">
        <v>103</v>
      </c>
      <c r="J11943" s="3" t="s">
        <v>103</v>
      </c>
      <c r="K11943" s="3" t="s">
        <v>103</v>
      </c>
      <c r="L11943" s="3" t="s">
        <v>103</v>
      </c>
    </row>
    <row r="11944" spans="1:12" x14ac:dyDescent="0.3">
      <c r="A11944" t="s">
        <v>25</v>
      </c>
      <c r="B11944" t="s">
        <v>308</v>
      </c>
      <c r="C11944">
        <v>43</v>
      </c>
      <c r="D11944" t="s">
        <v>365</v>
      </c>
      <c r="E11944" t="s">
        <v>103</v>
      </c>
      <c r="F11944" t="s">
        <v>746</v>
      </c>
      <c r="G11944" t="s">
        <v>100</v>
      </c>
      <c r="H11944" t="s">
        <v>270</v>
      </c>
      <c r="I11944" t="s">
        <v>666</v>
      </c>
      <c r="J11944" t="s">
        <v>463</v>
      </c>
      <c r="K11944" t="s">
        <v>68</v>
      </c>
      <c r="L11944" t="s">
        <v>103</v>
      </c>
    </row>
    <row r="11945" spans="1:12" s="3" customFormat="1" x14ac:dyDescent="0.3">
      <c r="A11945" s="3" t="s">
        <v>26</v>
      </c>
      <c r="B11945" s="3" t="s">
        <v>639</v>
      </c>
      <c r="C11945" s="3">
        <v>2</v>
      </c>
      <c r="D11945" s="3" t="s">
        <v>103</v>
      </c>
      <c r="E11945" s="3" t="s">
        <v>103</v>
      </c>
      <c r="F11945" s="3" t="s">
        <v>192</v>
      </c>
      <c r="G11945" s="3" t="s">
        <v>103</v>
      </c>
      <c r="H11945" s="3" t="s">
        <v>103</v>
      </c>
      <c r="I11945" s="3" t="s">
        <v>192</v>
      </c>
      <c r="J11945" s="3" t="s">
        <v>103</v>
      </c>
      <c r="K11945" s="3" t="s">
        <v>103</v>
      </c>
      <c r="L11945" s="3" t="s">
        <v>103</v>
      </c>
    </row>
    <row r="11946" spans="1:12" s="3" customFormat="1" x14ac:dyDescent="0.3">
      <c r="A11946" s="3" t="s">
        <v>26</v>
      </c>
      <c r="B11946" s="3" t="s">
        <v>640</v>
      </c>
      <c r="C11946" s="3">
        <v>1</v>
      </c>
      <c r="D11946" s="3" t="s">
        <v>103</v>
      </c>
      <c r="E11946" s="3" t="s">
        <v>103</v>
      </c>
      <c r="F11946" s="3" t="s">
        <v>192</v>
      </c>
      <c r="G11946" s="3" t="s">
        <v>103</v>
      </c>
      <c r="H11946" s="3" t="s">
        <v>103</v>
      </c>
      <c r="I11946" s="3" t="s">
        <v>103</v>
      </c>
      <c r="J11946" s="3" t="s">
        <v>103</v>
      </c>
      <c r="K11946" s="3" t="s">
        <v>103</v>
      </c>
      <c r="L11946" s="3" t="s">
        <v>103</v>
      </c>
    </row>
    <row r="11947" spans="1:12" s="3" customFormat="1" x14ac:dyDescent="0.3">
      <c r="A11947" s="3" t="s">
        <v>26</v>
      </c>
      <c r="B11947" s="3" t="s">
        <v>641</v>
      </c>
      <c r="C11947" s="3">
        <v>4</v>
      </c>
      <c r="D11947" s="3" t="s">
        <v>2108</v>
      </c>
      <c r="E11947" s="3" t="s">
        <v>103</v>
      </c>
      <c r="F11947" s="3" t="s">
        <v>484</v>
      </c>
      <c r="G11947" s="3" t="s">
        <v>103</v>
      </c>
      <c r="H11947" s="3" t="s">
        <v>103</v>
      </c>
      <c r="I11947" s="3" t="s">
        <v>484</v>
      </c>
      <c r="J11947" s="3" t="s">
        <v>103</v>
      </c>
      <c r="K11947" s="3" t="s">
        <v>103</v>
      </c>
      <c r="L11947" s="3" t="s">
        <v>103</v>
      </c>
    </row>
    <row r="11948" spans="1:12" s="3" customFormat="1" x14ac:dyDescent="0.3">
      <c r="A11948" s="3" t="s">
        <v>26</v>
      </c>
      <c r="B11948" s="3" t="s">
        <v>2769</v>
      </c>
      <c r="C11948" s="3">
        <v>1</v>
      </c>
      <c r="D11948" s="3" t="s">
        <v>192</v>
      </c>
      <c r="E11948" s="3" t="s">
        <v>103</v>
      </c>
      <c r="F11948" s="3" t="s">
        <v>103</v>
      </c>
      <c r="G11948" s="3" t="s">
        <v>103</v>
      </c>
      <c r="H11948" s="3" t="s">
        <v>103</v>
      </c>
      <c r="I11948" s="3" t="s">
        <v>103</v>
      </c>
      <c r="J11948" s="3" t="s">
        <v>103</v>
      </c>
      <c r="K11948" s="3" t="s">
        <v>103</v>
      </c>
      <c r="L11948" s="3" t="s">
        <v>103</v>
      </c>
    </row>
    <row r="11949" spans="1:12" x14ac:dyDescent="0.3">
      <c r="A11949" t="s">
        <v>26</v>
      </c>
      <c r="B11949" t="s">
        <v>308</v>
      </c>
      <c r="C11949">
        <v>111</v>
      </c>
      <c r="D11949" t="s">
        <v>566</v>
      </c>
      <c r="E11949" t="s">
        <v>194</v>
      </c>
      <c r="F11949" t="s">
        <v>546</v>
      </c>
      <c r="G11949" t="s">
        <v>284</v>
      </c>
      <c r="H11949" t="s">
        <v>103</v>
      </c>
      <c r="I11949" t="s">
        <v>1462</v>
      </c>
      <c r="J11949" t="s">
        <v>345</v>
      </c>
      <c r="K11949" t="s">
        <v>105</v>
      </c>
      <c r="L11949" t="s">
        <v>103</v>
      </c>
    </row>
    <row r="11950" spans="1:12" s="3" customFormat="1" x14ac:dyDescent="0.3">
      <c r="A11950" s="3" t="s">
        <v>29</v>
      </c>
      <c r="B11950" s="3" t="s">
        <v>638</v>
      </c>
      <c r="C11950" s="3">
        <v>2</v>
      </c>
      <c r="D11950" s="3" t="s">
        <v>775</v>
      </c>
      <c r="E11950" s="3" t="s">
        <v>103</v>
      </c>
      <c r="F11950" s="3" t="s">
        <v>103</v>
      </c>
      <c r="G11950" s="3" t="s">
        <v>103</v>
      </c>
      <c r="H11950" s="3" t="s">
        <v>103</v>
      </c>
      <c r="I11950" s="3" t="s">
        <v>103</v>
      </c>
      <c r="J11950" s="3" t="s">
        <v>521</v>
      </c>
      <c r="K11950" s="3" t="s">
        <v>103</v>
      </c>
      <c r="L11950" s="3" t="s">
        <v>103</v>
      </c>
    </row>
    <row r="11951" spans="1:12" s="3" customFormat="1" x14ac:dyDescent="0.3">
      <c r="A11951" s="3" t="s">
        <v>29</v>
      </c>
      <c r="B11951" s="3" t="s">
        <v>639</v>
      </c>
      <c r="C11951" s="3">
        <v>1</v>
      </c>
      <c r="D11951" s="3" t="s">
        <v>192</v>
      </c>
      <c r="E11951" s="3" t="s">
        <v>103</v>
      </c>
      <c r="F11951" s="3" t="s">
        <v>103</v>
      </c>
      <c r="G11951" s="3" t="s">
        <v>103</v>
      </c>
      <c r="H11951" s="3" t="s">
        <v>103</v>
      </c>
      <c r="I11951" s="3" t="s">
        <v>103</v>
      </c>
      <c r="J11951" s="3" t="s">
        <v>103</v>
      </c>
      <c r="K11951" s="3" t="s">
        <v>103</v>
      </c>
      <c r="L11951" s="3" t="s">
        <v>103</v>
      </c>
    </row>
    <row r="11952" spans="1:12" s="3" customFormat="1" x14ac:dyDescent="0.3">
      <c r="A11952" s="3" t="s">
        <v>29</v>
      </c>
      <c r="B11952" s="3" t="s">
        <v>640</v>
      </c>
      <c r="C11952" s="3">
        <v>3</v>
      </c>
      <c r="D11952" s="3" t="s">
        <v>797</v>
      </c>
      <c r="E11952" s="3" t="s">
        <v>103</v>
      </c>
      <c r="F11952" s="3" t="s">
        <v>140</v>
      </c>
      <c r="G11952" s="3" t="s">
        <v>140</v>
      </c>
      <c r="H11952" s="3" t="s">
        <v>103</v>
      </c>
      <c r="I11952" s="3" t="s">
        <v>426</v>
      </c>
      <c r="J11952" s="3" t="s">
        <v>103</v>
      </c>
      <c r="K11952" s="3" t="s">
        <v>103</v>
      </c>
      <c r="L11952" s="3" t="s">
        <v>103</v>
      </c>
    </row>
    <row r="11953" spans="1:12" s="3" customFormat="1" x14ac:dyDescent="0.3">
      <c r="A11953" s="3" t="s">
        <v>29</v>
      </c>
      <c r="B11953" s="3" t="s">
        <v>2765</v>
      </c>
      <c r="C11953" s="3">
        <v>6</v>
      </c>
      <c r="D11953" s="3" t="s">
        <v>103</v>
      </c>
      <c r="E11953" s="3" t="s">
        <v>682</v>
      </c>
      <c r="F11953" s="3" t="s">
        <v>429</v>
      </c>
      <c r="G11953" s="3" t="s">
        <v>114</v>
      </c>
      <c r="H11953" s="3" t="s">
        <v>103</v>
      </c>
      <c r="I11953" s="3" t="s">
        <v>398</v>
      </c>
      <c r="J11953" s="3" t="s">
        <v>398</v>
      </c>
      <c r="K11953" s="3" t="s">
        <v>688</v>
      </c>
      <c r="L11953" s="3" t="s">
        <v>103</v>
      </c>
    </row>
    <row r="11954" spans="1:12" s="3" customFormat="1" x14ac:dyDescent="0.3">
      <c r="A11954" s="3" t="s">
        <v>29</v>
      </c>
      <c r="B11954" s="3" t="s">
        <v>641</v>
      </c>
      <c r="C11954" s="3">
        <v>3</v>
      </c>
      <c r="D11954" s="3" t="s">
        <v>192</v>
      </c>
      <c r="E11954" s="3" t="s">
        <v>103</v>
      </c>
      <c r="F11954" s="3" t="s">
        <v>103</v>
      </c>
      <c r="G11954" s="3" t="s">
        <v>103</v>
      </c>
      <c r="H11954" s="3" t="s">
        <v>103</v>
      </c>
      <c r="I11954" s="3" t="s">
        <v>103</v>
      </c>
      <c r="J11954" s="3" t="s">
        <v>103</v>
      </c>
      <c r="K11954" s="3" t="s">
        <v>103</v>
      </c>
      <c r="L11954" s="3" t="s">
        <v>103</v>
      </c>
    </row>
    <row r="11955" spans="1:12" x14ac:dyDescent="0.3">
      <c r="A11955" t="s">
        <v>29</v>
      </c>
      <c r="B11955" t="s">
        <v>308</v>
      </c>
      <c r="C11955">
        <v>58</v>
      </c>
      <c r="D11955" t="s">
        <v>234</v>
      </c>
      <c r="E11955" t="s">
        <v>104</v>
      </c>
      <c r="F11955" t="s">
        <v>455</v>
      </c>
      <c r="G11955" t="s">
        <v>270</v>
      </c>
      <c r="H11955" t="s">
        <v>103</v>
      </c>
      <c r="I11955" t="s">
        <v>1218</v>
      </c>
      <c r="J11955" t="s">
        <v>493</v>
      </c>
      <c r="K11955" t="s">
        <v>244</v>
      </c>
      <c r="L11955" t="s">
        <v>194</v>
      </c>
    </row>
    <row r="11956" spans="1:12" s="3" customFormat="1" x14ac:dyDescent="0.3">
      <c r="A11956" s="3" t="s">
        <v>28</v>
      </c>
      <c r="B11956" s="3" t="s">
        <v>640</v>
      </c>
      <c r="C11956" s="3">
        <v>1</v>
      </c>
      <c r="D11956" s="3" t="s">
        <v>103</v>
      </c>
      <c r="E11956" s="3" t="s">
        <v>103</v>
      </c>
      <c r="F11956" s="3" t="s">
        <v>103</v>
      </c>
      <c r="G11956" s="3" t="s">
        <v>103</v>
      </c>
      <c r="H11956" s="3" t="s">
        <v>103</v>
      </c>
      <c r="I11956" s="3" t="s">
        <v>192</v>
      </c>
      <c r="J11956" s="3" t="s">
        <v>103</v>
      </c>
      <c r="K11956" s="3" t="s">
        <v>103</v>
      </c>
      <c r="L11956" s="3" t="s">
        <v>103</v>
      </c>
    </row>
    <row r="11957" spans="1:12" s="3" customFormat="1" x14ac:dyDescent="0.3">
      <c r="A11957" s="3" t="s">
        <v>28</v>
      </c>
      <c r="B11957" s="3" t="s">
        <v>2765</v>
      </c>
      <c r="C11957" s="3">
        <v>1</v>
      </c>
      <c r="D11957" s="3" t="s">
        <v>103</v>
      </c>
      <c r="E11957" s="3" t="s">
        <v>103</v>
      </c>
      <c r="F11957" s="3" t="s">
        <v>103</v>
      </c>
      <c r="G11957" s="3" t="s">
        <v>103</v>
      </c>
      <c r="H11957" s="3" t="s">
        <v>103</v>
      </c>
      <c r="I11957" s="3" t="s">
        <v>192</v>
      </c>
      <c r="J11957" s="3" t="s">
        <v>103</v>
      </c>
      <c r="K11957" s="3" t="s">
        <v>103</v>
      </c>
      <c r="L11957" s="3" t="s">
        <v>103</v>
      </c>
    </row>
    <row r="11958" spans="1:12" s="3" customFormat="1" x14ac:dyDescent="0.3">
      <c r="A11958" s="3" t="s">
        <v>28</v>
      </c>
      <c r="B11958" s="3" t="s">
        <v>641</v>
      </c>
      <c r="C11958" s="3">
        <v>2</v>
      </c>
      <c r="D11958" s="3" t="s">
        <v>993</v>
      </c>
      <c r="E11958" s="3" t="s">
        <v>103</v>
      </c>
      <c r="F11958" s="3" t="s">
        <v>103</v>
      </c>
      <c r="G11958" s="3" t="s">
        <v>103</v>
      </c>
      <c r="H11958" s="3" t="s">
        <v>103</v>
      </c>
      <c r="I11958" s="3" t="s">
        <v>103</v>
      </c>
      <c r="J11958" s="3" t="s">
        <v>993</v>
      </c>
      <c r="K11958" s="3" t="s">
        <v>103</v>
      </c>
      <c r="L11958" s="3" t="s">
        <v>103</v>
      </c>
    </row>
    <row r="11959" spans="1:12" x14ac:dyDescent="0.3">
      <c r="A11959" t="s">
        <v>28</v>
      </c>
      <c r="B11959" t="s">
        <v>308</v>
      </c>
      <c r="C11959">
        <v>34</v>
      </c>
      <c r="D11959" t="s">
        <v>438</v>
      </c>
      <c r="E11959" t="s">
        <v>33</v>
      </c>
      <c r="F11959" t="s">
        <v>103</v>
      </c>
      <c r="G11959" t="s">
        <v>103</v>
      </c>
      <c r="H11959" t="s">
        <v>103</v>
      </c>
      <c r="I11959" t="s">
        <v>301</v>
      </c>
      <c r="J11959" t="s">
        <v>498</v>
      </c>
      <c r="K11959" t="s">
        <v>754</v>
      </c>
      <c r="L11959" t="s">
        <v>103</v>
      </c>
    </row>
    <row r="11960" spans="1:12" s="3" customFormat="1" x14ac:dyDescent="0.3">
      <c r="A11960" s="3" t="s">
        <v>27</v>
      </c>
      <c r="B11960" s="3" t="s">
        <v>641</v>
      </c>
      <c r="C11960" s="3">
        <v>1</v>
      </c>
      <c r="D11960" s="3" t="s">
        <v>103</v>
      </c>
      <c r="E11960" s="3" t="s">
        <v>103</v>
      </c>
      <c r="F11960" s="3" t="s">
        <v>192</v>
      </c>
      <c r="G11960" s="3" t="s">
        <v>103</v>
      </c>
      <c r="H11960" s="3" t="s">
        <v>103</v>
      </c>
      <c r="I11960" s="3" t="s">
        <v>103</v>
      </c>
      <c r="J11960" s="3" t="s">
        <v>103</v>
      </c>
      <c r="K11960" s="3" t="s">
        <v>103</v>
      </c>
      <c r="L11960" s="3" t="s">
        <v>103</v>
      </c>
    </row>
    <row r="11961" spans="1:12" x14ac:dyDescent="0.3">
      <c r="A11961" t="s">
        <v>27</v>
      </c>
      <c r="B11961" t="s">
        <v>308</v>
      </c>
      <c r="C11961">
        <v>19</v>
      </c>
      <c r="D11961" t="s">
        <v>116</v>
      </c>
      <c r="E11961" t="s">
        <v>103</v>
      </c>
      <c r="F11961" t="s">
        <v>811</v>
      </c>
      <c r="G11961" t="s">
        <v>809</v>
      </c>
      <c r="H11961" t="s">
        <v>103</v>
      </c>
      <c r="I11961" t="s">
        <v>485</v>
      </c>
      <c r="J11961" t="s">
        <v>103</v>
      </c>
      <c r="K11961" t="s">
        <v>103</v>
      </c>
      <c r="L11961" t="s">
        <v>103</v>
      </c>
    </row>
    <row r="11962" spans="1:12" s="3" customFormat="1" x14ac:dyDescent="0.3">
      <c r="A11962" s="3" t="s">
        <v>41</v>
      </c>
      <c r="B11962" s="3" t="s">
        <v>638</v>
      </c>
      <c r="C11962" s="3">
        <v>4</v>
      </c>
      <c r="D11962" s="3" t="s">
        <v>784</v>
      </c>
      <c r="E11962" s="3" t="s">
        <v>103</v>
      </c>
      <c r="F11962" s="3" t="s">
        <v>103</v>
      </c>
      <c r="G11962" s="3" t="s">
        <v>469</v>
      </c>
      <c r="H11962" s="3" t="s">
        <v>103</v>
      </c>
      <c r="I11962" s="3" t="s">
        <v>103</v>
      </c>
      <c r="J11962" s="3" t="s">
        <v>809</v>
      </c>
      <c r="K11962" s="3" t="s">
        <v>113</v>
      </c>
      <c r="L11962" s="3" t="s">
        <v>103</v>
      </c>
    </row>
    <row r="11963" spans="1:12" s="3" customFormat="1" x14ac:dyDescent="0.3">
      <c r="A11963" s="3" t="s">
        <v>41</v>
      </c>
      <c r="B11963" s="3" t="s">
        <v>639</v>
      </c>
      <c r="C11963" s="3">
        <v>4</v>
      </c>
      <c r="D11963" s="3" t="s">
        <v>513</v>
      </c>
      <c r="E11963" s="3" t="s">
        <v>103</v>
      </c>
      <c r="F11963" s="3" t="s">
        <v>1240</v>
      </c>
      <c r="G11963" s="3" t="s">
        <v>103</v>
      </c>
      <c r="H11963" s="3" t="s">
        <v>103</v>
      </c>
      <c r="I11963" s="3" t="s">
        <v>1240</v>
      </c>
      <c r="J11963" s="3" t="s">
        <v>103</v>
      </c>
      <c r="K11963" s="3" t="s">
        <v>103</v>
      </c>
      <c r="L11963" s="3" t="s">
        <v>103</v>
      </c>
    </row>
    <row r="11964" spans="1:12" s="3" customFormat="1" x14ac:dyDescent="0.3">
      <c r="A11964" s="3" t="s">
        <v>41</v>
      </c>
      <c r="B11964" s="3" t="s">
        <v>640</v>
      </c>
      <c r="C11964" s="3">
        <v>13</v>
      </c>
      <c r="D11964" s="3" t="s">
        <v>372</v>
      </c>
      <c r="E11964" s="3" t="s">
        <v>103</v>
      </c>
      <c r="F11964" s="3" t="s">
        <v>809</v>
      </c>
      <c r="G11964" s="3" t="s">
        <v>93</v>
      </c>
      <c r="H11964" s="3" t="s">
        <v>103</v>
      </c>
      <c r="I11964" s="3" t="s">
        <v>382</v>
      </c>
      <c r="J11964" s="3" t="s">
        <v>103</v>
      </c>
      <c r="K11964" s="3" t="s">
        <v>103</v>
      </c>
      <c r="L11964" s="3" t="s">
        <v>103</v>
      </c>
    </row>
    <row r="11965" spans="1:12" s="3" customFormat="1" x14ac:dyDescent="0.3">
      <c r="A11965" s="3" t="s">
        <v>41</v>
      </c>
      <c r="B11965" s="3" t="s">
        <v>2765</v>
      </c>
      <c r="C11965" s="3">
        <v>8</v>
      </c>
      <c r="D11965" s="3" t="s">
        <v>64</v>
      </c>
      <c r="E11965" s="3" t="s">
        <v>528</v>
      </c>
      <c r="F11965" s="3" t="s">
        <v>504</v>
      </c>
      <c r="G11965" s="3" t="s">
        <v>493</v>
      </c>
      <c r="H11965" s="3" t="s">
        <v>103</v>
      </c>
      <c r="I11965" s="3" t="s">
        <v>503</v>
      </c>
      <c r="J11965" s="3" t="s">
        <v>1023</v>
      </c>
      <c r="K11965" s="3" t="s">
        <v>569</v>
      </c>
      <c r="L11965" s="3" t="s">
        <v>103</v>
      </c>
    </row>
    <row r="11966" spans="1:12" s="3" customFormat="1" x14ac:dyDescent="0.3">
      <c r="A11966" s="3" t="s">
        <v>41</v>
      </c>
      <c r="B11966" s="3" t="s">
        <v>641</v>
      </c>
      <c r="C11966" s="3">
        <v>10</v>
      </c>
      <c r="D11966" s="3" t="s">
        <v>156</v>
      </c>
      <c r="E11966" s="3" t="s">
        <v>103</v>
      </c>
      <c r="F11966" s="3" t="s">
        <v>925</v>
      </c>
      <c r="G11966" s="3" t="s">
        <v>103</v>
      </c>
      <c r="H11966" s="3" t="s">
        <v>103</v>
      </c>
      <c r="I11966" s="3" t="s">
        <v>99</v>
      </c>
      <c r="J11966" s="3" t="s">
        <v>232</v>
      </c>
      <c r="K11966" s="3" t="s">
        <v>103</v>
      </c>
      <c r="L11966" s="3" t="s">
        <v>103</v>
      </c>
    </row>
    <row r="11967" spans="1:12" s="3" customFormat="1" x14ac:dyDescent="0.3">
      <c r="A11967" s="3" t="s">
        <v>41</v>
      </c>
      <c r="B11967" s="3" t="s">
        <v>2769</v>
      </c>
      <c r="C11967" s="3">
        <v>1</v>
      </c>
      <c r="D11967" s="3" t="s">
        <v>192</v>
      </c>
      <c r="E11967" s="3" t="s">
        <v>103</v>
      </c>
      <c r="F11967" s="3" t="s">
        <v>103</v>
      </c>
      <c r="G11967" s="3" t="s">
        <v>103</v>
      </c>
      <c r="H11967" s="3" t="s">
        <v>103</v>
      </c>
      <c r="I11967" s="3" t="s">
        <v>103</v>
      </c>
      <c r="J11967" s="3" t="s">
        <v>103</v>
      </c>
      <c r="K11967" s="3" t="s">
        <v>103</v>
      </c>
      <c r="L11967" s="3" t="s">
        <v>103</v>
      </c>
    </row>
    <row r="11968" spans="1:12" x14ac:dyDescent="0.3">
      <c r="A11968" t="s">
        <v>41</v>
      </c>
      <c r="B11968" t="s">
        <v>308</v>
      </c>
      <c r="C11968">
        <v>265</v>
      </c>
      <c r="D11968" t="s">
        <v>478</v>
      </c>
      <c r="E11968" t="s">
        <v>278</v>
      </c>
      <c r="F11968" t="s">
        <v>530</v>
      </c>
      <c r="G11968" t="s">
        <v>615</v>
      </c>
      <c r="H11968" t="s">
        <v>122</v>
      </c>
      <c r="I11968" t="s">
        <v>413</v>
      </c>
      <c r="J11968" t="s">
        <v>278</v>
      </c>
      <c r="K11968" t="s">
        <v>190</v>
      </c>
      <c r="L11968" t="s">
        <v>97</v>
      </c>
    </row>
    <row r="11970" spans="1:12" x14ac:dyDescent="0.3">
      <c r="A11970" t="s">
        <v>2840</v>
      </c>
    </row>
    <row r="11971" spans="1:12" x14ac:dyDescent="0.3">
      <c r="A11971" t="s">
        <v>36</v>
      </c>
      <c r="B11971" t="s">
        <v>2771</v>
      </c>
      <c r="C11971" t="s">
        <v>24</v>
      </c>
      <c r="D11971" t="s">
        <v>2824</v>
      </c>
      <c r="E11971" t="s">
        <v>2825</v>
      </c>
      <c r="F11971" t="s">
        <v>2826</v>
      </c>
      <c r="G11971" t="s">
        <v>2827</v>
      </c>
      <c r="H11971" t="s">
        <v>2828</v>
      </c>
      <c r="I11971" t="s">
        <v>2829</v>
      </c>
      <c r="J11971" t="s">
        <v>2830</v>
      </c>
      <c r="K11971" t="s">
        <v>2831</v>
      </c>
      <c r="L11971" t="s">
        <v>89</v>
      </c>
    </row>
    <row r="11972" spans="1:12" s="3" customFormat="1" x14ac:dyDescent="0.3">
      <c r="A11972" s="3" t="s">
        <v>25</v>
      </c>
      <c r="B11972" s="3" t="s">
        <v>2774</v>
      </c>
      <c r="C11972" s="3">
        <v>1</v>
      </c>
      <c r="D11972" s="3" t="s">
        <v>192</v>
      </c>
      <c r="E11972" s="3" t="s">
        <v>103</v>
      </c>
      <c r="F11972" s="3" t="s">
        <v>103</v>
      </c>
      <c r="G11972" s="3" t="s">
        <v>103</v>
      </c>
      <c r="H11972" s="3" t="s">
        <v>103</v>
      </c>
      <c r="I11972" s="3" t="s">
        <v>103</v>
      </c>
      <c r="J11972" s="3" t="s">
        <v>103</v>
      </c>
      <c r="K11972" s="3" t="s">
        <v>103</v>
      </c>
      <c r="L11972" s="3" t="s">
        <v>103</v>
      </c>
    </row>
    <row r="11973" spans="1:12" s="3" customFormat="1" x14ac:dyDescent="0.3">
      <c r="A11973" s="3" t="s">
        <v>25</v>
      </c>
      <c r="B11973" s="3" t="s">
        <v>2775</v>
      </c>
      <c r="C11973" s="3">
        <v>1</v>
      </c>
      <c r="D11973" s="3" t="s">
        <v>192</v>
      </c>
      <c r="E11973" s="3" t="s">
        <v>103</v>
      </c>
      <c r="F11973" s="3" t="s">
        <v>103</v>
      </c>
      <c r="G11973" s="3" t="s">
        <v>103</v>
      </c>
      <c r="H11973" s="3" t="s">
        <v>103</v>
      </c>
      <c r="I11973" s="3" t="s">
        <v>103</v>
      </c>
      <c r="J11973" s="3" t="s">
        <v>103</v>
      </c>
      <c r="K11973" s="3" t="s">
        <v>103</v>
      </c>
      <c r="L11973" s="3" t="s">
        <v>103</v>
      </c>
    </row>
    <row r="11974" spans="1:12" s="3" customFormat="1" x14ac:dyDescent="0.3">
      <c r="A11974" s="3" t="s">
        <v>25</v>
      </c>
      <c r="B11974" s="3" t="s">
        <v>2776</v>
      </c>
      <c r="C11974" s="3">
        <v>5</v>
      </c>
      <c r="D11974" s="3" t="s">
        <v>927</v>
      </c>
      <c r="E11974" s="3" t="s">
        <v>103</v>
      </c>
      <c r="F11974" s="3" t="s">
        <v>931</v>
      </c>
      <c r="G11974" s="3" t="s">
        <v>103</v>
      </c>
      <c r="H11974" s="3" t="s">
        <v>103</v>
      </c>
      <c r="I11974" s="3" t="s">
        <v>1294</v>
      </c>
      <c r="J11974" s="3" t="s">
        <v>103</v>
      </c>
      <c r="K11974" s="3" t="s">
        <v>103</v>
      </c>
      <c r="L11974" s="3" t="s">
        <v>103</v>
      </c>
    </row>
    <row r="11975" spans="1:12" s="3" customFormat="1" x14ac:dyDescent="0.3">
      <c r="A11975" s="3" t="s">
        <v>25</v>
      </c>
      <c r="B11975" s="3" t="s">
        <v>2777</v>
      </c>
      <c r="C11975" s="3">
        <v>19</v>
      </c>
      <c r="D11975" s="3" t="s">
        <v>301</v>
      </c>
      <c r="E11975" s="3" t="s">
        <v>103</v>
      </c>
      <c r="F11975" s="3" t="s">
        <v>382</v>
      </c>
      <c r="G11975" s="3" t="s">
        <v>208</v>
      </c>
      <c r="H11975" s="3" t="s">
        <v>103</v>
      </c>
      <c r="I11975" s="3" t="s">
        <v>1394</v>
      </c>
      <c r="J11975" s="3" t="s">
        <v>228</v>
      </c>
      <c r="K11975" s="3" t="s">
        <v>103</v>
      </c>
      <c r="L11975" s="3" t="s">
        <v>103</v>
      </c>
    </row>
    <row r="11976" spans="1:12" s="3" customFormat="1" x14ac:dyDescent="0.3">
      <c r="A11976" s="3" t="s">
        <v>25</v>
      </c>
      <c r="B11976" s="3" t="s">
        <v>2778</v>
      </c>
      <c r="C11976" s="3">
        <v>28</v>
      </c>
      <c r="D11976" s="3" t="s">
        <v>1404</v>
      </c>
      <c r="E11976" s="3" t="s">
        <v>103</v>
      </c>
      <c r="F11976" s="3" t="s">
        <v>571</v>
      </c>
      <c r="G11976" s="3" t="s">
        <v>566</v>
      </c>
      <c r="H11976" s="3" t="s">
        <v>70</v>
      </c>
      <c r="I11976" s="3" t="s">
        <v>164</v>
      </c>
      <c r="J11976" s="3" t="s">
        <v>98</v>
      </c>
      <c r="K11976" s="3" t="s">
        <v>594</v>
      </c>
      <c r="L11976" s="3" t="s">
        <v>103</v>
      </c>
    </row>
    <row r="11977" spans="1:12" x14ac:dyDescent="0.3">
      <c r="A11977" t="s">
        <v>25</v>
      </c>
      <c r="B11977" t="s">
        <v>308</v>
      </c>
      <c r="C11977">
        <v>1</v>
      </c>
      <c r="D11977" t="s">
        <v>103</v>
      </c>
      <c r="E11977" t="s">
        <v>103</v>
      </c>
      <c r="F11977" t="s">
        <v>103</v>
      </c>
      <c r="G11977" t="s">
        <v>103</v>
      </c>
      <c r="H11977" t="s">
        <v>103</v>
      </c>
      <c r="I11977" t="s">
        <v>103</v>
      </c>
      <c r="J11977" t="s">
        <v>192</v>
      </c>
      <c r="K11977" t="s">
        <v>103</v>
      </c>
      <c r="L11977" t="s">
        <v>103</v>
      </c>
    </row>
    <row r="11978" spans="1:12" s="3" customFormat="1" x14ac:dyDescent="0.3">
      <c r="A11978" s="3" t="s">
        <v>26</v>
      </c>
      <c r="B11978" s="3" t="s">
        <v>2772</v>
      </c>
      <c r="C11978" s="3">
        <v>1</v>
      </c>
      <c r="D11978" s="3" t="s">
        <v>103</v>
      </c>
      <c r="E11978" s="3" t="s">
        <v>103</v>
      </c>
      <c r="F11978" s="3" t="s">
        <v>103</v>
      </c>
      <c r="G11978" s="3" t="s">
        <v>103</v>
      </c>
      <c r="H11978" s="3" t="s">
        <v>103</v>
      </c>
      <c r="I11978" s="3" t="s">
        <v>192</v>
      </c>
      <c r="J11978" s="3" t="s">
        <v>103</v>
      </c>
      <c r="K11978" s="3" t="s">
        <v>103</v>
      </c>
      <c r="L11978" s="3" t="s">
        <v>103</v>
      </c>
    </row>
    <row r="11979" spans="1:12" s="3" customFormat="1" x14ac:dyDescent="0.3">
      <c r="A11979" s="3" t="s">
        <v>26</v>
      </c>
      <c r="B11979" s="3" t="s">
        <v>2773</v>
      </c>
      <c r="C11979" s="3">
        <v>2</v>
      </c>
      <c r="D11979" s="3" t="s">
        <v>192</v>
      </c>
      <c r="E11979" s="3" t="s">
        <v>103</v>
      </c>
      <c r="F11979" s="3" t="s">
        <v>103</v>
      </c>
      <c r="G11979" s="3" t="s">
        <v>103</v>
      </c>
      <c r="H11979" s="3" t="s">
        <v>103</v>
      </c>
      <c r="I11979" s="3" t="s">
        <v>103</v>
      </c>
      <c r="J11979" s="3" t="s">
        <v>103</v>
      </c>
      <c r="K11979" s="3" t="s">
        <v>103</v>
      </c>
      <c r="L11979" s="3" t="s">
        <v>103</v>
      </c>
    </row>
    <row r="11980" spans="1:12" s="3" customFormat="1" x14ac:dyDescent="0.3">
      <c r="A11980" s="3" t="s">
        <v>26</v>
      </c>
      <c r="B11980" s="3" t="s">
        <v>2774</v>
      </c>
      <c r="C11980" s="3">
        <v>8</v>
      </c>
      <c r="D11980" s="3" t="s">
        <v>103</v>
      </c>
      <c r="E11980" s="3" t="s">
        <v>103</v>
      </c>
      <c r="F11980" s="3" t="s">
        <v>490</v>
      </c>
      <c r="G11980" s="3" t="s">
        <v>103</v>
      </c>
      <c r="H11980" s="3" t="s">
        <v>103</v>
      </c>
      <c r="I11980" s="3" t="s">
        <v>159</v>
      </c>
      <c r="J11980" s="3" t="s">
        <v>103</v>
      </c>
      <c r="K11980" s="3" t="s">
        <v>103</v>
      </c>
      <c r="L11980" s="3" t="s">
        <v>103</v>
      </c>
    </row>
    <row r="11981" spans="1:12" s="3" customFormat="1" x14ac:dyDescent="0.3">
      <c r="A11981" s="3" t="s">
        <v>26</v>
      </c>
      <c r="B11981" s="3" t="s">
        <v>2775</v>
      </c>
      <c r="C11981" s="3">
        <v>9</v>
      </c>
      <c r="D11981" s="3" t="s">
        <v>278</v>
      </c>
      <c r="E11981" s="3" t="s">
        <v>103</v>
      </c>
      <c r="F11981" s="3" t="s">
        <v>436</v>
      </c>
      <c r="G11981" s="3" t="s">
        <v>103</v>
      </c>
      <c r="H11981" s="3" t="s">
        <v>103</v>
      </c>
      <c r="I11981" s="3" t="s">
        <v>45</v>
      </c>
      <c r="J11981" s="3" t="s">
        <v>103</v>
      </c>
      <c r="K11981" s="3" t="s">
        <v>103</v>
      </c>
      <c r="L11981" s="3" t="s">
        <v>103</v>
      </c>
    </row>
    <row r="11982" spans="1:12" s="3" customFormat="1" x14ac:dyDescent="0.3">
      <c r="A11982" s="3" t="s">
        <v>26</v>
      </c>
      <c r="B11982" s="3" t="s">
        <v>2776</v>
      </c>
      <c r="C11982" s="3">
        <v>29</v>
      </c>
      <c r="D11982" s="3" t="s">
        <v>33</v>
      </c>
      <c r="E11982" s="3" t="s">
        <v>32</v>
      </c>
      <c r="F11982" s="3" t="s">
        <v>635</v>
      </c>
      <c r="G11982" s="3" t="s">
        <v>591</v>
      </c>
      <c r="H11982" s="3" t="s">
        <v>103</v>
      </c>
      <c r="I11982" s="3" t="s">
        <v>899</v>
      </c>
      <c r="J11982" s="3" t="s">
        <v>103</v>
      </c>
      <c r="K11982" s="3" t="s">
        <v>103</v>
      </c>
      <c r="L11982" s="3" t="s">
        <v>103</v>
      </c>
    </row>
    <row r="11983" spans="1:12" x14ac:dyDescent="0.3">
      <c r="A11983" t="s">
        <v>26</v>
      </c>
      <c r="B11983" t="s">
        <v>2777</v>
      </c>
      <c r="C11983">
        <v>44</v>
      </c>
      <c r="D11983" t="s">
        <v>805</v>
      </c>
      <c r="E11983" t="s">
        <v>103</v>
      </c>
      <c r="F11983" t="s">
        <v>933</v>
      </c>
      <c r="G11983" t="s">
        <v>188</v>
      </c>
      <c r="H11983" t="s">
        <v>103</v>
      </c>
      <c r="I11983" t="s">
        <v>661</v>
      </c>
      <c r="J11983" t="s">
        <v>270</v>
      </c>
      <c r="K11983" t="s">
        <v>93</v>
      </c>
      <c r="L11983" t="s">
        <v>103</v>
      </c>
    </row>
    <row r="11984" spans="1:12" s="3" customFormat="1" x14ac:dyDescent="0.3">
      <c r="A11984" s="3" t="s">
        <v>26</v>
      </c>
      <c r="B11984" s="3" t="s">
        <v>2778</v>
      </c>
      <c r="C11984" s="3">
        <v>23</v>
      </c>
      <c r="D11984" s="3" t="s">
        <v>539</v>
      </c>
      <c r="E11984" s="3" t="s">
        <v>103</v>
      </c>
      <c r="F11984" s="3" t="s">
        <v>1402</v>
      </c>
      <c r="G11984" s="3" t="s">
        <v>190</v>
      </c>
      <c r="H11984" s="3" t="s">
        <v>103</v>
      </c>
      <c r="I11984" s="3" t="s">
        <v>939</v>
      </c>
      <c r="J11984" s="3" t="s">
        <v>103</v>
      </c>
      <c r="K11984" s="3" t="s">
        <v>214</v>
      </c>
      <c r="L11984" s="3" t="s">
        <v>103</v>
      </c>
    </row>
    <row r="11985" spans="1:12" x14ac:dyDescent="0.3">
      <c r="A11985" t="s">
        <v>26</v>
      </c>
      <c r="B11985" t="s">
        <v>308</v>
      </c>
      <c r="C11985">
        <v>3</v>
      </c>
      <c r="D11985" t="s">
        <v>103</v>
      </c>
      <c r="E11985" t="s">
        <v>103</v>
      </c>
      <c r="F11985" t="s">
        <v>230</v>
      </c>
      <c r="G11985" t="s">
        <v>1637</v>
      </c>
      <c r="H11985" t="s">
        <v>103</v>
      </c>
      <c r="I11985" t="s">
        <v>121</v>
      </c>
      <c r="J11985" t="s">
        <v>103</v>
      </c>
      <c r="K11985" t="s">
        <v>103</v>
      </c>
      <c r="L11985" t="s">
        <v>103</v>
      </c>
    </row>
    <row r="11986" spans="1:12" s="3" customFormat="1" x14ac:dyDescent="0.3">
      <c r="A11986" s="3" t="s">
        <v>29</v>
      </c>
      <c r="B11986" s="3" t="s">
        <v>2773</v>
      </c>
      <c r="C11986" s="3">
        <v>2</v>
      </c>
      <c r="D11986" s="3" t="s">
        <v>103</v>
      </c>
      <c r="E11986" s="3" t="s">
        <v>103</v>
      </c>
      <c r="F11986" s="3" t="s">
        <v>399</v>
      </c>
      <c r="G11986" s="3" t="s">
        <v>103</v>
      </c>
      <c r="H11986" s="3" t="s">
        <v>103</v>
      </c>
      <c r="I11986" s="3" t="s">
        <v>192</v>
      </c>
      <c r="J11986" s="3" t="s">
        <v>103</v>
      </c>
      <c r="K11986" s="3" t="s">
        <v>103</v>
      </c>
      <c r="L11986" s="3" t="s">
        <v>103</v>
      </c>
    </row>
    <row r="11987" spans="1:12" s="3" customFormat="1" x14ac:dyDescent="0.3">
      <c r="A11987" s="3" t="s">
        <v>29</v>
      </c>
      <c r="B11987" s="3" t="s">
        <v>2774</v>
      </c>
      <c r="C11987" s="3">
        <v>3</v>
      </c>
      <c r="D11987" s="3" t="s">
        <v>192</v>
      </c>
      <c r="E11987" s="3" t="s">
        <v>103</v>
      </c>
      <c r="F11987" s="3" t="s">
        <v>103</v>
      </c>
      <c r="G11987" s="3" t="s">
        <v>103</v>
      </c>
      <c r="H11987" s="3" t="s">
        <v>103</v>
      </c>
      <c r="I11987" s="3" t="s">
        <v>103</v>
      </c>
      <c r="J11987" s="3" t="s">
        <v>103</v>
      </c>
      <c r="K11987" s="3" t="s">
        <v>103</v>
      </c>
      <c r="L11987" s="3" t="s">
        <v>103</v>
      </c>
    </row>
    <row r="11988" spans="1:12" s="3" customFormat="1" x14ac:dyDescent="0.3">
      <c r="A11988" s="3" t="s">
        <v>29</v>
      </c>
      <c r="B11988" s="3" t="s">
        <v>2775</v>
      </c>
      <c r="C11988" s="3">
        <v>4</v>
      </c>
      <c r="D11988" s="3" t="s">
        <v>288</v>
      </c>
      <c r="E11988" s="3" t="s">
        <v>103</v>
      </c>
      <c r="F11988" s="3" t="s">
        <v>452</v>
      </c>
      <c r="G11988" s="3" t="s">
        <v>452</v>
      </c>
      <c r="H11988" s="3" t="s">
        <v>103</v>
      </c>
      <c r="I11988" s="3" t="s">
        <v>452</v>
      </c>
      <c r="J11988" s="3" t="s">
        <v>103</v>
      </c>
      <c r="K11988" s="3" t="s">
        <v>103</v>
      </c>
      <c r="L11988" s="3" t="s">
        <v>103</v>
      </c>
    </row>
    <row r="11989" spans="1:12" s="3" customFormat="1" x14ac:dyDescent="0.3">
      <c r="A11989" s="3" t="s">
        <v>29</v>
      </c>
      <c r="B11989" s="3" t="s">
        <v>2776</v>
      </c>
      <c r="C11989" s="3">
        <v>4</v>
      </c>
      <c r="D11989" s="3" t="s">
        <v>103</v>
      </c>
      <c r="E11989" s="3" t="s">
        <v>103</v>
      </c>
      <c r="F11989" s="3" t="s">
        <v>553</v>
      </c>
      <c r="G11989" s="3" t="s">
        <v>103</v>
      </c>
      <c r="H11989" s="3" t="s">
        <v>103</v>
      </c>
      <c r="I11989" s="3" t="s">
        <v>103</v>
      </c>
      <c r="J11989" s="3" t="s">
        <v>770</v>
      </c>
      <c r="K11989" s="3" t="s">
        <v>103</v>
      </c>
      <c r="L11989" s="3" t="s">
        <v>648</v>
      </c>
    </row>
    <row r="11990" spans="1:12" x14ac:dyDescent="0.3">
      <c r="A11990" t="s">
        <v>29</v>
      </c>
      <c r="B11990" t="s">
        <v>2777</v>
      </c>
      <c r="C11990">
        <v>36</v>
      </c>
      <c r="D11990" t="s">
        <v>574</v>
      </c>
      <c r="E11990" t="s">
        <v>460</v>
      </c>
      <c r="F11990" t="s">
        <v>567</v>
      </c>
      <c r="G11990" t="s">
        <v>194</v>
      </c>
      <c r="H11990" t="s">
        <v>103</v>
      </c>
      <c r="I11990" t="s">
        <v>420</v>
      </c>
      <c r="J11990" t="s">
        <v>103</v>
      </c>
      <c r="K11990" t="s">
        <v>133</v>
      </c>
      <c r="L11990" t="s">
        <v>103</v>
      </c>
    </row>
    <row r="11991" spans="1:12" s="3" customFormat="1" x14ac:dyDescent="0.3">
      <c r="A11991" s="3" t="s">
        <v>29</v>
      </c>
      <c r="B11991" s="3" t="s">
        <v>2778</v>
      </c>
      <c r="C11991" s="3">
        <v>24</v>
      </c>
      <c r="D11991" s="3" t="s">
        <v>250</v>
      </c>
      <c r="E11991" s="3" t="s">
        <v>142</v>
      </c>
      <c r="F11991" s="3" t="s">
        <v>477</v>
      </c>
      <c r="G11991" s="3" t="s">
        <v>281</v>
      </c>
      <c r="H11991" s="3" t="s">
        <v>103</v>
      </c>
      <c r="I11991" s="3" t="s">
        <v>1223</v>
      </c>
      <c r="J11991" s="3" t="s">
        <v>124</v>
      </c>
      <c r="K11991" s="3" t="s">
        <v>646</v>
      </c>
      <c r="L11991" s="3" t="s">
        <v>103</v>
      </c>
    </row>
    <row r="11992" spans="1:12" s="3" customFormat="1" x14ac:dyDescent="0.3">
      <c r="A11992" s="3" t="s">
        <v>28</v>
      </c>
      <c r="B11992" s="3" t="s">
        <v>2772</v>
      </c>
      <c r="C11992" s="3">
        <v>3</v>
      </c>
      <c r="D11992" s="3" t="s">
        <v>103</v>
      </c>
      <c r="E11992" s="3" t="s">
        <v>103</v>
      </c>
      <c r="F11992" s="3" t="s">
        <v>103</v>
      </c>
      <c r="G11992" s="3" t="s">
        <v>103</v>
      </c>
      <c r="H11992" s="3" t="s">
        <v>103</v>
      </c>
      <c r="I11992" s="3" t="s">
        <v>192</v>
      </c>
      <c r="J11992" s="3" t="s">
        <v>103</v>
      </c>
      <c r="K11992" s="3" t="s">
        <v>103</v>
      </c>
      <c r="L11992" s="3" t="s">
        <v>103</v>
      </c>
    </row>
    <row r="11993" spans="1:12" s="3" customFormat="1" x14ac:dyDescent="0.3">
      <c r="A11993" s="3" t="s">
        <v>28</v>
      </c>
      <c r="B11993" s="3" t="s">
        <v>2773</v>
      </c>
      <c r="C11993" s="3">
        <v>8</v>
      </c>
      <c r="D11993" s="3" t="s">
        <v>479</v>
      </c>
      <c r="E11993" s="3" t="s">
        <v>103</v>
      </c>
      <c r="F11993" s="3" t="s">
        <v>103</v>
      </c>
      <c r="G11993" s="3" t="s">
        <v>103</v>
      </c>
      <c r="H11993" s="3" t="s">
        <v>103</v>
      </c>
      <c r="I11993" s="3" t="s">
        <v>300</v>
      </c>
      <c r="J11993" s="3" t="s">
        <v>479</v>
      </c>
      <c r="K11993" s="3" t="s">
        <v>103</v>
      </c>
      <c r="L11993" s="3" t="s">
        <v>103</v>
      </c>
    </row>
    <row r="11994" spans="1:12" s="3" customFormat="1" x14ac:dyDescent="0.3">
      <c r="A11994" s="3" t="s">
        <v>28</v>
      </c>
      <c r="B11994" s="3" t="s">
        <v>2775</v>
      </c>
      <c r="C11994" s="3">
        <v>6</v>
      </c>
      <c r="D11994" s="3" t="s">
        <v>103</v>
      </c>
      <c r="E11994" s="3" t="s">
        <v>259</v>
      </c>
      <c r="F11994" s="3" t="s">
        <v>103</v>
      </c>
      <c r="G11994" s="3" t="s">
        <v>103</v>
      </c>
      <c r="H11994" s="3" t="s">
        <v>103</v>
      </c>
      <c r="I11994" s="3" t="s">
        <v>707</v>
      </c>
      <c r="J11994" s="3" t="s">
        <v>1546</v>
      </c>
      <c r="K11994" s="3" t="s">
        <v>103</v>
      </c>
      <c r="L11994" s="3" t="s">
        <v>103</v>
      </c>
    </row>
    <row r="11995" spans="1:12" s="3" customFormat="1" x14ac:dyDescent="0.3">
      <c r="A11995" s="3" t="s">
        <v>28</v>
      </c>
      <c r="B11995" s="3" t="s">
        <v>2776</v>
      </c>
      <c r="C11995" s="3">
        <v>2</v>
      </c>
      <c r="D11995" s="3" t="s">
        <v>103</v>
      </c>
      <c r="E11995" s="3" t="s">
        <v>103</v>
      </c>
      <c r="F11995" s="3" t="s">
        <v>103</v>
      </c>
      <c r="G11995" s="3" t="s">
        <v>103</v>
      </c>
      <c r="H11995" s="3" t="s">
        <v>103</v>
      </c>
      <c r="I11995" s="3" t="s">
        <v>574</v>
      </c>
      <c r="J11995" s="3" t="s">
        <v>1146</v>
      </c>
      <c r="K11995" s="3" t="s">
        <v>103</v>
      </c>
      <c r="L11995" s="3" t="s">
        <v>103</v>
      </c>
    </row>
    <row r="11996" spans="1:12" s="3" customFormat="1" x14ac:dyDescent="0.3">
      <c r="A11996" s="3" t="s">
        <v>28</v>
      </c>
      <c r="B11996" s="3" t="s">
        <v>2777</v>
      </c>
      <c r="C11996" s="3">
        <v>4</v>
      </c>
      <c r="D11996" s="3" t="s">
        <v>103</v>
      </c>
      <c r="E11996" s="3" t="s">
        <v>103</v>
      </c>
      <c r="F11996" s="3" t="s">
        <v>103</v>
      </c>
      <c r="G11996" s="3" t="s">
        <v>103</v>
      </c>
      <c r="H11996" s="3" t="s">
        <v>103</v>
      </c>
      <c r="I11996" s="3" t="s">
        <v>510</v>
      </c>
      <c r="J11996" s="3" t="s">
        <v>866</v>
      </c>
      <c r="K11996" s="3" t="s">
        <v>103</v>
      </c>
      <c r="L11996" s="3" t="s">
        <v>103</v>
      </c>
    </row>
    <row r="11997" spans="1:12" s="3" customFormat="1" x14ac:dyDescent="0.3">
      <c r="A11997" s="3" t="s">
        <v>28</v>
      </c>
      <c r="B11997" s="3" t="s">
        <v>2778</v>
      </c>
      <c r="C11997" s="3">
        <v>13</v>
      </c>
      <c r="D11997" s="3" t="s">
        <v>549</v>
      </c>
      <c r="E11997" s="3" t="s">
        <v>103</v>
      </c>
      <c r="F11997" s="3" t="s">
        <v>103</v>
      </c>
      <c r="G11997" s="3" t="s">
        <v>103</v>
      </c>
      <c r="H11997" s="3" t="s">
        <v>103</v>
      </c>
      <c r="I11997" s="3" t="s">
        <v>32</v>
      </c>
      <c r="J11997" s="3" t="s">
        <v>1210</v>
      </c>
      <c r="K11997" s="3" t="s">
        <v>661</v>
      </c>
      <c r="L11997" s="3" t="s">
        <v>103</v>
      </c>
    </row>
    <row r="11998" spans="1:12" x14ac:dyDescent="0.3">
      <c r="A11998" t="s">
        <v>28</v>
      </c>
      <c r="B11998" t="s">
        <v>308</v>
      </c>
      <c r="C11998">
        <v>2</v>
      </c>
      <c r="D11998" t="s">
        <v>103</v>
      </c>
      <c r="E11998" t="s">
        <v>103</v>
      </c>
      <c r="F11998" t="s">
        <v>103</v>
      </c>
      <c r="G11998" t="s">
        <v>103</v>
      </c>
      <c r="H11998" t="s">
        <v>103</v>
      </c>
      <c r="I11998" t="s">
        <v>103</v>
      </c>
      <c r="J11998" t="s">
        <v>103</v>
      </c>
      <c r="K11998" t="s">
        <v>192</v>
      </c>
      <c r="L11998" t="s">
        <v>103</v>
      </c>
    </row>
    <row r="11999" spans="1:12" s="3" customFormat="1" x14ac:dyDescent="0.3">
      <c r="A11999" s="3" t="s">
        <v>27</v>
      </c>
      <c r="B11999" s="3" t="s">
        <v>2774</v>
      </c>
      <c r="C11999" s="3">
        <v>1</v>
      </c>
      <c r="D11999" s="3" t="s">
        <v>103</v>
      </c>
      <c r="E11999" s="3" t="s">
        <v>103</v>
      </c>
      <c r="F11999" s="3" t="s">
        <v>192</v>
      </c>
      <c r="G11999" s="3" t="s">
        <v>103</v>
      </c>
      <c r="H11999" s="3" t="s">
        <v>103</v>
      </c>
      <c r="I11999" s="3" t="s">
        <v>103</v>
      </c>
      <c r="J11999" s="3" t="s">
        <v>103</v>
      </c>
      <c r="K11999" s="3" t="s">
        <v>103</v>
      </c>
      <c r="L11999" s="3" t="s">
        <v>103</v>
      </c>
    </row>
    <row r="12000" spans="1:12" s="3" customFormat="1" x14ac:dyDescent="0.3">
      <c r="A12000" s="3" t="s">
        <v>27</v>
      </c>
      <c r="B12000" s="3" t="s">
        <v>2776</v>
      </c>
      <c r="C12000" s="3">
        <v>3</v>
      </c>
      <c r="D12000" s="3" t="s">
        <v>103</v>
      </c>
      <c r="E12000" s="3" t="s">
        <v>103</v>
      </c>
      <c r="F12000" s="3" t="s">
        <v>1146</v>
      </c>
      <c r="G12000" s="3" t="s">
        <v>103</v>
      </c>
      <c r="H12000" s="3" t="s">
        <v>103</v>
      </c>
      <c r="I12000" s="3" t="s">
        <v>574</v>
      </c>
      <c r="J12000" s="3" t="s">
        <v>103</v>
      </c>
      <c r="K12000" s="3" t="s">
        <v>103</v>
      </c>
      <c r="L12000" s="3" t="s">
        <v>103</v>
      </c>
    </row>
    <row r="12001" spans="1:12" s="3" customFormat="1" x14ac:dyDescent="0.3">
      <c r="A12001" s="3" t="s">
        <v>27</v>
      </c>
      <c r="B12001" s="3" t="s">
        <v>2777</v>
      </c>
      <c r="C12001" s="3">
        <v>7</v>
      </c>
      <c r="D12001" s="3" t="s">
        <v>103</v>
      </c>
      <c r="E12001" s="3" t="s">
        <v>103</v>
      </c>
      <c r="F12001" s="3" t="s">
        <v>1024</v>
      </c>
      <c r="G12001" s="3" t="s">
        <v>686</v>
      </c>
      <c r="H12001" s="3" t="s">
        <v>103</v>
      </c>
      <c r="I12001" s="3" t="s">
        <v>686</v>
      </c>
      <c r="J12001" s="3" t="s">
        <v>103</v>
      </c>
      <c r="K12001" s="3" t="s">
        <v>103</v>
      </c>
      <c r="L12001" s="3" t="s">
        <v>103</v>
      </c>
    </row>
    <row r="12002" spans="1:12" s="3" customFormat="1" x14ac:dyDescent="0.3">
      <c r="A12002" s="3" t="s">
        <v>27</v>
      </c>
      <c r="B12002" s="3" t="s">
        <v>2778</v>
      </c>
      <c r="C12002" s="3">
        <v>9</v>
      </c>
      <c r="D12002" s="3" t="s">
        <v>98</v>
      </c>
      <c r="E12002" s="3" t="s">
        <v>103</v>
      </c>
      <c r="F12002" s="3" t="s">
        <v>772</v>
      </c>
      <c r="G12002" s="3" t="s">
        <v>111</v>
      </c>
      <c r="H12002" s="3" t="s">
        <v>103</v>
      </c>
      <c r="I12002" s="3" t="s">
        <v>111</v>
      </c>
      <c r="J12002" s="3" t="s">
        <v>103</v>
      </c>
      <c r="K12002" s="3" t="s">
        <v>103</v>
      </c>
      <c r="L12002" s="3" t="s">
        <v>103</v>
      </c>
    </row>
    <row r="12003" spans="1:12" s="3" customFormat="1" x14ac:dyDescent="0.3">
      <c r="A12003" s="3" t="s">
        <v>41</v>
      </c>
      <c r="B12003" s="3" t="s">
        <v>2772</v>
      </c>
      <c r="C12003" s="3">
        <v>4</v>
      </c>
      <c r="D12003" s="3" t="s">
        <v>103</v>
      </c>
      <c r="E12003" s="3" t="s">
        <v>103</v>
      </c>
      <c r="F12003" s="3" t="s">
        <v>103</v>
      </c>
      <c r="G12003" s="3" t="s">
        <v>103</v>
      </c>
      <c r="H12003" s="3" t="s">
        <v>103</v>
      </c>
      <c r="I12003" s="3" t="s">
        <v>192</v>
      </c>
      <c r="J12003" s="3" t="s">
        <v>103</v>
      </c>
      <c r="K12003" s="3" t="s">
        <v>103</v>
      </c>
      <c r="L12003" s="3" t="s">
        <v>103</v>
      </c>
    </row>
    <row r="12004" spans="1:12" s="3" customFormat="1" x14ac:dyDescent="0.3">
      <c r="A12004" s="3" t="s">
        <v>41</v>
      </c>
      <c r="B12004" s="3" t="s">
        <v>2773</v>
      </c>
      <c r="C12004" s="3">
        <v>12</v>
      </c>
      <c r="D12004" s="3" t="s">
        <v>539</v>
      </c>
      <c r="E12004" s="3" t="s">
        <v>103</v>
      </c>
      <c r="F12004" s="3" t="s">
        <v>789</v>
      </c>
      <c r="G12004" s="3" t="s">
        <v>103</v>
      </c>
      <c r="H12004" s="3" t="s">
        <v>103</v>
      </c>
      <c r="I12004" s="3" t="s">
        <v>1369</v>
      </c>
      <c r="J12004" s="3" t="s">
        <v>511</v>
      </c>
      <c r="K12004" s="3" t="s">
        <v>103</v>
      </c>
      <c r="L12004" s="3" t="s">
        <v>103</v>
      </c>
    </row>
    <row r="12005" spans="1:12" s="3" customFormat="1" x14ac:dyDescent="0.3">
      <c r="A12005" s="3" t="s">
        <v>41</v>
      </c>
      <c r="B12005" s="3" t="s">
        <v>2774</v>
      </c>
      <c r="C12005" s="3">
        <v>13</v>
      </c>
      <c r="D12005" s="3" t="s">
        <v>352</v>
      </c>
      <c r="E12005" s="3" t="s">
        <v>103</v>
      </c>
      <c r="F12005" s="3" t="s">
        <v>1227</v>
      </c>
      <c r="G12005" s="3" t="s">
        <v>103</v>
      </c>
      <c r="H12005" s="3" t="s">
        <v>103</v>
      </c>
      <c r="I12005" s="3" t="s">
        <v>1402</v>
      </c>
      <c r="J12005" s="3" t="s">
        <v>103</v>
      </c>
      <c r="K12005" s="3" t="s">
        <v>103</v>
      </c>
      <c r="L12005" s="3" t="s">
        <v>103</v>
      </c>
    </row>
    <row r="12006" spans="1:12" s="3" customFormat="1" x14ac:dyDescent="0.3">
      <c r="A12006" s="3" t="s">
        <v>41</v>
      </c>
      <c r="B12006" s="3" t="s">
        <v>2775</v>
      </c>
      <c r="C12006" s="3">
        <v>20</v>
      </c>
      <c r="D12006" s="3" t="s">
        <v>541</v>
      </c>
      <c r="E12006" s="3" t="s">
        <v>467</v>
      </c>
      <c r="F12006" s="3" t="s">
        <v>556</v>
      </c>
      <c r="G12006" s="3" t="s">
        <v>216</v>
      </c>
      <c r="H12006" s="3" t="s">
        <v>103</v>
      </c>
      <c r="I12006" s="3" t="s">
        <v>401</v>
      </c>
      <c r="J12006" s="3" t="s">
        <v>190</v>
      </c>
      <c r="K12006" s="3" t="s">
        <v>103</v>
      </c>
      <c r="L12006" s="3" t="s">
        <v>103</v>
      </c>
    </row>
    <row r="12007" spans="1:12" x14ac:dyDescent="0.3">
      <c r="A12007" t="s">
        <v>41</v>
      </c>
      <c r="B12007" t="s">
        <v>2776</v>
      </c>
      <c r="C12007">
        <v>43</v>
      </c>
      <c r="D12007" t="s">
        <v>232</v>
      </c>
      <c r="E12007" t="s">
        <v>438</v>
      </c>
      <c r="F12007" t="s">
        <v>1197</v>
      </c>
      <c r="G12007" t="s">
        <v>270</v>
      </c>
      <c r="H12007" t="s">
        <v>103</v>
      </c>
      <c r="I12007" t="s">
        <v>1379</v>
      </c>
      <c r="J12007" t="s">
        <v>460</v>
      </c>
      <c r="K12007" t="s">
        <v>103</v>
      </c>
      <c r="L12007" t="s">
        <v>438</v>
      </c>
    </row>
    <row r="12008" spans="1:12" x14ac:dyDescent="0.3">
      <c r="A12008" t="s">
        <v>41</v>
      </c>
      <c r="B12008" t="s">
        <v>2777</v>
      </c>
      <c r="C12008">
        <v>110</v>
      </c>
      <c r="D12008" t="s">
        <v>1143</v>
      </c>
      <c r="E12008" t="s">
        <v>438</v>
      </c>
      <c r="F12008" t="s">
        <v>1202</v>
      </c>
      <c r="G12008" t="s">
        <v>266</v>
      </c>
      <c r="H12008" t="s">
        <v>103</v>
      </c>
      <c r="I12008" t="s">
        <v>1081</v>
      </c>
      <c r="J12008" t="s">
        <v>201</v>
      </c>
      <c r="K12008" t="s">
        <v>467</v>
      </c>
      <c r="L12008" t="s">
        <v>103</v>
      </c>
    </row>
    <row r="12009" spans="1:12" x14ac:dyDescent="0.3">
      <c r="A12009" t="s">
        <v>41</v>
      </c>
      <c r="B12009" t="s">
        <v>2778</v>
      </c>
      <c r="C12009">
        <v>97</v>
      </c>
      <c r="D12009" t="s">
        <v>698</v>
      </c>
      <c r="E12009" t="s">
        <v>254</v>
      </c>
      <c r="F12009" t="s">
        <v>236</v>
      </c>
      <c r="G12009" t="s">
        <v>494</v>
      </c>
      <c r="H12009" t="s">
        <v>468</v>
      </c>
      <c r="I12009" t="s">
        <v>1223</v>
      </c>
      <c r="J12009" t="s">
        <v>112</v>
      </c>
      <c r="K12009" t="s">
        <v>273</v>
      </c>
      <c r="L12009" t="s">
        <v>103</v>
      </c>
    </row>
    <row r="12010" spans="1:12" x14ac:dyDescent="0.3">
      <c r="A12010" t="s">
        <v>41</v>
      </c>
      <c r="B12010" t="s">
        <v>308</v>
      </c>
      <c r="C12010">
        <v>6</v>
      </c>
      <c r="D12010" t="s">
        <v>103</v>
      </c>
      <c r="E12010" t="s">
        <v>103</v>
      </c>
      <c r="F12010" t="s">
        <v>142</v>
      </c>
      <c r="G12010" t="s">
        <v>461</v>
      </c>
      <c r="H12010" t="s">
        <v>103</v>
      </c>
      <c r="I12010" t="s">
        <v>479</v>
      </c>
      <c r="J12010" t="s">
        <v>927</v>
      </c>
      <c r="K12010" t="s">
        <v>475</v>
      </c>
      <c r="L12010" t="s">
        <v>103</v>
      </c>
    </row>
    <row r="12012" spans="1:12" x14ac:dyDescent="0.3">
      <c r="A12012" t="s">
        <v>2841</v>
      </c>
    </row>
    <row r="12013" spans="1:12" x14ac:dyDescent="0.3">
      <c r="A12013" t="s">
        <v>36</v>
      </c>
      <c r="B12013" t="s">
        <v>197</v>
      </c>
      <c r="C12013" t="s">
        <v>24</v>
      </c>
      <c r="D12013" t="s">
        <v>2824</v>
      </c>
      <c r="E12013" t="s">
        <v>2825</v>
      </c>
      <c r="F12013" t="s">
        <v>2826</v>
      </c>
      <c r="G12013" t="s">
        <v>2827</v>
      </c>
      <c r="H12013" t="s">
        <v>2828</v>
      </c>
      <c r="I12013" t="s">
        <v>2829</v>
      </c>
      <c r="J12013" t="s">
        <v>2830</v>
      </c>
      <c r="K12013" t="s">
        <v>2831</v>
      </c>
      <c r="L12013" t="s">
        <v>89</v>
      </c>
    </row>
    <row r="12014" spans="1:12" s="3" customFormat="1" x14ac:dyDescent="0.3">
      <c r="A12014" s="3" t="s">
        <v>25</v>
      </c>
      <c r="B12014" s="3" t="s">
        <v>198</v>
      </c>
      <c r="C12014" s="3">
        <v>16</v>
      </c>
      <c r="D12014" s="3" t="s">
        <v>705</v>
      </c>
      <c r="E12014" s="3" t="s">
        <v>103</v>
      </c>
      <c r="F12014" s="3" t="s">
        <v>1098</v>
      </c>
      <c r="G12014" s="3" t="s">
        <v>103</v>
      </c>
      <c r="H12014" s="3" t="s">
        <v>103</v>
      </c>
      <c r="I12014" s="3" t="s">
        <v>353</v>
      </c>
      <c r="J12014" s="3" t="s">
        <v>517</v>
      </c>
      <c r="K12014" s="3" t="s">
        <v>103</v>
      </c>
      <c r="L12014" s="3" t="s">
        <v>103</v>
      </c>
    </row>
    <row r="12015" spans="1:12" x14ac:dyDescent="0.3">
      <c r="A12015" t="s">
        <v>25</v>
      </c>
      <c r="B12015" t="s">
        <v>199</v>
      </c>
      <c r="C12015">
        <v>39</v>
      </c>
      <c r="D12015" t="s">
        <v>399</v>
      </c>
      <c r="E12015" t="s">
        <v>103</v>
      </c>
      <c r="F12015" t="s">
        <v>273</v>
      </c>
      <c r="G12015" t="s">
        <v>137</v>
      </c>
      <c r="H12015" t="s">
        <v>68</v>
      </c>
      <c r="I12015" t="s">
        <v>435</v>
      </c>
      <c r="J12015" t="s">
        <v>137</v>
      </c>
      <c r="K12015" t="s">
        <v>125</v>
      </c>
      <c r="L12015" t="s">
        <v>103</v>
      </c>
    </row>
    <row r="12016" spans="1:12" s="3" customFormat="1" x14ac:dyDescent="0.3">
      <c r="A12016" s="3" t="s">
        <v>26</v>
      </c>
      <c r="B12016" s="3" t="s">
        <v>198</v>
      </c>
      <c r="C12016" s="3">
        <v>10</v>
      </c>
      <c r="D12016" s="3" t="s">
        <v>656</v>
      </c>
      <c r="E12016" s="3" t="s">
        <v>103</v>
      </c>
      <c r="F12016" s="3" t="s">
        <v>933</v>
      </c>
      <c r="G12016" s="3" t="s">
        <v>103</v>
      </c>
      <c r="H12016" s="3" t="s">
        <v>103</v>
      </c>
      <c r="I12016" s="3" t="s">
        <v>1089</v>
      </c>
      <c r="J12016" s="3" t="s">
        <v>103</v>
      </c>
      <c r="K12016" s="3" t="s">
        <v>103</v>
      </c>
      <c r="L12016" s="3" t="s">
        <v>103</v>
      </c>
    </row>
    <row r="12017" spans="1:12" x14ac:dyDescent="0.3">
      <c r="A12017" t="s">
        <v>26</v>
      </c>
      <c r="B12017" t="s">
        <v>199</v>
      </c>
      <c r="C12017">
        <v>109</v>
      </c>
      <c r="D12017" t="s">
        <v>173</v>
      </c>
      <c r="E12017" t="s">
        <v>194</v>
      </c>
      <c r="F12017" t="s">
        <v>443</v>
      </c>
      <c r="G12017" t="s">
        <v>284</v>
      </c>
      <c r="H12017" t="s">
        <v>103</v>
      </c>
      <c r="I12017" t="s">
        <v>1048</v>
      </c>
      <c r="J12017" t="s">
        <v>345</v>
      </c>
      <c r="K12017" t="s">
        <v>105</v>
      </c>
      <c r="L12017" t="s">
        <v>103</v>
      </c>
    </row>
    <row r="12018" spans="1:12" s="3" customFormat="1" x14ac:dyDescent="0.3">
      <c r="A12018" s="3" t="s">
        <v>29</v>
      </c>
      <c r="B12018" s="3" t="s">
        <v>198</v>
      </c>
      <c r="C12018" s="3">
        <v>23</v>
      </c>
      <c r="D12018" s="3" t="s">
        <v>393</v>
      </c>
      <c r="E12018" s="3" t="s">
        <v>115</v>
      </c>
      <c r="F12018" s="3" t="s">
        <v>562</v>
      </c>
      <c r="G12018" s="3" t="s">
        <v>452</v>
      </c>
      <c r="H12018" s="3" t="s">
        <v>103</v>
      </c>
      <c r="I12018" s="3" t="s">
        <v>136</v>
      </c>
      <c r="J12018" s="3" t="s">
        <v>615</v>
      </c>
      <c r="K12018" s="3" t="s">
        <v>60</v>
      </c>
      <c r="L12018" s="3" t="s">
        <v>103</v>
      </c>
    </row>
    <row r="12019" spans="1:12" x14ac:dyDescent="0.3">
      <c r="A12019" t="s">
        <v>29</v>
      </c>
      <c r="B12019" t="s">
        <v>199</v>
      </c>
      <c r="C12019">
        <v>50</v>
      </c>
      <c r="D12019" t="s">
        <v>686</v>
      </c>
      <c r="E12019" t="s">
        <v>629</v>
      </c>
      <c r="F12019" t="s">
        <v>746</v>
      </c>
      <c r="G12019" t="s">
        <v>468</v>
      </c>
      <c r="H12019" t="s">
        <v>103</v>
      </c>
      <c r="I12019" t="s">
        <v>390</v>
      </c>
      <c r="J12019" t="s">
        <v>33</v>
      </c>
      <c r="K12019" t="s">
        <v>162</v>
      </c>
      <c r="L12019" t="s">
        <v>245</v>
      </c>
    </row>
    <row r="12020" spans="1:12" s="3" customFormat="1" x14ac:dyDescent="0.3">
      <c r="A12020" s="3" t="s">
        <v>28</v>
      </c>
      <c r="B12020" s="3" t="s">
        <v>198</v>
      </c>
      <c r="C12020" s="3">
        <v>10</v>
      </c>
      <c r="D12020" s="3" t="s">
        <v>167</v>
      </c>
      <c r="E12020" s="3" t="s">
        <v>167</v>
      </c>
      <c r="F12020" s="3" t="s">
        <v>103</v>
      </c>
      <c r="G12020" s="3" t="s">
        <v>103</v>
      </c>
      <c r="H12020" s="3" t="s">
        <v>103</v>
      </c>
      <c r="I12020" s="3" t="s">
        <v>459</v>
      </c>
      <c r="J12020" s="3" t="s">
        <v>260</v>
      </c>
      <c r="K12020" s="3" t="s">
        <v>103</v>
      </c>
      <c r="L12020" s="3" t="s">
        <v>103</v>
      </c>
    </row>
    <row r="12021" spans="1:12" s="3" customFormat="1" x14ac:dyDescent="0.3">
      <c r="A12021" s="3" t="s">
        <v>28</v>
      </c>
      <c r="B12021" s="3" t="s">
        <v>199</v>
      </c>
      <c r="C12021" s="3">
        <v>28</v>
      </c>
      <c r="D12021" s="3" t="s">
        <v>201</v>
      </c>
      <c r="E12021" s="3" t="s">
        <v>103</v>
      </c>
      <c r="F12021" s="3" t="s">
        <v>103</v>
      </c>
      <c r="G12021" s="3" t="s">
        <v>103</v>
      </c>
      <c r="H12021" s="3" t="s">
        <v>103</v>
      </c>
      <c r="I12021" s="3" t="s">
        <v>1576</v>
      </c>
      <c r="J12021" s="3" t="s">
        <v>921</v>
      </c>
      <c r="K12021" s="3" t="s">
        <v>129</v>
      </c>
      <c r="L12021" s="3" t="s">
        <v>103</v>
      </c>
    </row>
    <row r="12022" spans="1:12" s="3" customFormat="1" x14ac:dyDescent="0.3">
      <c r="A12022" s="3" t="s">
        <v>27</v>
      </c>
      <c r="B12022" s="3" t="s">
        <v>198</v>
      </c>
      <c r="C12022" s="3">
        <v>3</v>
      </c>
      <c r="D12022" s="3" t="s">
        <v>103</v>
      </c>
      <c r="E12022" s="3" t="s">
        <v>103</v>
      </c>
      <c r="F12022" s="3" t="s">
        <v>192</v>
      </c>
      <c r="G12022" s="3" t="s">
        <v>103</v>
      </c>
      <c r="H12022" s="3" t="s">
        <v>103</v>
      </c>
      <c r="I12022" s="3" t="s">
        <v>103</v>
      </c>
      <c r="J12022" s="3" t="s">
        <v>103</v>
      </c>
      <c r="K12022" s="3" t="s">
        <v>103</v>
      </c>
      <c r="L12022" s="3" t="s">
        <v>103</v>
      </c>
    </row>
    <row r="12023" spans="1:12" s="3" customFormat="1" x14ac:dyDescent="0.3">
      <c r="A12023" s="3" t="s">
        <v>27</v>
      </c>
      <c r="B12023" s="3" t="s">
        <v>199</v>
      </c>
      <c r="C12023" s="3">
        <v>17</v>
      </c>
      <c r="D12023" s="3" t="s">
        <v>122</v>
      </c>
      <c r="E12023" s="3" t="s">
        <v>103</v>
      </c>
      <c r="F12023" s="3" t="s">
        <v>235</v>
      </c>
      <c r="G12023" s="3" t="s">
        <v>474</v>
      </c>
      <c r="H12023" s="3" t="s">
        <v>103</v>
      </c>
      <c r="I12023" s="3" t="s">
        <v>702</v>
      </c>
      <c r="J12023" s="3" t="s">
        <v>103</v>
      </c>
      <c r="K12023" s="3" t="s">
        <v>103</v>
      </c>
      <c r="L12023" s="3" t="s">
        <v>103</v>
      </c>
    </row>
    <row r="12024" spans="1:12" x14ac:dyDescent="0.3">
      <c r="A12024" t="s">
        <v>41</v>
      </c>
      <c r="B12024" t="s">
        <v>198</v>
      </c>
      <c r="C12024">
        <v>62</v>
      </c>
      <c r="D12024" t="s">
        <v>679</v>
      </c>
      <c r="E12024" t="s">
        <v>482</v>
      </c>
      <c r="F12024" t="s">
        <v>427</v>
      </c>
      <c r="G12024" t="s">
        <v>591</v>
      </c>
      <c r="H12024" t="s">
        <v>103</v>
      </c>
      <c r="I12024" t="s">
        <v>479</v>
      </c>
      <c r="J12024" t="s">
        <v>549</v>
      </c>
      <c r="K12024" t="s">
        <v>214</v>
      </c>
      <c r="L12024" t="s">
        <v>103</v>
      </c>
    </row>
    <row r="12025" spans="1:12" x14ac:dyDescent="0.3">
      <c r="A12025" t="s">
        <v>41</v>
      </c>
      <c r="B12025" t="s">
        <v>199</v>
      </c>
      <c r="C12025">
        <v>243</v>
      </c>
      <c r="D12025" t="s">
        <v>557</v>
      </c>
      <c r="E12025" t="s">
        <v>493</v>
      </c>
      <c r="F12025" t="s">
        <v>402</v>
      </c>
      <c r="G12025" t="s">
        <v>532</v>
      </c>
      <c r="H12025" t="s">
        <v>97</v>
      </c>
      <c r="I12025" t="s">
        <v>1215</v>
      </c>
      <c r="J12025" t="s">
        <v>201</v>
      </c>
      <c r="K12025" t="s">
        <v>60</v>
      </c>
      <c r="L12025" t="s">
        <v>120</v>
      </c>
    </row>
    <row r="12027" spans="1:12" x14ac:dyDescent="0.3">
      <c r="A12027" t="s">
        <v>2842</v>
      </c>
    </row>
    <row r="12028" spans="1:12" x14ac:dyDescent="0.3">
      <c r="A12028" t="s">
        <v>36</v>
      </c>
      <c r="B12028" t="s">
        <v>24</v>
      </c>
      <c r="C12028" t="s">
        <v>1195</v>
      </c>
      <c r="D12028" t="s">
        <v>2843</v>
      </c>
      <c r="E12028" t="s">
        <v>2844</v>
      </c>
      <c r="F12028" t="s">
        <v>2845</v>
      </c>
      <c r="G12028" t="s">
        <v>2846</v>
      </c>
      <c r="H12028" t="s">
        <v>89</v>
      </c>
    </row>
    <row r="12029" spans="1:12" x14ac:dyDescent="0.3">
      <c r="A12029" t="s">
        <v>25</v>
      </c>
      <c r="B12029">
        <v>414</v>
      </c>
      <c r="C12029" t="s">
        <v>130</v>
      </c>
      <c r="D12029" t="s">
        <v>1459</v>
      </c>
      <c r="E12029" t="s">
        <v>128</v>
      </c>
      <c r="F12029" t="s">
        <v>890</v>
      </c>
      <c r="G12029" t="s">
        <v>486</v>
      </c>
      <c r="H12029" t="s">
        <v>282</v>
      </c>
    </row>
    <row r="12030" spans="1:12" x14ac:dyDescent="0.3">
      <c r="A12030" t="s">
        <v>26</v>
      </c>
      <c r="B12030">
        <v>476</v>
      </c>
      <c r="C12030" t="s">
        <v>251</v>
      </c>
      <c r="D12030" t="s">
        <v>159</v>
      </c>
      <c r="E12030" t="s">
        <v>116</v>
      </c>
      <c r="F12030" t="s">
        <v>239</v>
      </c>
      <c r="G12030" t="s">
        <v>532</v>
      </c>
      <c r="H12030" t="s">
        <v>195</v>
      </c>
    </row>
    <row r="12031" spans="1:12" x14ac:dyDescent="0.3">
      <c r="A12031" t="s">
        <v>29</v>
      </c>
      <c r="B12031">
        <v>528</v>
      </c>
      <c r="C12031" t="s">
        <v>524</v>
      </c>
      <c r="D12031" t="s">
        <v>49</v>
      </c>
      <c r="E12031" t="s">
        <v>239</v>
      </c>
      <c r="F12031" t="s">
        <v>188</v>
      </c>
      <c r="G12031" t="s">
        <v>102</v>
      </c>
      <c r="H12031" t="s">
        <v>95</v>
      </c>
    </row>
    <row r="12032" spans="1:12" x14ac:dyDescent="0.3">
      <c r="A12032" t="s">
        <v>28</v>
      </c>
      <c r="B12032">
        <v>317</v>
      </c>
      <c r="C12032" t="s">
        <v>107</v>
      </c>
      <c r="D12032" t="s">
        <v>1153</v>
      </c>
      <c r="E12032" t="s">
        <v>549</v>
      </c>
      <c r="F12032" t="s">
        <v>591</v>
      </c>
      <c r="G12032" t="s">
        <v>201</v>
      </c>
      <c r="H12032" t="s">
        <v>95</v>
      </c>
    </row>
    <row r="12033" spans="1:9" x14ac:dyDescent="0.3">
      <c r="A12033" t="s">
        <v>27</v>
      </c>
      <c r="B12033">
        <v>300</v>
      </c>
      <c r="C12033" t="s">
        <v>216</v>
      </c>
      <c r="D12033" t="s">
        <v>840</v>
      </c>
      <c r="E12033" t="s">
        <v>511</v>
      </c>
      <c r="F12033" t="s">
        <v>468</v>
      </c>
      <c r="G12033" t="s">
        <v>105</v>
      </c>
      <c r="H12033" t="s">
        <v>103</v>
      </c>
    </row>
    <row r="12034" spans="1:9" x14ac:dyDescent="0.3">
      <c r="A12034" t="s">
        <v>41</v>
      </c>
      <c r="B12034">
        <v>2035</v>
      </c>
      <c r="C12034" t="s">
        <v>517</v>
      </c>
      <c r="D12034" t="s">
        <v>903</v>
      </c>
      <c r="E12034" t="s">
        <v>208</v>
      </c>
      <c r="F12034" t="s">
        <v>201</v>
      </c>
      <c r="G12034" t="s">
        <v>140</v>
      </c>
      <c r="H12034" t="s">
        <v>194</v>
      </c>
    </row>
    <row r="12036" spans="1:9" x14ac:dyDescent="0.3">
      <c r="A12036" t="s">
        <v>2847</v>
      </c>
    </row>
    <row r="12037" spans="1:9" x14ac:dyDescent="0.3">
      <c r="A12037" t="s">
        <v>36</v>
      </c>
      <c r="B12037" t="s">
        <v>307</v>
      </c>
      <c r="C12037" t="s">
        <v>24</v>
      </c>
      <c r="D12037" t="s">
        <v>1195</v>
      </c>
      <c r="E12037" t="s">
        <v>2843</v>
      </c>
      <c r="F12037" t="s">
        <v>2844</v>
      </c>
      <c r="G12037" t="s">
        <v>2845</v>
      </c>
      <c r="H12037" t="s">
        <v>2846</v>
      </c>
      <c r="I12037" t="s">
        <v>89</v>
      </c>
    </row>
    <row r="12038" spans="1:9" x14ac:dyDescent="0.3">
      <c r="A12038" t="s">
        <v>25</v>
      </c>
      <c r="B12038" t="s">
        <v>291</v>
      </c>
      <c r="C12038">
        <v>156</v>
      </c>
      <c r="D12038" t="s">
        <v>135</v>
      </c>
      <c r="E12038" t="s">
        <v>151</v>
      </c>
      <c r="F12038" t="s">
        <v>558</v>
      </c>
      <c r="G12038" t="s">
        <v>111</v>
      </c>
      <c r="H12038" t="s">
        <v>486</v>
      </c>
      <c r="I12038" t="s">
        <v>103</v>
      </c>
    </row>
    <row r="12039" spans="1:9" x14ac:dyDescent="0.3">
      <c r="A12039" t="s">
        <v>25</v>
      </c>
      <c r="B12039" t="s">
        <v>292</v>
      </c>
      <c r="C12039">
        <v>254</v>
      </c>
      <c r="D12039" t="s">
        <v>495</v>
      </c>
      <c r="E12039" t="s">
        <v>761</v>
      </c>
      <c r="F12039" t="s">
        <v>66</v>
      </c>
      <c r="G12039" t="s">
        <v>652</v>
      </c>
      <c r="H12039" t="s">
        <v>142</v>
      </c>
      <c r="I12039" t="s">
        <v>216</v>
      </c>
    </row>
    <row r="12040" spans="1:9" x14ac:dyDescent="0.3">
      <c r="A12040" t="s">
        <v>25</v>
      </c>
      <c r="B12040" t="s">
        <v>308</v>
      </c>
      <c r="C12040">
        <v>4</v>
      </c>
      <c r="D12040" t="s">
        <v>103</v>
      </c>
      <c r="E12040" t="s">
        <v>1438</v>
      </c>
      <c r="F12040" t="s">
        <v>103</v>
      </c>
      <c r="G12040" t="s">
        <v>103</v>
      </c>
      <c r="H12040" t="s">
        <v>534</v>
      </c>
      <c r="I12040" t="s">
        <v>103</v>
      </c>
    </row>
    <row r="12041" spans="1:9" x14ac:dyDescent="0.3">
      <c r="A12041" t="s">
        <v>26</v>
      </c>
      <c r="B12041" t="s">
        <v>291</v>
      </c>
      <c r="C12041">
        <v>122</v>
      </c>
      <c r="D12041" t="s">
        <v>594</v>
      </c>
      <c r="E12041" t="s">
        <v>215</v>
      </c>
      <c r="F12041" t="s">
        <v>122</v>
      </c>
      <c r="G12041" t="s">
        <v>272</v>
      </c>
      <c r="H12041" t="s">
        <v>257</v>
      </c>
      <c r="I12041" t="s">
        <v>125</v>
      </c>
    </row>
    <row r="12042" spans="1:9" x14ac:dyDescent="0.3">
      <c r="A12042" t="s">
        <v>26</v>
      </c>
      <c r="B12042" t="s">
        <v>292</v>
      </c>
      <c r="C12042">
        <v>351</v>
      </c>
      <c r="D12042" t="s">
        <v>140</v>
      </c>
      <c r="E12042" t="s">
        <v>170</v>
      </c>
      <c r="F12042" t="s">
        <v>116</v>
      </c>
      <c r="G12042" t="s">
        <v>282</v>
      </c>
      <c r="H12042" t="s">
        <v>281</v>
      </c>
      <c r="I12042" t="s">
        <v>64</v>
      </c>
    </row>
    <row r="12043" spans="1:9" x14ac:dyDescent="0.3">
      <c r="A12043" t="s">
        <v>26</v>
      </c>
      <c r="B12043" t="s">
        <v>308</v>
      </c>
      <c r="C12043">
        <v>3</v>
      </c>
      <c r="D12043" t="s">
        <v>103</v>
      </c>
      <c r="E12043" t="s">
        <v>192</v>
      </c>
      <c r="F12043" t="s">
        <v>103</v>
      </c>
      <c r="G12043" t="s">
        <v>103</v>
      </c>
      <c r="H12043" t="s">
        <v>103</v>
      </c>
      <c r="I12043" t="s">
        <v>103</v>
      </c>
    </row>
    <row r="12044" spans="1:9" x14ac:dyDescent="0.3">
      <c r="A12044" t="s">
        <v>29</v>
      </c>
      <c r="B12044" t="s">
        <v>291</v>
      </c>
      <c r="C12044">
        <v>203</v>
      </c>
      <c r="D12044" t="s">
        <v>119</v>
      </c>
      <c r="E12044" t="s">
        <v>596</v>
      </c>
      <c r="F12044" t="s">
        <v>120</v>
      </c>
      <c r="G12044" t="s">
        <v>214</v>
      </c>
      <c r="H12044" t="s">
        <v>105</v>
      </c>
      <c r="I12044" t="s">
        <v>103</v>
      </c>
    </row>
    <row r="12045" spans="1:9" x14ac:dyDescent="0.3">
      <c r="A12045" t="s">
        <v>29</v>
      </c>
      <c r="B12045" t="s">
        <v>292</v>
      </c>
      <c r="C12045">
        <v>325</v>
      </c>
      <c r="D12045" t="s">
        <v>570</v>
      </c>
      <c r="E12045" t="s">
        <v>608</v>
      </c>
      <c r="F12045" t="s">
        <v>208</v>
      </c>
      <c r="G12045" t="s">
        <v>272</v>
      </c>
      <c r="H12045" t="s">
        <v>532</v>
      </c>
      <c r="I12045" t="s">
        <v>345</v>
      </c>
    </row>
    <row r="12046" spans="1:9" x14ac:dyDescent="0.3">
      <c r="A12046" t="s">
        <v>28</v>
      </c>
      <c r="B12046" t="s">
        <v>291</v>
      </c>
      <c r="C12046">
        <v>114</v>
      </c>
      <c r="D12046" t="s">
        <v>452</v>
      </c>
      <c r="E12046" t="s">
        <v>834</v>
      </c>
      <c r="F12046" t="s">
        <v>146</v>
      </c>
      <c r="G12046" t="s">
        <v>224</v>
      </c>
      <c r="H12046" t="s">
        <v>118</v>
      </c>
      <c r="I12046" t="s">
        <v>95</v>
      </c>
    </row>
    <row r="12047" spans="1:9" x14ac:dyDescent="0.3">
      <c r="A12047" t="s">
        <v>28</v>
      </c>
      <c r="B12047" t="s">
        <v>292</v>
      </c>
      <c r="C12047">
        <v>191</v>
      </c>
      <c r="D12047" t="s">
        <v>195</v>
      </c>
      <c r="E12047" t="s">
        <v>243</v>
      </c>
      <c r="F12047" t="s">
        <v>108</v>
      </c>
      <c r="G12047" t="s">
        <v>468</v>
      </c>
      <c r="H12047" t="s">
        <v>452</v>
      </c>
      <c r="I12047" t="s">
        <v>139</v>
      </c>
    </row>
    <row r="12048" spans="1:9" x14ac:dyDescent="0.3">
      <c r="A12048" t="s">
        <v>28</v>
      </c>
      <c r="B12048" t="s">
        <v>308</v>
      </c>
      <c r="C12048">
        <v>12</v>
      </c>
      <c r="D12048" t="s">
        <v>70</v>
      </c>
      <c r="E12048" t="s">
        <v>158</v>
      </c>
      <c r="F12048" t="s">
        <v>466</v>
      </c>
      <c r="G12048" t="s">
        <v>103</v>
      </c>
      <c r="H12048" t="s">
        <v>103</v>
      </c>
      <c r="I12048" t="s">
        <v>103</v>
      </c>
    </row>
    <row r="12049" spans="1:9" x14ac:dyDescent="0.3">
      <c r="A12049" t="s">
        <v>27</v>
      </c>
      <c r="B12049" t="s">
        <v>291</v>
      </c>
      <c r="C12049">
        <v>95</v>
      </c>
      <c r="D12049" t="s">
        <v>272</v>
      </c>
      <c r="E12049" t="s">
        <v>864</v>
      </c>
      <c r="F12049" t="s">
        <v>652</v>
      </c>
      <c r="G12049" t="s">
        <v>118</v>
      </c>
      <c r="H12049" t="s">
        <v>468</v>
      </c>
      <c r="I12049" t="s">
        <v>103</v>
      </c>
    </row>
    <row r="12050" spans="1:9" x14ac:dyDescent="0.3">
      <c r="A12050" t="s">
        <v>27</v>
      </c>
      <c r="B12050" t="s">
        <v>292</v>
      </c>
      <c r="C12050">
        <v>198</v>
      </c>
      <c r="D12050" t="s">
        <v>282</v>
      </c>
      <c r="E12050" t="s">
        <v>880</v>
      </c>
      <c r="F12050" t="s">
        <v>532</v>
      </c>
      <c r="G12050" t="s">
        <v>95</v>
      </c>
      <c r="H12050" t="s">
        <v>216</v>
      </c>
      <c r="I12050" t="s">
        <v>103</v>
      </c>
    </row>
    <row r="12051" spans="1:9" x14ac:dyDescent="0.3">
      <c r="A12051" t="s">
        <v>27</v>
      </c>
      <c r="B12051" t="s">
        <v>308</v>
      </c>
      <c r="C12051">
        <v>7</v>
      </c>
      <c r="D12051" t="s">
        <v>103</v>
      </c>
      <c r="E12051" t="s">
        <v>192</v>
      </c>
      <c r="F12051" t="s">
        <v>1202</v>
      </c>
      <c r="G12051" t="s">
        <v>103</v>
      </c>
      <c r="H12051" t="s">
        <v>131</v>
      </c>
      <c r="I12051" t="s">
        <v>103</v>
      </c>
    </row>
    <row r="12052" spans="1:9" x14ac:dyDescent="0.3">
      <c r="A12052" t="s">
        <v>41</v>
      </c>
      <c r="B12052" t="s">
        <v>291</v>
      </c>
      <c r="C12052">
        <v>690</v>
      </c>
      <c r="D12052" t="s">
        <v>693</v>
      </c>
      <c r="E12052" t="s">
        <v>994</v>
      </c>
      <c r="F12052" t="s">
        <v>217</v>
      </c>
      <c r="G12052" t="s">
        <v>452</v>
      </c>
      <c r="H12052" t="s">
        <v>133</v>
      </c>
      <c r="I12052" t="s">
        <v>95</v>
      </c>
    </row>
    <row r="12053" spans="1:9" x14ac:dyDescent="0.3">
      <c r="A12053" t="s">
        <v>41</v>
      </c>
      <c r="B12053" t="s">
        <v>292</v>
      </c>
      <c r="C12053">
        <v>1319</v>
      </c>
      <c r="D12053" t="s">
        <v>544</v>
      </c>
      <c r="E12053" t="s">
        <v>758</v>
      </c>
      <c r="F12053" t="s">
        <v>216</v>
      </c>
      <c r="G12053" t="s">
        <v>125</v>
      </c>
      <c r="H12053" t="s">
        <v>60</v>
      </c>
      <c r="I12053" t="s">
        <v>216</v>
      </c>
    </row>
    <row r="12054" spans="1:9" x14ac:dyDescent="0.3">
      <c r="A12054" t="s">
        <v>41</v>
      </c>
      <c r="B12054" t="s">
        <v>308</v>
      </c>
      <c r="C12054">
        <v>26</v>
      </c>
      <c r="D12054" t="s">
        <v>239</v>
      </c>
      <c r="E12054" t="s">
        <v>974</v>
      </c>
      <c r="F12054" t="s">
        <v>99</v>
      </c>
      <c r="G12054" t="s">
        <v>103</v>
      </c>
      <c r="H12054" t="s">
        <v>269</v>
      </c>
      <c r="I12054" t="s">
        <v>103</v>
      </c>
    </row>
    <row r="12056" spans="1:9" x14ac:dyDescent="0.3">
      <c r="A12056" t="s">
        <v>2848</v>
      </c>
    </row>
    <row r="12057" spans="1:9" x14ac:dyDescent="0.3">
      <c r="A12057" t="s">
        <v>36</v>
      </c>
      <c r="B12057" t="s">
        <v>763</v>
      </c>
      <c r="C12057" t="s">
        <v>24</v>
      </c>
      <c r="D12057" t="s">
        <v>1195</v>
      </c>
      <c r="E12057" t="s">
        <v>2843</v>
      </c>
      <c r="F12057" t="s">
        <v>2844</v>
      </c>
      <c r="G12057" t="s">
        <v>2845</v>
      </c>
      <c r="H12057" t="s">
        <v>2846</v>
      </c>
      <c r="I12057" t="s">
        <v>89</v>
      </c>
    </row>
    <row r="12058" spans="1:9" x14ac:dyDescent="0.3">
      <c r="A12058" t="s">
        <v>25</v>
      </c>
      <c r="B12058" t="s">
        <v>764</v>
      </c>
      <c r="C12058">
        <v>31</v>
      </c>
      <c r="D12058" t="s">
        <v>654</v>
      </c>
      <c r="E12058" t="s">
        <v>1063</v>
      </c>
      <c r="F12058" t="s">
        <v>195</v>
      </c>
      <c r="G12058" t="s">
        <v>476</v>
      </c>
      <c r="H12058" t="s">
        <v>515</v>
      </c>
      <c r="I12058" t="s">
        <v>103</v>
      </c>
    </row>
    <row r="12059" spans="1:9" x14ac:dyDescent="0.3">
      <c r="A12059" t="s">
        <v>25</v>
      </c>
      <c r="B12059" t="s">
        <v>765</v>
      </c>
      <c r="C12059">
        <v>280</v>
      </c>
      <c r="D12059" t="s">
        <v>148</v>
      </c>
      <c r="E12059" t="s">
        <v>1141</v>
      </c>
      <c r="F12059" t="s">
        <v>93</v>
      </c>
      <c r="G12059" t="s">
        <v>459</v>
      </c>
      <c r="H12059" t="s">
        <v>275</v>
      </c>
      <c r="I12059" t="s">
        <v>468</v>
      </c>
    </row>
    <row r="12060" spans="1:9" x14ac:dyDescent="0.3">
      <c r="A12060" t="s">
        <v>25</v>
      </c>
      <c r="B12060" t="s">
        <v>767</v>
      </c>
      <c r="C12060">
        <v>103</v>
      </c>
      <c r="D12060" t="s">
        <v>693</v>
      </c>
      <c r="E12060" t="s">
        <v>725</v>
      </c>
      <c r="F12060" t="s">
        <v>118</v>
      </c>
      <c r="G12060" t="s">
        <v>601</v>
      </c>
      <c r="H12060" t="s">
        <v>1226</v>
      </c>
      <c r="I12060" t="s">
        <v>139</v>
      </c>
    </row>
    <row r="12061" spans="1:9" x14ac:dyDescent="0.3">
      <c r="A12061" t="s">
        <v>26</v>
      </c>
      <c r="B12061" t="s">
        <v>764</v>
      </c>
      <c r="C12061">
        <v>58</v>
      </c>
      <c r="D12061" t="s">
        <v>536</v>
      </c>
      <c r="E12061" t="s">
        <v>1357</v>
      </c>
      <c r="F12061" t="s">
        <v>103</v>
      </c>
      <c r="G12061" t="s">
        <v>97</v>
      </c>
      <c r="H12061" t="s">
        <v>494</v>
      </c>
      <c r="I12061" t="s">
        <v>103</v>
      </c>
    </row>
    <row r="12062" spans="1:9" x14ac:dyDescent="0.3">
      <c r="A12062" t="s">
        <v>26</v>
      </c>
      <c r="B12062" t="s">
        <v>765</v>
      </c>
      <c r="C12062">
        <v>277</v>
      </c>
      <c r="D12062" t="s">
        <v>232</v>
      </c>
      <c r="E12062" t="s">
        <v>616</v>
      </c>
      <c r="F12062" t="s">
        <v>66</v>
      </c>
      <c r="G12062" t="s">
        <v>139</v>
      </c>
      <c r="H12062" t="s">
        <v>33</v>
      </c>
      <c r="I12062" t="s">
        <v>113</v>
      </c>
    </row>
    <row r="12063" spans="1:9" x14ac:dyDescent="0.3">
      <c r="A12063" t="s">
        <v>26</v>
      </c>
      <c r="B12063" t="s">
        <v>767</v>
      </c>
      <c r="C12063">
        <v>141</v>
      </c>
      <c r="D12063" t="s">
        <v>70</v>
      </c>
      <c r="E12063" t="s">
        <v>1310</v>
      </c>
      <c r="F12063" t="s">
        <v>139</v>
      </c>
      <c r="G12063" t="s">
        <v>438</v>
      </c>
      <c r="H12063" t="s">
        <v>257</v>
      </c>
      <c r="I12063" t="s">
        <v>105</v>
      </c>
    </row>
    <row r="12064" spans="1:9" s="3" customFormat="1" x14ac:dyDescent="0.3">
      <c r="A12064" s="3" t="s">
        <v>29</v>
      </c>
      <c r="B12064" s="3" t="s">
        <v>764</v>
      </c>
      <c r="C12064" s="3">
        <v>11</v>
      </c>
      <c r="D12064" s="3" t="s">
        <v>103</v>
      </c>
      <c r="E12064" s="3" t="s">
        <v>840</v>
      </c>
      <c r="F12064" s="3" t="s">
        <v>103</v>
      </c>
      <c r="G12064" s="3" t="s">
        <v>103</v>
      </c>
      <c r="H12064" s="3" t="s">
        <v>438</v>
      </c>
      <c r="I12064" s="3" t="s">
        <v>103</v>
      </c>
    </row>
    <row r="12065" spans="1:9" x14ac:dyDescent="0.3">
      <c r="A12065" t="s">
        <v>29</v>
      </c>
      <c r="B12065" t="s">
        <v>765</v>
      </c>
      <c r="C12065">
        <v>363</v>
      </c>
      <c r="D12065" t="s">
        <v>106</v>
      </c>
      <c r="E12065" t="s">
        <v>603</v>
      </c>
      <c r="F12065" t="s">
        <v>216</v>
      </c>
      <c r="G12065" t="s">
        <v>532</v>
      </c>
      <c r="H12065" t="s">
        <v>125</v>
      </c>
      <c r="I12065" t="s">
        <v>139</v>
      </c>
    </row>
    <row r="12066" spans="1:9" x14ac:dyDescent="0.3">
      <c r="A12066" t="s">
        <v>29</v>
      </c>
      <c r="B12066" t="s">
        <v>767</v>
      </c>
      <c r="C12066">
        <v>154</v>
      </c>
      <c r="D12066" t="s">
        <v>150</v>
      </c>
      <c r="E12066" t="s">
        <v>711</v>
      </c>
      <c r="F12066" t="s">
        <v>110</v>
      </c>
      <c r="G12066" t="s">
        <v>118</v>
      </c>
      <c r="H12066" t="s">
        <v>195</v>
      </c>
      <c r="I12066" t="s">
        <v>122</v>
      </c>
    </row>
    <row r="12067" spans="1:9" s="3" customFormat="1" x14ac:dyDescent="0.3">
      <c r="A12067" s="3" t="s">
        <v>28</v>
      </c>
      <c r="B12067" s="3" t="s">
        <v>764</v>
      </c>
      <c r="C12067" s="3">
        <v>20</v>
      </c>
      <c r="D12067" s="3" t="s">
        <v>107</v>
      </c>
      <c r="E12067" s="3" t="s">
        <v>428</v>
      </c>
      <c r="F12067" s="3" t="s">
        <v>875</v>
      </c>
      <c r="G12067" s="3" t="s">
        <v>103</v>
      </c>
      <c r="H12067" s="3" t="s">
        <v>103</v>
      </c>
      <c r="I12067" s="3" t="s">
        <v>103</v>
      </c>
    </row>
    <row r="12068" spans="1:9" x14ac:dyDescent="0.3">
      <c r="A12068" t="s">
        <v>28</v>
      </c>
      <c r="B12068" t="s">
        <v>765</v>
      </c>
      <c r="C12068">
        <v>260</v>
      </c>
      <c r="D12068" t="s">
        <v>201</v>
      </c>
      <c r="E12068" t="s">
        <v>1456</v>
      </c>
      <c r="F12068" t="s">
        <v>531</v>
      </c>
      <c r="G12068" t="s">
        <v>33</v>
      </c>
      <c r="H12068" t="s">
        <v>201</v>
      </c>
      <c r="I12068" t="s">
        <v>98</v>
      </c>
    </row>
    <row r="12069" spans="1:9" x14ac:dyDescent="0.3">
      <c r="A12069" t="s">
        <v>28</v>
      </c>
      <c r="B12069" t="s">
        <v>767</v>
      </c>
      <c r="C12069">
        <v>37</v>
      </c>
      <c r="D12069" t="s">
        <v>272</v>
      </c>
      <c r="E12069" t="s">
        <v>1368</v>
      </c>
      <c r="F12069" t="s">
        <v>1319</v>
      </c>
      <c r="G12069" t="s">
        <v>103</v>
      </c>
      <c r="H12069" t="s">
        <v>242</v>
      </c>
      <c r="I12069" t="s">
        <v>103</v>
      </c>
    </row>
    <row r="12070" spans="1:9" s="3" customFormat="1" x14ac:dyDescent="0.3">
      <c r="A12070" s="3" t="s">
        <v>27</v>
      </c>
      <c r="B12070" s="3" t="s">
        <v>764</v>
      </c>
      <c r="C12070" s="3">
        <v>29</v>
      </c>
      <c r="D12070" s="3" t="s">
        <v>103</v>
      </c>
      <c r="E12070" s="3" t="s">
        <v>837</v>
      </c>
      <c r="F12070" s="3" t="s">
        <v>271</v>
      </c>
      <c r="G12070" s="3" t="s">
        <v>103</v>
      </c>
      <c r="H12070" s="3" t="s">
        <v>103</v>
      </c>
      <c r="I12070" s="3" t="s">
        <v>103</v>
      </c>
    </row>
    <row r="12071" spans="1:9" x14ac:dyDescent="0.3">
      <c r="A12071" t="s">
        <v>27</v>
      </c>
      <c r="B12071" t="s">
        <v>765</v>
      </c>
      <c r="C12071">
        <v>209</v>
      </c>
      <c r="D12071" t="s">
        <v>341</v>
      </c>
      <c r="E12071" t="s">
        <v>837</v>
      </c>
      <c r="F12071" t="s">
        <v>201</v>
      </c>
      <c r="G12071" t="s">
        <v>120</v>
      </c>
      <c r="H12071" t="s">
        <v>329</v>
      </c>
      <c r="I12071" t="s">
        <v>103</v>
      </c>
    </row>
    <row r="12072" spans="1:9" x14ac:dyDescent="0.3">
      <c r="A12072" t="s">
        <v>27</v>
      </c>
      <c r="B12072" t="s">
        <v>767</v>
      </c>
      <c r="C12072">
        <v>62</v>
      </c>
      <c r="D12072" t="s">
        <v>216</v>
      </c>
      <c r="E12072" t="s">
        <v>841</v>
      </c>
      <c r="F12072" t="s">
        <v>111</v>
      </c>
      <c r="G12072" t="s">
        <v>68</v>
      </c>
      <c r="H12072" t="s">
        <v>245</v>
      </c>
      <c r="I12072" t="s">
        <v>103</v>
      </c>
    </row>
    <row r="12073" spans="1:9" x14ac:dyDescent="0.3">
      <c r="A12073" t="s">
        <v>41</v>
      </c>
      <c r="B12073" t="s">
        <v>764</v>
      </c>
      <c r="C12073">
        <v>149</v>
      </c>
      <c r="D12073" t="s">
        <v>517</v>
      </c>
      <c r="E12073" t="s">
        <v>870</v>
      </c>
      <c r="F12073" t="s">
        <v>272</v>
      </c>
      <c r="G12073" t="s">
        <v>32</v>
      </c>
      <c r="H12073" t="s">
        <v>127</v>
      </c>
      <c r="I12073" t="s">
        <v>103</v>
      </c>
    </row>
    <row r="12074" spans="1:9" x14ac:dyDescent="0.3">
      <c r="A12074" t="s">
        <v>41</v>
      </c>
      <c r="B12074" t="s">
        <v>765</v>
      </c>
      <c r="C12074">
        <v>1389</v>
      </c>
      <c r="D12074" t="s">
        <v>157</v>
      </c>
      <c r="E12074" t="s">
        <v>1022</v>
      </c>
      <c r="F12074" t="s">
        <v>105</v>
      </c>
      <c r="G12074" t="s">
        <v>615</v>
      </c>
      <c r="H12074" t="s">
        <v>466</v>
      </c>
      <c r="I12074" t="s">
        <v>216</v>
      </c>
    </row>
    <row r="12075" spans="1:9" x14ac:dyDescent="0.3">
      <c r="A12075" t="s">
        <v>41</v>
      </c>
      <c r="B12075" t="s">
        <v>767</v>
      </c>
      <c r="C12075">
        <v>497</v>
      </c>
      <c r="D12075" t="s">
        <v>459</v>
      </c>
      <c r="E12075" t="s">
        <v>984</v>
      </c>
      <c r="F12075" t="s">
        <v>329</v>
      </c>
      <c r="G12075" t="s">
        <v>188</v>
      </c>
      <c r="H12075" t="s">
        <v>460</v>
      </c>
      <c r="I12075" t="s">
        <v>139</v>
      </c>
    </row>
    <row r="12077" spans="1:9" x14ac:dyDescent="0.3">
      <c r="A12077" t="s">
        <v>2849</v>
      </c>
    </row>
    <row r="12078" spans="1:9" x14ac:dyDescent="0.3">
      <c r="A12078" t="s">
        <v>36</v>
      </c>
      <c r="B12078" t="s">
        <v>1647</v>
      </c>
      <c r="C12078" t="s">
        <v>24</v>
      </c>
      <c r="D12078" t="s">
        <v>1195</v>
      </c>
      <c r="E12078" t="s">
        <v>2843</v>
      </c>
      <c r="F12078" t="s">
        <v>2844</v>
      </c>
      <c r="G12078" t="s">
        <v>2845</v>
      </c>
      <c r="H12078" t="s">
        <v>2846</v>
      </c>
      <c r="I12078" t="s">
        <v>89</v>
      </c>
    </row>
    <row r="12079" spans="1:9" x14ac:dyDescent="0.3">
      <c r="A12079" t="s">
        <v>25</v>
      </c>
      <c r="B12079" t="s">
        <v>1648</v>
      </c>
      <c r="C12079">
        <v>143</v>
      </c>
      <c r="D12079" t="s">
        <v>127</v>
      </c>
      <c r="E12079" t="s">
        <v>897</v>
      </c>
      <c r="F12079" t="s">
        <v>282</v>
      </c>
      <c r="G12079" t="s">
        <v>191</v>
      </c>
      <c r="H12079" t="s">
        <v>48</v>
      </c>
      <c r="I12079" t="s">
        <v>120</v>
      </c>
    </row>
    <row r="12080" spans="1:9" x14ac:dyDescent="0.3">
      <c r="A12080" t="s">
        <v>25</v>
      </c>
      <c r="B12080" t="s">
        <v>1649</v>
      </c>
      <c r="C12080">
        <v>271</v>
      </c>
      <c r="D12080" t="s">
        <v>273</v>
      </c>
      <c r="E12080" t="s">
        <v>1056</v>
      </c>
      <c r="F12080" t="s">
        <v>195</v>
      </c>
      <c r="G12080" t="s">
        <v>136</v>
      </c>
      <c r="H12080" t="s">
        <v>483</v>
      </c>
      <c r="I12080" t="s">
        <v>468</v>
      </c>
    </row>
    <row r="12081" spans="1:9" x14ac:dyDescent="0.3">
      <c r="A12081" t="s">
        <v>26</v>
      </c>
      <c r="B12081" t="s">
        <v>1648</v>
      </c>
      <c r="C12081">
        <v>153</v>
      </c>
      <c r="D12081" t="s">
        <v>190</v>
      </c>
      <c r="E12081" t="s">
        <v>241</v>
      </c>
      <c r="F12081" t="s">
        <v>120</v>
      </c>
      <c r="G12081" t="s">
        <v>102</v>
      </c>
      <c r="H12081" t="s">
        <v>128</v>
      </c>
      <c r="I12081" t="s">
        <v>102</v>
      </c>
    </row>
    <row r="12082" spans="1:9" x14ac:dyDescent="0.3">
      <c r="A12082" t="s">
        <v>26</v>
      </c>
      <c r="B12082" t="s">
        <v>1649</v>
      </c>
      <c r="C12082">
        <v>323</v>
      </c>
      <c r="D12082" t="s">
        <v>94</v>
      </c>
      <c r="E12082" t="s">
        <v>889</v>
      </c>
      <c r="F12082" t="s">
        <v>66</v>
      </c>
      <c r="G12082" t="s">
        <v>97</v>
      </c>
      <c r="H12082" t="s">
        <v>558</v>
      </c>
      <c r="I12082" t="s">
        <v>266</v>
      </c>
    </row>
    <row r="12083" spans="1:9" x14ac:dyDescent="0.3">
      <c r="A12083" t="s">
        <v>29</v>
      </c>
      <c r="B12083" t="s">
        <v>1648</v>
      </c>
      <c r="C12083">
        <v>252</v>
      </c>
      <c r="D12083" t="s">
        <v>516</v>
      </c>
      <c r="E12083" t="s">
        <v>806</v>
      </c>
      <c r="F12083" t="s">
        <v>468</v>
      </c>
      <c r="G12083" t="s">
        <v>214</v>
      </c>
      <c r="H12083" t="s">
        <v>107</v>
      </c>
      <c r="I12083" t="s">
        <v>282</v>
      </c>
    </row>
    <row r="12084" spans="1:9" x14ac:dyDescent="0.3">
      <c r="A12084" t="s">
        <v>29</v>
      </c>
      <c r="B12084" t="s">
        <v>1649</v>
      </c>
      <c r="C12084">
        <v>276</v>
      </c>
      <c r="D12084" t="s">
        <v>495</v>
      </c>
      <c r="E12084" t="s">
        <v>47</v>
      </c>
      <c r="F12084" t="s">
        <v>245</v>
      </c>
      <c r="G12084" t="s">
        <v>270</v>
      </c>
      <c r="H12084" t="s">
        <v>64</v>
      </c>
      <c r="I12084" t="s">
        <v>122</v>
      </c>
    </row>
    <row r="12085" spans="1:9" x14ac:dyDescent="0.3">
      <c r="A12085" t="s">
        <v>28</v>
      </c>
      <c r="B12085" t="s">
        <v>1648</v>
      </c>
      <c r="C12085">
        <v>77</v>
      </c>
      <c r="D12085" t="s">
        <v>217</v>
      </c>
      <c r="E12085" t="s">
        <v>276</v>
      </c>
      <c r="F12085" t="s">
        <v>188</v>
      </c>
      <c r="G12085" t="s">
        <v>32</v>
      </c>
      <c r="H12085" t="s">
        <v>127</v>
      </c>
      <c r="I12085" t="s">
        <v>282</v>
      </c>
    </row>
    <row r="12086" spans="1:9" x14ac:dyDescent="0.3">
      <c r="A12086" t="s">
        <v>28</v>
      </c>
      <c r="B12086" t="s">
        <v>1649</v>
      </c>
      <c r="C12086">
        <v>240</v>
      </c>
      <c r="D12086" t="s">
        <v>214</v>
      </c>
      <c r="E12086" t="s">
        <v>1305</v>
      </c>
      <c r="F12086" t="s">
        <v>652</v>
      </c>
      <c r="G12086" t="s">
        <v>188</v>
      </c>
      <c r="H12086" t="s">
        <v>102</v>
      </c>
      <c r="I12086" t="s">
        <v>120</v>
      </c>
    </row>
    <row r="12087" spans="1:9" x14ac:dyDescent="0.3">
      <c r="A12087" t="s">
        <v>27</v>
      </c>
      <c r="B12087" t="s">
        <v>1648</v>
      </c>
      <c r="C12087">
        <v>64</v>
      </c>
      <c r="D12087" t="s">
        <v>110</v>
      </c>
      <c r="E12087" t="s">
        <v>840</v>
      </c>
      <c r="F12087" t="s">
        <v>494</v>
      </c>
      <c r="G12087" t="s">
        <v>68</v>
      </c>
      <c r="H12087" t="s">
        <v>272</v>
      </c>
      <c r="I12087" t="s">
        <v>103</v>
      </c>
    </row>
    <row r="12088" spans="1:9" x14ac:dyDescent="0.3">
      <c r="A12088" t="s">
        <v>27</v>
      </c>
      <c r="B12088" t="s">
        <v>1649</v>
      </c>
      <c r="C12088">
        <v>236</v>
      </c>
      <c r="D12088" t="s">
        <v>245</v>
      </c>
      <c r="E12088" t="s">
        <v>840</v>
      </c>
      <c r="F12088" t="s">
        <v>607</v>
      </c>
      <c r="G12088" t="s">
        <v>120</v>
      </c>
      <c r="H12088" t="s">
        <v>110</v>
      </c>
      <c r="I12088" t="s">
        <v>103</v>
      </c>
    </row>
    <row r="12089" spans="1:9" x14ac:dyDescent="0.3">
      <c r="A12089" t="s">
        <v>41</v>
      </c>
      <c r="B12089" t="s">
        <v>1648</v>
      </c>
      <c r="C12089">
        <v>689</v>
      </c>
      <c r="D12089" t="s">
        <v>136</v>
      </c>
      <c r="E12089" t="s">
        <v>189</v>
      </c>
      <c r="F12089" t="s">
        <v>194</v>
      </c>
      <c r="G12089" t="s">
        <v>70</v>
      </c>
      <c r="H12089" t="s">
        <v>94</v>
      </c>
      <c r="I12089" t="s">
        <v>110</v>
      </c>
    </row>
    <row r="12090" spans="1:9" x14ac:dyDescent="0.3">
      <c r="A12090" t="s">
        <v>41</v>
      </c>
      <c r="B12090" t="s">
        <v>1649</v>
      </c>
      <c r="C12090">
        <v>1346</v>
      </c>
      <c r="D12090" t="s">
        <v>119</v>
      </c>
      <c r="E12090" t="s">
        <v>276</v>
      </c>
      <c r="F12090" t="s">
        <v>118</v>
      </c>
      <c r="G12090" t="s">
        <v>114</v>
      </c>
      <c r="H12090" t="s">
        <v>190</v>
      </c>
      <c r="I12090" t="s">
        <v>468</v>
      </c>
    </row>
    <row r="12092" spans="1:9" x14ac:dyDescent="0.3">
      <c r="A12092" t="s">
        <v>2850</v>
      </c>
    </row>
    <row r="12093" spans="1:9" x14ac:dyDescent="0.3">
      <c r="A12093" t="s">
        <v>36</v>
      </c>
      <c r="B12093" t="s">
        <v>2756</v>
      </c>
      <c r="C12093" t="s">
        <v>24</v>
      </c>
      <c r="D12093" t="s">
        <v>1195</v>
      </c>
      <c r="E12093" t="s">
        <v>2843</v>
      </c>
      <c r="F12093" t="s">
        <v>2844</v>
      </c>
      <c r="G12093" t="s">
        <v>2845</v>
      </c>
      <c r="H12093" t="s">
        <v>2846</v>
      </c>
      <c r="I12093" t="s">
        <v>89</v>
      </c>
    </row>
    <row r="12094" spans="1:9" s="3" customFormat="1" x14ac:dyDescent="0.3">
      <c r="A12094" s="3" t="s">
        <v>25</v>
      </c>
      <c r="B12094" s="3" t="s">
        <v>2757</v>
      </c>
      <c r="C12094" s="3">
        <v>13</v>
      </c>
      <c r="D12094" s="3" t="s">
        <v>820</v>
      </c>
      <c r="E12094" s="3" t="s">
        <v>1239</v>
      </c>
      <c r="F12094" s="3" t="s">
        <v>103</v>
      </c>
      <c r="G12094" s="3" t="s">
        <v>103</v>
      </c>
      <c r="H12094" s="3" t="s">
        <v>649</v>
      </c>
      <c r="I12094" s="3" t="s">
        <v>103</v>
      </c>
    </row>
    <row r="12095" spans="1:9" x14ac:dyDescent="0.3">
      <c r="A12095" t="s">
        <v>25</v>
      </c>
      <c r="B12095" t="s">
        <v>2758</v>
      </c>
      <c r="C12095">
        <v>136</v>
      </c>
      <c r="D12095" t="s">
        <v>157</v>
      </c>
      <c r="E12095" t="s">
        <v>760</v>
      </c>
      <c r="F12095" t="s">
        <v>282</v>
      </c>
      <c r="G12095" t="s">
        <v>130</v>
      </c>
      <c r="H12095" t="s">
        <v>30</v>
      </c>
      <c r="I12095" t="s">
        <v>103</v>
      </c>
    </row>
    <row r="12096" spans="1:9" x14ac:dyDescent="0.3">
      <c r="A12096" t="s">
        <v>25</v>
      </c>
      <c r="B12096" t="s">
        <v>2759</v>
      </c>
      <c r="C12096">
        <v>135</v>
      </c>
      <c r="D12096" t="s">
        <v>470</v>
      </c>
      <c r="E12096" t="s">
        <v>753</v>
      </c>
      <c r="F12096" t="s">
        <v>216</v>
      </c>
      <c r="G12096" t="s">
        <v>918</v>
      </c>
      <c r="H12096" t="s">
        <v>54</v>
      </c>
      <c r="I12096" t="s">
        <v>257</v>
      </c>
    </row>
    <row r="12097" spans="1:9" x14ac:dyDescent="0.3">
      <c r="A12097" t="s">
        <v>25</v>
      </c>
      <c r="B12097" t="s">
        <v>2760</v>
      </c>
      <c r="C12097">
        <v>122</v>
      </c>
      <c r="D12097" t="s">
        <v>135</v>
      </c>
      <c r="E12097" t="s">
        <v>751</v>
      </c>
      <c r="F12097" t="s">
        <v>195</v>
      </c>
      <c r="G12097" t="s">
        <v>101</v>
      </c>
      <c r="H12097" t="s">
        <v>695</v>
      </c>
      <c r="I12097" t="s">
        <v>95</v>
      </c>
    </row>
    <row r="12098" spans="1:9" x14ac:dyDescent="0.3">
      <c r="A12098" t="s">
        <v>25</v>
      </c>
      <c r="B12098" t="s">
        <v>308</v>
      </c>
      <c r="C12098">
        <v>8</v>
      </c>
      <c r="D12098" t="s">
        <v>103</v>
      </c>
      <c r="E12098" t="s">
        <v>1019</v>
      </c>
      <c r="F12098" t="s">
        <v>660</v>
      </c>
      <c r="G12098" t="s">
        <v>528</v>
      </c>
      <c r="H12098" t="s">
        <v>1023</v>
      </c>
      <c r="I12098" t="s">
        <v>103</v>
      </c>
    </row>
    <row r="12099" spans="1:9" s="3" customFormat="1" x14ac:dyDescent="0.3">
      <c r="A12099" s="3" t="s">
        <v>26</v>
      </c>
      <c r="B12099" s="3" t="s">
        <v>2757</v>
      </c>
      <c r="C12099" s="3">
        <v>17</v>
      </c>
      <c r="D12099" s="3" t="s">
        <v>504</v>
      </c>
      <c r="E12099" s="3" t="s">
        <v>794</v>
      </c>
      <c r="F12099" s="3" t="s">
        <v>103</v>
      </c>
      <c r="G12099" s="3" t="s">
        <v>103</v>
      </c>
      <c r="H12099" s="3" t="s">
        <v>281</v>
      </c>
      <c r="I12099" s="3" t="s">
        <v>140</v>
      </c>
    </row>
    <row r="12100" spans="1:9" x14ac:dyDescent="0.3">
      <c r="A12100" t="s">
        <v>26</v>
      </c>
      <c r="B12100" t="s">
        <v>2758</v>
      </c>
      <c r="C12100">
        <v>193</v>
      </c>
      <c r="D12100" t="s">
        <v>140</v>
      </c>
      <c r="E12100" t="s">
        <v>616</v>
      </c>
      <c r="F12100" t="s">
        <v>97</v>
      </c>
      <c r="G12100" t="s">
        <v>64</v>
      </c>
      <c r="H12100" t="s">
        <v>102</v>
      </c>
      <c r="I12100" t="s">
        <v>128</v>
      </c>
    </row>
    <row r="12101" spans="1:9" x14ac:dyDescent="0.3">
      <c r="A12101" t="s">
        <v>26</v>
      </c>
      <c r="B12101" t="s">
        <v>2759</v>
      </c>
      <c r="C12101">
        <v>143</v>
      </c>
      <c r="D12101" t="s">
        <v>32</v>
      </c>
      <c r="E12101" t="s">
        <v>207</v>
      </c>
      <c r="F12101" t="s">
        <v>122</v>
      </c>
      <c r="G12101" t="s">
        <v>66</v>
      </c>
      <c r="H12101" t="s">
        <v>206</v>
      </c>
      <c r="I12101" t="s">
        <v>93</v>
      </c>
    </row>
    <row r="12102" spans="1:9" x14ac:dyDescent="0.3">
      <c r="A12102" t="s">
        <v>26</v>
      </c>
      <c r="B12102" t="s">
        <v>2760</v>
      </c>
      <c r="C12102">
        <v>112</v>
      </c>
      <c r="D12102" t="s">
        <v>452</v>
      </c>
      <c r="E12102" t="s">
        <v>783</v>
      </c>
      <c r="F12102" t="s">
        <v>103</v>
      </c>
      <c r="G12102" t="s">
        <v>345</v>
      </c>
      <c r="H12102" t="s">
        <v>272</v>
      </c>
      <c r="I12102" t="s">
        <v>281</v>
      </c>
    </row>
    <row r="12103" spans="1:9" x14ac:dyDescent="0.3">
      <c r="A12103" t="s">
        <v>26</v>
      </c>
      <c r="B12103" t="s">
        <v>308</v>
      </c>
      <c r="C12103">
        <v>11</v>
      </c>
      <c r="D12103" t="s">
        <v>103</v>
      </c>
      <c r="E12103" t="s">
        <v>1509</v>
      </c>
      <c r="F12103" t="s">
        <v>103</v>
      </c>
      <c r="G12103" t="s">
        <v>103</v>
      </c>
      <c r="H12103" t="s">
        <v>521</v>
      </c>
      <c r="I12103" t="s">
        <v>103</v>
      </c>
    </row>
    <row r="12104" spans="1:9" s="3" customFormat="1" x14ac:dyDescent="0.3">
      <c r="A12104" s="3" t="s">
        <v>29</v>
      </c>
      <c r="B12104" s="3" t="s">
        <v>2757</v>
      </c>
      <c r="C12104" s="3">
        <v>15</v>
      </c>
      <c r="D12104" s="3" t="s">
        <v>1218</v>
      </c>
      <c r="E12104" s="3" t="s">
        <v>931</v>
      </c>
      <c r="F12104" s="3" t="s">
        <v>103</v>
      </c>
      <c r="G12104" s="3" t="s">
        <v>103</v>
      </c>
      <c r="H12104" s="3" t="s">
        <v>103</v>
      </c>
      <c r="I12104" s="3" t="s">
        <v>157</v>
      </c>
    </row>
    <row r="12105" spans="1:9" x14ac:dyDescent="0.3">
      <c r="A12105" t="s">
        <v>29</v>
      </c>
      <c r="B12105" t="s">
        <v>2758</v>
      </c>
      <c r="C12105">
        <v>245</v>
      </c>
      <c r="D12105" t="s">
        <v>566</v>
      </c>
      <c r="E12105" t="s">
        <v>1141</v>
      </c>
      <c r="F12105" t="s">
        <v>110</v>
      </c>
      <c r="G12105" t="s">
        <v>32</v>
      </c>
      <c r="H12105" t="s">
        <v>186</v>
      </c>
      <c r="I12105" t="s">
        <v>116</v>
      </c>
    </row>
    <row r="12106" spans="1:9" x14ac:dyDescent="0.3">
      <c r="A12106" t="s">
        <v>29</v>
      </c>
      <c r="B12106" t="s">
        <v>2759</v>
      </c>
      <c r="C12106">
        <v>138</v>
      </c>
      <c r="D12106" t="s">
        <v>463</v>
      </c>
      <c r="E12106" t="s">
        <v>720</v>
      </c>
      <c r="F12106" t="s">
        <v>110</v>
      </c>
      <c r="G12106" t="s">
        <v>493</v>
      </c>
      <c r="H12106" t="s">
        <v>329</v>
      </c>
      <c r="I12106" t="s">
        <v>139</v>
      </c>
    </row>
    <row r="12107" spans="1:9" x14ac:dyDescent="0.3">
      <c r="A12107" t="s">
        <v>29</v>
      </c>
      <c r="B12107" t="s">
        <v>2760</v>
      </c>
      <c r="C12107">
        <v>121</v>
      </c>
      <c r="D12107" t="s">
        <v>521</v>
      </c>
      <c r="E12107" t="s">
        <v>757</v>
      </c>
      <c r="F12107" t="s">
        <v>208</v>
      </c>
      <c r="G12107" t="s">
        <v>128</v>
      </c>
      <c r="H12107" t="s">
        <v>615</v>
      </c>
      <c r="I12107" t="s">
        <v>103</v>
      </c>
    </row>
    <row r="12108" spans="1:9" x14ac:dyDescent="0.3">
      <c r="A12108" t="s">
        <v>29</v>
      </c>
      <c r="B12108" t="s">
        <v>308</v>
      </c>
      <c r="C12108">
        <v>9</v>
      </c>
      <c r="D12108" t="s">
        <v>519</v>
      </c>
      <c r="E12108" t="s">
        <v>897</v>
      </c>
      <c r="F12108" t="s">
        <v>103</v>
      </c>
      <c r="G12108" t="s">
        <v>103</v>
      </c>
      <c r="H12108" t="s">
        <v>103</v>
      </c>
      <c r="I12108" t="s">
        <v>103</v>
      </c>
    </row>
    <row r="12109" spans="1:9" x14ac:dyDescent="0.3">
      <c r="A12109" t="s">
        <v>28</v>
      </c>
      <c r="B12109" t="s">
        <v>2757</v>
      </c>
      <c r="C12109">
        <v>31</v>
      </c>
      <c r="D12109" t="s">
        <v>103</v>
      </c>
      <c r="E12109" t="s">
        <v>1178</v>
      </c>
      <c r="F12109" t="s">
        <v>103</v>
      </c>
      <c r="G12109" t="s">
        <v>103</v>
      </c>
      <c r="H12109" t="s">
        <v>921</v>
      </c>
      <c r="I12109" t="s">
        <v>103</v>
      </c>
    </row>
    <row r="12110" spans="1:9" x14ac:dyDescent="0.3">
      <c r="A12110" t="s">
        <v>28</v>
      </c>
      <c r="B12110" t="s">
        <v>2758</v>
      </c>
      <c r="C12110">
        <v>100</v>
      </c>
      <c r="D12110" t="s">
        <v>214</v>
      </c>
      <c r="E12110" t="s">
        <v>1138</v>
      </c>
      <c r="F12110" t="s">
        <v>494</v>
      </c>
      <c r="G12110" t="s">
        <v>102</v>
      </c>
      <c r="H12110" t="s">
        <v>112</v>
      </c>
      <c r="I12110" t="s">
        <v>95</v>
      </c>
    </row>
    <row r="12111" spans="1:9" x14ac:dyDescent="0.3">
      <c r="A12111" t="s">
        <v>28</v>
      </c>
      <c r="B12111" t="s">
        <v>2759</v>
      </c>
      <c r="C12111">
        <v>104</v>
      </c>
      <c r="D12111" t="s">
        <v>531</v>
      </c>
      <c r="E12111" t="s">
        <v>769</v>
      </c>
      <c r="F12111" t="s">
        <v>148</v>
      </c>
      <c r="G12111" t="s">
        <v>93</v>
      </c>
      <c r="H12111" t="s">
        <v>97</v>
      </c>
      <c r="I12111" t="s">
        <v>95</v>
      </c>
    </row>
    <row r="12112" spans="1:9" x14ac:dyDescent="0.3">
      <c r="A12112" t="s">
        <v>28</v>
      </c>
      <c r="B12112" t="s">
        <v>2760</v>
      </c>
      <c r="C12112">
        <v>82</v>
      </c>
      <c r="D12112" t="s">
        <v>64</v>
      </c>
      <c r="E12112" t="s">
        <v>806</v>
      </c>
      <c r="F12112" t="s">
        <v>127</v>
      </c>
      <c r="G12112" t="s">
        <v>494</v>
      </c>
      <c r="H12112" t="s">
        <v>208</v>
      </c>
      <c r="I12112" t="s">
        <v>98</v>
      </c>
    </row>
    <row r="12113" spans="1:9" s="3" customFormat="1" x14ac:dyDescent="0.3">
      <c r="A12113" s="3" t="s">
        <v>27</v>
      </c>
      <c r="B12113" s="3" t="s">
        <v>2757</v>
      </c>
      <c r="C12113" s="3">
        <v>2</v>
      </c>
      <c r="D12113" s="3" t="s">
        <v>437</v>
      </c>
      <c r="E12113" s="3" t="s">
        <v>654</v>
      </c>
      <c r="F12113" s="3" t="s">
        <v>103</v>
      </c>
      <c r="G12113" s="3" t="s">
        <v>103</v>
      </c>
      <c r="H12113" s="3" t="s">
        <v>103</v>
      </c>
      <c r="I12113" s="3" t="s">
        <v>103</v>
      </c>
    </row>
    <row r="12114" spans="1:9" x14ac:dyDescent="0.3">
      <c r="A12114" t="s">
        <v>27</v>
      </c>
      <c r="B12114" t="s">
        <v>2758</v>
      </c>
      <c r="C12114">
        <v>86</v>
      </c>
      <c r="D12114" t="s">
        <v>64</v>
      </c>
      <c r="E12114" t="s">
        <v>859</v>
      </c>
      <c r="F12114" t="s">
        <v>247</v>
      </c>
      <c r="G12114" t="s">
        <v>118</v>
      </c>
      <c r="H12114" t="s">
        <v>257</v>
      </c>
      <c r="I12114" t="s">
        <v>103</v>
      </c>
    </row>
    <row r="12115" spans="1:9" x14ac:dyDescent="0.3">
      <c r="A12115" t="s">
        <v>27</v>
      </c>
      <c r="B12115" t="s">
        <v>2759</v>
      </c>
      <c r="C12115">
        <v>82</v>
      </c>
      <c r="D12115" t="s">
        <v>91</v>
      </c>
      <c r="E12115" t="s">
        <v>69</v>
      </c>
      <c r="F12115" t="s">
        <v>100</v>
      </c>
      <c r="G12115" t="s">
        <v>103</v>
      </c>
      <c r="H12115" t="s">
        <v>93</v>
      </c>
      <c r="I12115" t="s">
        <v>103</v>
      </c>
    </row>
    <row r="12116" spans="1:9" x14ac:dyDescent="0.3">
      <c r="A12116" t="s">
        <v>27</v>
      </c>
      <c r="B12116" t="s">
        <v>2760</v>
      </c>
      <c r="C12116">
        <v>128</v>
      </c>
      <c r="D12116" t="s">
        <v>194</v>
      </c>
      <c r="E12116" t="s">
        <v>326</v>
      </c>
      <c r="F12116" t="s">
        <v>214</v>
      </c>
      <c r="G12116" t="s">
        <v>468</v>
      </c>
      <c r="H12116" t="s">
        <v>98</v>
      </c>
      <c r="I12116" t="s">
        <v>103</v>
      </c>
    </row>
    <row r="12117" spans="1:9" x14ac:dyDescent="0.3">
      <c r="A12117" t="s">
        <v>27</v>
      </c>
      <c r="B12117" t="s">
        <v>308</v>
      </c>
      <c r="C12117">
        <v>2</v>
      </c>
      <c r="D12117" t="s">
        <v>103</v>
      </c>
      <c r="E12117" t="s">
        <v>192</v>
      </c>
      <c r="F12117" t="s">
        <v>103</v>
      </c>
      <c r="G12117" t="s">
        <v>103</v>
      </c>
      <c r="H12117" t="s">
        <v>103</v>
      </c>
      <c r="I12117" t="s">
        <v>103</v>
      </c>
    </row>
    <row r="12118" spans="1:9" x14ac:dyDescent="0.3">
      <c r="A12118" t="s">
        <v>41</v>
      </c>
      <c r="B12118" t="s">
        <v>2757</v>
      </c>
      <c r="C12118">
        <v>78</v>
      </c>
      <c r="D12118" t="s">
        <v>556</v>
      </c>
      <c r="E12118" t="s">
        <v>730</v>
      </c>
      <c r="F12118" t="s">
        <v>103</v>
      </c>
      <c r="G12118" t="s">
        <v>103</v>
      </c>
      <c r="H12118" t="s">
        <v>466</v>
      </c>
      <c r="I12118" t="s">
        <v>190</v>
      </c>
    </row>
    <row r="12119" spans="1:9" x14ac:dyDescent="0.3">
      <c r="A12119" t="s">
        <v>41</v>
      </c>
      <c r="B12119" t="s">
        <v>2758</v>
      </c>
      <c r="C12119">
        <v>760</v>
      </c>
      <c r="D12119" t="s">
        <v>517</v>
      </c>
      <c r="E12119" t="s">
        <v>622</v>
      </c>
      <c r="F12119" t="s">
        <v>216</v>
      </c>
      <c r="G12119" t="s">
        <v>133</v>
      </c>
      <c r="H12119" t="s">
        <v>594</v>
      </c>
      <c r="I12119" t="s">
        <v>95</v>
      </c>
    </row>
    <row r="12120" spans="1:9" x14ac:dyDescent="0.3">
      <c r="A12120" t="s">
        <v>41</v>
      </c>
      <c r="B12120" t="s">
        <v>2759</v>
      </c>
      <c r="C12120">
        <v>602</v>
      </c>
      <c r="D12120" t="s">
        <v>459</v>
      </c>
      <c r="E12120" t="s">
        <v>902</v>
      </c>
      <c r="F12120" t="s">
        <v>329</v>
      </c>
      <c r="G12120" t="s">
        <v>201</v>
      </c>
      <c r="H12120" t="s">
        <v>232</v>
      </c>
      <c r="I12120" t="s">
        <v>110</v>
      </c>
    </row>
    <row r="12121" spans="1:9" x14ac:dyDescent="0.3">
      <c r="A12121" t="s">
        <v>41</v>
      </c>
      <c r="B12121" t="s">
        <v>2760</v>
      </c>
      <c r="C12121">
        <v>565</v>
      </c>
      <c r="D12121" t="s">
        <v>117</v>
      </c>
      <c r="E12121" t="s">
        <v>1131</v>
      </c>
      <c r="F12121" t="s">
        <v>128</v>
      </c>
      <c r="G12121" t="s">
        <v>438</v>
      </c>
      <c r="H12121" t="s">
        <v>575</v>
      </c>
      <c r="I12121" t="s">
        <v>110</v>
      </c>
    </row>
    <row r="12122" spans="1:9" x14ac:dyDescent="0.3">
      <c r="A12122" t="s">
        <v>41</v>
      </c>
      <c r="B12122" t="s">
        <v>308</v>
      </c>
      <c r="C12122">
        <v>30</v>
      </c>
      <c r="D12122" t="s">
        <v>531</v>
      </c>
      <c r="E12122" t="s">
        <v>744</v>
      </c>
      <c r="F12122" t="s">
        <v>452</v>
      </c>
      <c r="G12122" t="s">
        <v>125</v>
      </c>
      <c r="H12122" t="s">
        <v>104</v>
      </c>
      <c r="I12122" t="s">
        <v>103</v>
      </c>
    </row>
    <row r="12124" spans="1:9" x14ac:dyDescent="0.3">
      <c r="A12124" t="s">
        <v>2851</v>
      </c>
    </row>
    <row r="12125" spans="1:9" x14ac:dyDescent="0.3">
      <c r="A12125" t="s">
        <v>36</v>
      </c>
      <c r="B12125" t="s">
        <v>310</v>
      </c>
      <c r="C12125" t="s">
        <v>24</v>
      </c>
      <c r="D12125" t="s">
        <v>1195</v>
      </c>
      <c r="E12125" t="s">
        <v>2843</v>
      </c>
      <c r="F12125" t="s">
        <v>2844</v>
      </c>
      <c r="G12125" t="s">
        <v>2845</v>
      </c>
      <c r="H12125" t="s">
        <v>2846</v>
      </c>
      <c r="I12125" t="s">
        <v>89</v>
      </c>
    </row>
    <row r="12126" spans="1:9" x14ac:dyDescent="0.3">
      <c r="A12126" t="s">
        <v>25</v>
      </c>
      <c r="B12126" t="s">
        <v>311</v>
      </c>
      <c r="C12126">
        <v>324</v>
      </c>
      <c r="D12126" t="s">
        <v>544</v>
      </c>
      <c r="E12126" t="s">
        <v>1459</v>
      </c>
      <c r="F12126" t="s">
        <v>468</v>
      </c>
      <c r="G12126" t="s">
        <v>269</v>
      </c>
      <c r="H12126" t="s">
        <v>132</v>
      </c>
      <c r="I12126" t="s">
        <v>194</v>
      </c>
    </row>
    <row r="12127" spans="1:9" x14ac:dyDescent="0.3">
      <c r="A12127" t="s">
        <v>25</v>
      </c>
      <c r="B12127" t="s">
        <v>312</v>
      </c>
      <c r="C12127">
        <v>80</v>
      </c>
      <c r="D12127" t="s">
        <v>46</v>
      </c>
      <c r="E12127" t="s">
        <v>806</v>
      </c>
      <c r="F12127" t="s">
        <v>201</v>
      </c>
      <c r="G12127" t="s">
        <v>737</v>
      </c>
      <c r="H12127" t="s">
        <v>54</v>
      </c>
      <c r="I12127" t="s">
        <v>103</v>
      </c>
    </row>
    <row r="12128" spans="1:9" x14ac:dyDescent="0.3">
      <c r="A12128" t="s">
        <v>25</v>
      </c>
      <c r="B12128" t="s">
        <v>308</v>
      </c>
      <c r="C12128">
        <v>10</v>
      </c>
      <c r="D12128" t="s">
        <v>103</v>
      </c>
      <c r="E12128" t="s">
        <v>193</v>
      </c>
      <c r="F12128" t="s">
        <v>50</v>
      </c>
      <c r="G12128" t="s">
        <v>1198</v>
      </c>
      <c r="H12128" t="s">
        <v>477</v>
      </c>
      <c r="I12128" t="s">
        <v>103</v>
      </c>
    </row>
    <row r="12129" spans="1:9" x14ac:dyDescent="0.3">
      <c r="A12129" t="s">
        <v>26</v>
      </c>
      <c r="B12129" t="s">
        <v>311</v>
      </c>
      <c r="C12129">
        <v>342</v>
      </c>
      <c r="D12129" t="s">
        <v>100</v>
      </c>
      <c r="E12129" t="s">
        <v>153</v>
      </c>
      <c r="F12129" t="s">
        <v>97</v>
      </c>
      <c r="G12129" t="s">
        <v>329</v>
      </c>
      <c r="H12129" t="s">
        <v>68</v>
      </c>
      <c r="I12129" t="s">
        <v>125</v>
      </c>
    </row>
    <row r="12130" spans="1:9" x14ac:dyDescent="0.3">
      <c r="A12130" t="s">
        <v>26</v>
      </c>
      <c r="B12130" t="s">
        <v>312</v>
      </c>
      <c r="C12130">
        <v>96</v>
      </c>
      <c r="D12130" t="s">
        <v>33</v>
      </c>
      <c r="E12130" t="s">
        <v>1355</v>
      </c>
      <c r="F12130" t="s">
        <v>103</v>
      </c>
      <c r="G12130" t="s">
        <v>103</v>
      </c>
      <c r="H12130" t="s">
        <v>113</v>
      </c>
      <c r="I12130" t="s">
        <v>341</v>
      </c>
    </row>
    <row r="12131" spans="1:9" x14ac:dyDescent="0.3">
      <c r="A12131" t="s">
        <v>26</v>
      </c>
      <c r="B12131" t="s">
        <v>308</v>
      </c>
      <c r="C12131">
        <v>38</v>
      </c>
      <c r="D12131" t="s">
        <v>98</v>
      </c>
      <c r="E12131" t="s">
        <v>988</v>
      </c>
      <c r="F12131" t="s">
        <v>103</v>
      </c>
      <c r="G12131" t="s">
        <v>103</v>
      </c>
      <c r="H12131" t="s">
        <v>578</v>
      </c>
      <c r="I12131" t="s">
        <v>103</v>
      </c>
    </row>
    <row r="12132" spans="1:9" x14ac:dyDescent="0.3">
      <c r="A12132" t="s">
        <v>29</v>
      </c>
      <c r="B12132" t="s">
        <v>311</v>
      </c>
      <c r="C12132">
        <v>412</v>
      </c>
      <c r="D12132" t="s">
        <v>488</v>
      </c>
      <c r="E12132" t="s">
        <v>1378</v>
      </c>
      <c r="F12132" t="s">
        <v>105</v>
      </c>
      <c r="G12132" t="s">
        <v>186</v>
      </c>
      <c r="H12132" t="s">
        <v>493</v>
      </c>
      <c r="I12132" t="s">
        <v>98</v>
      </c>
    </row>
    <row r="12133" spans="1:9" x14ac:dyDescent="0.3">
      <c r="A12133" t="s">
        <v>29</v>
      </c>
      <c r="B12133" t="s">
        <v>312</v>
      </c>
      <c r="C12133">
        <v>103</v>
      </c>
      <c r="D12133" t="s">
        <v>142</v>
      </c>
      <c r="E12133" t="s">
        <v>753</v>
      </c>
      <c r="F12133" t="s">
        <v>66</v>
      </c>
      <c r="G12133" t="s">
        <v>266</v>
      </c>
      <c r="H12133" t="s">
        <v>270</v>
      </c>
      <c r="I12133" t="s">
        <v>103</v>
      </c>
    </row>
    <row r="12134" spans="1:9" x14ac:dyDescent="0.3">
      <c r="A12134" t="s">
        <v>29</v>
      </c>
      <c r="B12134" t="s">
        <v>308</v>
      </c>
      <c r="C12134">
        <v>13</v>
      </c>
      <c r="D12134" t="s">
        <v>251</v>
      </c>
      <c r="E12134" t="s">
        <v>991</v>
      </c>
      <c r="F12134" t="s">
        <v>103</v>
      </c>
      <c r="G12134" t="s">
        <v>103</v>
      </c>
      <c r="H12134" t="s">
        <v>103</v>
      </c>
      <c r="I12134" t="s">
        <v>103</v>
      </c>
    </row>
    <row r="12135" spans="1:9" x14ac:dyDescent="0.3">
      <c r="A12135" t="s">
        <v>28</v>
      </c>
      <c r="B12135" t="s">
        <v>311</v>
      </c>
      <c r="C12135">
        <v>223</v>
      </c>
      <c r="D12135" t="s">
        <v>467</v>
      </c>
      <c r="E12135" t="s">
        <v>753</v>
      </c>
      <c r="F12135" t="s">
        <v>123</v>
      </c>
      <c r="G12135" t="s">
        <v>532</v>
      </c>
      <c r="H12135" t="s">
        <v>102</v>
      </c>
      <c r="I12135" t="s">
        <v>95</v>
      </c>
    </row>
    <row r="12136" spans="1:9" x14ac:dyDescent="0.3">
      <c r="A12136" t="s">
        <v>28</v>
      </c>
      <c r="B12136" t="s">
        <v>312</v>
      </c>
      <c r="C12136">
        <v>93</v>
      </c>
      <c r="D12136" t="s">
        <v>101</v>
      </c>
      <c r="E12136" t="s">
        <v>1378</v>
      </c>
      <c r="F12136" t="s">
        <v>64</v>
      </c>
      <c r="G12136" t="s">
        <v>217</v>
      </c>
      <c r="H12136" t="s">
        <v>60</v>
      </c>
      <c r="I12136" t="s">
        <v>139</v>
      </c>
    </row>
    <row r="12137" spans="1:9" x14ac:dyDescent="0.3">
      <c r="A12137" t="s">
        <v>28</v>
      </c>
      <c r="B12137" t="s">
        <v>308</v>
      </c>
      <c r="C12137">
        <v>1</v>
      </c>
      <c r="D12137" t="s">
        <v>103</v>
      </c>
      <c r="E12137" t="s">
        <v>192</v>
      </c>
      <c r="F12137" t="s">
        <v>103</v>
      </c>
      <c r="G12137" t="s">
        <v>103</v>
      </c>
      <c r="H12137" t="s">
        <v>103</v>
      </c>
      <c r="I12137" t="s">
        <v>103</v>
      </c>
    </row>
    <row r="12138" spans="1:9" x14ac:dyDescent="0.3">
      <c r="A12138" t="s">
        <v>27</v>
      </c>
      <c r="B12138" t="s">
        <v>311</v>
      </c>
      <c r="C12138">
        <v>237</v>
      </c>
      <c r="D12138" t="s">
        <v>208</v>
      </c>
      <c r="E12138" t="s">
        <v>185</v>
      </c>
      <c r="F12138" t="s">
        <v>100</v>
      </c>
      <c r="G12138" t="s">
        <v>468</v>
      </c>
      <c r="H12138" t="s">
        <v>93</v>
      </c>
      <c r="I12138" t="s">
        <v>103</v>
      </c>
    </row>
    <row r="12139" spans="1:9" x14ac:dyDescent="0.3">
      <c r="A12139" t="s">
        <v>27</v>
      </c>
      <c r="B12139" t="s">
        <v>312</v>
      </c>
      <c r="C12139">
        <v>60</v>
      </c>
      <c r="D12139" t="s">
        <v>103</v>
      </c>
      <c r="E12139" t="s">
        <v>192</v>
      </c>
      <c r="F12139" t="s">
        <v>615</v>
      </c>
      <c r="G12139" t="s">
        <v>282</v>
      </c>
      <c r="H12139" t="s">
        <v>103</v>
      </c>
      <c r="I12139" t="s">
        <v>103</v>
      </c>
    </row>
    <row r="12140" spans="1:9" x14ac:dyDescent="0.3">
      <c r="A12140" t="s">
        <v>27</v>
      </c>
      <c r="B12140" t="s">
        <v>308</v>
      </c>
      <c r="C12140">
        <v>3</v>
      </c>
      <c r="D12140" t="s">
        <v>103</v>
      </c>
      <c r="E12140" t="s">
        <v>192</v>
      </c>
      <c r="F12140" t="s">
        <v>103</v>
      </c>
      <c r="G12140" t="s">
        <v>103</v>
      </c>
      <c r="H12140" t="s">
        <v>103</v>
      </c>
      <c r="I12140" t="s">
        <v>103</v>
      </c>
    </row>
    <row r="12141" spans="1:9" x14ac:dyDescent="0.3">
      <c r="A12141" t="s">
        <v>41</v>
      </c>
      <c r="B12141" t="s">
        <v>311</v>
      </c>
      <c r="C12141">
        <v>1538</v>
      </c>
      <c r="D12141" t="s">
        <v>136</v>
      </c>
      <c r="E12141" t="s">
        <v>2104</v>
      </c>
      <c r="F12141" t="s">
        <v>329</v>
      </c>
      <c r="G12141" t="s">
        <v>32</v>
      </c>
      <c r="H12141" t="s">
        <v>94</v>
      </c>
      <c r="I12141" t="s">
        <v>239</v>
      </c>
    </row>
    <row r="12142" spans="1:9" x14ac:dyDescent="0.3">
      <c r="A12142" t="s">
        <v>41</v>
      </c>
      <c r="B12142" t="s">
        <v>312</v>
      </c>
      <c r="C12142">
        <v>432</v>
      </c>
      <c r="D12142" t="s">
        <v>150</v>
      </c>
      <c r="E12142" t="s">
        <v>189</v>
      </c>
      <c r="F12142" t="s">
        <v>194</v>
      </c>
      <c r="G12142" t="s">
        <v>195</v>
      </c>
      <c r="H12142" t="s">
        <v>558</v>
      </c>
      <c r="I12142" t="s">
        <v>97</v>
      </c>
    </row>
    <row r="12143" spans="1:9" x14ac:dyDescent="0.3">
      <c r="A12143" t="s">
        <v>41</v>
      </c>
      <c r="B12143" t="s">
        <v>308</v>
      </c>
      <c r="C12143">
        <v>65</v>
      </c>
      <c r="D12143" t="s">
        <v>128</v>
      </c>
      <c r="E12143" t="s">
        <v>289</v>
      </c>
      <c r="F12143" t="s">
        <v>195</v>
      </c>
      <c r="G12143" t="s">
        <v>438</v>
      </c>
      <c r="H12143" t="s">
        <v>566</v>
      </c>
      <c r="I12143" t="s">
        <v>103</v>
      </c>
    </row>
    <row r="12145" spans="1:9" x14ac:dyDescent="0.3">
      <c r="A12145" t="s">
        <v>2852</v>
      </c>
    </row>
    <row r="12146" spans="1:9" x14ac:dyDescent="0.3">
      <c r="A12146" t="s">
        <v>36</v>
      </c>
      <c r="B12146" t="s">
        <v>1233</v>
      </c>
      <c r="C12146" t="s">
        <v>24</v>
      </c>
      <c r="D12146" t="s">
        <v>1195</v>
      </c>
      <c r="E12146" t="s">
        <v>2843</v>
      </c>
      <c r="F12146" t="s">
        <v>2844</v>
      </c>
      <c r="G12146" t="s">
        <v>2845</v>
      </c>
      <c r="H12146" t="s">
        <v>2846</v>
      </c>
      <c r="I12146" t="s">
        <v>89</v>
      </c>
    </row>
    <row r="12147" spans="1:9" x14ac:dyDescent="0.3">
      <c r="A12147" t="s">
        <v>25</v>
      </c>
      <c r="B12147" t="s">
        <v>1234</v>
      </c>
      <c r="C12147">
        <v>257</v>
      </c>
      <c r="D12147" t="s">
        <v>652</v>
      </c>
      <c r="E12147" t="s">
        <v>711</v>
      </c>
      <c r="F12147" t="s">
        <v>105</v>
      </c>
      <c r="G12147" t="s">
        <v>104</v>
      </c>
      <c r="H12147" t="s">
        <v>472</v>
      </c>
      <c r="I12147" t="s">
        <v>216</v>
      </c>
    </row>
    <row r="12148" spans="1:9" s="3" customFormat="1" x14ac:dyDescent="0.3">
      <c r="A12148" s="3" t="s">
        <v>25</v>
      </c>
      <c r="B12148" s="3" t="s">
        <v>1235</v>
      </c>
      <c r="C12148" s="3">
        <v>25</v>
      </c>
      <c r="D12148" s="3" t="s">
        <v>224</v>
      </c>
      <c r="E12148" s="3" t="s">
        <v>709</v>
      </c>
      <c r="F12148" s="3" t="s">
        <v>247</v>
      </c>
      <c r="G12148" s="3" t="s">
        <v>524</v>
      </c>
      <c r="H12148" s="3" t="s">
        <v>525</v>
      </c>
      <c r="I12148" s="3" t="s">
        <v>103</v>
      </c>
    </row>
    <row r="12149" spans="1:9" x14ac:dyDescent="0.3">
      <c r="A12149" t="s">
        <v>25</v>
      </c>
      <c r="B12149" t="s">
        <v>1237</v>
      </c>
      <c r="C12149">
        <v>132</v>
      </c>
      <c r="D12149" t="s">
        <v>471</v>
      </c>
      <c r="E12149" t="s">
        <v>227</v>
      </c>
      <c r="F12149" t="s">
        <v>105</v>
      </c>
      <c r="G12149" t="s">
        <v>205</v>
      </c>
      <c r="H12149" t="s">
        <v>473</v>
      </c>
      <c r="I12149" t="s">
        <v>103</v>
      </c>
    </row>
    <row r="12150" spans="1:9" x14ac:dyDescent="0.3">
      <c r="A12150" t="s">
        <v>26</v>
      </c>
      <c r="B12150" t="s">
        <v>1234</v>
      </c>
      <c r="C12150">
        <v>295</v>
      </c>
      <c r="D12150" t="s">
        <v>32</v>
      </c>
      <c r="E12150" t="s">
        <v>184</v>
      </c>
      <c r="F12150" t="s">
        <v>66</v>
      </c>
      <c r="G12150" t="s">
        <v>341</v>
      </c>
      <c r="H12150" t="s">
        <v>32</v>
      </c>
      <c r="I12150" t="s">
        <v>266</v>
      </c>
    </row>
    <row r="12151" spans="1:9" x14ac:dyDescent="0.3">
      <c r="A12151" t="s">
        <v>26</v>
      </c>
      <c r="B12151" t="s">
        <v>1235</v>
      </c>
      <c r="C12151">
        <v>37</v>
      </c>
      <c r="D12151" t="s">
        <v>737</v>
      </c>
      <c r="E12151" t="s">
        <v>984</v>
      </c>
      <c r="F12151" t="s">
        <v>217</v>
      </c>
      <c r="G12151" t="s">
        <v>272</v>
      </c>
      <c r="H12151" t="s">
        <v>103</v>
      </c>
      <c r="I12151" t="s">
        <v>217</v>
      </c>
    </row>
    <row r="12152" spans="1:9" x14ac:dyDescent="0.3">
      <c r="A12152" t="s">
        <v>26</v>
      </c>
      <c r="B12152" t="s">
        <v>1237</v>
      </c>
      <c r="C12152">
        <v>144</v>
      </c>
      <c r="D12152" t="s">
        <v>99</v>
      </c>
      <c r="E12152" t="s">
        <v>172</v>
      </c>
      <c r="F12152" t="s">
        <v>103</v>
      </c>
      <c r="G12152" t="s">
        <v>66</v>
      </c>
      <c r="H12152" t="s">
        <v>70</v>
      </c>
      <c r="I12152" t="s">
        <v>125</v>
      </c>
    </row>
    <row r="12153" spans="1:9" x14ac:dyDescent="0.3">
      <c r="A12153" t="s">
        <v>29</v>
      </c>
      <c r="B12153" t="s">
        <v>1234</v>
      </c>
      <c r="C12153">
        <v>371</v>
      </c>
      <c r="D12153" t="s">
        <v>515</v>
      </c>
      <c r="E12153" t="s">
        <v>886</v>
      </c>
      <c r="F12153" t="s">
        <v>105</v>
      </c>
      <c r="G12153" t="s">
        <v>186</v>
      </c>
      <c r="H12153" t="s">
        <v>493</v>
      </c>
      <c r="I12153" t="s">
        <v>95</v>
      </c>
    </row>
    <row r="12154" spans="1:9" x14ac:dyDescent="0.3">
      <c r="A12154" t="s">
        <v>29</v>
      </c>
      <c r="B12154" t="s">
        <v>1235</v>
      </c>
      <c r="C12154">
        <v>38</v>
      </c>
      <c r="D12154" t="s">
        <v>890</v>
      </c>
      <c r="E12154" t="s">
        <v>771</v>
      </c>
      <c r="F12154" t="s">
        <v>103</v>
      </c>
      <c r="G12154" t="s">
        <v>591</v>
      </c>
      <c r="H12154" t="s">
        <v>97</v>
      </c>
      <c r="I12154" t="s">
        <v>103</v>
      </c>
    </row>
    <row r="12155" spans="1:9" x14ac:dyDescent="0.3">
      <c r="A12155" t="s">
        <v>29</v>
      </c>
      <c r="B12155" t="s">
        <v>1237</v>
      </c>
      <c r="C12155">
        <v>119</v>
      </c>
      <c r="D12155" t="s">
        <v>136</v>
      </c>
      <c r="E12155" t="s">
        <v>276</v>
      </c>
      <c r="F12155" t="s">
        <v>282</v>
      </c>
      <c r="G12155" t="s">
        <v>217</v>
      </c>
      <c r="H12155" t="s">
        <v>188</v>
      </c>
      <c r="I12155" t="s">
        <v>282</v>
      </c>
    </row>
    <row r="12156" spans="1:9" x14ac:dyDescent="0.3">
      <c r="A12156" t="s">
        <v>28</v>
      </c>
      <c r="B12156" t="s">
        <v>1234</v>
      </c>
      <c r="C12156">
        <v>126</v>
      </c>
      <c r="D12156" t="s">
        <v>531</v>
      </c>
      <c r="E12156" t="s">
        <v>252</v>
      </c>
      <c r="F12156" t="s">
        <v>173</v>
      </c>
      <c r="G12156" t="s">
        <v>64</v>
      </c>
      <c r="H12156" t="s">
        <v>68</v>
      </c>
      <c r="I12156" t="s">
        <v>345</v>
      </c>
    </row>
    <row r="12157" spans="1:9" s="3" customFormat="1" x14ac:dyDescent="0.3">
      <c r="A12157" s="3" t="s">
        <v>28</v>
      </c>
      <c r="B12157" s="3" t="s">
        <v>1235</v>
      </c>
      <c r="C12157" s="3">
        <v>17</v>
      </c>
      <c r="D12157" s="3" t="s">
        <v>102</v>
      </c>
      <c r="E12157" s="3" t="s">
        <v>794</v>
      </c>
      <c r="F12157" s="3" t="s">
        <v>186</v>
      </c>
      <c r="G12157" s="3" t="s">
        <v>743</v>
      </c>
      <c r="H12157" s="3" t="s">
        <v>131</v>
      </c>
      <c r="I12157" s="3" t="s">
        <v>103</v>
      </c>
    </row>
    <row r="12158" spans="1:9" x14ac:dyDescent="0.3">
      <c r="A12158" t="s">
        <v>28</v>
      </c>
      <c r="B12158" t="s">
        <v>1237</v>
      </c>
      <c r="C12158">
        <v>174</v>
      </c>
      <c r="D12158" t="s">
        <v>68</v>
      </c>
      <c r="E12158" t="s">
        <v>903</v>
      </c>
      <c r="F12158" t="s">
        <v>278</v>
      </c>
      <c r="G12158" t="s">
        <v>591</v>
      </c>
      <c r="H12158" t="s">
        <v>113</v>
      </c>
      <c r="I12158" t="s">
        <v>97</v>
      </c>
    </row>
    <row r="12159" spans="1:9" x14ac:dyDescent="0.3">
      <c r="A12159" t="s">
        <v>27</v>
      </c>
      <c r="B12159" t="s">
        <v>1234</v>
      </c>
      <c r="C12159">
        <v>149</v>
      </c>
      <c r="D12159" t="s">
        <v>105</v>
      </c>
      <c r="E12159" t="s">
        <v>803</v>
      </c>
      <c r="F12159" t="s">
        <v>452</v>
      </c>
      <c r="G12159" t="s">
        <v>95</v>
      </c>
      <c r="H12159" t="s">
        <v>110</v>
      </c>
      <c r="I12159" t="s">
        <v>103</v>
      </c>
    </row>
    <row r="12160" spans="1:9" s="3" customFormat="1" x14ac:dyDescent="0.3">
      <c r="A12160" s="3" t="s">
        <v>27</v>
      </c>
      <c r="B12160" s="3" t="s">
        <v>1235</v>
      </c>
      <c r="C12160" s="3">
        <v>10</v>
      </c>
      <c r="D12160" s="3" t="s">
        <v>103</v>
      </c>
      <c r="E12160" s="3" t="s">
        <v>192</v>
      </c>
      <c r="F12160" s="3" t="s">
        <v>829</v>
      </c>
      <c r="G12160" s="3" t="s">
        <v>90</v>
      </c>
      <c r="H12160" s="3" t="s">
        <v>103</v>
      </c>
      <c r="I12160" s="3" t="s">
        <v>103</v>
      </c>
    </row>
    <row r="12161" spans="1:9" x14ac:dyDescent="0.3">
      <c r="A12161" t="s">
        <v>27</v>
      </c>
      <c r="B12161" t="s">
        <v>1237</v>
      </c>
      <c r="C12161">
        <v>141</v>
      </c>
      <c r="D12161" t="s">
        <v>239</v>
      </c>
      <c r="E12161" t="s">
        <v>837</v>
      </c>
      <c r="F12161" t="s">
        <v>460</v>
      </c>
      <c r="G12161" t="s">
        <v>282</v>
      </c>
      <c r="H12161" t="s">
        <v>118</v>
      </c>
      <c r="I12161" t="s">
        <v>103</v>
      </c>
    </row>
    <row r="12162" spans="1:9" x14ac:dyDescent="0.3">
      <c r="A12162" t="s">
        <v>41</v>
      </c>
      <c r="B12162" t="s">
        <v>1234</v>
      </c>
      <c r="C12162">
        <v>1198</v>
      </c>
      <c r="D12162" t="s">
        <v>463</v>
      </c>
      <c r="E12162" t="s">
        <v>2104</v>
      </c>
      <c r="F12162" t="s">
        <v>341</v>
      </c>
      <c r="G12162" t="s">
        <v>32</v>
      </c>
      <c r="H12162" t="s">
        <v>140</v>
      </c>
      <c r="I12162" t="s">
        <v>194</v>
      </c>
    </row>
    <row r="12163" spans="1:9" x14ac:dyDescent="0.3">
      <c r="A12163" t="s">
        <v>41</v>
      </c>
      <c r="B12163" t="s">
        <v>1235</v>
      </c>
      <c r="C12163">
        <v>127</v>
      </c>
      <c r="D12163" t="s">
        <v>601</v>
      </c>
      <c r="E12163" t="s">
        <v>172</v>
      </c>
      <c r="F12163" t="s">
        <v>195</v>
      </c>
      <c r="G12163" t="s">
        <v>452</v>
      </c>
      <c r="H12163" t="s">
        <v>214</v>
      </c>
      <c r="I12163" t="s">
        <v>95</v>
      </c>
    </row>
    <row r="12164" spans="1:9" x14ac:dyDescent="0.3">
      <c r="A12164" t="s">
        <v>41</v>
      </c>
      <c r="B12164" t="s">
        <v>1237</v>
      </c>
      <c r="C12164">
        <v>710</v>
      </c>
      <c r="D12164" t="s">
        <v>123</v>
      </c>
      <c r="E12164" t="s">
        <v>725</v>
      </c>
      <c r="F12164" t="s">
        <v>105</v>
      </c>
      <c r="G12164" t="s">
        <v>272</v>
      </c>
      <c r="H12164" t="s">
        <v>101</v>
      </c>
      <c r="I12164" t="s">
        <v>194</v>
      </c>
    </row>
    <row r="12166" spans="1:9" x14ac:dyDescent="0.3">
      <c r="A12166" t="s">
        <v>2853</v>
      </c>
    </row>
    <row r="12167" spans="1:9" x14ac:dyDescent="0.3">
      <c r="A12167" t="s">
        <v>36</v>
      </c>
      <c r="B12167" t="s">
        <v>2764</v>
      </c>
      <c r="C12167" t="s">
        <v>24</v>
      </c>
      <c r="D12167" t="s">
        <v>1195</v>
      </c>
      <c r="E12167" t="s">
        <v>2843</v>
      </c>
      <c r="F12167" t="s">
        <v>2844</v>
      </c>
      <c r="G12167" t="s">
        <v>2845</v>
      </c>
      <c r="H12167" t="s">
        <v>2846</v>
      </c>
      <c r="I12167" t="s">
        <v>89</v>
      </c>
    </row>
    <row r="12168" spans="1:9" s="3" customFormat="1" x14ac:dyDescent="0.3">
      <c r="A12168" s="3" t="s">
        <v>25</v>
      </c>
      <c r="B12168" s="3" t="s">
        <v>2765</v>
      </c>
      <c r="C12168" s="3">
        <v>16</v>
      </c>
      <c r="D12168" s="3" t="s">
        <v>268</v>
      </c>
      <c r="E12168" s="3" t="s">
        <v>720</v>
      </c>
      <c r="F12168" s="3" t="s">
        <v>103</v>
      </c>
      <c r="G12168" s="3" t="s">
        <v>103</v>
      </c>
      <c r="H12168" s="3" t="s">
        <v>525</v>
      </c>
      <c r="I12168" s="3" t="s">
        <v>103</v>
      </c>
    </row>
    <row r="12169" spans="1:9" s="3" customFormat="1" x14ac:dyDescent="0.3">
      <c r="A12169" s="3" t="s">
        <v>25</v>
      </c>
      <c r="B12169" s="3" t="s">
        <v>585</v>
      </c>
      <c r="C12169" s="3">
        <v>5</v>
      </c>
      <c r="D12169" s="3" t="s">
        <v>103</v>
      </c>
      <c r="E12169" s="3" t="s">
        <v>192</v>
      </c>
      <c r="F12169" s="3" t="s">
        <v>103</v>
      </c>
      <c r="G12169" s="3" t="s">
        <v>103</v>
      </c>
      <c r="H12169" s="3" t="s">
        <v>103</v>
      </c>
      <c r="I12169" s="3" t="s">
        <v>103</v>
      </c>
    </row>
    <row r="12170" spans="1:9" s="3" customFormat="1" x14ac:dyDescent="0.3">
      <c r="A12170" s="3" t="s">
        <v>25</v>
      </c>
      <c r="B12170" s="3" t="s">
        <v>586</v>
      </c>
      <c r="C12170" s="3">
        <v>17</v>
      </c>
      <c r="D12170" s="3" t="s">
        <v>131</v>
      </c>
      <c r="E12170" s="3" t="s">
        <v>984</v>
      </c>
      <c r="F12170" s="3" t="s">
        <v>103</v>
      </c>
      <c r="G12170" s="3" t="s">
        <v>488</v>
      </c>
      <c r="H12170" s="3" t="s">
        <v>124</v>
      </c>
      <c r="I12170" s="3" t="s">
        <v>103</v>
      </c>
    </row>
    <row r="12171" spans="1:9" s="3" customFormat="1" x14ac:dyDescent="0.3">
      <c r="A12171" s="3" t="s">
        <v>25</v>
      </c>
      <c r="B12171" s="3" t="s">
        <v>587</v>
      </c>
      <c r="C12171" s="3">
        <v>2</v>
      </c>
      <c r="D12171" s="3" t="s">
        <v>1400</v>
      </c>
      <c r="E12171" s="3" t="s">
        <v>250</v>
      </c>
      <c r="F12171" s="3" t="s">
        <v>103</v>
      </c>
      <c r="G12171" s="3" t="s">
        <v>103</v>
      </c>
      <c r="H12171" s="3" t="s">
        <v>103</v>
      </c>
      <c r="I12171" s="3" t="s">
        <v>103</v>
      </c>
    </row>
    <row r="12172" spans="1:9" s="3" customFormat="1" x14ac:dyDescent="0.3">
      <c r="A12172" s="3" t="s">
        <v>25</v>
      </c>
      <c r="B12172" s="3" t="s">
        <v>588</v>
      </c>
      <c r="C12172" s="3">
        <v>20</v>
      </c>
      <c r="D12172" s="3" t="s">
        <v>644</v>
      </c>
      <c r="E12172" s="3" t="s">
        <v>1094</v>
      </c>
      <c r="F12172" s="3" t="s">
        <v>103</v>
      </c>
      <c r="G12172" s="3" t="s">
        <v>601</v>
      </c>
      <c r="H12172" s="3" t="s">
        <v>662</v>
      </c>
      <c r="I12172" s="3" t="s">
        <v>103</v>
      </c>
    </row>
    <row r="12173" spans="1:9" x14ac:dyDescent="0.3">
      <c r="A12173" t="s">
        <v>25</v>
      </c>
      <c r="B12173" t="s">
        <v>2766</v>
      </c>
      <c r="C12173">
        <v>354</v>
      </c>
      <c r="D12173" t="s">
        <v>481</v>
      </c>
      <c r="E12173" t="s">
        <v>330</v>
      </c>
      <c r="F12173" t="s">
        <v>266</v>
      </c>
      <c r="G12173" t="s">
        <v>119</v>
      </c>
      <c r="H12173" t="s">
        <v>548</v>
      </c>
      <c r="I12173" t="s">
        <v>468</v>
      </c>
    </row>
    <row r="12174" spans="1:9" s="3" customFormat="1" x14ac:dyDescent="0.3">
      <c r="A12174" s="3" t="s">
        <v>26</v>
      </c>
      <c r="B12174" s="3" t="s">
        <v>2765</v>
      </c>
      <c r="C12174" s="3">
        <v>26</v>
      </c>
      <c r="D12174" s="3" t="s">
        <v>549</v>
      </c>
      <c r="E12174" s="3" t="s">
        <v>984</v>
      </c>
      <c r="F12174" s="3" t="s">
        <v>103</v>
      </c>
      <c r="G12174" s="3" t="s">
        <v>103</v>
      </c>
      <c r="H12174" s="3" t="s">
        <v>103</v>
      </c>
      <c r="I12174" s="3" t="s">
        <v>112</v>
      </c>
    </row>
    <row r="12175" spans="1:9" s="3" customFormat="1" x14ac:dyDescent="0.3">
      <c r="A12175" s="3" t="s">
        <v>26</v>
      </c>
      <c r="B12175" s="3" t="s">
        <v>586</v>
      </c>
      <c r="C12175" s="3">
        <v>4</v>
      </c>
      <c r="D12175" s="3" t="s">
        <v>103</v>
      </c>
      <c r="E12175" s="3" t="s">
        <v>841</v>
      </c>
      <c r="F12175" s="3" t="s">
        <v>103</v>
      </c>
      <c r="G12175" s="3" t="s">
        <v>52</v>
      </c>
      <c r="H12175" s="3" t="s">
        <v>103</v>
      </c>
      <c r="I12175" s="3" t="s">
        <v>615</v>
      </c>
    </row>
    <row r="12176" spans="1:9" s="3" customFormat="1" x14ac:dyDescent="0.3">
      <c r="A12176" s="3" t="s">
        <v>26</v>
      </c>
      <c r="B12176" s="3" t="s">
        <v>587</v>
      </c>
      <c r="C12176" s="3">
        <v>8</v>
      </c>
      <c r="D12176" s="3" t="s">
        <v>103</v>
      </c>
      <c r="E12176" s="3" t="s">
        <v>902</v>
      </c>
      <c r="F12176" s="3" t="s">
        <v>103</v>
      </c>
      <c r="G12176" s="3" t="s">
        <v>103</v>
      </c>
      <c r="H12176" s="3" t="s">
        <v>103</v>
      </c>
      <c r="I12176" s="3" t="s">
        <v>475</v>
      </c>
    </row>
    <row r="12177" spans="1:9" s="3" customFormat="1" x14ac:dyDescent="0.3">
      <c r="A12177" s="3" t="s">
        <v>26</v>
      </c>
      <c r="B12177" s="3" t="s">
        <v>588</v>
      </c>
      <c r="C12177" s="3">
        <v>4</v>
      </c>
      <c r="D12177" s="3" t="s">
        <v>103</v>
      </c>
      <c r="E12177" s="3" t="s">
        <v>49</v>
      </c>
      <c r="F12177" s="3" t="s">
        <v>103</v>
      </c>
      <c r="G12177" s="3" t="s">
        <v>50</v>
      </c>
      <c r="H12177" s="3" t="s">
        <v>103</v>
      </c>
      <c r="I12177" s="3" t="s">
        <v>103</v>
      </c>
    </row>
    <row r="12178" spans="1:9" x14ac:dyDescent="0.3">
      <c r="A12178" t="s">
        <v>26</v>
      </c>
      <c r="B12178" t="s">
        <v>2766</v>
      </c>
      <c r="C12178">
        <v>434</v>
      </c>
      <c r="D12178" t="s">
        <v>140</v>
      </c>
      <c r="E12178" t="s">
        <v>889</v>
      </c>
      <c r="F12178" t="s">
        <v>122</v>
      </c>
      <c r="G12178" t="s">
        <v>194</v>
      </c>
      <c r="H12178" t="s">
        <v>33</v>
      </c>
      <c r="I12178" t="s">
        <v>217</v>
      </c>
    </row>
    <row r="12179" spans="1:9" s="3" customFormat="1" x14ac:dyDescent="0.3">
      <c r="A12179" s="3" t="s">
        <v>29</v>
      </c>
      <c r="B12179" s="3" t="s">
        <v>2765</v>
      </c>
      <c r="C12179" s="3">
        <v>30</v>
      </c>
      <c r="D12179" s="3" t="s">
        <v>111</v>
      </c>
      <c r="E12179" s="3" t="s">
        <v>630</v>
      </c>
      <c r="F12179" s="3" t="s">
        <v>103</v>
      </c>
      <c r="G12179" s="3" t="s">
        <v>124</v>
      </c>
      <c r="H12179" s="3" t="s">
        <v>103</v>
      </c>
      <c r="I12179" s="3" t="s">
        <v>114</v>
      </c>
    </row>
    <row r="12180" spans="1:9" s="3" customFormat="1" x14ac:dyDescent="0.3">
      <c r="A12180" s="3" t="s">
        <v>29</v>
      </c>
      <c r="B12180" s="3" t="s">
        <v>585</v>
      </c>
      <c r="C12180" s="3">
        <v>6</v>
      </c>
      <c r="D12180" s="3" t="s">
        <v>565</v>
      </c>
      <c r="E12180" s="3" t="s">
        <v>1063</v>
      </c>
      <c r="F12180" s="3" t="s">
        <v>526</v>
      </c>
      <c r="G12180" s="3" t="s">
        <v>103</v>
      </c>
      <c r="H12180" s="3" t="s">
        <v>103</v>
      </c>
      <c r="I12180" s="3" t="s">
        <v>103</v>
      </c>
    </row>
    <row r="12181" spans="1:9" s="3" customFormat="1" x14ac:dyDescent="0.3">
      <c r="A12181" s="3" t="s">
        <v>29</v>
      </c>
      <c r="B12181" s="3" t="s">
        <v>586</v>
      </c>
      <c r="C12181" s="3">
        <v>12</v>
      </c>
      <c r="D12181" s="3" t="s">
        <v>1011</v>
      </c>
      <c r="E12181" s="3" t="s">
        <v>2185</v>
      </c>
      <c r="F12181" s="3" t="s">
        <v>103</v>
      </c>
      <c r="G12181" s="3" t="s">
        <v>103</v>
      </c>
      <c r="H12181" s="3" t="s">
        <v>103</v>
      </c>
      <c r="I12181" s="3" t="s">
        <v>254</v>
      </c>
    </row>
    <row r="12182" spans="1:9" s="3" customFormat="1" x14ac:dyDescent="0.3">
      <c r="A12182" s="3" t="s">
        <v>29</v>
      </c>
      <c r="B12182" s="3" t="s">
        <v>587</v>
      </c>
      <c r="C12182" s="3">
        <v>3</v>
      </c>
      <c r="D12182" s="3" t="s">
        <v>890</v>
      </c>
      <c r="E12182" s="3" t="s">
        <v>889</v>
      </c>
      <c r="F12182" s="3" t="s">
        <v>103</v>
      </c>
      <c r="G12182" s="3" t="s">
        <v>103</v>
      </c>
      <c r="H12182" s="3" t="s">
        <v>103</v>
      </c>
      <c r="I12182" s="3" t="s">
        <v>103</v>
      </c>
    </row>
    <row r="12183" spans="1:9" s="3" customFormat="1" x14ac:dyDescent="0.3">
      <c r="A12183" s="3" t="s">
        <v>29</v>
      </c>
      <c r="B12183" s="3" t="s">
        <v>588</v>
      </c>
      <c r="C12183" s="3">
        <v>15</v>
      </c>
      <c r="D12183" s="3" t="s">
        <v>90</v>
      </c>
      <c r="E12183" s="3" t="s">
        <v>2111</v>
      </c>
      <c r="F12183" s="3" t="s">
        <v>103</v>
      </c>
      <c r="G12183" s="3" t="s">
        <v>488</v>
      </c>
      <c r="H12183" s="3" t="s">
        <v>100</v>
      </c>
      <c r="I12183" s="3" t="s">
        <v>103</v>
      </c>
    </row>
    <row r="12184" spans="1:9" x14ac:dyDescent="0.3">
      <c r="A12184" t="s">
        <v>29</v>
      </c>
      <c r="B12184" t="s">
        <v>2766</v>
      </c>
      <c r="C12184">
        <v>462</v>
      </c>
      <c r="D12184" t="s">
        <v>516</v>
      </c>
      <c r="E12184" t="s">
        <v>878</v>
      </c>
      <c r="F12184" t="s">
        <v>239</v>
      </c>
      <c r="G12184" t="s">
        <v>438</v>
      </c>
      <c r="H12184" t="s">
        <v>493</v>
      </c>
      <c r="I12184" t="s">
        <v>122</v>
      </c>
    </row>
    <row r="12185" spans="1:9" s="3" customFormat="1" x14ac:dyDescent="0.3">
      <c r="A12185" s="3" t="s">
        <v>28</v>
      </c>
      <c r="B12185" s="3" t="s">
        <v>2765</v>
      </c>
      <c r="C12185" s="3">
        <v>6</v>
      </c>
      <c r="D12185" s="3" t="s">
        <v>568</v>
      </c>
      <c r="E12185" s="3" t="s">
        <v>304</v>
      </c>
      <c r="F12185" s="3" t="s">
        <v>173</v>
      </c>
      <c r="G12185" s="3" t="s">
        <v>103</v>
      </c>
      <c r="H12185" s="3" t="s">
        <v>103</v>
      </c>
      <c r="I12185" s="3" t="s">
        <v>103</v>
      </c>
    </row>
    <row r="12186" spans="1:9" s="3" customFormat="1" x14ac:dyDescent="0.3">
      <c r="A12186" s="3" t="s">
        <v>28</v>
      </c>
      <c r="B12186" s="3" t="s">
        <v>585</v>
      </c>
      <c r="C12186" s="3">
        <v>8</v>
      </c>
      <c r="D12186" s="3" t="s">
        <v>103</v>
      </c>
      <c r="E12186" s="3" t="s">
        <v>769</v>
      </c>
      <c r="F12186" s="3" t="s">
        <v>478</v>
      </c>
      <c r="G12186" s="3" t="s">
        <v>103</v>
      </c>
      <c r="H12186" s="3" t="s">
        <v>103</v>
      </c>
      <c r="I12186" s="3" t="s">
        <v>103</v>
      </c>
    </row>
    <row r="12187" spans="1:9" s="3" customFormat="1" x14ac:dyDescent="0.3">
      <c r="A12187" s="3" t="s">
        <v>28</v>
      </c>
      <c r="B12187" s="3" t="s">
        <v>586</v>
      </c>
      <c r="C12187" s="3">
        <v>6</v>
      </c>
      <c r="D12187" s="3" t="s">
        <v>103</v>
      </c>
      <c r="E12187" s="3" t="s">
        <v>192</v>
      </c>
      <c r="F12187" s="3" t="s">
        <v>103</v>
      </c>
      <c r="G12187" s="3" t="s">
        <v>103</v>
      </c>
      <c r="H12187" s="3" t="s">
        <v>103</v>
      </c>
      <c r="I12187" s="3" t="s">
        <v>103</v>
      </c>
    </row>
    <row r="12188" spans="1:9" s="3" customFormat="1" x14ac:dyDescent="0.3">
      <c r="A12188" s="3" t="s">
        <v>28</v>
      </c>
      <c r="B12188" s="3" t="s">
        <v>587</v>
      </c>
      <c r="C12188" s="3">
        <v>11</v>
      </c>
      <c r="D12188" s="3" t="s">
        <v>103</v>
      </c>
      <c r="E12188" s="3" t="s">
        <v>185</v>
      </c>
      <c r="F12188" s="3" t="s">
        <v>186</v>
      </c>
      <c r="G12188" s="3" t="s">
        <v>103</v>
      </c>
      <c r="H12188" s="3" t="s">
        <v>103</v>
      </c>
      <c r="I12188" s="3" t="s">
        <v>103</v>
      </c>
    </row>
    <row r="12189" spans="1:9" x14ac:dyDescent="0.3">
      <c r="A12189" t="s">
        <v>28</v>
      </c>
      <c r="B12189" t="s">
        <v>588</v>
      </c>
      <c r="C12189">
        <v>33</v>
      </c>
      <c r="D12189" t="s">
        <v>217</v>
      </c>
      <c r="E12189" t="s">
        <v>1056</v>
      </c>
      <c r="F12189" t="s">
        <v>119</v>
      </c>
      <c r="G12189" t="s">
        <v>452</v>
      </c>
      <c r="H12189" t="s">
        <v>195</v>
      </c>
      <c r="I12189" t="s">
        <v>103</v>
      </c>
    </row>
    <row r="12190" spans="1:9" x14ac:dyDescent="0.3">
      <c r="A12190" t="s">
        <v>28</v>
      </c>
      <c r="B12190" t="s">
        <v>2766</v>
      </c>
      <c r="C12190">
        <v>253</v>
      </c>
      <c r="D12190" t="s">
        <v>615</v>
      </c>
      <c r="E12190" t="s">
        <v>602</v>
      </c>
      <c r="F12190" t="s">
        <v>737</v>
      </c>
      <c r="G12190" t="s">
        <v>113</v>
      </c>
      <c r="H12190" t="s">
        <v>278</v>
      </c>
      <c r="I12190" t="s">
        <v>98</v>
      </c>
    </row>
    <row r="12191" spans="1:9" x14ac:dyDescent="0.3">
      <c r="A12191" t="s">
        <v>27</v>
      </c>
      <c r="B12191" t="s">
        <v>2765</v>
      </c>
      <c r="C12191">
        <v>92</v>
      </c>
      <c r="D12191" t="s">
        <v>128</v>
      </c>
      <c r="E12191" t="s">
        <v>288</v>
      </c>
      <c r="F12191" t="s">
        <v>152</v>
      </c>
      <c r="G12191" t="s">
        <v>103</v>
      </c>
      <c r="H12191" t="s">
        <v>195</v>
      </c>
      <c r="I12191" t="s">
        <v>103</v>
      </c>
    </row>
    <row r="12192" spans="1:9" s="3" customFormat="1" x14ac:dyDescent="0.3">
      <c r="A12192" s="3" t="s">
        <v>27</v>
      </c>
      <c r="B12192" s="3" t="s">
        <v>585</v>
      </c>
      <c r="C12192" s="3">
        <v>1</v>
      </c>
      <c r="D12192" s="3" t="s">
        <v>103</v>
      </c>
      <c r="E12192" s="3" t="s">
        <v>192</v>
      </c>
      <c r="F12192" s="3" t="s">
        <v>103</v>
      </c>
      <c r="G12192" s="3" t="s">
        <v>103</v>
      </c>
      <c r="H12192" s="3" t="s">
        <v>103</v>
      </c>
      <c r="I12192" s="3" t="s">
        <v>103</v>
      </c>
    </row>
    <row r="12193" spans="1:9" s="3" customFormat="1" x14ac:dyDescent="0.3">
      <c r="A12193" s="3" t="s">
        <v>27</v>
      </c>
      <c r="B12193" s="3" t="s">
        <v>586</v>
      </c>
      <c r="C12193" s="3">
        <v>1</v>
      </c>
      <c r="D12193" s="3" t="s">
        <v>103</v>
      </c>
      <c r="E12193" s="3" t="s">
        <v>192</v>
      </c>
      <c r="F12193" s="3" t="s">
        <v>103</v>
      </c>
      <c r="G12193" s="3" t="s">
        <v>103</v>
      </c>
      <c r="H12193" s="3" t="s">
        <v>103</v>
      </c>
      <c r="I12193" s="3" t="s">
        <v>103</v>
      </c>
    </row>
    <row r="12194" spans="1:9" s="3" customFormat="1" x14ac:dyDescent="0.3">
      <c r="A12194" s="3" t="s">
        <v>27</v>
      </c>
      <c r="B12194" s="3" t="s">
        <v>588</v>
      </c>
      <c r="C12194" s="3">
        <v>3</v>
      </c>
      <c r="D12194" s="3" t="s">
        <v>103</v>
      </c>
      <c r="E12194" s="3" t="s">
        <v>192</v>
      </c>
      <c r="F12194" s="3" t="s">
        <v>103</v>
      </c>
      <c r="G12194" s="3" t="s">
        <v>103</v>
      </c>
      <c r="H12194" s="3" t="s">
        <v>103</v>
      </c>
      <c r="I12194" s="3" t="s">
        <v>103</v>
      </c>
    </row>
    <row r="12195" spans="1:9" x14ac:dyDescent="0.3">
      <c r="A12195" t="s">
        <v>27</v>
      </c>
      <c r="B12195" t="s">
        <v>2766</v>
      </c>
      <c r="C12195">
        <v>203</v>
      </c>
      <c r="D12195" t="s">
        <v>194</v>
      </c>
      <c r="E12195" t="s">
        <v>1481</v>
      </c>
      <c r="F12195" t="s">
        <v>114</v>
      </c>
      <c r="G12195" t="s">
        <v>105</v>
      </c>
      <c r="H12195" t="s">
        <v>468</v>
      </c>
      <c r="I12195" t="s">
        <v>103</v>
      </c>
    </row>
    <row r="12196" spans="1:9" x14ac:dyDescent="0.3">
      <c r="A12196" t="s">
        <v>41</v>
      </c>
      <c r="B12196" t="s">
        <v>2765</v>
      </c>
      <c r="C12196">
        <v>170</v>
      </c>
      <c r="D12196" t="s">
        <v>629</v>
      </c>
      <c r="E12196" t="s">
        <v>165</v>
      </c>
      <c r="F12196" t="s">
        <v>102</v>
      </c>
      <c r="G12196" t="s">
        <v>270</v>
      </c>
      <c r="H12196" t="s">
        <v>114</v>
      </c>
      <c r="I12196" t="s">
        <v>217</v>
      </c>
    </row>
    <row r="12197" spans="1:9" s="3" customFormat="1" x14ac:dyDescent="0.3">
      <c r="A12197" s="3" t="s">
        <v>41</v>
      </c>
      <c r="B12197" s="3" t="s">
        <v>585</v>
      </c>
      <c r="C12197" s="3">
        <v>20</v>
      </c>
      <c r="D12197" s="3" t="s">
        <v>518</v>
      </c>
      <c r="E12197" s="3" t="s">
        <v>1456</v>
      </c>
      <c r="F12197" s="3" t="s">
        <v>470</v>
      </c>
      <c r="G12197" s="3" t="s">
        <v>103</v>
      </c>
      <c r="H12197" s="3" t="s">
        <v>103</v>
      </c>
      <c r="I12197" s="3" t="s">
        <v>103</v>
      </c>
    </row>
    <row r="12198" spans="1:9" x14ac:dyDescent="0.3">
      <c r="A12198" t="s">
        <v>41</v>
      </c>
      <c r="B12198" t="s">
        <v>586</v>
      </c>
      <c r="C12198">
        <v>40</v>
      </c>
      <c r="D12198" t="s">
        <v>526</v>
      </c>
      <c r="E12198" t="s">
        <v>1393</v>
      </c>
      <c r="F12198" t="s">
        <v>103</v>
      </c>
      <c r="G12198" t="s">
        <v>262</v>
      </c>
      <c r="H12198" t="s">
        <v>64</v>
      </c>
      <c r="I12198" t="s">
        <v>107</v>
      </c>
    </row>
    <row r="12199" spans="1:9" s="3" customFormat="1" x14ac:dyDescent="0.3">
      <c r="A12199" s="3" t="s">
        <v>41</v>
      </c>
      <c r="B12199" s="3" t="s">
        <v>587</v>
      </c>
      <c r="C12199" s="3">
        <v>24</v>
      </c>
      <c r="D12199" s="3" t="s">
        <v>137</v>
      </c>
      <c r="E12199" s="3" t="s">
        <v>243</v>
      </c>
      <c r="F12199" s="3" t="s">
        <v>282</v>
      </c>
      <c r="G12199" s="3" t="s">
        <v>103</v>
      </c>
      <c r="H12199" s="3" t="s">
        <v>103</v>
      </c>
      <c r="I12199" s="3" t="s">
        <v>607</v>
      </c>
    </row>
    <row r="12200" spans="1:9" x14ac:dyDescent="0.3">
      <c r="A12200" t="s">
        <v>41</v>
      </c>
      <c r="B12200" t="s">
        <v>588</v>
      </c>
      <c r="C12200">
        <v>75</v>
      </c>
      <c r="D12200" t="s">
        <v>743</v>
      </c>
      <c r="E12200" t="s">
        <v>808</v>
      </c>
      <c r="F12200" t="s">
        <v>216</v>
      </c>
      <c r="G12200" t="s">
        <v>517</v>
      </c>
      <c r="H12200" t="s">
        <v>558</v>
      </c>
      <c r="I12200" t="s">
        <v>103</v>
      </c>
    </row>
    <row r="12201" spans="1:9" x14ac:dyDescent="0.3">
      <c r="A12201" t="s">
        <v>41</v>
      </c>
      <c r="B12201" t="s">
        <v>2766</v>
      </c>
      <c r="C12201">
        <v>1706</v>
      </c>
      <c r="D12201" t="s">
        <v>136</v>
      </c>
      <c r="E12201" t="s">
        <v>1371</v>
      </c>
      <c r="F12201" t="s">
        <v>105</v>
      </c>
      <c r="G12201" t="s">
        <v>113</v>
      </c>
      <c r="H12201" t="s">
        <v>101</v>
      </c>
      <c r="I12201" t="s">
        <v>345</v>
      </c>
    </row>
    <row r="12203" spans="1:9" x14ac:dyDescent="0.3">
      <c r="A12203" t="s">
        <v>2854</v>
      </c>
    </row>
    <row r="12204" spans="1:9" x14ac:dyDescent="0.3">
      <c r="A12204" t="s">
        <v>36</v>
      </c>
      <c r="B12204" t="s">
        <v>2768</v>
      </c>
      <c r="C12204" t="s">
        <v>24</v>
      </c>
      <c r="D12204" t="s">
        <v>1195</v>
      </c>
      <c r="E12204" t="s">
        <v>2843</v>
      </c>
      <c r="F12204" t="s">
        <v>2844</v>
      </c>
      <c r="G12204" t="s">
        <v>2845</v>
      </c>
      <c r="H12204" t="s">
        <v>2846</v>
      </c>
      <c r="I12204" t="s">
        <v>89</v>
      </c>
    </row>
    <row r="12205" spans="1:9" s="3" customFormat="1" x14ac:dyDescent="0.3">
      <c r="A12205" s="3" t="s">
        <v>25</v>
      </c>
      <c r="B12205" s="3" t="s">
        <v>638</v>
      </c>
      <c r="C12205" s="3">
        <v>5</v>
      </c>
      <c r="D12205" s="3" t="s">
        <v>103</v>
      </c>
      <c r="E12205" s="3" t="s">
        <v>192</v>
      </c>
      <c r="F12205" s="3" t="s">
        <v>103</v>
      </c>
      <c r="G12205" s="3" t="s">
        <v>103</v>
      </c>
      <c r="H12205" s="3" t="s">
        <v>103</v>
      </c>
      <c r="I12205" s="3" t="s">
        <v>103</v>
      </c>
    </row>
    <row r="12206" spans="1:9" s="3" customFormat="1" x14ac:dyDescent="0.3">
      <c r="A12206" s="3" t="s">
        <v>25</v>
      </c>
      <c r="B12206" s="3" t="s">
        <v>639</v>
      </c>
      <c r="C12206" s="3">
        <v>13</v>
      </c>
      <c r="D12206" s="3" t="s">
        <v>568</v>
      </c>
      <c r="E12206" s="3" t="s">
        <v>1283</v>
      </c>
      <c r="F12206" s="3" t="s">
        <v>103</v>
      </c>
      <c r="G12206" s="3" t="s">
        <v>271</v>
      </c>
      <c r="H12206" s="3" t="s">
        <v>737</v>
      </c>
      <c r="I12206" s="3" t="s">
        <v>103</v>
      </c>
    </row>
    <row r="12207" spans="1:9" s="3" customFormat="1" x14ac:dyDescent="0.3">
      <c r="A12207" s="3" t="s">
        <v>25</v>
      </c>
      <c r="B12207" s="3" t="s">
        <v>640</v>
      </c>
      <c r="C12207" s="3">
        <v>11</v>
      </c>
      <c r="D12207" s="3" t="s">
        <v>579</v>
      </c>
      <c r="E12207" s="3" t="s">
        <v>1135</v>
      </c>
      <c r="F12207" s="3" t="s">
        <v>103</v>
      </c>
      <c r="G12207" s="3" t="s">
        <v>789</v>
      </c>
      <c r="H12207" s="3" t="s">
        <v>117</v>
      </c>
      <c r="I12207" s="3" t="s">
        <v>103</v>
      </c>
    </row>
    <row r="12208" spans="1:9" s="3" customFormat="1" x14ac:dyDescent="0.3">
      <c r="A12208" s="3" t="s">
        <v>25</v>
      </c>
      <c r="B12208" s="3" t="s">
        <v>2765</v>
      </c>
      <c r="C12208" s="3">
        <v>2</v>
      </c>
      <c r="D12208" s="3" t="s">
        <v>695</v>
      </c>
      <c r="E12208" s="3" t="s">
        <v>761</v>
      </c>
      <c r="F12208" s="3" t="s">
        <v>103</v>
      </c>
      <c r="G12208" s="3" t="s">
        <v>103</v>
      </c>
      <c r="H12208" s="3" t="s">
        <v>103</v>
      </c>
      <c r="I12208" s="3" t="s">
        <v>103</v>
      </c>
    </row>
    <row r="12209" spans="1:9" s="3" customFormat="1" x14ac:dyDescent="0.3">
      <c r="A12209" s="3" t="s">
        <v>25</v>
      </c>
      <c r="B12209" s="3" t="s">
        <v>641</v>
      </c>
      <c r="C12209" s="3">
        <v>8</v>
      </c>
      <c r="D12209" s="3" t="s">
        <v>142</v>
      </c>
      <c r="E12209" s="3" t="s">
        <v>143</v>
      </c>
      <c r="F12209" s="3" t="s">
        <v>103</v>
      </c>
      <c r="G12209" s="3" t="s">
        <v>103</v>
      </c>
      <c r="H12209" s="3" t="s">
        <v>103</v>
      </c>
      <c r="I12209" s="3" t="s">
        <v>103</v>
      </c>
    </row>
    <row r="12210" spans="1:9" s="3" customFormat="1" x14ac:dyDescent="0.3">
      <c r="A12210" s="3" t="s">
        <v>25</v>
      </c>
      <c r="B12210" s="3" t="s">
        <v>2769</v>
      </c>
      <c r="C12210" s="3">
        <v>5</v>
      </c>
      <c r="D12210" s="3" t="s">
        <v>1050</v>
      </c>
      <c r="E12210" s="3" t="s">
        <v>831</v>
      </c>
      <c r="F12210" s="3" t="s">
        <v>103</v>
      </c>
      <c r="G12210" s="3" t="s">
        <v>103</v>
      </c>
      <c r="H12210" s="3" t="s">
        <v>103</v>
      </c>
      <c r="I12210" s="3" t="s">
        <v>103</v>
      </c>
    </row>
    <row r="12211" spans="1:9" x14ac:dyDescent="0.3">
      <c r="A12211" t="s">
        <v>25</v>
      </c>
      <c r="B12211" t="s">
        <v>308</v>
      </c>
      <c r="C12211">
        <v>370</v>
      </c>
      <c r="D12211" t="s">
        <v>244</v>
      </c>
      <c r="E12211" t="s">
        <v>330</v>
      </c>
      <c r="F12211" t="s">
        <v>257</v>
      </c>
      <c r="G12211" t="s">
        <v>269</v>
      </c>
      <c r="H12211" t="s">
        <v>727</v>
      </c>
      <c r="I12211" t="s">
        <v>345</v>
      </c>
    </row>
    <row r="12212" spans="1:9" s="3" customFormat="1" x14ac:dyDescent="0.3">
      <c r="A12212" s="3" t="s">
        <v>26</v>
      </c>
      <c r="B12212" s="3" t="s">
        <v>639</v>
      </c>
      <c r="C12212" s="3">
        <v>7</v>
      </c>
      <c r="D12212" s="3" t="s">
        <v>103</v>
      </c>
      <c r="E12212" s="3" t="s">
        <v>1063</v>
      </c>
      <c r="F12212" s="3" t="s">
        <v>103</v>
      </c>
      <c r="G12212" s="3" t="s">
        <v>571</v>
      </c>
      <c r="H12212" s="3" t="s">
        <v>103</v>
      </c>
      <c r="I12212" s="3" t="s">
        <v>578</v>
      </c>
    </row>
    <row r="12213" spans="1:9" s="3" customFormat="1" x14ac:dyDescent="0.3">
      <c r="A12213" s="3" t="s">
        <v>26</v>
      </c>
      <c r="B12213" s="3" t="s">
        <v>640</v>
      </c>
      <c r="C12213" s="3">
        <v>2</v>
      </c>
      <c r="D12213" s="3" t="s">
        <v>103</v>
      </c>
      <c r="E12213" s="3" t="s">
        <v>192</v>
      </c>
      <c r="F12213" s="3" t="s">
        <v>103</v>
      </c>
      <c r="G12213" s="3" t="s">
        <v>1426</v>
      </c>
      <c r="H12213" s="3" t="s">
        <v>103</v>
      </c>
      <c r="I12213" s="3" t="s">
        <v>103</v>
      </c>
    </row>
    <row r="12214" spans="1:9" s="3" customFormat="1" x14ac:dyDescent="0.3">
      <c r="A12214" s="3" t="s">
        <v>26</v>
      </c>
      <c r="B12214" s="3" t="s">
        <v>641</v>
      </c>
      <c r="C12214" s="3">
        <v>5</v>
      </c>
      <c r="D12214" s="3" t="s">
        <v>103</v>
      </c>
      <c r="E12214" s="3" t="s">
        <v>200</v>
      </c>
      <c r="F12214" s="3" t="s">
        <v>103</v>
      </c>
      <c r="G12214" s="3" t="s">
        <v>103</v>
      </c>
      <c r="H12214" s="3" t="s">
        <v>103</v>
      </c>
      <c r="I12214" s="3" t="s">
        <v>201</v>
      </c>
    </row>
    <row r="12215" spans="1:9" s="3" customFormat="1" x14ac:dyDescent="0.3">
      <c r="A12215" s="3" t="s">
        <v>26</v>
      </c>
      <c r="B12215" s="3" t="s">
        <v>2769</v>
      </c>
      <c r="C12215" s="3">
        <v>2</v>
      </c>
      <c r="D12215" s="3" t="s">
        <v>103</v>
      </c>
      <c r="E12215" s="3" t="s">
        <v>192</v>
      </c>
      <c r="F12215" s="3" t="s">
        <v>103</v>
      </c>
      <c r="G12215" s="3" t="s">
        <v>103</v>
      </c>
      <c r="H12215" s="3" t="s">
        <v>103</v>
      </c>
      <c r="I12215" s="3" t="s">
        <v>103</v>
      </c>
    </row>
    <row r="12216" spans="1:9" x14ac:dyDescent="0.3">
      <c r="A12216" t="s">
        <v>26</v>
      </c>
      <c r="B12216" t="s">
        <v>308</v>
      </c>
      <c r="C12216">
        <v>460</v>
      </c>
      <c r="D12216" t="s">
        <v>190</v>
      </c>
      <c r="E12216" t="s">
        <v>170</v>
      </c>
      <c r="F12216" t="s">
        <v>116</v>
      </c>
      <c r="G12216" t="s">
        <v>468</v>
      </c>
      <c r="H12216" t="s">
        <v>615</v>
      </c>
      <c r="I12216" t="s">
        <v>64</v>
      </c>
    </row>
    <row r="12217" spans="1:9" s="3" customFormat="1" x14ac:dyDescent="0.3">
      <c r="A12217" s="3" t="s">
        <v>29</v>
      </c>
      <c r="B12217" s="3" t="s">
        <v>638</v>
      </c>
      <c r="C12217" s="3">
        <v>5</v>
      </c>
      <c r="D12217" s="3" t="s">
        <v>513</v>
      </c>
      <c r="E12217" s="3" t="s">
        <v>1240</v>
      </c>
      <c r="F12217" s="3" t="s">
        <v>920</v>
      </c>
      <c r="G12217" s="3" t="s">
        <v>103</v>
      </c>
      <c r="H12217" s="3" t="s">
        <v>103</v>
      </c>
      <c r="I12217" s="3" t="s">
        <v>103</v>
      </c>
    </row>
    <row r="12218" spans="1:9" s="3" customFormat="1" x14ac:dyDescent="0.3">
      <c r="A12218" s="3" t="s">
        <v>29</v>
      </c>
      <c r="B12218" s="3" t="s">
        <v>639</v>
      </c>
      <c r="C12218" s="3">
        <v>4</v>
      </c>
      <c r="D12218" s="3" t="s">
        <v>797</v>
      </c>
      <c r="E12218" s="3" t="s">
        <v>685</v>
      </c>
      <c r="F12218" s="3" t="s">
        <v>103</v>
      </c>
      <c r="G12218" s="3" t="s">
        <v>683</v>
      </c>
      <c r="H12218" s="3" t="s">
        <v>103</v>
      </c>
      <c r="I12218" s="3" t="s">
        <v>103</v>
      </c>
    </row>
    <row r="12219" spans="1:9" s="3" customFormat="1" x14ac:dyDescent="0.3">
      <c r="A12219" s="3" t="s">
        <v>29</v>
      </c>
      <c r="B12219" s="3" t="s">
        <v>640</v>
      </c>
      <c r="C12219" s="3">
        <v>10</v>
      </c>
      <c r="D12219" s="3" t="s">
        <v>245</v>
      </c>
      <c r="E12219" s="3" t="s">
        <v>828</v>
      </c>
      <c r="F12219" s="3" t="s">
        <v>103</v>
      </c>
      <c r="G12219" s="3" t="s">
        <v>103</v>
      </c>
      <c r="H12219" s="3" t="s">
        <v>103</v>
      </c>
      <c r="I12219" s="3" t="s">
        <v>108</v>
      </c>
    </row>
    <row r="12220" spans="1:9" s="3" customFormat="1" x14ac:dyDescent="0.3">
      <c r="A12220" s="3" t="s">
        <v>29</v>
      </c>
      <c r="B12220" s="3" t="s">
        <v>2765</v>
      </c>
      <c r="C12220" s="3">
        <v>8</v>
      </c>
      <c r="D12220" s="3" t="s">
        <v>476</v>
      </c>
      <c r="E12220" s="3" t="s">
        <v>628</v>
      </c>
      <c r="F12220" s="3" t="s">
        <v>103</v>
      </c>
      <c r="G12220" s="3" t="s">
        <v>103</v>
      </c>
      <c r="H12220" s="3" t="s">
        <v>681</v>
      </c>
      <c r="I12220" s="3" t="s">
        <v>103</v>
      </c>
    </row>
    <row r="12221" spans="1:9" s="3" customFormat="1" x14ac:dyDescent="0.3">
      <c r="A12221" s="3" t="s">
        <v>29</v>
      </c>
      <c r="B12221" s="3" t="s">
        <v>641</v>
      </c>
      <c r="C12221" s="3">
        <v>7</v>
      </c>
      <c r="D12221" s="3" t="s">
        <v>526</v>
      </c>
      <c r="E12221" s="3" t="s">
        <v>1058</v>
      </c>
      <c r="F12221" s="3" t="s">
        <v>103</v>
      </c>
      <c r="G12221" s="3" t="s">
        <v>819</v>
      </c>
      <c r="H12221" s="3" t="s">
        <v>103</v>
      </c>
      <c r="I12221" s="3" t="s">
        <v>103</v>
      </c>
    </row>
    <row r="12222" spans="1:9" s="3" customFormat="1" x14ac:dyDescent="0.3">
      <c r="A12222" s="3" t="s">
        <v>29</v>
      </c>
      <c r="B12222" s="3" t="s">
        <v>2769</v>
      </c>
      <c r="C12222" s="3">
        <v>2</v>
      </c>
      <c r="D12222" s="3" t="s">
        <v>103</v>
      </c>
      <c r="E12222" s="3" t="s">
        <v>192</v>
      </c>
      <c r="F12222" s="3" t="s">
        <v>103</v>
      </c>
      <c r="G12222" s="3" t="s">
        <v>103</v>
      </c>
      <c r="H12222" s="3" t="s">
        <v>103</v>
      </c>
      <c r="I12222" s="3" t="s">
        <v>103</v>
      </c>
    </row>
    <row r="12223" spans="1:9" x14ac:dyDescent="0.3">
      <c r="A12223" t="s">
        <v>29</v>
      </c>
      <c r="B12223" t="s">
        <v>308</v>
      </c>
      <c r="C12223">
        <v>492</v>
      </c>
      <c r="D12223" t="s">
        <v>131</v>
      </c>
      <c r="E12223" t="s">
        <v>1135</v>
      </c>
      <c r="F12223" t="s">
        <v>110</v>
      </c>
      <c r="G12223" t="s">
        <v>125</v>
      </c>
      <c r="H12223" t="s">
        <v>438</v>
      </c>
      <c r="I12223" t="s">
        <v>120</v>
      </c>
    </row>
    <row r="12224" spans="1:9" s="3" customFormat="1" x14ac:dyDescent="0.3">
      <c r="A12224" s="3" t="s">
        <v>28</v>
      </c>
      <c r="B12224" s="3" t="s">
        <v>638</v>
      </c>
      <c r="C12224" s="3">
        <v>9</v>
      </c>
      <c r="D12224" s="3" t="s">
        <v>103</v>
      </c>
      <c r="E12224" s="3" t="s">
        <v>1381</v>
      </c>
      <c r="F12224" s="3" t="s">
        <v>30</v>
      </c>
      <c r="G12224" s="3" t="s">
        <v>103</v>
      </c>
      <c r="H12224" s="3" t="s">
        <v>103</v>
      </c>
      <c r="I12224" s="3" t="s">
        <v>103</v>
      </c>
    </row>
    <row r="12225" spans="1:9" s="3" customFormat="1" x14ac:dyDescent="0.3">
      <c r="A12225" s="3" t="s">
        <v>28</v>
      </c>
      <c r="B12225" s="3" t="s">
        <v>639</v>
      </c>
      <c r="C12225" s="3">
        <v>17</v>
      </c>
      <c r="D12225" s="3" t="s">
        <v>103</v>
      </c>
      <c r="E12225" s="3" t="s">
        <v>1357</v>
      </c>
      <c r="F12225" s="3" t="s">
        <v>809</v>
      </c>
      <c r="G12225" s="3" t="s">
        <v>103</v>
      </c>
      <c r="H12225" s="3" t="s">
        <v>103</v>
      </c>
      <c r="I12225" s="3" t="s">
        <v>103</v>
      </c>
    </row>
    <row r="12226" spans="1:9" s="3" customFormat="1" x14ac:dyDescent="0.3">
      <c r="A12226" s="3" t="s">
        <v>28</v>
      </c>
      <c r="B12226" s="3" t="s">
        <v>640</v>
      </c>
      <c r="C12226" s="3">
        <v>20</v>
      </c>
      <c r="D12226" s="3" t="s">
        <v>103</v>
      </c>
      <c r="E12226" s="3" t="s">
        <v>163</v>
      </c>
      <c r="F12226" s="3" t="s">
        <v>591</v>
      </c>
      <c r="G12226" s="3" t="s">
        <v>652</v>
      </c>
      <c r="H12226" s="3" t="s">
        <v>284</v>
      </c>
      <c r="I12226" s="3" t="s">
        <v>103</v>
      </c>
    </row>
    <row r="12227" spans="1:9" s="3" customFormat="1" x14ac:dyDescent="0.3">
      <c r="A12227" s="3" t="s">
        <v>28</v>
      </c>
      <c r="B12227" s="3" t="s">
        <v>2765</v>
      </c>
      <c r="C12227" s="3">
        <v>2</v>
      </c>
      <c r="D12227" s="3" t="s">
        <v>103</v>
      </c>
      <c r="E12227" s="3" t="s">
        <v>1252</v>
      </c>
      <c r="F12227" s="3" t="s">
        <v>492</v>
      </c>
      <c r="G12227" s="3" t="s">
        <v>103</v>
      </c>
      <c r="H12227" s="3" t="s">
        <v>103</v>
      </c>
      <c r="I12227" s="3" t="s">
        <v>103</v>
      </c>
    </row>
    <row r="12228" spans="1:9" s="3" customFormat="1" x14ac:dyDescent="0.3">
      <c r="A12228" s="3" t="s">
        <v>28</v>
      </c>
      <c r="B12228" s="3" t="s">
        <v>641</v>
      </c>
      <c r="C12228" s="3">
        <v>7</v>
      </c>
      <c r="D12228" s="3" t="s">
        <v>737</v>
      </c>
      <c r="E12228" s="3" t="s">
        <v>738</v>
      </c>
      <c r="F12228" s="3" t="s">
        <v>103</v>
      </c>
      <c r="G12228" s="3" t="s">
        <v>103</v>
      </c>
      <c r="H12228" s="3" t="s">
        <v>103</v>
      </c>
      <c r="I12228" s="3" t="s">
        <v>103</v>
      </c>
    </row>
    <row r="12229" spans="1:9" s="3" customFormat="1" x14ac:dyDescent="0.3">
      <c r="A12229" s="3" t="s">
        <v>28</v>
      </c>
      <c r="B12229" s="3" t="s">
        <v>2769</v>
      </c>
      <c r="C12229" s="3">
        <v>3</v>
      </c>
      <c r="D12229" s="3" t="s">
        <v>103</v>
      </c>
      <c r="E12229" s="3" t="s">
        <v>192</v>
      </c>
      <c r="F12229" s="3" t="s">
        <v>103</v>
      </c>
      <c r="G12229" s="3" t="s">
        <v>103</v>
      </c>
      <c r="H12229" s="3" t="s">
        <v>103</v>
      </c>
      <c r="I12229" s="3" t="s">
        <v>103</v>
      </c>
    </row>
    <row r="12230" spans="1:9" x14ac:dyDescent="0.3">
      <c r="A12230" t="s">
        <v>28</v>
      </c>
      <c r="B12230" t="s">
        <v>308</v>
      </c>
      <c r="C12230">
        <v>259</v>
      </c>
      <c r="D12230" t="s">
        <v>33</v>
      </c>
      <c r="E12230" t="s">
        <v>204</v>
      </c>
      <c r="F12230" t="s">
        <v>571</v>
      </c>
      <c r="G12230" t="s">
        <v>107</v>
      </c>
      <c r="H12230" t="s">
        <v>284</v>
      </c>
      <c r="I12230" t="s">
        <v>139</v>
      </c>
    </row>
    <row r="12231" spans="1:9" s="3" customFormat="1" x14ac:dyDescent="0.3">
      <c r="A12231" s="3" t="s">
        <v>27</v>
      </c>
      <c r="B12231" s="3" t="s">
        <v>638</v>
      </c>
      <c r="C12231" s="3">
        <v>1</v>
      </c>
      <c r="D12231" s="3" t="s">
        <v>103</v>
      </c>
      <c r="E12231" s="3" t="s">
        <v>192</v>
      </c>
      <c r="F12231" s="3" t="s">
        <v>103</v>
      </c>
      <c r="G12231" s="3" t="s">
        <v>103</v>
      </c>
      <c r="H12231" s="3" t="s">
        <v>103</v>
      </c>
      <c r="I12231" s="3" t="s">
        <v>103</v>
      </c>
    </row>
    <row r="12232" spans="1:9" s="3" customFormat="1" x14ac:dyDescent="0.3">
      <c r="A12232" s="3" t="s">
        <v>27</v>
      </c>
      <c r="B12232" s="3" t="s">
        <v>639</v>
      </c>
      <c r="C12232" s="3">
        <v>1</v>
      </c>
      <c r="D12232" s="3" t="s">
        <v>103</v>
      </c>
      <c r="E12232" s="3" t="s">
        <v>192</v>
      </c>
      <c r="F12232" s="3" t="s">
        <v>103</v>
      </c>
      <c r="G12232" s="3" t="s">
        <v>103</v>
      </c>
      <c r="H12232" s="3" t="s">
        <v>103</v>
      </c>
      <c r="I12232" s="3" t="s">
        <v>103</v>
      </c>
    </row>
    <row r="12233" spans="1:9" s="3" customFormat="1" x14ac:dyDescent="0.3">
      <c r="A12233" s="3" t="s">
        <v>27</v>
      </c>
      <c r="B12233" s="3" t="s">
        <v>640</v>
      </c>
      <c r="C12233" s="3">
        <v>1</v>
      </c>
      <c r="D12233" s="3" t="s">
        <v>103</v>
      </c>
      <c r="E12233" s="3" t="s">
        <v>192</v>
      </c>
      <c r="F12233" s="3" t="s">
        <v>103</v>
      </c>
      <c r="G12233" s="3" t="s">
        <v>103</v>
      </c>
      <c r="H12233" s="3" t="s">
        <v>103</v>
      </c>
      <c r="I12233" s="3" t="s">
        <v>103</v>
      </c>
    </row>
    <row r="12234" spans="1:9" s="3" customFormat="1" x14ac:dyDescent="0.3">
      <c r="A12234" s="3" t="s">
        <v>27</v>
      </c>
      <c r="B12234" s="3" t="s">
        <v>2765</v>
      </c>
      <c r="C12234" s="3">
        <v>1</v>
      </c>
      <c r="D12234" s="3" t="s">
        <v>103</v>
      </c>
      <c r="E12234" s="3" t="s">
        <v>192</v>
      </c>
      <c r="F12234" s="3" t="s">
        <v>103</v>
      </c>
      <c r="G12234" s="3" t="s">
        <v>103</v>
      </c>
      <c r="H12234" s="3" t="s">
        <v>103</v>
      </c>
      <c r="I12234" s="3" t="s">
        <v>103</v>
      </c>
    </row>
    <row r="12235" spans="1:9" s="3" customFormat="1" x14ac:dyDescent="0.3">
      <c r="A12235" s="3" t="s">
        <v>27</v>
      </c>
      <c r="B12235" s="3" t="s">
        <v>641</v>
      </c>
      <c r="C12235" s="3">
        <v>1</v>
      </c>
      <c r="D12235" s="3" t="s">
        <v>103</v>
      </c>
      <c r="E12235" s="3" t="s">
        <v>192</v>
      </c>
      <c r="F12235" s="3" t="s">
        <v>103</v>
      </c>
      <c r="G12235" s="3" t="s">
        <v>103</v>
      </c>
      <c r="H12235" s="3" t="s">
        <v>103</v>
      </c>
      <c r="I12235" s="3" t="s">
        <v>103</v>
      </c>
    </row>
    <row r="12236" spans="1:9" x14ac:dyDescent="0.3">
      <c r="A12236" t="s">
        <v>27</v>
      </c>
      <c r="B12236" t="s">
        <v>308</v>
      </c>
      <c r="C12236">
        <v>295</v>
      </c>
      <c r="D12236" t="s">
        <v>216</v>
      </c>
      <c r="E12236" t="s">
        <v>840</v>
      </c>
      <c r="F12236" t="s">
        <v>101</v>
      </c>
      <c r="G12236" t="s">
        <v>468</v>
      </c>
      <c r="H12236" t="s">
        <v>105</v>
      </c>
      <c r="I12236" t="s">
        <v>103</v>
      </c>
    </row>
    <row r="12237" spans="1:9" s="3" customFormat="1" x14ac:dyDescent="0.3">
      <c r="A12237" s="3" t="s">
        <v>41</v>
      </c>
      <c r="B12237" s="3" t="s">
        <v>638</v>
      </c>
      <c r="C12237" s="3">
        <v>20</v>
      </c>
      <c r="D12237" s="3" t="s">
        <v>732</v>
      </c>
      <c r="E12237" s="3" t="s">
        <v>296</v>
      </c>
      <c r="F12237" s="3" t="s">
        <v>56</v>
      </c>
      <c r="G12237" s="3" t="s">
        <v>103</v>
      </c>
      <c r="H12237" s="3" t="s">
        <v>103</v>
      </c>
      <c r="I12237" s="3" t="s">
        <v>103</v>
      </c>
    </row>
    <row r="12238" spans="1:9" x14ac:dyDescent="0.3">
      <c r="A12238" t="s">
        <v>41</v>
      </c>
      <c r="B12238" t="s">
        <v>639</v>
      </c>
      <c r="C12238">
        <v>42</v>
      </c>
      <c r="D12238" t="s">
        <v>515</v>
      </c>
      <c r="E12238" t="s">
        <v>439</v>
      </c>
      <c r="F12238" t="s">
        <v>118</v>
      </c>
      <c r="G12238" t="s">
        <v>144</v>
      </c>
      <c r="H12238" t="s">
        <v>125</v>
      </c>
      <c r="I12238" t="s">
        <v>125</v>
      </c>
    </row>
    <row r="12239" spans="1:9" x14ac:dyDescent="0.3">
      <c r="A12239" t="s">
        <v>41</v>
      </c>
      <c r="B12239" t="s">
        <v>640</v>
      </c>
      <c r="C12239">
        <v>44</v>
      </c>
      <c r="D12239" t="s">
        <v>206</v>
      </c>
      <c r="E12239" t="s">
        <v>613</v>
      </c>
      <c r="F12239" t="s">
        <v>95</v>
      </c>
      <c r="G12239" t="s">
        <v>463</v>
      </c>
      <c r="H12239" t="s">
        <v>188</v>
      </c>
      <c r="I12239" t="s">
        <v>188</v>
      </c>
    </row>
    <row r="12240" spans="1:9" s="3" customFormat="1" x14ac:dyDescent="0.3">
      <c r="A12240" s="3" t="s">
        <v>41</v>
      </c>
      <c r="B12240" s="3" t="s">
        <v>2765</v>
      </c>
      <c r="C12240" s="3">
        <v>13</v>
      </c>
      <c r="D12240" s="3" t="s">
        <v>155</v>
      </c>
      <c r="E12240" s="3" t="s">
        <v>1245</v>
      </c>
      <c r="F12240" s="3" t="s">
        <v>110</v>
      </c>
      <c r="G12240" s="3" t="s">
        <v>103</v>
      </c>
      <c r="H12240" s="3" t="s">
        <v>807</v>
      </c>
      <c r="I12240" s="3" t="s">
        <v>103</v>
      </c>
    </row>
    <row r="12241" spans="1:9" s="3" customFormat="1" x14ac:dyDescent="0.3">
      <c r="A12241" s="3" t="s">
        <v>41</v>
      </c>
      <c r="B12241" s="3" t="s">
        <v>641</v>
      </c>
      <c r="C12241" s="3">
        <v>28</v>
      </c>
      <c r="D12241" s="3" t="s">
        <v>516</v>
      </c>
      <c r="E12241" s="3" t="s">
        <v>618</v>
      </c>
      <c r="F12241" s="3" t="s">
        <v>103</v>
      </c>
      <c r="G12241" s="3" t="s">
        <v>549</v>
      </c>
      <c r="H12241" s="3" t="s">
        <v>103</v>
      </c>
      <c r="I12241" s="3" t="s">
        <v>139</v>
      </c>
    </row>
    <row r="12242" spans="1:9" s="3" customFormat="1" x14ac:dyDescent="0.3">
      <c r="A12242" s="3" t="s">
        <v>41</v>
      </c>
      <c r="B12242" s="3" t="s">
        <v>2769</v>
      </c>
      <c r="C12242" s="3">
        <v>12</v>
      </c>
      <c r="D12242" s="3" t="s">
        <v>228</v>
      </c>
      <c r="E12242" s="3" t="s">
        <v>758</v>
      </c>
      <c r="F12242" s="3" t="s">
        <v>103</v>
      </c>
      <c r="G12242" s="3" t="s">
        <v>103</v>
      </c>
      <c r="H12242" s="3" t="s">
        <v>103</v>
      </c>
      <c r="I12242" s="3" t="s">
        <v>103</v>
      </c>
    </row>
    <row r="12243" spans="1:9" x14ac:dyDescent="0.3">
      <c r="A12243" t="s">
        <v>41</v>
      </c>
      <c r="B12243" t="s">
        <v>308</v>
      </c>
      <c r="C12243">
        <v>1876</v>
      </c>
      <c r="D12243" t="s">
        <v>123</v>
      </c>
      <c r="E12243" t="s">
        <v>161</v>
      </c>
      <c r="F12243" t="s">
        <v>341</v>
      </c>
      <c r="G12243" t="s">
        <v>107</v>
      </c>
      <c r="H12243" t="s">
        <v>607</v>
      </c>
      <c r="I12243" t="s">
        <v>468</v>
      </c>
    </row>
    <row r="12245" spans="1:9" x14ac:dyDescent="0.3">
      <c r="A12245" t="s">
        <v>2855</v>
      </c>
    </row>
    <row r="12246" spans="1:9" x14ac:dyDescent="0.3">
      <c r="A12246" t="s">
        <v>36</v>
      </c>
      <c r="B12246" t="s">
        <v>2771</v>
      </c>
      <c r="C12246" t="s">
        <v>24</v>
      </c>
      <c r="D12246" t="s">
        <v>1195</v>
      </c>
      <c r="E12246" t="s">
        <v>2843</v>
      </c>
      <c r="F12246" t="s">
        <v>2844</v>
      </c>
      <c r="G12246" t="s">
        <v>2845</v>
      </c>
      <c r="H12246" t="s">
        <v>2846</v>
      </c>
      <c r="I12246" t="s">
        <v>89</v>
      </c>
    </row>
    <row r="12247" spans="1:9" s="3" customFormat="1" x14ac:dyDescent="0.3">
      <c r="A12247" s="3" t="s">
        <v>25</v>
      </c>
      <c r="B12247" s="3" t="s">
        <v>2772</v>
      </c>
      <c r="C12247" s="3">
        <v>1</v>
      </c>
      <c r="D12247" s="3" t="s">
        <v>103</v>
      </c>
      <c r="E12247" s="3" t="s">
        <v>192</v>
      </c>
      <c r="F12247" s="3" t="s">
        <v>103</v>
      </c>
      <c r="G12247" s="3" t="s">
        <v>103</v>
      </c>
      <c r="H12247" s="3" t="s">
        <v>192</v>
      </c>
      <c r="I12247" s="3" t="s">
        <v>103</v>
      </c>
    </row>
    <row r="12248" spans="1:9" s="3" customFormat="1" x14ac:dyDescent="0.3">
      <c r="A12248" s="3" t="s">
        <v>25</v>
      </c>
      <c r="B12248" s="3" t="s">
        <v>2773</v>
      </c>
      <c r="C12248" s="3">
        <v>3</v>
      </c>
      <c r="D12248" s="3" t="s">
        <v>103</v>
      </c>
      <c r="E12248" s="3" t="s">
        <v>192</v>
      </c>
      <c r="F12248" s="3" t="s">
        <v>103</v>
      </c>
      <c r="G12248" s="3" t="s">
        <v>103</v>
      </c>
      <c r="H12248" s="3" t="s">
        <v>728</v>
      </c>
      <c r="I12248" s="3" t="s">
        <v>103</v>
      </c>
    </row>
    <row r="12249" spans="1:9" s="3" customFormat="1" x14ac:dyDescent="0.3">
      <c r="A12249" s="3" t="s">
        <v>25</v>
      </c>
      <c r="B12249" s="3" t="s">
        <v>2774</v>
      </c>
      <c r="C12249" s="3">
        <v>9</v>
      </c>
      <c r="D12249" s="3" t="s">
        <v>214</v>
      </c>
      <c r="E12249" s="3" t="s">
        <v>243</v>
      </c>
      <c r="F12249" s="3" t="s">
        <v>103</v>
      </c>
      <c r="G12249" s="3" t="s">
        <v>103</v>
      </c>
      <c r="H12249" s="3" t="s">
        <v>464</v>
      </c>
      <c r="I12249" s="3" t="s">
        <v>103</v>
      </c>
    </row>
    <row r="12250" spans="1:9" s="3" customFormat="1" x14ac:dyDescent="0.3">
      <c r="A12250" s="3" t="s">
        <v>25</v>
      </c>
      <c r="B12250" s="3" t="s">
        <v>2775</v>
      </c>
      <c r="C12250" s="3">
        <v>21</v>
      </c>
      <c r="D12250" s="3" t="s">
        <v>493</v>
      </c>
      <c r="E12250" s="3" t="s">
        <v>286</v>
      </c>
      <c r="F12250" s="3" t="s">
        <v>103</v>
      </c>
      <c r="G12250" s="3" t="s">
        <v>531</v>
      </c>
      <c r="H12250" s="3" t="s">
        <v>481</v>
      </c>
      <c r="I12250" s="3" t="s">
        <v>103</v>
      </c>
    </row>
    <row r="12251" spans="1:9" x14ac:dyDescent="0.3">
      <c r="A12251" t="s">
        <v>25</v>
      </c>
      <c r="B12251" t="s">
        <v>2776</v>
      </c>
      <c r="C12251">
        <v>51</v>
      </c>
      <c r="D12251" t="s">
        <v>136</v>
      </c>
      <c r="E12251" t="s">
        <v>1135</v>
      </c>
      <c r="F12251" t="s">
        <v>107</v>
      </c>
      <c r="G12251" t="s">
        <v>157</v>
      </c>
      <c r="H12251" t="s">
        <v>547</v>
      </c>
      <c r="I12251" t="s">
        <v>531</v>
      </c>
    </row>
    <row r="12252" spans="1:9" x14ac:dyDescent="0.3">
      <c r="A12252" t="s">
        <v>25</v>
      </c>
      <c r="B12252" t="s">
        <v>2777</v>
      </c>
      <c r="C12252">
        <v>151</v>
      </c>
      <c r="D12252" t="s">
        <v>566</v>
      </c>
      <c r="E12252" t="s">
        <v>2104</v>
      </c>
      <c r="F12252" t="s">
        <v>266</v>
      </c>
      <c r="G12252" t="s">
        <v>750</v>
      </c>
      <c r="H12252" t="s">
        <v>550</v>
      </c>
      <c r="I12252" t="s">
        <v>103</v>
      </c>
    </row>
    <row r="12253" spans="1:9" x14ac:dyDescent="0.3">
      <c r="A12253" t="s">
        <v>25</v>
      </c>
      <c r="B12253" t="s">
        <v>2778</v>
      </c>
      <c r="C12253">
        <v>174</v>
      </c>
      <c r="D12253" t="s">
        <v>162</v>
      </c>
      <c r="E12253" t="s">
        <v>634</v>
      </c>
      <c r="F12253" t="s">
        <v>105</v>
      </c>
      <c r="G12253" t="s">
        <v>607</v>
      </c>
      <c r="H12253" t="s">
        <v>331</v>
      </c>
      <c r="I12253" t="s">
        <v>97</v>
      </c>
    </row>
    <row r="12254" spans="1:9" s="3" customFormat="1" x14ac:dyDescent="0.3">
      <c r="A12254" s="3" t="s">
        <v>25</v>
      </c>
      <c r="B12254" s="3" t="s">
        <v>223</v>
      </c>
      <c r="C12254" s="3">
        <v>2</v>
      </c>
      <c r="D12254" s="3" t="s">
        <v>56</v>
      </c>
      <c r="E12254" s="3" t="s">
        <v>103</v>
      </c>
      <c r="F12254" s="3" t="s">
        <v>103</v>
      </c>
      <c r="G12254" s="3" t="s">
        <v>55</v>
      </c>
      <c r="H12254" s="3" t="s">
        <v>103</v>
      </c>
      <c r="I12254" s="3" t="s">
        <v>103</v>
      </c>
    </row>
    <row r="12255" spans="1:9" x14ac:dyDescent="0.3">
      <c r="A12255" t="s">
        <v>25</v>
      </c>
      <c r="B12255" t="s">
        <v>308</v>
      </c>
      <c r="C12255">
        <v>2</v>
      </c>
      <c r="D12255" t="s">
        <v>103</v>
      </c>
      <c r="E12255" t="s">
        <v>1199</v>
      </c>
      <c r="F12255" t="s">
        <v>103</v>
      </c>
      <c r="G12255" t="s">
        <v>1284</v>
      </c>
      <c r="H12255" t="s">
        <v>103</v>
      </c>
      <c r="I12255" t="s">
        <v>103</v>
      </c>
    </row>
    <row r="12256" spans="1:9" s="3" customFormat="1" x14ac:dyDescent="0.3">
      <c r="A12256" s="3" t="s">
        <v>26</v>
      </c>
      <c r="B12256" s="3" t="s">
        <v>2772</v>
      </c>
      <c r="C12256" s="3">
        <v>3</v>
      </c>
      <c r="D12256" s="3" t="s">
        <v>103</v>
      </c>
      <c r="E12256" s="3" t="s">
        <v>192</v>
      </c>
      <c r="F12256" s="3" t="s">
        <v>103</v>
      </c>
      <c r="G12256" s="3" t="s">
        <v>103</v>
      </c>
      <c r="H12256" s="3" t="s">
        <v>103</v>
      </c>
      <c r="I12256" s="3" t="s">
        <v>103</v>
      </c>
    </row>
    <row r="12257" spans="1:9" s="3" customFormat="1" x14ac:dyDescent="0.3">
      <c r="A12257" s="3" t="s">
        <v>26</v>
      </c>
      <c r="B12257" s="3" t="s">
        <v>2773</v>
      </c>
      <c r="C12257" s="3">
        <v>8</v>
      </c>
      <c r="D12257" s="3" t="s">
        <v>103</v>
      </c>
      <c r="E12257" s="3" t="s">
        <v>1357</v>
      </c>
      <c r="F12257" s="3" t="s">
        <v>103</v>
      </c>
      <c r="G12257" s="3" t="s">
        <v>103</v>
      </c>
      <c r="H12257" s="3" t="s">
        <v>103</v>
      </c>
      <c r="I12257" s="3" t="s">
        <v>809</v>
      </c>
    </row>
    <row r="12258" spans="1:9" s="3" customFormat="1" x14ac:dyDescent="0.3">
      <c r="A12258" s="3" t="s">
        <v>26</v>
      </c>
      <c r="B12258" s="3" t="s">
        <v>2774</v>
      </c>
      <c r="C12258" s="3">
        <v>22</v>
      </c>
      <c r="D12258" s="3" t="s">
        <v>242</v>
      </c>
      <c r="E12258" s="3" t="s">
        <v>1305</v>
      </c>
      <c r="F12258" s="3" t="s">
        <v>214</v>
      </c>
      <c r="G12258" s="3" t="s">
        <v>103</v>
      </c>
      <c r="H12258" s="3" t="s">
        <v>103</v>
      </c>
      <c r="I12258" s="3" t="s">
        <v>171</v>
      </c>
    </row>
    <row r="12259" spans="1:9" x14ac:dyDescent="0.3">
      <c r="A12259" t="s">
        <v>26</v>
      </c>
      <c r="B12259" t="s">
        <v>2775</v>
      </c>
      <c r="C12259">
        <v>33</v>
      </c>
      <c r="D12259" t="s">
        <v>195</v>
      </c>
      <c r="E12259" t="s">
        <v>1357</v>
      </c>
      <c r="F12259" t="s">
        <v>103</v>
      </c>
      <c r="G12259" t="s">
        <v>103</v>
      </c>
      <c r="H12259" t="s">
        <v>102</v>
      </c>
      <c r="I12259" t="s">
        <v>890</v>
      </c>
    </row>
    <row r="12260" spans="1:9" x14ac:dyDescent="0.3">
      <c r="A12260" t="s">
        <v>26</v>
      </c>
      <c r="B12260" t="s">
        <v>2776</v>
      </c>
      <c r="C12260">
        <v>85</v>
      </c>
      <c r="D12260" t="s">
        <v>594</v>
      </c>
      <c r="E12260" t="s">
        <v>606</v>
      </c>
      <c r="F12260" t="s">
        <v>103</v>
      </c>
      <c r="G12260" t="s">
        <v>216</v>
      </c>
      <c r="H12260" t="s">
        <v>245</v>
      </c>
      <c r="I12260" t="s">
        <v>125</v>
      </c>
    </row>
    <row r="12261" spans="1:9" x14ac:dyDescent="0.3">
      <c r="A12261" t="s">
        <v>26</v>
      </c>
      <c r="B12261" t="s">
        <v>2777</v>
      </c>
      <c r="C12261">
        <v>192</v>
      </c>
      <c r="D12261" t="s">
        <v>32</v>
      </c>
      <c r="E12261" t="s">
        <v>611</v>
      </c>
      <c r="F12261" t="s">
        <v>116</v>
      </c>
      <c r="G12261" t="s">
        <v>110</v>
      </c>
      <c r="H12261" t="s">
        <v>281</v>
      </c>
      <c r="I12261" t="s">
        <v>97</v>
      </c>
    </row>
    <row r="12262" spans="1:9" x14ac:dyDescent="0.3">
      <c r="A12262" t="s">
        <v>26</v>
      </c>
      <c r="B12262" t="s">
        <v>2778</v>
      </c>
      <c r="C12262">
        <v>126</v>
      </c>
      <c r="D12262" t="s">
        <v>549</v>
      </c>
      <c r="E12262" t="s">
        <v>774</v>
      </c>
      <c r="F12262" t="s">
        <v>103</v>
      </c>
      <c r="G12262" t="s">
        <v>257</v>
      </c>
      <c r="H12262" t="s">
        <v>60</v>
      </c>
      <c r="I12262" t="s">
        <v>93</v>
      </c>
    </row>
    <row r="12263" spans="1:9" x14ac:dyDescent="0.3">
      <c r="A12263" t="s">
        <v>26</v>
      </c>
      <c r="B12263" t="s">
        <v>308</v>
      </c>
      <c r="C12263">
        <v>7</v>
      </c>
      <c r="D12263" t="s">
        <v>365</v>
      </c>
      <c r="E12263" t="s">
        <v>1321</v>
      </c>
      <c r="F12263" t="s">
        <v>103</v>
      </c>
      <c r="G12263" t="s">
        <v>103</v>
      </c>
      <c r="H12263" t="s">
        <v>103</v>
      </c>
      <c r="I12263" t="s">
        <v>103</v>
      </c>
    </row>
    <row r="12264" spans="1:9" s="3" customFormat="1" x14ac:dyDescent="0.3">
      <c r="A12264" s="3" t="s">
        <v>29</v>
      </c>
      <c r="B12264" s="3" t="s">
        <v>2772</v>
      </c>
      <c r="C12264" s="3">
        <v>2</v>
      </c>
      <c r="D12264" s="3" t="s">
        <v>103</v>
      </c>
      <c r="E12264" s="3" t="s">
        <v>1197</v>
      </c>
      <c r="F12264" s="3" t="s">
        <v>103</v>
      </c>
      <c r="G12264" s="3" t="s">
        <v>103</v>
      </c>
      <c r="H12264" s="3" t="s">
        <v>103</v>
      </c>
      <c r="I12264" s="3" t="s">
        <v>366</v>
      </c>
    </row>
    <row r="12265" spans="1:9" s="3" customFormat="1" x14ac:dyDescent="0.3">
      <c r="A12265" s="3" t="s">
        <v>29</v>
      </c>
      <c r="B12265" s="3" t="s">
        <v>2773</v>
      </c>
      <c r="C12265" s="3">
        <v>8</v>
      </c>
      <c r="D12265" s="3" t="s">
        <v>142</v>
      </c>
      <c r="E12265" s="3" t="s">
        <v>143</v>
      </c>
      <c r="F12265" s="3" t="s">
        <v>469</v>
      </c>
      <c r="G12265" s="3" t="s">
        <v>103</v>
      </c>
      <c r="H12265" s="3" t="s">
        <v>103</v>
      </c>
      <c r="I12265" s="3" t="s">
        <v>103</v>
      </c>
    </row>
    <row r="12266" spans="1:9" s="3" customFormat="1" x14ac:dyDescent="0.3">
      <c r="A12266" s="3" t="s">
        <v>29</v>
      </c>
      <c r="B12266" s="3" t="s">
        <v>2774</v>
      </c>
      <c r="C12266" s="3">
        <v>21</v>
      </c>
      <c r="D12266" s="3" t="s">
        <v>284</v>
      </c>
      <c r="E12266" s="3" t="s">
        <v>851</v>
      </c>
      <c r="F12266" s="3" t="s">
        <v>103</v>
      </c>
      <c r="G12266" s="3" t="s">
        <v>103</v>
      </c>
      <c r="H12266" s="3" t="s">
        <v>102</v>
      </c>
      <c r="I12266" s="3" t="s">
        <v>103</v>
      </c>
    </row>
    <row r="12267" spans="1:9" x14ac:dyDescent="0.3">
      <c r="A12267" t="s">
        <v>29</v>
      </c>
      <c r="B12267" t="s">
        <v>2775</v>
      </c>
      <c r="C12267">
        <v>31</v>
      </c>
      <c r="D12267" t="s">
        <v>750</v>
      </c>
      <c r="E12267" t="s">
        <v>202</v>
      </c>
      <c r="F12267" t="s">
        <v>186</v>
      </c>
      <c r="G12267" t="s">
        <v>190</v>
      </c>
      <c r="H12267" t="s">
        <v>266</v>
      </c>
      <c r="I12267" t="s">
        <v>103</v>
      </c>
    </row>
    <row r="12268" spans="1:9" x14ac:dyDescent="0.3">
      <c r="A12268" t="s">
        <v>29</v>
      </c>
      <c r="B12268" t="s">
        <v>2776</v>
      </c>
      <c r="C12268">
        <v>64</v>
      </c>
      <c r="D12268" t="s">
        <v>273</v>
      </c>
      <c r="E12268" t="s">
        <v>1138</v>
      </c>
      <c r="F12268" t="s">
        <v>493</v>
      </c>
      <c r="G12268" t="s">
        <v>216</v>
      </c>
      <c r="H12268" t="s">
        <v>103</v>
      </c>
      <c r="I12268" t="s">
        <v>239</v>
      </c>
    </row>
    <row r="12269" spans="1:9" x14ac:dyDescent="0.3">
      <c r="A12269" t="s">
        <v>29</v>
      </c>
      <c r="B12269" t="s">
        <v>2777</v>
      </c>
      <c r="C12269">
        <v>219</v>
      </c>
      <c r="D12269" t="s">
        <v>173</v>
      </c>
      <c r="E12269" t="s">
        <v>1144</v>
      </c>
      <c r="F12269" t="s">
        <v>98</v>
      </c>
      <c r="G12269" t="s">
        <v>118</v>
      </c>
      <c r="H12269" t="s">
        <v>64</v>
      </c>
      <c r="I12269" t="s">
        <v>103</v>
      </c>
    </row>
    <row r="12270" spans="1:9" x14ac:dyDescent="0.3">
      <c r="A12270" t="s">
        <v>29</v>
      </c>
      <c r="B12270" t="s">
        <v>2778</v>
      </c>
      <c r="C12270">
        <v>183</v>
      </c>
      <c r="D12270" t="s">
        <v>518</v>
      </c>
      <c r="E12270" t="s">
        <v>602</v>
      </c>
      <c r="F12270" t="s">
        <v>120</v>
      </c>
      <c r="G12270" t="s">
        <v>594</v>
      </c>
      <c r="H12270" t="s">
        <v>206</v>
      </c>
      <c r="I12270" t="s">
        <v>116</v>
      </c>
    </row>
    <row r="12271" spans="1:9" x14ac:dyDescent="0.3">
      <c r="A12271" t="s">
        <v>28</v>
      </c>
      <c r="B12271" t="s">
        <v>2772</v>
      </c>
      <c r="C12271">
        <v>39</v>
      </c>
      <c r="D12271" t="s">
        <v>438</v>
      </c>
      <c r="E12271" t="s">
        <v>2263</v>
      </c>
      <c r="F12271" t="s">
        <v>685</v>
      </c>
      <c r="G12271" t="s">
        <v>103</v>
      </c>
      <c r="H12271" t="s">
        <v>103</v>
      </c>
      <c r="I12271" t="s">
        <v>239</v>
      </c>
    </row>
    <row r="12272" spans="1:9" x14ac:dyDescent="0.3">
      <c r="A12272" t="s">
        <v>28</v>
      </c>
      <c r="B12272" t="s">
        <v>2773</v>
      </c>
      <c r="C12272">
        <v>57</v>
      </c>
      <c r="D12272" t="s">
        <v>103</v>
      </c>
      <c r="E12272" t="s">
        <v>280</v>
      </c>
      <c r="F12272" t="s">
        <v>103</v>
      </c>
      <c r="G12272" t="s">
        <v>232</v>
      </c>
      <c r="H12272" t="s">
        <v>257</v>
      </c>
      <c r="I12272" t="s">
        <v>105</v>
      </c>
    </row>
    <row r="12273" spans="1:9" s="3" customFormat="1" x14ac:dyDescent="0.3">
      <c r="A12273" s="3" t="s">
        <v>28</v>
      </c>
      <c r="B12273" s="3" t="s">
        <v>2774</v>
      </c>
      <c r="C12273" s="3">
        <v>30</v>
      </c>
      <c r="D12273" s="3" t="s">
        <v>103</v>
      </c>
      <c r="E12273" s="3" t="s">
        <v>867</v>
      </c>
      <c r="F12273" s="3" t="s">
        <v>103</v>
      </c>
      <c r="G12273" s="3" t="s">
        <v>102</v>
      </c>
      <c r="H12273" s="3" t="s">
        <v>188</v>
      </c>
      <c r="I12273" s="3" t="s">
        <v>103</v>
      </c>
    </row>
    <row r="12274" spans="1:9" x14ac:dyDescent="0.3">
      <c r="A12274" t="s">
        <v>28</v>
      </c>
      <c r="B12274" t="s">
        <v>2775</v>
      </c>
      <c r="C12274">
        <v>41</v>
      </c>
      <c r="D12274" t="s">
        <v>531</v>
      </c>
      <c r="E12274" t="s">
        <v>1154</v>
      </c>
      <c r="F12274" t="s">
        <v>531</v>
      </c>
      <c r="G12274" t="s">
        <v>108</v>
      </c>
      <c r="H12274" t="s">
        <v>103</v>
      </c>
      <c r="I12274" t="s">
        <v>103</v>
      </c>
    </row>
    <row r="12275" spans="1:9" x14ac:dyDescent="0.3">
      <c r="A12275" t="s">
        <v>28</v>
      </c>
      <c r="B12275" t="s">
        <v>2776</v>
      </c>
      <c r="C12275">
        <v>45</v>
      </c>
      <c r="D12275" t="s">
        <v>103</v>
      </c>
      <c r="E12275" t="s">
        <v>143</v>
      </c>
      <c r="F12275" t="s">
        <v>60</v>
      </c>
      <c r="G12275" t="s">
        <v>239</v>
      </c>
      <c r="H12275" t="s">
        <v>157</v>
      </c>
      <c r="I12275" t="s">
        <v>194</v>
      </c>
    </row>
    <row r="12276" spans="1:9" x14ac:dyDescent="0.3">
      <c r="A12276" t="s">
        <v>28</v>
      </c>
      <c r="B12276" t="s">
        <v>2777</v>
      </c>
      <c r="C12276">
        <v>55</v>
      </c>
      <c r="D12276" t="s">
        <v>591</v>
      </c>
      <c r="E12276" t="s">
        <v>1393</v>
      </c>
      <c r="F12276" t="s">
        <v>100</v>
      </c>
      <c r="G12276" t="s">
        <v>206</v>
      </c>
      <c r="H12276" t="s">
        <v>607</v>
      </c>
      <c r="I12276" t="s">
        <v>103</v>
      </c>
    </row>
    <row r="12277" spans="1:9" x14ac:dyDescent="0.3">
      <c r="A12277" t="s">
        <v>28</v>
      </c>
      <c r="B12277" t="s">
        <v>2778</v>
      </c>
      <c r="C12277">
        <v>44</v>
      </c>
      <c r="D12277" t="s">
        <v>56</v>
      </c>
      <c r="E12277" t="s">
        <v>944</v>
      </c>
      <c r="F12277" t="s">
        <v>247</v>
      </c>
      <c r="G12277" t="s">
        <v>103</v>
      </c>
      <c r="H12277" t="s">
        <v>266</v>
      </c>
      <c r="I12277" t="s">
        <v>103</v>
      </c>
    </row>
    <row r="12278" spans="1:9" x14ac:dyDescent="0.3">
      <c r="A12278" t="s">
        <v>28</v>
      </c>
      <c r="B12278" t="s">
        <v>308</v>
      </c>
      <c r="C12278">
        <v>6</v>
      </c>
      <c r="D12278" t="s">
        <v>103</v>
      </c>
      <c r="E12278" t="s">
        <v>1035</v>
      </c>
      <c r="F12278" t="s">
        <v>103</v>
      </c>
      <c r="G12278" t="s">
        <v>503</v>
      </c>
      <c r="H12278" t="s">
        <v>191</v>
      </c>
      <c r="I12278" t="s">
        <v>103</v>
      </c>
    </row>
    <row r="12279" spans="1:9" s="3" customFormat="1" x14ac:dyDescent="0.3">
      <c r="A12279" s="3" t="s">
        <v>27</v>
      </c>
      <c r="B12279" s="3" t="s">
        <v>2772</v>
      </c>
      <c r="C12279" s="3">
        <v>10</v>
      </c>
      <c r="D12279" s="3" t="s">
        <v>103</v>
      </c>
      <c r="E12279" s="3" t="s">
        <v>768</v>
      </c>
      <c r="F12279" s="3" t="s">
        <v>217</v>
      </c>
      <c r="G12279" s="3" t="s">
        <v>103</v>
      </c>
      <c r="H12279" s="3" t="s">
        <v>918</v>
      </c>
      <c r="I12279" s="3" t="s">
        <v>103</v>
      </c>
    </row>
    <row r="12280" spans="1:9" s="3" customFormat="1" x14ac:dyDescent="0.3">
      <c r="A12280" s="3" t="s">
        <v>27</v>
      </c>
      <c r="B12280" s="3" t="s">
        <v>2773</v>
      </c>
      <c r="C12280" s="3">
        <v>9</v>
      </c>
      <c r="D12280" s="3" t="s">
        <v>103</v>
      </c>
      <c r="E12280" s="3" t="s">
        <v>192</v>
      </c>
      <c r="F12280" s="3" t="s">
        <v>173</v>
      </c>
      <c r="G12280" s="3" t="s">
        <v>103</v>
      </c>
      <c r="H12280" s="3" t="s">
        <v>103</v>
      </c>
      <c r="I12280" s="3" t="s">
        <v>103</v>
      </c>
    </row>
    <row r="12281" spans="1:9" s="3" customFormat="1" x14ac:dyDescent="0.3">
      <c r="A12281" s="3" t="s">
        <v>27</v>
      </c>
      <c r="B12281" s="3" t="s">
        <v>2774</v>
      </c>
      <c r="C12281" s="3">
        <v>18</v>
      </c>
      <c r="D12281" s="3" t="s">
        <v>103</v>
      </c>
      <c r="E12281" s="3" t="s">
        <v>192</v>
      </c>
      <c r="F12281" s="3" t="s">
        <v>809</v>
      </c>
      <c r="G12281" s="3" t="s">
        <v>103</v>
      </c>
      <c r="H12281" s="3" t="s">
        <v>103</v>
      </c>
      <c r="I12281" s="3" t="s">
        <v>103</v>
      </c>
    </row>
    <row r="12282" spans="1:9" x14ac:dyDescent="0.3">
      <c r="A12282" t="s">
        <v>27</v>
      </c>
      <c r="B12282" t="s">
        <v>2775</v>
      </c>
      <c r="C12282">
        <v>33</v>
      </c>
      <c r="D12282" t="s">
        <v>103</v>
      </c>
      <c r="E12282" t="s">
        <v>200</v>
      </c>
      <c r="F12282" t="s">
        <v>190</v>
      </c>
      <c r="G12282" t="s">
        <v>103</v>
      </c>
      <c r="H12282" t="s">
        <v>118</v>
      </c>
      <c r="I12282" t="s">
        <v>103</v>
      </c>
    </row>
    <row r="12283" spans="1:9" x14ac:dyDescent="0.3">
      <c r="A12283" t="s">
        <v>27</v>
      </c>
      <c r="B12283" t="s">
        <v>2776</v>
      </c>
      <c r="C12283">
        <v>65</v>
      </c>
      <c r="D12283" t="s">
        <v>97</v>
      </c>
      <c r="E12283" t="s">
        <v>768</v>
      </c>
      <c r="F12283" t="s">
        <v>123</v>
      </c>
      <c r="G12283" t="s">
        <v>201</v>
      </c>
      <c r="H12283" t="s">
        <v>591</v>
      </c>
      <c r="I12283" t="s">
        <v>103</v>
      </c>
    </row>
    <row r="12284" spans="1:9" x14ac:dyDescent="0.3">
      <c r="A12284" t="s">
        <v>27</v>
      </c>
      <c r="B12284" t="s">
        <v>2777</v>
      </c>
      <c r="C12284">
        <v>78</v>
      </c>
      <c r="D12284" t="s">
        <v>467</v>
      </c>
      <c r="E12284" t="s">
        <v>849</v>
      </c>
      <c r="F12284" t="s">
        <v>90</v>
      </c>
      <c r="G12284" t="s">
        <v>194</v>
      </c>
      <c r="H12284" t="s">
        <v>194</v>
      </c>
      <c r="I12284" t="s">
        <v>103</v>
      </c>
    </row>
    <row r="12285" spans="1:9" x14ac:dyDescent="0.3">
      <c r="A12285" t="s">
        <v>27</v>
      </c>
      <c r="B12285" t="s">
        <v>2778</v>
      </c>
      <c r="C12285">
        <v>70</v>
      </c>
      <c r="D12285" t="s">
        <v>68</v>
      </c>
      <c r="E12285" t="s">
        <v>69</v>
      </c>
      <c r="F12285" t="s">
        <v>245</v>
      </c>
      <c r="G12285" t="s">
        <v>103</v>
      </c>
      <c r="H12285" t="s">
        <v>103</v>
      </c>
      <c r="I12285" t="s">
        <v>103</v>
      </c>
    </row>
    <row r="12286" spans="1:9" s="3" customFormat="1" x14ac:dyDescent="0.3">
      <c r="A12286" s="3" t="s">
        <v>27</v>
      </c>
      <c r="B12286" s="3" t="s">
        <v>223</v>
      </c>
      <c r="C12286" s="3">
        <v>2</v>
      </c>
      <c r="D12286" s="3" t="s">
        <v>103</v>
      </c>
      <c r="E12286" s="3" t="s">
        <v>192</v>
      </c>
      <c r="F12286" s="3" t="s">
        <v>103</v>
      </c>
      <c r="G12286" s="3" t="s">
        <v>103</v>
      </c>
      <c r="H12286" s="3" t="s">
        <v>103</v>
      </c>
      <c r="I12286" s="3" t="s">
        <v>103</v>
      </c>
    </row>
    <row r="12287" spans="1:9" x14ac:dyDescent="0.3">
      <c r="A12287" t="s">
        <v>27</v>
      </c>
      <c r="B12287" t="s">
        <v>308</v>
      </c>
      <c r="C12287">
        <v>15</v>
      </c>
      <c r="D12287" t="s">
        <v>103</v>
      </c>
      <c r="E12287" t="s">
        <v>192</v>
      </c>
      <c r="F12287" t="s">
        <v>103</v>
      </c>
      <c r="G12287" t="s">
        <v>103</v>
      </c>
      <c r="H12287" t="s">
        <v>103</v>
      </c>
      <c r="I12287" t="s">
        <v>103</v>
      </c>
    </row>
    <row r="12288" spans="1:9" x14ac:dyDescent="0.3">
      <c r="A12288" t="s">
        <v>41</v>
      </c>
      <c r="B12288" t="s">
        <v>2772</v>
      </c>
      <c r="C12288">
        <v>55</v>
      </c>
      <c r="D12288" t="s">
        <v>105</v>
      </c>
      <c r="E12288" t="s">
        <v>1679</v>
      </c>
      <c r="F12288" t="s">
        <v>515</v>
      </c>
      <c r="G12288" t="s">
        <v>103</v>
      </c>
      <c r="H12288" t="s">
        <v>284</v>
      </c>
      <c r="I12288" t="s">
        <v>115</v>
      </c>
    </row>
    <row r="12289" spans="1:9" x14ac:dyDescent="0.3">
      <c r="A12289" t="s">
        <v>41</v>
      </c>
      <c r="B12289" t="s">
        <v>2773</v>
      </c>
      <c r="C12289">
        <v>85</v>
      </c>
      <c r="D12289" t="s">
        <v>32</v>
      </c>
      <c r="E12289" t="s">
        <v>776</v>
      </c>
      <c r="F12289" t="s">
        <v>284</v>
      </c>
      <c r="G12289" t="s">
        <v>93</v>
      </c>
      <c r="H12289" t="s">
        <v>124</v>
      </c>
      <c r="I12289" t="s">
        <v>125</v>
      </c>
    </row>
    <row r="12290" spans="1:9" x14ac:dyDescent="0.3">
      <c r="A12290" t="s">
        <v>41</v>
      </c>
      <c r="B12290" t="s">
        <v>2774</v>
      </c>
      <c r="C12290">
        <v>100</v>
      </c>
      <c r="D12290" t="s">
        <v>32</v>
      </c>
      <c r="E12290" t="s">
        <v>783</v>
      </c>
      <c r="F12290" t="s">
        <v>257</v>
      </c>
      <c r="G12290" t="s">
        <v>122</v>
      </c>
      <c r="H12290" t="s">
        <v>70</v>
      </c>
      <c r="I12290" t="s">
        <v>188</v>
      </c>
    </row>
    <row r="12291" spans="1:9" x14ac:dyDescent="0.3">
      <c r="A12291" t="s">
        <v>41</v>
      </c>
      <c r="B12291" t="s">
        <v>2775</v>
      </c>
      <c r="C12291">
        <v>159</v>
      </c>
      <c r="D12291" t="s">
        <v>100</v>
      </c>
      <c r="E12291" t="s">
        <v>1019</v>
      </c>
      <c r="F12291" t="s">
        <v>270</v>
      </c>
      <c r="G12291" t="s">
        <v>201</v>
      </c>
      <c r="H12291" t="s">
        <v>591</v>
      </c>
      <c r="I12291" t="s">
        <v>257</v>
      </c>
    </row>
    <row r="12292" spans="1:9" x14ac:dyDescent="0.3">
      <c r="A12292" t="s">
        <v>41</v>
      </c>
      <c r="B12292" t="s">
        <v>2776</v>
      </c>
      <c r="C12292">
        <v>310</v>
      </c>
      <c r="D12292" t="s">
        <v>62</v>
      </c>
      <c r="E12292" t="s">
        <v>721</v>
      </c>
      <c r="F12292" t="s">
        <v>467</v>
      </c>
      <c r="G12292" t="s">
        <v>438</v>
      </c>
      <c r="H12292" t="s">
        <v>281</v>
      </c>
      <c r="I12292" t="s">
        <v>64</v>
      </c>
    </row>
    <row r="12293" spans="1:9" x14ac:dyDescent="0.3">
      <c r="A12293" t="s">
        <v>41</v>
      </c>
      <c r="B12293" t="s">
        <v>2777</v>
      </c>
      <c r="C12293">
        <v>695</v>
      </c>
      <c r="D12293" t="s">
        <v>463</v>
      </c>
      <c r="E12293" t="s">
        <v>984</v>
      </c>
      <c r="F12293" t="s">
        <v>239</v>
      </c>
      <c r="G12293" t="s">
        <v>201</v>
      </c>
      <c r="H12293" t="s">
        <v>452</v>
      </c>
      <c r="I12293" t="s">
        <v>91</v>
      </c>
    </row>
    <row r="12294" spans="1:9" x14ac:dyDescent="0.3">
      <c r="A12294" t="s">
        <v>41</v>
      </c>
      <c r="B12294" t="s">
        <v>2778</v>
      </c>
      <c r="C12294">
        <v>597</v>
      </c>
      <c r="D12294" t="s">
        <v>167</v>
      </c>
      <c r="E12294" t="s">
        <v>156</v>
      </c>
      <c r="F12294" t="s">
        <v>282</v>
      </c>
      <c r="G12294" t="s">
        <v>133</v>
      </c>
      <c r="H12294" t="s">
        <v>262</v>
      </c>
      <c r="I12294" t="s">
        <v>95</v>
      </c>
    </row>
    <row r="12295" spans="1:9" s="3" customFormat="1" x14ac:dyDescent="0.3">
      <c r="A12295" s="3" t="s">
        <v>41</v>
      </c>
      <c r="B12295" s="3" t="s">
        <v>223</v>
      </c>
      <c r="C12295" s="3">
        <v>4</v>
      </c>
      <c r="D12295" s="3" t="s">
        <v>173</v>
      </c>
      <c r="E12295" s="3" t="s">
        <v>525</v>
      </c>
      <c r="F12295" s="3" t="s">
        <v>103</v>
      </c>
      <c r="G12295" s="3" t="s">
        <v>406</v>
      </c>
      <c r="H12295" s="3" t="s">
        <v>103</v>
      </c>
      <c r="I12295" s="3" t="s">
        <v>103</v>
      </c>
    </row>
    <row r="12296" spans="1:9" x14ac:dyDescent="0.3">
      <c r="A12296" t="s">
        <v>41</v>
      </c>
      <c r="B12296" t="s">
        <v>308</v>
      </c>
      <c r="C12296">
        <v>30</v>
      </c>
      <c r="D12296" t="s">
        <v>682</v>
      </c>
      <c r="E12296" t="s">
        <v>397</v>
      </c>
      <c r="F12296" t="s">
        <v>103</v>
      </c>
      <c r="G12296" t="s">
        <v>601</v>
      </c>
      <c r="H12296" t="s">
        <v>345</v>
      </c>
      <c r="I12296" t="s">
        <v>103</v>
      </c>
    </row>
    <row r="12298" spans="1:9" x14ac:dyDescent="0.3">
      <c r="A12298" t="s">
        <v>2856</v>
      </c>
    </row>
    <row r="12299" spans="1:9" x14ac:dyDescent="0.3">
      <c r="A12299" t="s">
        <v>36</v>
      </c>
      <c r="B12299" t="s">
        <v>197</v>
      </c>
      <c r="C12299" t="s">
        <v>24</v>
      </c>
      <c r="D12299" t="s">
        <v>1195</v>
      </c>
      <c r="E12299" t="s">
        <v>2843</v>
      </c>
      <c r="F12299" t="s">
        <v>2844</v>
      </c>
      <c r="G12299" t="s">
        <v>2845</v>
      </c>
      <c r="H12299" t="s">
        <v>2846</v>
      </c>
      <c r="I12299" t="s">
        <v>89</v>
      </c>
    </row>
    <row r="12300" spans="1:9" x14ac:dyDescent="0.3">
      <c r="A12300" t="s">
        <v>25</v>
      </c>
      <c r="B12300" t="s">
        <v>198</v>
      </c>
      <c r="C12300">
        <v>104</v>
      </c>
      <c r="D12300" t="s">
        <v>175</v>
      </c>
      <c r="E12300" t="s">
        <v>227</v>
      </c>
      <c r="F12300" t="s">
        <v>195</v>
      </c>
      <c r="G12300" t="s">
        <v>119</v>
      </c>
      <c r="H12300" t="s">
        <v>273</v>
      </c>
      <c r="I12300" t="s">
        <v>188</v>
      </c>
    </row>
    <row r="12301" spans="1:9" x14ac:dyDescent="0.3">
      <c r="A12301" t="s">
        <v>25</v>
      </c>
      <c r="B12301" t="s">
        <v>199</v>
      </c>
      <c r="C12301">
        <v>310</v>
      </c>
      <c r="D12301" t="s">
        <v>271</v>
      </c>
      <c r="E12301" t="s">
        <v>720</v>
      </c>
      <c r="F12301" t="s">
        <v>329</v>
      </c>
      <c r="G12301" t="s">
        <v>543</v>
      </c>
      <c r="H12301" t="s">
        <v>50</v>
      </c>
      <c r="I12301" t="s">
        <v>116</v>
      </c>
    </row>
    <row r="12302" spans="1:9" x14ac:dyDescent="0.3">
      <c r="A12302" t="s">
        <v>26</v>
      </c>
      <c r="B12302" t="s">
        <v>198</v>
      </c>
      <c r="C12302">
        <v>41</v>
      </c>
      <c r="D12302" t="s">
        <v>116</v>
      </c>
      <c r="E12302" t="s">
        <v>286</v>
      </c>
      <c r="F12302" t="s">
        <v>103</v>
      </c>
      <c r="G12302" t="s">
        <v>615</v>
      </c>
      <c r="H12302" t="s">
        <v>103</v>
      </c>
      <c r="I12302" t="s">
        <v>438</v>
      </c>
    </row>
    <row r="12303" spans="1:9" x14ac:dyDescent="0.3">
      <c r="A12303" t="s">
        <v>26</v>
      </c>
      <c r="B12303" t="s">
        <v>199</v>
      </c>
      <c r="C12303">
        <v>435</v>
      </c>
      <c r="D12303" t="s">
        <v>607</v>
      </c>
      <c r="E12303" t="s">
        <v>974</v>
      </c>
      <c r="F12303" t="s">
        <v>122</v>
      </c>
      <c r="G12303" t="s">
        <v>194</v>
      </c>
      <c r="H12303" t="s">
        <v>32</v>
      </c>
      <c r="I12303" t="s">
        <v>270</v>
      </c>
    </row>
    <row r="12304" spans="1:9" x14ac:dyDescent="0.3">
      <c r="A12304" t="s">
        <v>29</v>
      </c>
      <c r="B12304" t="s">
        <v>198</v>
      </c>
      <c r="C12304">
        <v>170</v>
      </c>
      <c r="D12304" t="s">
        <v>224</v>
      </c>
      <c r="E12304" t="s">
        <v>712</v>
      </c>
      <c r="F12304" t="s">
        <v>120</v>
      </c>
      <c r="G12304" t="s">
        <v>107</v>
      </c>
      <c r="H12304" t="s">
        <v>64</v>
      </c>
      <c r="I12304" t="s">
        <v>95</v>
      </c>
    </row>
    <row r="12305" spans="1:9" x14ac:dyDescent="0.3">
      <c r="A12305" t="s">
        <v>29</v>
      </c>
      <c r="B12305" t="s">
        <v>199</v>
      </c>
      <c r="C12305">
        <v>358</v>
      </c>
      <c r="D12305" t="s">
        <v>268</v>
      </c>
      <c r="E12305" t="s">
        <v>608</v>
      </c>
      <c r="F12305" t="s">
        <v>341</v>
      </c>
      <c r="G12305" t="s">
        <v>125</v>
      </c>
      <c r="H12305" t="s">
        <v>188</v>
      </c>
      <c r="I12305" t="s">
        <v>95</v>
      </c>
    </row>
    <row r="12306" spans="1:9" x14ac:dyDescent="0.3">
      <c r="A12306" t="s">
        <v>28</v>
      </c>
      <c r="B12306" t="s">
        <v>198</v>
      </c>
      <c r="C12306">
        <v>70</v>
      </c>
      <c r="D12306" t="s">
        <v>270</v>
      </c>
      <c r="E12306" t="s">
        <v>758</v>
      </c>
      <c r="F12306" t="s">
        <v>918</v>
      </c>
      <c r="G12306" t="s">
        <v>103</v>
      </c>
      <c r="H12306" t="s">
        <v>493</v>
      </c>
      <c r="I12306" t="s">
        <v>103</v>
      </c>
    </row>
    <row r="12307" spans="1:9" x14ac:dyDescent="0.3">
      <c r="A12307" t="s">
        <v>28</v>
      </c>
      <c r="B12307" t="s">
        <v>199</v>
      </c>
      <c r="C12307">
        <v>247</v>
      </c>
      <c r="D12307" t="s">
        <v>214</v>
      </c>
      <c r="E12307" t="s">
        <v>1361</v>
      </c>
      <c r="F12307" t="s">
        <v>100</v>
      </c>
      <c r="G12307" t="s">
        <v>70</v>
      </c>
      <c r="H12307" t="s">
        <v>615</v>
      </c>
      <c r="I12307" t="s">
        <v>98</v>
      </c>
    </row>
    <row r="12308" spans="1:9" x14ac:dyDescent="0.3">
      <c r="A12308" t="s">
        <v>27</v>
      </c>
      <c r="B12308" t="s">
        <v>198</v>
      </c>
      <c r="C12308">
        <v>136</v>
      </c>
      <c r="D12308" t="s">
        <v>118</v>
      </c>
      <c r="E12308" t="s">
        <v>288</v>
      </c>
      <c r="F12308" t="s">
        <v>652</v>
      </c>
      <c r="G12308" t="s">
        <v>239</v>
      </c>
      <c r="H12308" t="s">
        <v>195</v>
      </c>
      <c r="I12308" t="s">
        <v>103</v>
      </c>
    </row>
    <row r="12309" spans="1:9" x14ac:dyDescent="0.3">
      <c r="A12309" t="s">
        <v>27</v>
      </c>
      <c r="B12309" t="s">
        <v>199</v>
      </c>
      <c r="C12309">
        <v>164</v>
      </c>
      <c r="D12309" t="s">
        <v>98</v>
      </c>
      <c r="E12309" t="s">
        <v>876</v>
      </c>
      <c r="F12309" t="s">
        <v>186</v>
      </c>
      <c r="G12309" t="s">
        <v>139</v>
      </c>
      <c r="H12309" t="s">
        <v>120</v>
      </c>
      <c r="I12309" t="s">
        <v>103</v>
      </c>
    </row>
    <row r="12310" spans="1:9" x14ac:dyDescent="0.3">
      <c r="A12310" t="s">
        <v>41</v>
      </c>
      <c r="B12310" t="s">
        <v>198</v>
      </c>
      <c r="C12310">
        <v>521</v>
      </c>
      <c r="D12310" t="s">
        <v>242</v>
      </c>
      <c r="E12310" t="s">
        <v>740</v>
      </c>
      <c r="F12310" t="s">
        <v>257</v>
      </c>
      <c r="G12310" t="s">
        <v>284</v>
      </c>
      <c r="H12310" t="s">
        <v>33</v>
      </c>
      <c r="I12310" t="s">
        <v>194</v>
      </c>
    </row>
    <row r="12311" spans="1:9" x14ac:dyDescent="0.3">
      <c r="A12311" t="s">
        <v>41</v>
      </c>
      <c r="B12311" t="s">
        <v>199</v>
      </c>
      <c r="C12311">
        <v>1514</v>
      </c>
      <c r="D12311" t="s">
        <v>743</v>
      </c>
      <c r="E12311" t="s">
        <v>1022</v>
      </c>
      <c r="F12311" t="s">
        <v>105</v>
      </c>
      <c r="G12311" t="s">
        <v>107</v>
      </c>
      <c r="H12311" t="s">
        <v>60</v>
      </c>
      <c r="I12311" t="s">
        <v>194</v>
      </c>
    </row>
    <row r="12313" spans="1:9" x14ac:dyDescent="0.3">
      <c r="A12313" t="s">
        <v>2857</v>
      </c>
    </row>
    <row r="12314" spans="1:9" x14ac:dyDescent="0.3">
      <c r="A12314" t="s">
        <v>36</v>
      </c>
      <c r="B12314" t="s">
        <v>24</v>
      </c>
      <c r="C12314" t="s">
        <v>1454</v>
      </c>
      <c r="D12314" t="s">
        <v>2858</v>
      </c>
      <c r="E12314" t="s">
        <v>2859</v>
      </c>
      <c r="F12314" t="s">
        <v>2860</v>
      </c>
      <c r="G12314" t="s">
        <v>2861</v>
      </c>
      <c r="H12314" t="s">
        <v>2862</v>
      </c>
    </row>
    <row r="12315" spans="1:9" x14ac:dyDescent="0.3">
      <c r="A12315" t="s">
        <v>25</v>
      </c>
      <c r="B12315">
        <v>357</v>
      </c>
      <c r="C12315" t="s">
        <v>284</v>
      </c>
      <c r="D12315" t="s">
        <v>939</v>
      </c>
      <c r="E12315" t="s">
        <v>470</v>
      </c>
      <c r="F12315" t="s">
        <v>139</v>
      </c>
      <c r="G12315" t="s">
        <v>116</v>
      </c>
      <c r="H12315" t="s">
        <v>1084</v>
      </c>
    </row>
    <row r="12316" spans="1:9" x14ac:dyDescent="0.3">
      <c r="A12316" t="s">
        <v>26</v>
      </c>
      <c r="B12316">
        <v>448</v>
      </c>
      <c r="C12316" t="s">
        <v>251</v>
      </c>
      <c r="D12316" t="s">
        <v>982</v>
      </c>
      <c r="E12316" t="s">
        <v>813</v>
      </c>
      <c r="F12316" t="s">
        <v>282</v>
      </c>
      <c r="G12316" t="s">
        <v>103</v>
      </c>
      <c r="H12316" t="s">
        <v>570</v>
      </c>
    </row>
    <row r="12317" spans="1:9" x14ac:dyDescent="0.3">
      <c r="A12317" t="s">
        <v>29</v>
      </c>
      <c r="B12317">
        <v>444</v>
      </c>
      <c r="C12317" t="s">
        <v>33</v>
      </c>
      <c r="D12317" t="s">
        <v>942</v>
      </c>
      <c r="E12317" t="s">
        <v>518</v>
      </c>
      <c r="F12317" t="s">
        <v>208</v>
      </c>
      <c r="G12317" t="s">
        <v>120</v>
      </c>
      <c r="H12317" t="s">
        <v>476</v>
      </c>
    </row>
    <row r="12318" spans="1:9" x14ac:dyDescent="0.3">
      <c r="A12318" t="s">
        <v>28</v>
      </c>
      <c r="B12318">
        <v>305</v>
      </c>
      <c r="C12318" t="s">
        <v>214</v>
      </c>
      <c r="D12318" t="s">
        <v>397</v>
      </c>
      <c r="E12318" t="s">
        <v>60</v>
      </c>
      <c r="F12318" t="s">
        <v>103</v>
      </c>
      <c r="G12318" t="s">
        <v>103</v>
      </c>
      <c r="H12318" t="s">
        <v>175</v>
      </c>
    </row>
    <row r="12319" spans="1:9" x14ac:dyDescent="0.3">
      <c r="A12319" t="s">
        <v>27</v>
      </c>
      <c r="B12319">
        <v>293</v>
      </c>
      <c r="C12319" t="s">
        <v>551</v>
      </c>
      <c r="D12319" t="s">
        <v>1250</v>
      </c>
      <c r="E12319" t="s">
        <v>470</v>
      </c>
      <c r="F12319" t="s">
        <v>93</v>
      </c>
      <c r="G12319" t="s">
        <v>122</v>
      </c>
      <c r="H12319" t="s">
        <v>1319</v>
      </c>
    </row>
    <row r="12320" spans="1:9" x14ac:dyDescent="0.3">
      <c r="A12320" t="s">
        <v>41</v>
      </c>
      <c r="B12320">
        <v>1847</v>
      </c>
      <c r="C12320" t="s">
        <v>206</v>
      </c>
      <c r="D12320" t="s">
        <v>802</v>
      </c>
      <c r="E12320" t="s">
        <v>750</v>
      </c>
      <c r="F12320" t="s">
        <v>110</v>
      </c>
      <c r="G12320" t="s">
        <v>116</v>
      </c>
      <c r="H12320" t="s">
        <v>727</v>
      </c>
    </row>
    <row r="12322" spans="1:9" x14ac:dyDescent="0.3">
      <c r="A12322" t="s">
        <v>2863</v>
      </c>
    </row>
    <row r="12323" spans="1:9" x14ac:dyDescent="0.3">
      <c r="A12323" t="s">
        <v>36</v>
      </c>
      <c r="B12323" t="s">
        <v>307</v>
      </c>
      <c r="C12323" t="s">
        <v>24</v>
      </c>
      <c r="D12323" t="s">
        <v>1454</v>
      </c>
      <c r="E12323" t="s">
        <v>2858</v>
      </c>
      <c r="F12323" t="s">
        <v>2859</v>
      </c>
      <c r="G12323" t="s">
        <v>2860</v>
      </c>
      <c r="H12323" t="s">
        <v>2861</v>
      </c>
      <c r="I12323" t="s">
        <v>2862</v>
      </c>
    </row>
    <row r="12324" spans="1:9" x14ac:dyDescent="0.3">
      <c r="A12324" t="s">
        <v>25</v>
      </c>
      <c r="B12324" t="s">
        <v>291</v>
      </c>
      <c r="C12324">
        <v>138</v>
      </c>
      <c r="D12324" t="s">
        <v>64</v>
      </c>
      <c r="E12324" t="s">
        <v>527</v>
      </c>
      <c r="F12324" t="s">
        <v>682</v>
      </c>
      <c r="G12324" t="s">
        <v>110</v>
      </c>
      <c r="H12324" t="s">
        <v>66</v>
      </c>
      <c r="I12324" t="s">
        <v>553</v>
      </c>
    </row>
    <row r="12325" spans="1:9" x14ac:dyDescent="0.3">
      <c r="A12325" t="s">
        <v>25</v>
      </c>
      <c r="B12325" t="s">
        <v>292</v>
      </c>
      <c r="C12325">
        <v>215</v>
      </c>
      <c r="D12325" t="s">
        <v>251</v>
      </c>
      <c r="E12325" t="s">
        <v>675</v>
      </c>
      <c r="F12325" t="s">
        <v>570</v>
      </c>
      <c r="G12325" t="s">
        <v>122</v>
      </c>
      <c r="H12325" t="s">
        <v>122</v>
      </c>
      <c r="I12325" t="s">
        <v>568</v>
      </c>
    </row>
    <row r="12326" spans="1:9" x14ac:dyDescent="0.3">
      <c r="A12326" t="s">
        <v>25</v>
      </c>
      <c r="B12326" t="s">
        <v>308</v>
      </c>
      <c r="C12326">
        <v>4</v>
      </c>
      <c r="D12326" t="s">
        <v>103</v>
      </c>
      <c r="E12326" t="s">
        <v>1362</v>
      </c>
      <c r="F12326" t="s">
        <v>103</v>
      </c>
      <c r="G12326" t="s">
        <v>103</v>
      </c>
      <c r="H12326" t="s">
        <v>103</v>
      </c>
      <c r="I12326" t="s">
        <v>456</v>
      </c>
    </row>
    <row r="12327" spans="1:9" x14ac:dyDescent="0.3">
      <c r="A12327" t="s">
        <v>26</v>
      </c>
      <c r="B12327" t="s">
        <v>291</v>
      </c>
      <c r="C12327">
        <v>115</v>
      </c>
      <c r="D12327" t="s">
        <v>254</v>
      </c>
      <c r="E12327" t="s">
        <v>363</v>
      </c>
      <c r="F12327" t="s">
        <v>809</v>
      </c>
      <c r="G12327" t="s">
        <v>118</v>
      </c>
      <c r="H12327" t="s">
        <v>103</v>
      </c>
      <c r="I12327" t="s">
        <v>644</v>
      </c>
    </row>
    <row r="12328" spans="1:9" x14ac:dyDescent="0.3">
      <c r="A12328" t="s">
        <v>26</v>
      </c>
      <c r="B12328" t="s">
        <v>292</v>
      </c>
      <c r="C12328">
        <v>330</v>
      </c>
      <c r="D12328" t="s">
        <v>232</v>
      </c>
      <c r="E12328" t="s">
        <v>814</v>
      </c>
      <c r="F12328" t="s">
        <v>813</v>
      </c>
      <c r="G12328" t="s">
        <v>97</v>
      </c>
      <c r="H12328" t="s">
        <v>103</v>
      </c>
      <c r="I12328" t="s">
        <v>516</v>
      </c>
    </row>
    <row r="12329" spans="1:9" x14ac:dyDescent="0.3">
      <c r="A12329" t="s">
        <v>26</v>
      </c>
      <c r="B12329" t="s">
        <v>308</v>
      </c>
      <c r="C12329">
        <v>3</v>
      </c>
      <c r="D12329" t="s">
        <v>103</v>
      </c>
      <c r="E12329" t="s">
        <v>192</v>
      </c>
      <c r="F12329" t="s">
        <v>103</v>
      </c>
      <c r="G12329" t="s">
        <v>103</v>
      </c>
      <c r="H12329" t="s">
        <v>103</v>
      </c>
      <c r="I12329" t="s">
        <v>103</v>
      </c>
    </row>
    <row r="12330" spans="1:9" x14ac:dyDescent="0.3">
      <c r="A12330" t="s">
        <v>29</v>
      </c>
      <c r="B12330" t="s">
        <v>291</v>
      </c>
      <c r="C12330">
        <v>179</v>
      </c>
      <c r="D12330" t="s">
        <v>113</v>
      </c>
      <c r="E12330" t="s">
        <v>1002</v>
      </c>
      <c r="F12330" t="s">
        <v>253</v>
      </c>
      <c r="G12330" t="s">
        <v>93</v>
      </c>
      <c r="H12330" t="s">
        <v>103</v>
      </c>
      <c r="I12330" t="s">
        <v>30</v>
      </c>
    </row>
    <row r="12331" spans="1:9" x14ac:dyDescent="0.3">
      <c r="A12331" t="s">
        <v>29</v>
      </c>
      <c r="B12331" t="s">
        <v>292</v>
      </c>
      <c r="C12331">
        <v>265</v>
      </c>
      <c r="D12331" t="s">
        <v>281</v>
      </c>
      <c r="E12331" t="s">
        <v>1053</v>
      </c>
      <c r="F12331" t="s">
        <v>150</v>
      </c>
      <c r="G12331" t="s">
        <v>341</v>
      </c>
      <c r="H12331" t="s">
        <v>282</v>
      </c>
      <c r="I12331" t="s">
        <v>658</v>
      </c>
    </row>
    <row r="12332" spans="1:9" x14ac:dyDescent="0.3">
      <c r="A12332" t="s">
        <v>28</v>
      </c>
      <c r="B12332" t="s">
        <v>291</v>
      </c>
      <c r="C12332">
        <v>109</v>
      </c>
      <c r="D12332" t="s">
        <v>133</v>
      </c>
      <c r="E12332" t="s">
        <v>1393</v>
      </c>
      <c r="F12332" t="s">
        <v>104</v>
      </c>
      <c r="G12332" t="s">
        <v>103</v>
      </c>
      <c r="H12332" t="s">
        <v>103</v>
      </c>
      <c r="I12332" t="s">
        <v>575</v>
      </c>
    </row>
    <row r="12333" spans="1:9" x14ac:dyDescent="0.3">
      <c r="A12333" t="s">
        <v>28</v>
      </c>
      <c r="B12333" t="s">
        <v>292</v>
      </c>
      <c r="C12333">
        <v>185</v>
      </c>
      <c r="D12333" t="s">
        <v>532</v>
      </c>
      <c r="E12333" t="s">
        <v>1423</v>
      </c>
      <c r="F12333" t="s">
        <v>32</v>
      </c>
      <c r="G12333" t="s">
        <v>103</v>
      </c>
      <c r="H12333" t="s">
        <v>103</v>
      </c>
      <c r="I12333" t="s">
        <v>570</v>
      </c>
    </row>
    <row r="12334" spans="1:9" x14ac:dyDescent="0.3">
      <c r="A12334" t="s">
        <v>28</v>
      </c>
      <c r="B12334" t="s">
        <v>308</v>
      </c>
      <c r="C12334">
        <v>11</v>
      </c>
      <c r="D12334" t="s">
        <v>103</v>
      </c>
      <c r="E12334" t="s">
        <v>1378</v>
      </c>
      <c r="F12334" t="s">
        <v>103</v>
      </c>
      <c r="G12334" t="s">
        <v>103</v>
      </c>
      <c r="H12334" t="s">
        <v>103</v>
      </c>
      <c r="I12334" t="s">
        <v>471</v>
      </c>
    </row>
    <row r="12335" spans="1:9" x14ac:dyDescent="0.3">
      <c r="A12335" t="s">
        <v>27</v>
      </c>
      <c r="B12335" t="s">
        <v>291</v>
      </c>
      <c r="C12335">
        <v>90</v>
      </c>
      <c r="D12335" t="s">
        <v>469</v>
      </c>
      <c r="E12335" t="s">
        <v>1231</v>
      </c>
      <c r="F12335" t="s">
        <v>476</v>
      </c>
      <c r="G12335" t="s">
        <v>110</v>
      </c>
      <c r="H12335" t="s">
        <v>103</v>
      </c>
      <c r="I12335" t="s">
        <v>175</v>
      </c>
    </row>
    <row r="12336" spans="1:9" x14ac:dyDescent="0.3">
      <c r="A12336" t="s">
        <v>27</v>
      </c>
      <c r="B12336" t="s">
        <v>292</v>
      </c>
      <c r="C12336">
        <v>196</v>
      </c>
      <c r="D12336" t="s">
        <v>331</v>
      </c>
      <c r="E12336" t="s">
        <v>930</v>
      </c>
      <c r="F12336" t="s">
        <v>528</v>
      </c>
      <c r="G12336" t="s">
        <v>329</v>
      </c>
      <c r="H12336" t="s">
        <v>97</v>
      </c>
      <c r="I12336" t="s">
        <v>46</v>
      </c>
    </row>
    <row r="12337" spans="1:9" x14ac:dyDescent="0.3">
      <c r="A12337" t="s">
        <v>27</v>
      </c>
      <c r="B12337" t="s">
        <v>308</v>
      </c>
      <c r="C12337">
        <v>7</v>
      </c>
      <c r="D12337" t="s">
        <v>301</v>
      </c>
      <c r="E12337" t="s">
        <v>1292</v>
      </c>
      <c r="F12337" t="s">
        <v>103</v>
      </c>
      <c r="G12337" t="s">
        <v>173</v>
      </c>
      <c r="H12337" t="s">
        <v>103</v>
      </c>
      <c r="I12337" t="s">
        <v>103</v>
      </c>
    </row>
    <row r="12338" spans="1:9" x14ac:dyDescent="0.3">
      <c r="A12338" t="s">
        <v>41</v>
      </c>
      <c r="B12338" t="s">
        <v>291</v>
      </c>
      <c r="C12338">
        <v>631</v>
      </c>
      <c r="D12338" t="s">
        <v>70</v>
      </c>
      <c r="E12338" t="s">
        <v>389</v>
      </c>
      <c r="F12338" t="s">
        <v>687</v>
      </c>
      <c r="G12338" t="s">
        <v>341</v>
      </c>
      <c r="H12338" t="s">
        <v>91</v>
      </c>
      <c r="I12338" t="s">
        <v>1219</v>
      </c>
    </row>
    <row r="12339" spans="1:9" x14ac:dyDescent="0.3">
      <c r="A12339" t="s">
        <v>41</v>
      </c>
      <c r="B12339" t="s">
        <v>292</v>
      </c>
      <c r="C12339">
        <v>1191</v>
      </c>
      <c r="D12339" t="s">
        <v>594</v>
      </c>
      <c r="E12339" t="s">
        <v>1578</v>
      </c>
      <c r="F12339" t="s">
        <v>809</v>
      </c>
      <c r="G12339" t="s">
        <v>345</v>
      </c>
      <c r="H12339" t="s">
        <v>97</v>
      </c>
      <c r="I12339" t="s">
        <v>56</v>
      </c>
    </row>
    <row r="12340" spans="1:9" x14ac:dyDescent="0.3">
      <c r="A12340" t="s">
        <v>41</v>
      </c>
      <c r="B12340" t="s">
        <v>308</v>
      </c>
      <c r="C12340">
        <v>25</v>
      </c>
      <c r="D12340" t="s">
        <v>662</v>
      </c>
      <c r="E12340" t="s">
        <v>204</v>
      </c>
      <c r="F12340" t="s">
        <v>103</v>
      </c>
      <c r="G12340" t="s">
        <v>64</v>
      </c>
      <c r="H12340" t="s">
        <v>103</v>
      </c>
      <c r="I12340" t="s">
        <v>150</v>
      </c>
    </row>
    <row r="12342" spans="1:9" x14ac:dyDescent="0.3">
      <c r="A12342" t="s">
        <v>2864</v>
      </c>
    </row>
    <row r="12343" spans="1:9" x14ac:dyDescent="0.3">
      <c r="A12343" t="s">
        <v>36</v>
      </c>
      <c r="B12343" t="s">
        <v>763</v>
      </c>
      <c r="C12343" t="s">
        <v>24</v>
      </c>
      <c r="D12343" t="s">
        <v>1454</v>
      </c>
      <c r="E12343" t="s">
        <v>2858</v>
      </c>
      <c r="F12343" t="s">
        <v>2859</v>
      </c>
      <c r="G12343" t="s">
        <v>2862</v>
      </c>
      <c r="H12343" t="s">
        <v>2860</v>
      </c>
      <c r="I12343" t="s">
        <v>2861</v>
      </c>
    </row>
    <row r="12344" spans="1:9" s="3" customFormat="1" x14ac:dyDescent="0.3">
      <c r="A12344" s="3" t="s">
        <v>25</v>
      </c>
      <c r="B12344" s="3" t="s">
        <v>764</v>
      </c>
      <c r="C12344" s="3">
        <v>24</v>
      </c>
      <c r="D12344" s="3" t="s">
        <v>278</v>
      </c>
      <c r="E12344" s="3" t="s">
        <v>1007</v>
      </c>
      <c r="F12344" s="3" t="s">
        <v>536</v>
      </c>
      <c r="G12344" s="3" t="s">
        <v>411</v>
      </c>
      <c r="H12344" s="3" t="s">
        <v>103</v>
      </c>
      <c r="I12344" s="3" t="s">
        <v>103</v>
      </c>
    </row>
    <row r="12345" spans="1:9" x14ac:dyDescent="0.3">
      <c r="A12345" t="s">
        <v>25</v>
      </c>
      <c r="B12345" t="s">
        <v>765</v>
      </c>
      <c r="C12345">
        <v>243</v>
      </c>
      <c r="D12345" t="s">
        <v>201</v>
      </c>
      <c r="E12345" t="s">
        <v>931</v>
      </c>
      <c r="F12345" t="s">
        <v>578</v>
      </c>
      <c r="G12345" t="s">
        <v>1023</v>
      </c>
      <c r="H12345" t="s">
        <v>345</v>
      </c>
      <c r="I12345" t="s">
        <v>91</v>
      </c>
    </row>
    <row r="12346" spans="1:9" x14ac:dyDescent="0.3">
      <c r="A12346" t="s">
        <v>25</v>
      </c>
      <c r="B12346" t="s">
        <v>767</v>
      </c>
      <c r="C12346">
        <v>90</v>
      </c>
      <c r="D12346" t="s">
        <v>251</v>
      </c>
      <c r="E12346" t="s">
        <v>1018</v>
      </c>
      <c r="F12346" t="s">
        <v>275</v>
      </c>
      <c r="G12346" t="s">
        <v>681</v>
      </c>
      <c r="H12346" t="s">
        <v>103</v>
      </c>
      <c r="I12346" t="s">
        <v>98</v>
      </c>
    </row>
    <row r="12347" spans="1:9" x14ac:dyDescent="0.3">
      <c r="A12347" t="s">
        <v>26</v>
      </c>
      <c r="B12347" t="s">
        <v>764</v>
      </c>
      <c r="C12347">
        <v>53</v>
      </c>
      <c r="D12347" t="s">
        <v>103</v>
      </c>
      <c r="E12347" t="s">
        <v>1362</v>
      </c>
      <c r="F12347" t="s">
        <v>789</v>
      </c>
      <c r="G12347" t="s">
        <v>575</v>
      </c>
      <c r="H12347" t="s">
        <v>103</v>
      </c>
      <c r="I12347" t="s">
        <v>103</v>
      </c>
    </row>
    <row r="12348" spans="1:9" x14ac:dyDescent="0.3">
      <c r="A12348" t="s">
        <v>26</v>
      </c>
      <c r="B12348" t="s">
        <v>765</v>
      </c>
      <c r="C12348">
        <v>262</v>
      </c>
      <c r="D12348" t="s">
        <v>205</v>
      </c>
      <c r="E12348" t="s">
        <v>835</v>
      </c>
      <c r="F12348" t="s">
        <v>481</v>
      </c>
      <c r="G12348" t="s">
        <v>268</v>
      </c>
      <c r="H12348" t="s">
        <v>120</v>
      </c>
      <c r="I12348" t="s">
        <v>103</v>
      </c>
    </row>
    <row r="12349" spans="1:9" x14ac:dyDescent="0.3">
      <c r="A12349" t="s">
        <v>26</v>
      </c>
      <c r="B12349" t="s">
        <v>767</v>
      </c>
      <c r="C12349">
        <v>133</v>
      </c>
      <c r="D12349" t="s">
        <v>466</v>
      </c>
      <c r="E12349" t="s">
        <v>1048</v>
      </c>
      <c r="F12349" t="s">
        <v>743</v>
      </c>
      <c r="G12349" t="s">
        <v>555</v>
      </c>
      <c r="H12349" t="s">
        <v>93</v>
      </c>
      <c r="I12349" t="s">
        <v>103</v>
      </c>
    </row>
    <row r="12350" spans="1:9" s="3" customFormat="1" x14ac:dyDescent="0.3">
      <c r="A12350" s="3" t="s">
        <v>29</v>
      </c>
      <c r="B12350" s="3" t="s">
        <v>764</v>
      </c>
      <c r="C12350" s="3">
        <v>11</v>
      </c>
      <c r="D12350" s="3" t="s">
        <v>526</v>
      </c>
      <c r="E12350" s="3" t="s">
        <v>529</v>
      </c>
      <c r="F12350" s="3" t="s">
        <v>470</v>
      </c>
      <c r="G12350" s="3" t="s">
        <v>732</v>
      </c>
      <c r="H12350" s="3" t="s">
        <v>103</v>
      </c>
      <c r="I12350" s="3" t="s">
        <v>62</v>
      </c>
    </row>
    <row r="12351" spans="1:9" x14ac:dyDescent="0.3">
      <c r="A12351" t="s">
        <v>29</v>
      </c>
      <c r="B12351" t="s">
        <v>765</v>
      </c>
      <c r="C12351">
        <v>304</v>
      </c>
      <c r="D12351" t="s">
        <v>107</v>
      </c>
      <c r="E12351" t="s">
        <v>1294</v>
      </c>
      <c r="F12351" t="s">
        <v>519</v>
      </c>
      <c r="G12351" t="s">
        <v>654</v>
      </c>
      <c r="H12351" t="s">
        <v>93</v>
      </c>
      <c r="I12351" t="s">
        <v>97</v>
      </c>
    </row>
    <row r="12352" spans="1:9" x14ac:dyDescent="0.3">
      <c r="A12352" t="s">
        <v>29</v>
      </c>
      <c r="B12352" t="s">
        <v>767</v>
      </c>
      <c r="C12352">
        <v>129</v>
      </c>
      <c r="D12352" t="s">
        <v>281</v>
      </c>
      <c r="E12352" t="s">
        <v>1209</v>
      </c>
      <c r="F12352" t="s">
        <v>518</v>
      </c>
      <c r="G12352" t="s">
        <v>514</v>
      </c>
      <c r="H12352" t="s">
        <v>341</v>
      </c>
      <c r="I12352" t="s">
        <v>91</v>
      </c>
    </row>
    <row r="12353" spans="1:9" s="3" customFormat="1" x14ac:dyDescent="0.3">
      <c r="A12353" s="3" t="s">
        <v>28</v>
      </c>
      <c r="B12353" s="3" t="s">
        <v>764</v>
      </c>
      <c r="C12353" s="3">
        <v>19</v>
      </c>
      <c r="D12353" s="3" t="s">
        <v>195</v>
      </c>
      <c r="E12353" s="3" t="s">
        <v>1317</v>
      </c>
      <c r="F12353" s="3" t="s">
        <v>103</v>
      </c>
      <c r="G12353" s="3" t="s">
        <v>650</v>
      </c>
      <c r="H12353" s="3" t="s">
        <v>103</v>
      </c>
      <c r="I12353" s="3" t="s">
        <v>103</v>
      </c>
    </row>
    <row r="12354" spans="1:9" x14ac:dyDescent="0.3">
      <c r="A12354" t="s">
        <v>28</v>
      </c>
      <c r="B12354" t="s">
        <v>765</v>
      </c>
      <c r="C12354">
        <v>250</v>
      </c>
      <c r="D12354" t="s">
        <v>281</v>
      </c>
      <c r="E12354" t="s">
        <v>408</v>
      </c>
      <c r="F12354" t="s">
        <v>90</v>
      </c>
      <c r="G12354" t="s">
        <v>517</v>
      </c>
      <c r="H12354" t="s">
        <v>103</v>
      </c>
      <c r="I12354" t="s">
        <v>103</v>
      </c>
    </row>
    <row r="12355" spans="1:9" x14ac:dyDescent="0.3">
      <c r="A12355" t="s">
        <v>28</v>
      </c>
      <c r="B12355" t="s">
        <v>767</v>
      </c>
      <c r="C12355">
        <v>36</v>
      </c>
      <c r="D12355" t="s">
        <v>341</v>
      </c>
      <c r="E12355" t="s">
        <v>834</v>
      </c>
      <c r="F12355" t="s">
        <v>114</v>
      </c>
      <c r="G12355" t="s">
        <v>506</v>
      </c>
      <c r="H12355" t="s">
        <v>103</v>
      </c>
      <c r="I12355" t="s">
        <v>103</v>
      </c>
    </row>
    <row r="12356" spans="1:9" s="3" customFormat="1" x14ac:dyDescent="0.3">
      <c r="A12356" s="3" t="s">
        <v>27</v>
      </c>
      <c r="B12356" s="3" t="s">
        <v>764</v>
      </c>
      <c r="C12356" s="3">
        <v>29</v>
      </c>
      <c r="D12356" s="3" t="s">
        <v>674</v>
      </c>
      <c r="E12356" s="3" t="s">
        <v>512</v>
      </c>
      <c r="F12356" s="3" t="s">
        <v>106</v>
      </c>
      <c r="G12356" s="3" t="s">
        <v>111</v>
      </c>
      <c r="H12356" s="3" t="s">
        <v>103</v>
      </c>
      <c r="I12356" s="3" t="s">
        <v>103</v>
      </c>
    </row>
    <row r="12357" spans="1:9" x14ac:dyDescent="0.3">
      <c r="A12357" t="s">
        <v>27</v>
      </c>
      <c r="B12357" t="s">
        <v>765</v>
      </c>
      <c r="C12357">
        <v>203</v>
      </c>
      <c r="D12357" t="s">
        <v>485</v>
      </c>
      <c r="E12357" t="s">
        <v>1402</v>
      </c>
      <c r="F12357" t="s">
        <v>570</v>
      </c>
      <c r="G12357" t="s">
        <v>524</v>
      </c>
      <c r="H12357" t="s">
        <v>270</v>
      </c>
      <c r="I12357" t="s">
        <v>97</v>
      </c>
    </row>
    <row r="12358" spans="1:9" x14ac:dyDescent="0.3">
      <c r="A12358" t="s">
        <v>27</v>
      </c>
      <c r="B12358" t="s">
        <v>767</v>
      </c>
      <c r="C12358">
        <v>61</v>
      </c>
      <c r="D12358" t="s">
        <v>482</v>
      </c>
      <c r="E12358" t="s">
        <v>441</v>
      </c>
      <c r="F12358" t="s">
        <v>515</v>
      </c>
      <c r="G12358" t="s">
        <v>927</v>
      </c>
      <c r="H12358" t="s">
        <v>216</v>
      </c>
      <c r="I12358" t="s">
        <v>103</v>
      </c>
    </row>
    <row r="12359" spans="1:9" x14ac:dyDescent="0.3">
      <c r="A12359" t="s">
        <v>41</v>
      </c>
      <c r="B12359" t="s">
        <v>764</v>
      </c>
      <c r="C12359">
        <v>136</v>
      </c>
      <c r="D12359" t="s">
        <v>511</v>
      </c>
      <c r="E12359" t="s">
        <v>1002</v>
      </c>
      <c r="F12359" t="s">
        <v>253</v>
      </c>
      <c r="G12359" t="s">
        <v>485</v>
      </c>
      <c r="H12359" t="s">
        <v>103</v>
      </c>
      <c r="I12359" t="s">
        <v>239</v>
      </c>
    </row>
    <row r="12360" spans="1:9" x14ac:dyDescent="0.3">
      <c r="A12360" t="s">
        <v>41</v>
      </c>
      <c r="B12360" t="s">
        <v>765</v>
      </c>
      <c r="C12360">
        <v>1262</v>
      </c>
      <c r="D12360" t="s">
        <v>206</v>
      </c>
      <c r="E12360" t="s">
        <v>793</v>
      </c>
      <c r="F12360" t="s">
        <v>131</v>
      </c>
      <c r="G12360" t="s">
        <v>672</v>
      </c>
      <c r="H12360" t="s">
        <v>239</v>
      </c>
      <c r="I12360" t="s">
        <v>116</v>
      </c>
    </row>
    <row r="12361" spans="1:9" x14ac:dyDescent="0.3">
      <c r="A12361" t="s">
        <v>41</v>
      </c>
      <c r="B12361" t="s">
        <v>767</v>
      </c>
      <c r="C12361">
        <v>449</v>
      </c>
      <c r="D12361" t="s">
        <v>232</v>
      </c>
      <c r="E12361" t="s">
        <v>1241</v>
      </c>
      <c r="F12361" t="s">
        <v>92</v>
      </c>
      <c r="G12361" t="s">
        <v>471</v>
      </c>
      <c r="H12361" t="s">
        <v>216</v>
      </c>
      <c r="I12361" t="s">
        <v>66</v>
      </c>
    </row>
    <row r="12363" spans="1:9" x14ac:dyDescent="0.3">
      <c r="A12363" t="s">
        <v>2865</v>
      </c>
    </row>
    <row r="12364" spans="1:9" x14ac:dyDescent="0.3">
      <c r="A12364" t="s">
        <v>36</v>
      </c>
      <c r="B12364" t="s">
        <v>1647</v>
      </c>
      <c r="C12364" t="s">
        <v>24</v>
      </c>
      <c r="D12364" t="s">
        <v>1454</v>
      </c>
      <c r="E12364" t="s">
        <v>2858</v>
      </c>
      <c r="F12364" t="s">
        <v>2859</v>
      </c>
      <c r="G12364" t="s">
        <v>2860</v>
      </c>
      <c r="H12364" t="s">
        <v>2861</v>
      </c>
      <c r="I12364" t="s">
        <v>2862</v>
      </c>
    </row>
    <row r="12365" spans="1:9" x14ac:dyDescent="0.3">
      <c r="A12365" t="s">
        <v>25</v>
      </c>
      <c r="B12365" t="s">
        <v>1648</v>
      </c>
      <c r="C12365">
        <v>130</v>
      </c>
      <c r="D12365" t="s">
        <v>32</v>
      </c>
      <c r="E12365" t="s">
        <v>838</v>
      </c>
      <c r="F12365" t="s">
        <v>691</v>
      </c>
      <c r="G12365" t="s">
        <v>329</v>
      </c>
      <c r="H12365" t="s">
        <v>95</v>
      </c>
      <c r="I12365" t="s">
        <v>681</v>
      </c>
    </row>
    <row r="12366" spans="1:9" x14ac:dyDescent="0.3">
      <c r="A12366" t="s">
        <v>25</v>
      </c>
      <c r="B12366" t="s">
        <v>1649</v>
      </c>
      <c r="C12366">
        <v>227</v>
      </c>
      <c r="D12366" t="s">
        <v>278</v>
      </c>
      <c r="E12366" t="s">
        <v>1418</v>
      </c>
      <c r="F12366" t="s">
        <v>463</v>
      </c>
      <c r="G12366" t="s">
        <v>103</v>
      </c>
      <c r="H12366" t="s">
        <v>91</v>
      </c>
      <c r="I12366" t="s">
        <v>577</v>
      </c>
    </row>
    <row r="12367" spans="1:9" x14ac:dyDescent="0.3">
      <c r="A12367" t="s">
        <v>26</v>
      </c>
      <c r="B12367" t="s">
        <v>1648</v>
      </c>
      <c r="C12367">
        <v>141</v>
      </c>
      <c r="D12367" t="s">
        <v>90</v>
      </c>
      <c r="E12367" t="s">
        <v>1009</v>
      </c>
      <c r="F12367" t="s">
        <v>144</v>
      </c>
      <c r="G12367" t="s">
        <v>345</v>
      </c>
      <c r="H12367" t="s">
        <v>103</v>
      </c>
      <c r="I12367" t="s">
        <v>548</v>
      </c>
    </row>
    <row r="12368" spans="1:9" x14ac:dyDescent="0.3">
      <c r="A12368" t="s">
        <v>26</v>
      </c>
      <c r="B12368" t="s">
        <v>1649</v>
      </c>
      <c r="C12368">
        <v>307</v>
      </c>
      <c r="D12368" t="s">
        <v>558</v>
      </c>
      <c r="E12368" t="s">
        <v>356</v>
      </c>
      <c r="F12368" t="s">
        <v>150</v>
      </c>
      <c r="G12368" t="s">
        <v>98</v>
      </c>
      <c r="H12368" t="s">
        <v>103</v>
      </c>
      <c r="I12368" t="s">
        <v>528</v>
      </c>
    </row>
    <row r="12369" spans="1:9" x14ac:dyDescent="0.3">
      <c r="A12369" t="s">
        <v>29</v>
      </c>
      <c r="B12369" t="s">
        <v>1648</v>
      </c>
      <c r="C12369">
        <v>212</v>
      </c>
      <c r="D12369" t="s">
        <v>186</v>
      </c>
      <c r="E12369" t="s">
        <v>730</v>
      </c>
      <c r="F12369" t="s">
        <v>519</v>
      </c>
      <c r="G12369" t="s">
        <v>110</v>
      </c>
      <c r="H12369" t="s">
        <v>95</v>
      </c>
      <c r="I12369" t="s">
        <v>160</v>
      </c>
    </row>
    <row r="12370" spans="1:9" x14ac:dyDescent="0.3">
      <c r="A12370" t="s">
        <v>29</v>
      </c>
      <c r="B12370" t="s">
        <v>1649</v>
      </c>
      <c r="C12370">
        <v>232</v>
      </c>
      <c r="D12370" t="s">
        <v>662</v>
      </c>
      <c r="E12370" t="s">
        <v>423</v>
      </c>
      <c r="F12370" t="s">
        <v>518</v>
      </c>
      <c r="G12370" t="s">
        <v>217</v>
      </c>
      <c r="H12370" t="s">
        <v>122</v>
      </c>
      <c r="I12370" t="s">
        <v>461</v>
      </c>
    </row>
    <row r="12371" spans="1:9" x14ac:dyDescent="0.3">
      <c r="A12371" t="s">
        <v>28</v>
      </c>
      <c r="B12371" t="s">
        <v>1648</v>
      </c>
      <c r="C12371">
        <v>75</v>
      </c>
      <c r="D12371" t="s">
        <v>918</v>
      </c>
      <c r="E12371" t="s">
        <v>822</v>
      </c>
      <c r="F12371" t="s">
        <v>127</v>
      </c>
      <c r="G12371" t="s">
        <v>103</v>
      </c>
      <c r="H12371" t="s">
        <v>103</v>
      </c>
      <c r="I12371" t="s">
        <v>157</v>
      </c>
    </row>
    <row r="12372" spans="1:9" x14ac:dyDescent="0.3">
      <c r="A12372" t="s">
        <v>28</v>
      </c>
      <c r="B12372" t="s">
        <v>1649</v>
      </c>
      <c r="C12372">
        <v>230</v>
      </c>
      <c r="D12372" t="s">
        <v>217</v>
      </c>
      <c r="E12372" t="s">
        <v>895</v>
      </c>
      <c r="F12372" t="s">
        <v>511</v>
      </c>
      <c r="G12372" t="s">
        <v>103</v>
      </c>
      <c r="H12372" t="s">
        <v>103</v>
      </c>
      <c r="I12372" t="s">
        <v>488</v>
      </c>
    </row>
    <row r="12373" spans="1:9" x14ac:dyDescent="0.3">
      <c r="A12373" t="s">
        <v>27</v>
      </c>
      <c r="B12373" t="s">
        <v>1648</v>
      </c>
      <c r="C12373">
        <v>63</v>
      </c>
      <c r="D12373" t="s">
        <v>544</v>
      </c>
      <c r="E12373" t="s">
        <v>943</v>
      </c>
      <c r="F12373" t="s">
        <v>579</v>
      </c>
      <c r="G12373" t="s">
        <v>195</v>
      </c>
      <c r="H12373" t="s">
        <v>103</v>
      </c>
      <c r="I12373" t="s">
        <v>514</v>
      </c>
    </row>
    <row r="12374" spans="1:9" x14ac:dyDescent="0.3">
      <c r="A12374" t="s">
        <v>27</v>
      </c>
      <c r="B12374" t="s">
        <v>1649</v>
      </c>
      <c r="C12374">
        <v>230</v>
      </c>
      <c r="D12374" t="s">
        <v>132</v>
      </c>
      <c r="E12374" t="s">
        <v>1215</v>
      </c>
      <c r="F12374" t="s">
        <v>275</v>
      </c>
      <c r="G12374" t="s">
        <v>208</v>
      </c>
      <c r="H12374" t="s">
        <v>97</v>
      </c>
      <c r="I12374" t="s">
        <v>528</v>
      </c>
    </row>
    <row r="12375" spans="1:9" x14ac:dyDescent="0.3">
      <c r="A12375" t="s">
        <v>41</v>
      </c>
      <c r="B12375" t="s">
        <v>1648</v>
      </c>
      <c r="C12375">
        <v>621</v>
      </c>
      <c r="D12375" t="s">
        <v>662</v>
      </c>
      <c r="E12375" t="s">
        <v>1209</v>
      </c>
      <c r="F12375" t="s">
        <v>1319</v>
      </c>
      <c r="G12375" t="s">
        <v>239</v>
      </c>
      <c r="H12375" t="s">
        <v>97</v>
      </c>
      <c r="I12375" t="s">
        <v>268</v>
      </c>
    </row>
    <row r="12376" spans="1:9" x14ac:dyDescent="0.3">
      <c r="A12376" t="s">
        <v>41</v>
      </c>
      <c r="B12376" t="s">
        <v>1649</v>
      </c>
      <c r="C12376">
        <v>1226</v>
      </c>
      <c r="D12376" t="s">
        <v>466</v>
      </c>
      <c r="E12376" t="s">
        <v>383</v>
      </c>
      <c r="F12376" t="s">
        <v>175</v>
      </c>
      <c r="G12376" t="s">
        <v>110</v>
      </c>
      <c r="H12376" t="s">
        <v>66</v>
      </c>
      <c r="I12376" t="s">
        <v>697</v>
      </c>
    </row>
    <row r="12378" spans="1:9" x14ac:dyDescent="0.3">
      <c r="A12378" t="s">
        <v>2866</v>
      </c>
    </row>
    <row r="12379" spans="1:9" x14ac:dyDescent="0.3">
      <c r="A12379" t="s">
        <v>36</v>
      </c>
      <c r="B12379" t="s">
        <v>2756</v>
      </c>
      <c r="C12379" t="s">
        <v>24</v>
      </c>
      <c r="D12379" t="s">
        <v>2858</v>
      </c>
      <c r="E12379" t="s">
        <v>2859</v>
      </c>
      <c r="F12379" t="s">
        <v>2862</v>
      </c>
      <c r="G12379" t="s">
        <v>1454</v>
      </c>
      <c r="H12379" t="s">
        <v>2860</v>
      </c>
      <c r="I12379" t="s">
        <v>2861</v>
      </c>
    </row>
    <row r="12380" spans="1:9" s="3" customFormat="1" x14ac:dyDescent="0.3">
      <c r="A12380" s="3" t="s">
        <v>25</v>
      </c>
      <c r="B12380" s="3" t="s">
        <v>2757</v>
      </c>
      <c r="C12380" s="3">
        <v>10</v>
      </c>
      <c r="D12380" s="3" t="s">
        <v>2103</v>
      </c>
      <c r="E12380" s="3" t="s">
        <v>48</v>
      </c>
      <c r="F12380" s="3" t="s">
        <v>471</v>
      </c>
      <c r="G12380" s="3" t="s">
        <v>103</v>
      </c>
      <c r="H12380" s="3" t="s">
        <v>103</v>
      </c>
      <c r="I12380" s="3" t="s">
        <v>103</v>
      </c>
    </row>
    <row r="12381" spans="1:9" x14ac:dyDescent="0.3">
      <c r="A12381" t="s">
        <v>25</v>
      </c>
      <c r="B12381" t="s">
        <v>2758</v>
      </c>
      <c r="C12381">
        <v>119</v>
      </c>
      <c r="D12381" t="s">
        <v>399</v>
      </c>
      <c r="E12381" t="s">
        <v>523</v>
      </c>
      <c r="F12381" t="s">
        <v>900</v>
      </c>
      <c r="G12381" t="s">
        <v>93</v>
      </c>
      <c r="H12381" t="s">
        <v>208</v>
      </c>
      <c r="I12381" t="s">
        <v>103</v>
      </c>
    </row>
    <row r="12382" spans="1:9" x14ac:dyDescent="0.3">
      <c r="A12382" t="s">
        <v>25</v>
      </c>
      <c r="B12382" t="s">
        <v>2759</v>
      </c>
      <c r="C12382">
        <v>109</v>
      </c>
      <c r="D12382" t="s">
        <v>1329</v>
      </c>
      <c r="E12382" t="s">
        <v>100</v>
      </c>
      <c r="F12382" t="s">
        <v>574</v>
      </c>
      <c r="G12382" t="s">
        <v>137</v>
      </c>
      <c r="H12382" t="s">
        <v>122</v>
      </c>
      <c r="I12382" t="s">
        <v>103</v>
      </c>
    </row>
    <row r="12383" spans="1:9" x14ac:dyDescent="0.3">
      <c r="A12383" t="s">
        <v>25</v>
      </c>
      <c r="B12383" t="s">
        <v>2760</v>
      </c>
      <c r="C12383">
        <v>111</v>
      </c>
      <c r="D12383" t="s">
        <v>229</v>
      </c>
      <c r="E12383" t="s">
        <v>130</v>
      </c>
      <c r="F12383" t="s">
        <v>756</v>
      </c>
      <c r="G12383" t="s">
        <v>208</v>
      </c>
      <c r="H12383" t="s">
        <v>103</v>
      </c>
      <c r="I12383" t="s">
        <v>345</v>
      </c>
    </row>
    <row r="12384" spans="1:9" x14ac:dyDescent="0.3">
      <c r="A12384" t="s">
        <v>25</v>
      </c>
      <c r="B12384" t="s">
        <v>308</v>
      </c>
      <c r="C12384">
        <v>8</v>
      </c>
      <c r="D12384" t="s">
        <v>1043</v>
      </c>
      <c r="E12384" t="s">
        <v>201</v>
      </c>
      <c r="F12384" t="s">
        <v>522</v>
      </c>
      <c r="G12384" t="s">
        <v>542</v>
      </c>
      <c r="H12384" t="s">
        <v>103</v>
      </c>
      <c r="I12384" t="s">
        <v>103</v>
      </c>
    </row>
    <row r="12385" spans="1:9" s="3" customFormat="1" x14ac:dyDescent="0.3">
      <c r="A12385" s="3" t="s">
        <v>26</v>
      </c>
      <c r="B12385" s="3" t="s">
        <v>2757</v>
      </c>
      <c r="C12385" s="3">
        <v>13</v>
      </c>
      <c r="D12385" s="3" t="s">
        <v>400</v>
      </c>
      <c r="E12385" s="3" t="s">
        <v>554</v>
      </c>
      <c r="F12385" s="3" t="s">
        <v>516</v>
      </c>
      <c r="G12385" s="3" t="s">
        <v>137</v>
      </c>
      <c r="H12385" s="3" t="s">
        <v>103</v>
      </c>
      <c r="I12385" s="3" t="s">
        <v>103</v>
      </c>
    </row>
    <row r="12386" spans="1:9" x14ac:dyDescent="0.3">
      <c r="A12386" t="s">
        <v>26</v>
      </c>
      <c r="B12386" t="s">
        <v>2758</v>
      </c>
      <c r="C12386">
        <v>181</v>
      </c>
      <c r="D12386" t="s">
        <v>298</v>
      </c>
      <c r="E12386" t="s">
        <v>495</v>
      </c>
      <c r="F12386" t="s">
        <v>268</v>
      </c>
      <c r="G12386" t="s">
        <v>594</v>
      </c>
      <c r="H12386" t="s">
        <v>98</v>
      </c>
      <c r="I12386" t="s">
        <v>103</v>
      </c>
    </row>
    <row r="12387" spans="1:9" x14ac:dyDescent="0.3">
      <c r="A12387" t="s">
        <v>26</v>
      </c>
      <c r="B12387" t="s">
        <v>2759</v>
      </c>
      <c r="C12387">
        <v>137</v>
      </c>
      <c r="D12387" t="s">
        <v>830</v>
      </c>
      <c r="E12387" t="s">
        <v>544</v>
      </c>
      <c r="F12387" t="s">
        <v>167</v>
      </c>
      <c r="G12387" t="s">
        <v>438</v>
      </c>
      <c r="H12387" t="s">
        <v>329</v>
      </c>
      <c r="I12387" t="s">
        <v>103</v>
      </c>
    </row>
    <row r="12388" spans="1:9" x14ac:dyDescent="0.3">
      <c r="A12388" t="s">
        <v>26</v>
      </c>
      <c r="B12388" t="s">
        <v>2760</v>
      </c>
      <c r="C12388">
        <v>106</v>
      </c>
      <c r="D12388" t="s">
        <v>1034</v>
      </c>
      <c r="E12388" t="s">
        <v>169</v>
      </c>
      <c r="F12388" t="s">
        <v>552</v>
      </c>
      <c r="G12388" t="s">
        <v>269</v>
      </c>
      <c r="H12388" t="s">
        <v>103</v>
      </c>
      <c r="I12388" t="s">
        <v>103</v>
      </c>
    </row>
    <row r="12389" spans="1:9" x14ac:dyDescent="0.3">
      <c r="A12389" t="s">
        <v>26</v>
      </c>
      <c r="B12389" t="s">
        <v>308</v>
      </c>
      <c r="C12389">
        <v>11</v>
      </c>
      <c r="D12389" t="s">
        <v>255</v>
      </c>
      <c r="E12389" t="s">
        <v>693</v>
      </c>
      <c r="F12389" t="s">
        <v>152</v>
      </c>
      <c r="G12389" t="s">
        <v>205</v>
      </c>
      <c r="H12389" t="s">
        <v>103</v>
      </c>
      <c r="I12389" t="s">
        <v>103</v>
      </c>
    </row>
    <row r="12390" spans="1:9" s="3" customFormat="1" x14ac:dyDescent="0.3">
      <c r="A12390" s="3" t="s">
        <v>29</v>
      </c>
      <c r="B12390" s="3" t="s">
        <v>2757</v>
      </c>
      <c r="C12390" s="3">
        <v>10</v>
      </c>
      <c r="D12390" s="3" t="s">
        <v>1008</v>
      </c>
      <c r="E12390" s="3" t="s">
        <v>680</v>
      </c>
      <c r="F12390" s="3" t="s">
        <v>474</v>
      </c>
      <c r="G12390" s="3" t="s">
        <v>1057</v>
      </c>
      <c r="H12390" s="3" t="s">
        <v>103</v>
      </c>
      <c r="I12390" s="3" t="s">
        <v>103</v>
      </c>
    </row>
    <row r="12391" spans="1:9" x14ac:dyDescent="0.3">
      <c r="A12391" t="s">
        <v>29</v>
      </c>
      <c r="B12391" t="s">
        <v>2758</v>
      </c>
      <c r="C12391">
        <v>206</v>
      </c>
      <c r="D12391" t="s">
        <v>1292</v>
      </c>
      <c r="E12391" t="s">
        <v>475</v>
      </c>
      <c r="F12391" t="s">
        <v>732</v>
      </c>
      <c r="G12391" t="s">
        <v>32</v>
      </c>
      <c r="H12391" t="s">
        <v>257</v>
      </c>
      <c r="I12391" t="s">
        <v>95</v>
      </c>
    </row>
    <row r="12392" spans="1:9" x14ac:dyDescent="0.3">
      <c r="A12392" t="s">
        <v>29</v>
      </c>
      <c r="B12392" t="s">
        <v>2759</v>
      </c>
      <c r="C12392">
        <v>121</v>
      </c>
      <c r="D12392" t="s">
        <v>1577</v>
      </c>
      <c r="E12392" t="s">
        <v>680</v>
      </c>
      <c r="F12392" t="s">
        <v>526</v>
      </c>
      <c r="G12392" t="s">
        <v>438</v>
      </c>
      <c r="H12392" t="s">
        <v>139</v>
      </c>
      <c r="I12392" t="s">
        <v>98</v>
      </c>
    </row>
    <row r="12393" spans="1:9" x14ac:dyDescent="0.3">
      <c r="A12393" t="s">
        <v>29</v>
      </c>
      <c r="B12393" t="s">
        <v>2760</v>
      </c>
      <c r="C12393">
        <v>100</v>
      </c>
      <c r="D12393" t="s">
        <v>722</v>
      </c>
      <c r="E12393" t="s">
        <v>652</v>
      </c>
      <c r="F12393" t="s">
        <v>522</v>
      </c>
      <c r="G12393" t="s">
        <v>114</v>
      </c>
      <c r="H12393" t="s">
        <v>272</v>
      </c>
      <c r="I12393" t="s">
        <v>103</v>
      </c>
    </row>
    <row r="12394" spans="1:9" x14ac:dyDescent="0.3">
      <c r="A12394" t="s">
        <v>29</v>
      </c>
      <c r="B12394" t="s">
        <v>308</v>
      </c>
      <c r="C12394">
        <v>7</v>
      </c>
      <c r="D12394" t="s">
        <v>1244</v>
      </c>
      <c r="E12394" t="s">
        <v>103</v>
      </c>
      <c r="F12394" t="s">
        <v>523</v>
      </c>
      <c r="G12394" t="s">
        <v>103</v>
      </c>
      <c r="H12394" t="s">
        <v>103</v>
      </c>
      <c r="I12394" t="s">
        <v>103</v>
      </c>
    </row>
    <row r="12395" spans="1:9" x14ac:dyDescent="0.3">
      <c r="A12395" t="s">
        <v>28</v>
      </c>
      <c r="B12395" t="s">
        <v>2757</v>
      </c>
      <c r="C12395">
        <v>31</v>
      </c>
      <c r="D12395" t="s">
        <v>147</v>
      </c>
      <c r="E12395" t="s">
        <v>467</v>
      </c>
      <c r="F12395" t="s">
        <v>511</v>
      </c>
      <c r="G12395" t="s">
        <v>103</v>
      </c>
      <c r="H12395" t="s">
        <v>103</v>
      </c>
      <c r="I12395" t="s">
        <v>103</v>
      </c>
    </row>
    <row r="12396" spans="1:9" x14ac:dyDescent="0.3">
      <c r="A12396" t="s">
        <v>28</v>
      </c>
      <c r="B12396" t="s">
        <v>2758</v>
      </c>
      <c r="C12396">
        <v>95</v>
      </c>
      <c r="D12396" t="s">
        <v>2033</v>
      </c>
      <c r="E12396" t="s">
        <v>93</v>
      </c>
      <c r="F12396" t="s">
        <v>155</v>
      </c>
      <c r="G12396" t="s">
        <v>737</v>
      </c>
      <c r="H12396" t="s">
        <v>103</v>
      </c>
      <c r="I12396" t="s">
        <v>103</v>
      </c>
    </row>
    <row r="12397" spans="1:9" x14ac:dyDescent="0.3">
      <c r="A12397" t="s">
        <v>28</v>
      </c>
      <c r="B12397" t="s">
        <v>2759</v>
      </c>
      <c r="C12397">
        <v>99</v>
      </c>
      <c r="D12397" t="s">
        <v>1281</v>
      </c>
      <c r="E12397" t="s">
        <v>517</v>
      </c>
      <c r="F12397" t="s">
        <v>481</v>
      </c>
      <c r="G12397" t="s">
        <v>270</v>
      </c>
      <c r="H12397" t="s">
        <v>103</v>
      </c>
      <c r="I12397" t="s">
        <v>103</v>
      </c>
    </row>
    <row r="12398" spans="1:9" x14ac:dyDescent="0.3">
      <c r="A12398" t="s">
        <v>28</v>
      </c>
      <c r="B12398" t="s">
        <v>2760</v>
      </c>
      <c r="C12398">
        <v>80</v>
      </c>
      <c r="D12398" t="s">
        <v>755</v>
      </c>
      <c r="E12398" t="s">
        <v>549</v>
      </c>
      <c r="F12398" t="s">
        <v>169</v>
      </c>
      <c r="G12398" t="s">
        <v>113</v>
      </c>
      <c r="H12398" t="s">
        <v>103</v>
      </c>
      <c r="I12398" t="s">
        <v>103</v>
      </c>
    </row>
    <row r="12399" spans="1:9" s="3" customFormat="1" x14ac:dyDescent="0.3">
      <c r="A12399" s="3" t="s">
        <v>27</v>
      </c>
      <c r="B12399" s="3" t="s">
        <v>2757</v>
      </c>
      <c r="C12399" s="3">
        <v>1</v>
      </c>
      <c r="D12399" s="3" t="s">
        <v>192</v>
      </c>
      <c r="E12399" s="3" t="s">
        <v>103</v>
      </c>
      <c r="F12399" s="3" t="s">
        <v>103</v>
      </c>
      <c r="G12399" s="3" t="s">
        <v>103</v>
      </c>
      <c r="H12399" s="3" t="s">
        <v>103</v>
      </c>
      <c r="I12399" s="3" t="s">
        <v>103</v>
      </c>
    </row>
    <row r="12400" spans="1:9" x14ac:dyDescent="0.3">
      <c r="A12400" t="s">
        <v>27</v>
      </c>
      <c r="B12400" t="s">
        <v>2758</v>
      </c>
      <c r="C12400">
        <v>83</v>
      </c>
      <c r="D12400" t="s">
        <v>1556</v>
      </c>
      <c r="E12400" t="s">
        <v>519</v>
      </c>
      <c r="F12400" t="s">
        <v>544</v>
      </c>
      <c r="G12400" t="s">
        <v>228</v>
      </c>
      <c r="H12400" t="s">
        <v>217</v>
      </c>
      <c r="I12400" t="s">
        <v>103</v>
      </c>
    </row>
    <row r="12401" spans="1:9" x14ac:dyDescent="0.3">
      <c r="A12401" t="s">
        <v>27</v>
      </c>
      <c r="B12401" t="s">
        <v>2759</v>
      </c>
      <c r="C12401">
        <v>81</v>
      </c>
      <c r="D12401" t="s">
        <v>370</v>
      </c>
      <c r="E12401" t="s">
        <v>54</v>
      </c>
      <c r="F12401" t="s">
        <v>548</v>
      </c>
      <c r="G12401" t="s">
        <v>522</v>
      </c>
      <c r="H12401" t="s">
        <v>93</v>
      </c>
      <c r="I12401" t="s">
        <v>103</v>
      </c>
    </row>
    <row r="12402" spans="1:9" x14ac:dyDescent="0.3">
      <c r="A12402" t="s">
        <v>27</v>
      </c>
      <c r="B12402" t="s">
        <v>2760</v>
      </c>
      <c r="C12402">
        <v>126</v>
      </c>
      <c r="D12402" t="s">
        <v>1199</v>
      </c>
      <c r="E12402" t="s">
        <v>579</v>
      </c>
      <c r="F12402" t="s">
        <v>1319</v>
      </c>
      <c r="G12402" t="s">
        <v>918</v>
      </c>
      <c r="H12402" t="s">
        <v>208</v>
      </c>
      <c r="I12402" t="s">
        <v>282</v>
      </c>
    </row>
    <row r="12403" spans="1:9" x14ac:dyDescent="0.3">
      <c r="A12403" t="s">
        <v>27</v>
      </c>
      <c r="B12403" t="s">
        <v>308</v>
      </c>
      <c r="C12403">
        <v>2</v>
      </c>
      <c r="D12403" t="s">
        <v>192</v>
      </c>
      <c r="E12403" t="s">
        <v>103</v>
      </c>
      <c r="F12403" t="s">
        <v>103</v>
      </c>
      <c r="G12403" t="s">
        <v>103</v>
      </c>
      <c r="H12403" t="s">
        <v>103</v>
      </c>
      <c r="I12403" t="s">
        <v>103</v>
      </c>
    </row>
    <row r="12404" spans="1:9" x14ac:dyDescent="0.3">
      <c r="A12404" t="s">
        <v>41</v>
      </c>
      <c r="B12404" t="s">
        <v>2757</v>
      </c>
      <c r="C12404">
        <v>65</v>
      </c>
      <c r="D12404" t="s">
        <v>1295</v>
      </c>
      <c r="E12404" t="s">
        <v>268</v>
      </c>
      <c r="F12404" t="s">
        <v>273</v>
      </c>
      <c r="G12404" t="s">
        <v>734</v>
      </c>
      <c r="H12404" t="s">
        <v>103</v>
      </c>
      <c r="I12404" t="s">
        <v>103</v>
      </c>
    </row>
    <row r="12405" spans="1:9" x14ac:dyDescent="0.3">
      <c r="A12405" t="s">
        <v>41</v>
      </c>
      <c r="B12405" t="s">
        <v>2758</v>
      </c>
      <c r="C12405">
        <v>684</v>
      </c>
      <c r="D12405" t="s">
        <v>1029</v>
      </c>
      <c r="E12405" t="s">
        <v>807</v>
      </c>
      <c r="F12405" t="s">
        <v>727</v>
      </c>
      <c r="G12405" t="s">
        <v>133</v>
      </c>
      <c r="H12405" t="s">
        <v>341</v>
      </c>
      <c r="I12405" t="s">
        <v>122</v>
      </c>
    </row>
    <row r="12406" spans="1:9" x14ac:dyDescent="0.3">
      <c r="A12406" t="s">
        <v>41</v>
      </c>
      <c r="B12406" t="s">
        <v>2759</v>
      </c>
      <c r="C12406">
        <v>547</v>
      </c>
      <c r="D12406" t="s">
        <v>395</v>
      </c>
      <c r="E12406" t="s">
        <v>162</v>
      </c>
      <c r="F12406" t="s">
        <v>727</v>
      </c>
      <c r="G12406" t="s">
        <v>558</v>
      </c>
      <c r="H12406" t="s">
        <v>345</v>
      </c>
      <c r="I12406" t="s">
        <v>122</v>
      </c>
    </row>
    <row r="12407" spans="1:9" x14ac:dyDescent="0.3">
      <c r="A12407" t="s">
        <v>41</v>
      </c>
      <c r="B12407" t="s">
        <v>2760</v>
      </c>
      <c r="C12407">
        <v>523</v>
      </c>
      <c r="D12407" t="s">
        <v>508</v>
      </c>
      <c r="E12407" t="s">
        <v>463</v>
      </c>
      <c r="F12407" t="s">
        <v>526</v>
      </c>
      <c r="G12407" t="s">
        <v>558</v>
      </c>
      <c r="H12407" t="s">
        <v>110</v>
      </c>
      <c r="I12407" t="s">
        <v>116</v>
      </c>
    </row>
    <row r="12408" spans="1:9" x14ac:dyDescent="0.3">
      <c r="A12408" t="s">
        <v>41</v>
      </c>
      <c r="B12408" t="s">
        <v>308</v>
      </c>
      <c r="C12408">
        <v>28</v>
      </c>
      <c r="D12408" t="s">
        <v>1044</v>
      </c>
      <c r="E12408" t="s">
        <v>532</v>
      </c>
      <c r="F12408" t="s">
        <v>476</v>
      </c>
      <c r="G12408" t="s">
        <v>136</v>
      </c>
      <c r="H12408" t="s">
        <v>103</v>
      </c>
      <c r="I12408" t="s">
        <v>103</v>
      </c>
    </row>
    <row r="12410" spans="1:9" x14ac:dyDescent="0.3">
      <c r="A12410" t="s">
        <v>2867</v>
      </c>
    </row>
    <row r="12411" spans="1:9" x14ac:dyDescent="0.3">
      <c r="A12411" t="s">
        <v>36</v>
      </c>
      <c r="B12411" t="s">
        <v>310</v>
      </c>
      <c r="C12411" t="s">
        <v>24</v>
      </c>
      <c r="D12411" t="s">
        <v>1454</v>
      </c>
      <c r="E12411" t="s">
        <v>2858</v>
      </c>
      <c r="F12411" t="s">
        <v>2859</v>
      </c>
      <c r="G12411" t="s">
        <v>2860</v>
      </c>
      <c r="H12411" t="s">
        <v>2861</v>
      </c>
      <c r="I12411" t="s">
        <v>2862</v>
      </c>
    </row>
    <row r="12412" spans="1:9" x14ac:dyDescent="0.3">
      <c r="A12412" t="s">
        <v>25</v>
      </c>
      <c r="B12412" t="s">
        <v>311</v>
      </c>
      <c r="C12412">
        <v>281</v>
      </c>
      <c r="D12412" t="s">
        <v>591</v>
      </c>
      <c r="E12412" t="s">
        <v>1358</v>
      </c>
      <c r="F12412" t="s">
        <v>819</v>
      </c>
      <c r="G12412" t="s">
        <v>139</v>
      </c>
      <c r="H12412" t="s">
        <v>122</v>
      </c>
      <c r="I12412" t="s">
        <v>581</v>
      </c>
    </row>
    <row r="12413" spans="1:9" x14ac:dyDescent="0.3">
      <c r="A12413" t="s">
        <v>25</v>
      </c>
      <c r="B12413" t="s">
        <v>312</v>
      </c>
      <c r="C12413">
        <v>66</v>
      </c>
      <c r="D12413" t="s">
        <v>232</v>
      </c>
      <c r="E12413" t="s">
        <v>748</v>
      </c>
      <c r="F12413" t="s">
        <v>169</v>
      </c>
      <c r="G12413" t="s">
        <v>95</v>
      </c>
      <c r="H12413" t="s">
        <v>103</v>
      </c>
      <c r="I12413" t="s">
        <v>684</v>
      </c>
    </row>
    <row r="12414" spans="1:9" x14ac:dyDescent="0.3">
      <c r="A12414" t="s">
        <v>25</v>
      </c>
      <c r="B12414" t="s">
        <v>308</v>
      </c>
      <c r="C12414">
        <v>10</v>
      </c>
      <c r="D12414" t="s">
        <v>409</v>
      </c>
      <c r="E12414" t="s">
        <v>389</v>
      </c>
      <c r="F12414" t="s">
        <v>438</v>
      </c>
      <c r="G12414" t="s">
        <v>103</v>
      </c>
      <c r="H12414" t="s">
        <v>103</v>
      </c>
      <c r="I12414" t="s">
        <v>551</v>
      </c>
    </row>
    <row r="12415" spans="1:9" x14ac:dyDescent="0.3">
      <c r="A12415" t="s">
        <v>26</v>
      </c>
      <c r="B12415" t="s">
        <v>311</v>
      </c>
      <c r="C12415">
        <v>320</v>
      </c>
      <c r="D12415" t="s">
        <v>575</v>
      </c>
      <c r="E12415" t="s">
        <v>1009</v>
      </c>
      <c r="F12415" t="s">
        <v>150</v>
      </c>
      <c r="G12415" t="s">
        <v>194</v>
      </c>
      <c r="H12415" t="s">
        <v>103</v>
      </c>
      <c r="I12415" t="s">
        <v>514</v>
      </c>
    </row>
    <row r="12416" spans="1:9" x14ac:dyDescent="0.3">
      <c r="A12416" t="s">
        <v>26</v>
      </c>
      <c r="B12416" t="s">
        <v>312</v>
      </c>
      <c r="C12416">
        <v>91</v>
      </c>
      <c r="D12416" t="s">
        <v>591</v>
      </c>
      <c r="E12416" t="s">
        <v>736</v>
      </c>
      <c r="F12416" t="s">
        <v>488</v>
      </c>
      <c r="G12416" t="s">
        <v>103</v>
      </c>
      <c r="H12416" t="s">
        <v>103</v>
      </c>
      <c r="I12416" t="s">
        <v>566</v>
      </c>
    </row>
    <row r="12417" spans="1:9" x14ac:dyDescent="0.3">
      <c r="A12417" t="s">
        <v>26</v>
      </c>
      <c r="B12417" t="s">
        <v>308</v>
      </c>
      <c r="C12417">
        <v>37</v>
      </c>
      <c r="D12417" t="s">
        <v>118</v>
      </c>
      <c r="E12417" t="s">
        <v>711</v>
      </c>
      <c r="F12417" t="s">
        <v>205</v>
      </c>
      <c r="G12417" t="s">
        <v>103</v>
      </c>
      <c r="H12417" t="s">
        <v>103</v>
      </c>
      <c r="I12417" t="s">
        <v>206</v>
      </c>
    </row>
    <row r="12418" spans="1:9" x14ac:dyDescent="0.3">
      <c r="A12418" t="s">
        <v>29</v>
      </c>
      <c r="B12418" t="s">
        <v>311</v>
      </c>
      <c r="C12418">
        <v>351</v>
      </c>
      <c r="D12418" t="s">
        <v>284</v>
      </c>
      <c r="E12418" t="s">
        <v>410</v>
      </c>
      <c r="F12418" t="s">
        <v>925</v>
      </c>
      <c r="G12418" t="s">
        <v>341</v>
      </c>
      <c r="H12418" t="s">
        <v>97</v>
      </c>
      <c r="I12418" t="s">
        <v>658</v>
      </c>
    </row>
    <row r="12419" spans="1:9" x14ac:dyDescent="0.3">
      <c r="A12419" t="s">
        <v>29</v>
      </c>
      <c r="B12419" t="s">
        <v>312</v>
      </c>
      <c r="C12419">
        <v>81</v>
      </c>
      <c r="D12419" t="s">
        <v>284</v>
      </c>
      <c r="E12419" t="s">
        <v>1358</v>
      </c>
      <c r="F12419" t="s">
        <v>554</v>
      </c>
      <c r="G12419" t="s">
        <v>329</v>
      </c>
      <c r="H12419" t="s">
        <v>468</v>
      </c>
      <c r="I12419" t="s">
        <v>470</v>
      </c>
    </row>
    <row r="12420" spans="1:9" x14ac:dyDescent="0.3">
      <c r="A12420" t="s">
        <v>29</v>
      </c>
      <c r="B12420" t="s">
        <v>308</v>
      </c>
      <c r="C12420">
        <v>12</v>
      </c>
      <c r="D12420" t="s">
        <v>103</v>
      </c>
      <c r="E12420" t="s">
        <v>260</v>
      </c>
      <c r="F12420" t="s">
        <v>103</v>
      </c>
      <c r="G12420" t="s">
        <v>190</v>
      </c>
      <c r="H12420" t="s">
        <v>103</v>
      </c>
      <c r="I12420" t="s">
        <v>1090</v>
      </c>
    </row>
    <row r="12421" spans="1:9" x14ac:dyDescent="0.3">
      <c r="A12421" t="s">
        <v>28</v>
      </c>
      <c r="B12421" t="s">
        <v>311</v>
      </c>
      <c r="C12421">
        <v>217</v>
      </c>
      <c r="D12421" t="s">
        <v>214</v>
      </c>
      <c r="E12421" t="s">
        <v>808</v>
      </c>
      <c r="F12421" t="s">
        <v>575</v>
      </c>
      <c r="G12421" t="s">
        <v>103</v>
      </c>
      <c r="H12421" t="s">
        <v>103</v>
      </c>
      <c r="I12421" t="s">
        <v>106</v>
      </c>
    </row>
    <row r="12422" spans="1:9" x14ac:dyDescent="0.3">
      <c r="A12422" t="s">
        <v>28</v>
      </c>
      <c r="B12422" t="s">
        <v>312</v>
      </c>
      <c r="C12422">
        <v>87</v>
      </c>
      <c r="D12422" t="s">
        <v>32</v>
      </c>
      <c r="E12422" t="s">
        <v>45</v>
      </c>
      <c r="F12422" t="s">
        <v>278</v>
      </c>
      <c r="G12422" t="s">
        <v>103</v>
      </c>
      <c r="H12422" t="s">
        <v>103</v>
      </c>
      <c r="I12422" t="s">
        <v>494</v>
      </c>
    </row>
    <row r="12423" spans="1:9" x14ac:dyDescent="0.3">
      <c r="A12423" t="s">
        <v>28</v>
      </c>
      <c r="B12423" t="s">
        <v>308</v>
      </c>
      <c r="C12423">
        <v>1</v>
      </c>
      <c r="D12423" t="s">
        <v>103</v>
      </c>
      <c r="E12423" t="s">
        <v>192</v>
      </c>
      <c r="F12423" t="s">
        <v>103</v>
      </c>
      <c r="G12423" t="s">
        <v>103</v>
      </c>
      <c r="H12423" t="s">
        <v>103</v>
      </c>
      <c r="I12423" t="s">
        <v>103</v>
      </c>
    </row>
    <row r="12424" spans="1:9" x14ac:dyDescent="0.3">
      <c r="A12424" t="s">
        <v>27</v>
      </c>
      <c r="B12424" t="s">
        <v>311</v>
      </c>
      <c r="C12424">
        <v>230</v>
      </c>
      <c r="D12424" t="s">
        <v>687</v>
      </c>
      <c r="E12424" t="s">
        <v>386</v>
      </c>
      <c r="F12424" t="s">
        <v>550</v>
      </c>
      <c r="G12424" t="s">
        <v>93</v>
      </c>
      <c r="H12424" t="s">
        <v>122</v>
      </c>
      <c r="I12424" t="s">
        <v>1319</v>
      </c>
    </row>
    <row r="12425" spans="1:9" x14ac:dyDescent="0.3">
      <c r="A12425" t="s">
        <v>27</v>
      </c>
      <c r="B12425" t="s">
        <v>312</v>
      </c>
      <c r="C12425">
        <v>60</v>
      </c>
      <c r="D12425" t="s">
        <v>702</v>
      </c>
      <c r="E12425" t="s">
        <v>1060</v>
      </c>
      <c r="F12425" t="s">
        <v>550</v>
      </c>
      <c r="G12425" t="s">
        <v>128</v>
      </c>
      <c r="H12425" t="s">
        <v>103</v>
      </c>
      <c r="I12425" t="s">
        <v>106</v>
      </c>
    </row>
    <row r="12426" spans="1:9" x14ac:dyDescent="0.3">
      <c r="A12426" t="s">
        <v>27</v>
      </c>
      <c r="B12426" t="s">
        <v>308</v>
      </c>
      <c r="C12426">
        <v>3</v>
      </c>
      <c r="D12426" t="s">
        <v>103</v>
      </c>
      <c r="E12426" t="s">
        <v>406</v>
      </c>
      <c r="F12426" t="s">
        <v>103</v>
      </c>
      <c r="G12426" t="s">
        <v>103</v>
      </c>
      <c r="H12426" t="s">
        <v>103</v>
      </c>
      <c r="I12426" t="s">
        <v>407</v>
      </c>
    </row>
    <row r="12427" spans="1:9" x14ac:dyDescent="0.3">
      <c r="A12427" t="s">
        <v>41</v>
      </c>
      <c r="B12427" t="s">
        <v>311</v>
      </c>
      <c r="C12427">
        <v>1399</v>
      </c>
      <c r="D12427" t="s">
        <v>452</v>
      </c>
      <c r="E12427" t="s">
        <v>410</v>
      </c>
      <c r="F12427" t="s">
        <v>750</v>
      </c>
      <c r="G12427" t="s">
        <v>239</v>
      </c>
      <c r="H12427" t="s">
        <v>116</v>
      </c>
      <c r="I12427" t="s">
        <v>568</v>
      </c>
    </row>
    <row r="12428" spans="1:9" x14ac:dyDescent="0.3">
      <c r="A12428" t="s">
        <v>41</v>
      </c>
      <c r="B12428" t="s">
        <v>312</v>
      </c>
      <c r="C12428">
        <v>385</v>
      </c>
      <c r="D12428" t="s">
        <v>232</v>
      </c>
      <c r="E12428" t="s">
        <v>1209</v>
      </c>
      <c r="F12428" t="s">
        <v>807</v>
      </c>
      <c r="G12428" t="s">
        <v>345</v>
      </c>
      <c r="H12428" t="s">
        <v>97</v>
      </c>
      <c r="I12428" t="s">
        <v>829</v>
      </c>
    </row>
    <row r="12429" spans="1:9" x14ac:dyDescent="0.3">
      <c r="A12429" t="s">
        <v>41</v>
      </c>
      <c r="B12429" t="s">
        <v>308</v>
      </c>
      <c r="C12429">
        <v>63</v>
      </c>
      <c r="D12429" t="s">
        <v>70</v>
      </c>
      <c r="E12429" t="s">
        <v>1178</v>
      </c>
      <c r="F12429" t="s">
        <v>278</v>
      </c>
      <c r="G12429" t="s">
        <v>245</v>
      </c>
      <c r="H12429" t="s">
        <v>103</v>
      </c>
      <c r="I12429" t="s">
        <v>162</v>
      </c>
    </row>
    <row r="12431" spans="1:9" x14ac:dyDescent="0.3">
      <c r="A12431" t="s">
        <v>2868</v>
      </c>
    </row>
    <row r="12432" spans="1:9" x14ac:dyDescent="0.3">
      <c r="A12432" t="s">
        <v>36</v>
      </c>
      <c r="B12432" t="s">
        <v>1233</v>
      </c>
      <c r="C12432" t="s">
        <v>24</v>
      </c>
      <c r="D12432" t="s">
        <v>1454</v>
      </c>
      <c r="E12432" t="s">
        <v>2858</v>
      </c>
      <c r="F12432" t="s">
        <v>2859</v>
      </c>
      <c r="G12432" t="s">
        <v>2860</v>
      </c>
      <c r="H12432" t="s">
        <v>2861</v>
      </c>
      <c r="I12432" t="s">
        <v>2862</v>
      </c>
    </row>
    <row r="12433" spans="1:9" x14ac:dyDescent="0.3">
      <c r="A12433" t="s">
        <v>25</v>
      </c>
      <c r="B12433" t="s">
        <v>1234</v>
      </c>
      <c r="C12433">
        <v>226</v>
      </c>
      <c r="D12433" t="s">
        <v>214</v>
      </c>
      <c r="E12433" t="s">
        <v>1025</v>
      </c>
      <c r="F12433" t="s">
        <v>695</v>
      </c>
      <c r="G12433" t="s">
        <v>468</v>
      </c>
      <c r="H12433" t="s">
        <v>122</v>
      </c>
      <c r="I12433" t="s">
        <v>132</v>
      </c>
    </row>
    <row r="12434" spans="1:9" s="3" customFormat="1" x14ac:dyDescent="0.3">
      <c r="A12434" s="3" t="s">
        <v>25</v>
      </c>
      <c r="B12434" s="3" t="s">
        <v>1235</v>
      </c>
      <c r="C12434" s="3">
        <v>23</v>
      </c>
      <c r="D12434" s="3" t="s">
        <v>918</v>
      </c>
      <c r="E12434" s="3" t="s">
        <v>440</v>
      </c>
      <c r="F12434" s="3" t="s">
        <v>743</v>
      </c>
      <c r="G12434" s="3" t="s">
        <v>103</v>
      </c>
      <c r="H12434" s="3" t="s">
        <v>103</v>
      </c>
      <c r="I12434" s="3" t="s">
        <v>1081</v>
      </c>
    </row>
    <row r="12435" spans="1:9" x14ac:dyDescent="0.3">
      <c r="A12435" t="s">
        <v>25</v>
      </c>
      <c r="B12435" t="s">
        <v>1237</v>
      </c>
      <c r="C12435">
        <v>108</v>
      </c>
      <c r="D12435" t="s">
        <v>591</v>
      </c>
      <c r="E12435" t="s">
        <v>1327</v>
      </c>
      <c r="F12435" t="s">
        <v>190</v>
      </c>
      <c r="G12435" t="s">
        <v>103</v>
      </c>
      <c r="H12435" t="s">
        <v>116</v>
      </c>
      <c r="I12435" t="s">
        <v>1204</v>
      </c>
    </row>
    <row r="12436" spans="1:9" x14ac:dyDescent="0.3">
      <c r="A12436" t="s">
        <v>26</v>
      </c>
      <c r="B12436" t="s">
        <v>1234</v>
      </c>
      <c r="C12436">
        <v>281</v>
      </c>
      <c r="D12436" t="s">
        <v>140</v>
      </c>
      <c r="E12436" t="s">
        <v>722</v>
      </c>
      <c r="F12436" t="s">
        <v>173</v>
      </c>
      <c r="G12436" t="s">
        <v>239</v>
      </c>
      <c r="H12436" t="s">
        <v>103</v>
      </c>
      <c r="I12436" t="s">
        <v>578</v>
      </c>
    </row>
    <row r="12437" spans="1:9" x14ac:dyDescent="0.3">
      <c r="A12437" t="s">
        <v>26</v>
      </c>
      <c r="B12437" t="s">
        <v>1235</v>
      </c>
      <c r="C12437">
        <v>33</v>
      </c>
      <c r="D12437" t="s">
        <v>737</v>
      </c>
      <c r="E12437" t="s">
        <v>905</v>
      </c>
      <c r="F12437" t="s">
        <v>224</v>
      </c>
      <c r="G12437" t="s">
        <v>103</v>
      </c>
      <c r="H12437" t="s">
        <v>103</v>
      </c>
      <c r="I12437" t="s">
        <v>162</v>
      </c>
    </row>
    <row r="12438" spans="1:9" x14ac:dyDescent="0.3">
      <c r="A12438" t="s">
        <v>26</v>
      </c>
      <c r="B12438" t="s">
        <v>1237</v>
      </c>
      <c r="C12438">
        <v>134</v>
      </c>
      <c r="D12438" t="s">
        <v>558</v>
      </c>
      <c r="E12438" t="s">
        <v>937</v>
      </c>
      <c r="F12438" t="s">
        <v>269</v>
      </c>
      <c r="G12438" t="s">
        <v>103</v>
      </c>
      <c r="H12438" t="s">
        <v>103</v>
      </c>
      <c r="I12438" t="s">
        <v>470</v>
      </c>
    </row>
    <row r="12439" spans="1:9" x14ac:dyDescent="0.3">
      <c r="A12439" t="s">
        <v>29</v>
      </c>
      <c r="B12439" t="s">
        <v>1234</v>
      </c>
      <c r="C12439">
        <v>306</v>
      </c>
      <c r="D12439" t="s">
        <v>532</v>
      </c>
      <c r="E12439" t="s">
        <v>1401</v>
      </c>
      <c r="F12439" t="s">
        <v>566</v>
      </c>
      <c r="G12439" t="s">
        <v>341</v>
      </c>
      <c r="H12439" t="s">
        <v>139</v>
      </c>
      <c r="I12439" t="s">
        <v>697</v>
      </c>
    </row>
    <row r="12440" spans="1:9" x14ac:dyDescent="0.3">
      <c r="A12440" t="s">
        <v>29</v>
      </c>
      <c r="B12440" t="s">
        <v>1235</v>
      </c>
      <c r="C12440">
        <v>33</v>
      </c>
      <c r="D12440" t="s">
        <v>272</v>
      </c>
      <c r="E12440" t="s">
        <v>1209</v>
      </c>
      <c r="F12440" t="s">
        <v>173</v>
      </c>
      <c r="G12440" t="s">
        <v>245</v>
      </c>
      <c r="H12440" t="s">
        <v>103</v>
      </c>
      <c r="I12440" t="s">
        <v>476</v>
      </c>
    </row>
    <row r="12441" spans="1:9" x14ac:dyDescent="0.3">
      <c r="A12441" t="s">
        <v>29</v>
      </c>
      <c r="B12441" t="s">
        <v>1237</v>
      </c>
      <c r="C12441">
        <v>105</v>
      </c>
      <c r="D12441" t="s">
        <v>94</v>
      </c>
      <c r="E12441" t="s">
        <v>1096</v>
      </c>
      <c r="F12441" t="s">
        <v>474</v>
      </c>
      <c r="G12441" t="s">
        <v>64</v>
      </c>
      <c r="H12441" t="s">
        <v>103</v>
      </c>
      <c r="I12441" t="s">
        <v>256</v>
      </c>
    </row>
    <row r="12442" spans="1:9" x14ac:dyDescent="0.3">
      <c r="A12442" t="s">
        <v>28</v>
      </c>
      <c r="B12442" t="s">
        <v>1234</v>
      </c>
      <c r="C12442">
        <v>120</v>
      </c>
      <c r="D12442" t="s">
        <v>206</v>
      </c>
      <c r="E12442" t="s">
        <v>799</v>
      </c>
      <c r="F12442" t="s">
        <v>629</v>
      </c>
      <c r="G12442" t="s">
        <v>103</v>
      </c>
      <c r="H12442" t="s">
        <v>103</v>
      </c>
      <c r="I12442" t="s">
        <v>550</v>
      </c>
    </row>
    <row r="12443" spans="1:9" s="3" customFormat="1" x14ac:dyDescent="0.3">
      <c r="A12443" s="3" t="s">
        <v>28</v>
      </c>
      <c r="B12443" s="3" t="s">
        <v>1235</v>
      </c>
      <c r="C12443" s="3">
        <v>16</v>
      </c>
      <c r="D12443" s="3" t="s">
        <v>580</v>
      </c>
      <c r="E12443" s="3" t="s">
        <v>431</v>
      </c>
      <c r="F12443" s="3" t="s">
        <v>103</v>
      </c>
      <c r="G12443" s="3" t="s">
        <v>103</v>
      </c>
      <c r="H12443" s="3" t="s">
        <v>103</v>
      </c>
      <c r="I12443" s="3" t="s">
        <v>651</v>
      </c>
    </row>
    <row r="12444" spans="1:9" x14ac:dyDescent="0.3">
      <c r="A12444" t="s">
        <v>28</v>
      </c>
      <c r="B12444" t="s">
        <v>1237</v>
      </c>
      <c r="C12444">
        <v>169</v>
      </c>
      <c r="D12444" t="s">
        <v>118</v>
      </c>
      <c r="E12444" t="s">
        <v>47</v>
      </c>
      <c r="F12444" t="s">
        <v>594</v>
      </c>
      <c r="G12444" t="s">
        <v>103</v>
      </c>
      <c r="H12444" t="s">
        <v>103</v>
      </c>
      <c r="I12444" t="s">
        <v>146</v>
      </c>
    </row>
    <row r="12445" spans="1:9" x14ac:dyDescent="0.3">
      <c r="A12445" t="s">
        <v>27</v>
      </c>
      <c r="B12445" t="s">
        <v>1234</v>
      </c>
      <c r="C12445">
        <v>146</v>
      </c>
      <c r="D12445" t="s">
        <v>1319</v>
      </c>
      <c r="E12445" t="s">
        <v>1065</v>
      </c>
      <c r="F12445" t="s">
        <v>56</v>
      </c>
      <c r="G12445" t="s">
        <v>125</v>
      </c>
      <c r="H12445" t="s">
        <v>95</v>
      </c>
      <c r="I12445" t="s">
        <v>750</v>
      </c>
    </row>
    <row r="12446" spans="1:9" s="3" customFormat="1" x14ac:dyDescent="0.3">
      <c r="A12446" s="3" t="s">
        <v>27</v>
      </c>
      <c r="B12446" s="3" t="s">
        <v>1235</v>
      </c>
      <c r="C12446" s="3">
        <v>10</v>
      </c>
      <c r="D12446" s="3" t="s">
        <v>571</v>
      </c>
      <c r="E12446" s="3" t="s">
        <v>851</v>
      </c>
      <c r="F12446" s="3" t="s">
        <v>103</v>
      </c>
      <c r="G12446" s="3" t="s">
        <v>103</v>
      </c>
      <c r="H12446" s="3" t="s">
        <v>103</v>
      </c>
      <c r="I12446" s="3" t="s">
        <v>103</v>
      </c>
    </row>
    <row r="12447" spans="1:9" x14ac:dyDescent="0.3">
      <c r="A12447" t="s">
        <v>27</v>
      </c>
      <c r="B12447" t="s">
        <v>1237</v>
      </c>
      <c r="C12447">
        <v>137</v>
      </c>
      <c r="D12447" t="s">
        <v>30</v>
      </c>
      <c r="E12447" t="s">
        <v>538</v>
      </c>
      <c r="F12447" t="s">
        <v>524</v>
      </c>
      <c r="G12447" t="s">
        <v>139</v>
      </c>
      <c r="H12447" t="s">
        <v>103</v>
      </c>
      <c r="I12447" t="s">
        <v>555</v>
      </c>
    </row>
    <row r="12448" spans="1:9" x14ac:dyDescent="0.3">
      <c r="A12448" t="s">
        <v>41</v>
      </c>
      <c r="B12448" t="s">
        <v>1234</v>
      </c>
      <c r="C12448">
        <v>1079</v>
      </c>
      <c r="D12448" t="s">
        <v>662</v>
      </c>
      <c r="E12448" t="s">
        <v>1401</v>
      </c>
      <c r="F12448" t="s">
        <v>275</v>
      </c>
      <c r="G12448" t="s">
        <v>245</v>
      </c>
      <c r="H12448" t="s">
        <v>97</v>
      </c>
      <c r="I12448" t="s">
        <v>681</v>
      </c>
    </row>
    <row r="12449" spans="1:9" x14ac:dyDescent="0.3">
      <c r="A12449" t="s">
        <v>41</v>
      </c>
      <c r="B12449" t="s">
        <v>1235</v>
      </c>
      <c r="C12449">
        <v>115</v>
      </c>
      <c r="D12449" t="s">
        <v>60</v>
      </c>
      <c r="E12449" t="s">
        <v>1034</v>
      </c>
      <c r="F12449" t="s">
        <v>463</v>
      </c>
      <c r="G12449" t="s">
        <v>139</v>
      </c>
      <c r="H12449" t="s">
        <v>103</v>
      </c>
      <c r="I12449" t="s">
        <v>805</v>
      </c>
    </row>
    <row r="12450" spans="1:9" x14ac:dyDescent="0.3">
      <c r="A12450" t="s">
        <v>41</v>
      </c>
      <c r="B12450" t="s">
        <v>1237</v>
      </c>
      <c r="C12450">
        <v>653</v>
      </c>
      <c r="D12450" t="s">
        <v>94</v>
      </c>
      <c r="E12450" t="s">
        <v>1071</v>
      </c>
      <c r="F12450" t="s">
        <v>144</v>
      </c>
      <c r="G12450" t="s">
        <v>345</v>
      </c>
      <c r="H12450" t="s">
        <v>91</v>
      </c>
      <c r="I12450" t="s">
        <v>580</v>
      </c>
    </row>
    <row r="12452" spans="1:9" x14ac:dyDescent="0.3">
      <c r="A12452" t="s">
        <v>2869</v>
      </c>
    </row>
    <row r="12453" spans="1:9" x14ac:dyDescent="0.3">
      <c r="A12453" t="s">
        <v>36</v>
      </c>
      <c r="B12453" t="s">
        <v>2764</v>
      </c>
      <c r="C12453" t="s">
        <v>24</v>
      </c>
      <c r="D12453" t="s">
        <v>1454</v>
      </c>
      <c r="E12453" t="s">
        <v>2858</v>
      </c>
      <c r="F12453" t="s">
        <v>2859</v>
      </c>
      <c r="G12453" t="s">
        <v>2862</v>
      </c>
      <c r="H12453" t="s">
        <v>2860</v>
      </c>
      <c r="I12453" t="s">
        <v>2861</v>
      </c>
    </row>
    <row r="12454" spans="1:9" s="3" customFormat="1" x14ac:dyDescent="0.3">
      <c r="A12454" s="3" t="s">
        <v>25</v>
      </c>
      <c r="B12454" s="3" t="s">
        <v>2765</v>
      </c>
      <c r="C12454" s="3">
        <v>14</v>
      </c>
      <c r="D12454" s="3" t="s">
        <v>101</v>
      </c>
      <c r="E12454" s="3" t="s">
        <v>930</v>
      </c>
      <c r="F12454" s="3" t="s">
        <v>169</v>
      </c>
      <c r="G12454" s="3" t="s">
        <v>816</v>
      </c>
      <c r="H12454" s="3" t="s">
        <v>103</v>
      </c>
      <c r="I12454" s="3" t="s">
        <v>103</v>
      </c>
    </row>
    <row r="12455" spans="1:9" s="3" customFormat="1" x14ac:dyDescent="0.3">
      <c r="A12455" s="3" t="s">
        <v>25</v>
      </c>
      <c r="B12455" s="3" t="s">
        <v>585</v>
      </c>
      <c r="C12455" s="3">
        <v>5</v>
      </c>
      <c r="D12455" s="3" t="s">
        <v>103</v>
      </c>
      <c r="E12455" s="3" t="s">
        <v>1368</v>
      </c>
      <c r="F12455" s="3" t="s">
        <v>224</v>
      </c>
      <c r="G12455" s="3" t="s">
        <v>103</v>
      </c>
      <c r="H12455" s="3" t="s">
        <v>106</v>
      </c>
      <c r="I12455" s="3" t="s">
        <v>103</v>
      </c>
    </row>
    <row r="12456" spans="1:9" s="3" customFormat="1" x14ac:dyDescent="0.3">
      <c r="A12456" s="3" t="s">
        <v>25</v>
      </c>
      <c r="B12456" s="3" t="s">
        <v>586</v>
      </c>
      <c r="C12456" s="3">
        <v>14</v>
      </c>
      <c r="D12456" s="3" t="s">
        <v>103</v>
      </c>
      <c r="E12456" s="3" t="s">
        <v>161</v>
      </c>
      <c r="F12456" s="3" t="s">
        <v>224</v>
      </c>
      <c r="G12456" s="3" t="s">
        <v>60</v>
      </c>
      <c r="H12456" s="3" t="s">
        <v>103</v>
      </c>
      <c r="I12456" s="3" t="s">
        <v>103</v>
      </c>
    </row>
    <row r="12457" spans="1:9" s="3" customFormat="1" x14ac:dyDescent="0.3">
      <c r="A12457" s="3" t="s">
        <v>25</v>
      </c>
      <c r="B12457" s="3" t="s">
        <v>587</v>
      </c>
      <c r="C12457" s="3">
        <v>1</v>
      </c>
      <c r="D12457" s="3" t="s">
        <v>103</v>
      </c>
      <c r="E12457" s="3" t="s">
        <v>192</v>
      </c>
      <c r="F12457" s="3" t="s">
        <v>103</v>
      </c>
      <c r="G12457" s="3" t="s">
        <v>103</v>
      </c>
      <c r="H12457" s="3" t="s">
        <v>103</v>
      </c>
      <c r="I12457" s="3" t="s">
        <v>103</v>
      </c>
    </row>
    <row r="12458" spans="1:9" s="3" customFormat="1" x14ac:dyDescent="0.3">
      <c r="A12458" s="3" t="s">
        <v>25</v>
      </c>
      <c r="B12458" s="3" t="s">
        <v>588</v>
      </c>
      <c r="C12458" s="3">
        <v>14</v>
      </c>
      <c r="D12458" s="3" t="s">
        <v>103</v>
      </c>
      <c r="E12458" s="3" t="s">
        <v>1220</v>
      </c>
      <c r="F12458" s="3" t="s">
        <v>521</v>
      </c>
      <c r="G12458" s="3" t="s">
        <v>455</v>
      </c>
      <c r="H12458" s="3" t="s">
        <v>103</v>
      </c>
      <c r="I12458" s="3" t="s">
        <v>103</v>
      </c>
    </row>
    <row r="12459" spans="1:9" x14ac:dyDescent="0.3">
      <c r="A12459" t="s">
        <v>25</v>
      </c>
      <c r="B12459" t="s">
        <v>2766</v>
      </c>
      <c r="C12459">
        <v>309</v>
      </c>
      <c r="D12459" t="s">
        <v>70</v>
      </c>
      <c r="E12459" t="s">
        <v>1238</v>
      </c>
      <c r="F12459" t="s">
        <v>521</v>
      </c>
      <c r="G12459" t="s">
        <v>1023</v>
      </c>
      <c r="H12459" t="s">
        <v>95</v>
      </c>
      <c r="I12459" t="s">
        <v>122</v>
      </c>
    </row>
    <row r="12460" spans="1:9" s="3" customFormat="1" x14ac:dyDescent="0.3">
      <c r="A12460" s="3" t="s">
        <v>26</v>
      </c>
      <c r="B12460" s="3" t="s">
        <v>2765</v>
      </c>
      <c r="C12460" s="3">
        <v>23</v>
      </c>
      <c r="D12460" s="3" t="s">
        <v>531</v>
      </c>
      <c r="E12460" s="3" t="s">
        <v>811</v>
      </c>
      <c r="F12460" s="3" t="s">
        <v>682</v>
      </c>
      <c r="G12460" s="3" t="s">
        <v>284</v>
      </c>
      <c r="H12460" s="3" t="s">
        <v>103</v>
      </c>
      <c r="I12460" s="3" t="s">
        <v>103</v>
      </c>
    </row>
    <row r="12461" spans="1:9" s="3" customFormat="1" x14ac:dyDescent="0.3">
      <c r="A12461" s="3" t="s">
        <v>26</v>
      </c>
      <c r="B12461" s="3" t="s">
        <v>586</v>
      </c>
      <c r="C12461" s="3">
        <v>4</v>
      </c>
      <c r="D12461" s="3" t="s">
        <v>615</v>
      </c>
      <c r="E12461" s="3" t="s">
        <v>1037</v>
      </c>
      <c r="F12461" s="3" t="s">
        <v>103</v>
      </c>
      <c r="G12461" s="3" t="s">
        <v>52</v>
      </c>
      <c r="H12461" s="3" t="s">
        <v>103</v>
      </c>
      <c r="I12461" s="3" t="s">
        <v>103</v>
      </c>
    </row>
    <row r="12462" spans="1:9" s="3" customFormat="1" x14ac:dyDescent="0.3">
      <c r="A12462" s="3" t="s">
        <v>26</v>
      </c>
      <c r="B12462" s="3" t="s">
        <v>587</v>
      </c>
      <c r="C12462" s="3">
        <v>8</v>
      </c>
      <c r="D12462" s="3" t="s">
        <v>815</v>
      </c>
      <c r="E12462" s="3" t="s">
        <v>1021</v>
      </c>
      <c r="F12462" s="3" t="s">
        <v>697</v>
      </c>
      <c r="G12462" s="3" t="s">
        <v>103</v>
      </c>
      <c r="H12462" s="3" t="s">
        <v>103</v>
      </c>
      <c r="I12462" s="3" t="s">
        <v>103</v>
      </c>
    </row>
    <row r="12463" spans="1:9" s="3" customFormat="1" x14ac:dyDescent="0.3">
      <c r="A12463" s="3" t="s">
        <v>26</v>
      </c>
      <c r="B12463" s="3" t="s">
        <v>588</v>
      </c>
      <c r="C12463" s="3">
        <v>4</v>
      </c>
      <c r="D12463" s="3" t="s">
        <v>103</v>
      </c>
      <c r="E12463" s="3" t="s">
        <v>2111</v>
      </c>
      <c r="F12463" s="3" t="s">
        <v>103</v>
      </c>
      <c r="G12463" s="3" t="s">
        <v>935</v>
      </c>
      <c r="H12463" s="3" t="s">
        <v>103</v>
      </c>
      <c r="I12463" s="3" t="s">
        <v>103</v>
      </c>
    </row>
    <row r="12464" spans="1:9" x14ac:dyDescent="0.3">
      <c r="A12464" t="s">
        <v>26</v>
      </c>
      <c r="B12464" t="s">
        <v>2766</v>
      </c>
      <c r="C12464">
        <v>409</v>
      </c>
      <c r="D12464" t="s">
        <v>466</v>
      </c>
      <c r="E12464" t="s">
        <v>406</v>
      </c>
      <c r="F12464" t="s">
        <v>813</v>
      </c>
      <c r="G12464" t="s">
        <v>551</v>
      </c>
      <c r="H12464" t="s">
        <v>345</v>
      </c>
      <c r="I12464" t="s">
        <v>103</v>
      </c>
    </row>
    <row r="12465" spans="1:9" s="3" customFormat="1" x14ac:dyDescent="0.3">
      <c r="A12465" s="3" t="s">
        <v>29</v>
      </c>
      <c r="B12465" s="3" t="s">
        <v>2765</v>
      </c>
      <c r="C12465" s="3">
        <v>25</v>
      </c>
      <c r="D12465" s="3" t="s">
        <v>472</v>
      </c>
      <c r="E12465" s="3" t="s">
        <v>379</v>
      </c>
      <c r="F12465" s="3" t="s">
        <v>133</v>
      </c>
      <c r="G12465" s="3" t="s">
        <v>247</v>
      </c>
      <c r="H12465" s="3" t="s">
        <v>103</v>
      </c>
      <c r="I12465" s="3" t="s">
        <v>118</v>
      </c>
    </row>
    <row r="12466" spans="1:9" s="3" customFormat="1" x14ac:dyDescent="0.3">
      <c r="A12466" s="3" t="s">
        <v>29</v>
      </c>
      <c r="B12466" s="3" t="s">
        <v>585</v>
      </c>
      <c r="C12466" s="3">
        <v>4</v>
      </c>
      <c r="D12466" s="3" t="s">
        <v>103</v>
      </c>
      <c r="E12466" s="3" t="s">
        <v>103</v>
      </c>
      <c r="F12466" s="3" t="s">
        <v>103</v>
      </c>
      <c r="G12466" s="3" t="s">
        <v>250</v>
      </c>
      <c r="H12466" s="3" t="s">
        <v>934</v>
      </c>
      <c r="I12466" s="3" t="s">
        <v>686</v>
      </c>
    </row>
    <row r="12467" spans="1:9" s="3" customFormat="1" x14ac:dyDescent="0.3">
      <c r="A12467" s="3" t="s">
        <v>29</v>
      </c>
      <c r="B12467" s="3" t="s">
        <v>586</v>
      </c>
      <c r="C12467" s="3">
        <v>6</v>
      </c>
      <c r="D12467" s="3" t="s">
        <v>419</v>
      </c>
      <c r="E12467" s="3" t="s">
        <v>268</v>
      </c>
      <c r="F12467" s="3" t="s">
        <v>103</v>
      </c>
      <c r="G12467" s="3" t="s">
        <v>103</v>
      </c>
      <c r="H12467" s="3" t="s">
        <v>103</v>
      </c>
      <c r="I12467" s="3" t="s">
        <v>697</v>
      </c>
    </row>
    <row r="12468" spans="1:9" s="3" customFormat="1" x14ac:dyDescent="0.3">
      <c r="A12468" s="3" t="s">
        <v>29</v>
      </c>
      <c r="B12468" s="3" t="s">
        <v>587</v>
      </c>
      <c r="C12468" s="3">
        <v>2</v>
      </c>
      <c r="D12468" s="3" t="s">
        <v>103</v>
      </c>
      <c r="E12468" s="3" t="s">
        <v>431</v>
      </c>
      <c r="F12468" s="3" t="s">
        <v>103</v>
      </c>
      <c r="G12468" s="3" t="s">
        <v>1049</v>
      </c>
      <c r="H12468" s="3" t="s">
        <v>103</v>
      </c>
      <c r="I12468" s="3" t="s">
        <v>103</v>
      </c>
    </row>
    <row r="12469" spans="1:9" s="3" customFormat="1" x14ac:dyDescent="0.3">
      <c r="A12469" s="3" t="s">
        <v>29</v>
      </c>
      <c r="B12469" s="3" t="s">
        <v>588</v>
      </c>
      <c r="C12469" s="3">
        <v>13</v>
      </c>
      <c r="D12469" s="3" t="s">
        <v>127</v>
      </c>
      <c r="E12469" s="3" t="s">
        <v>1461</v>
      </c>
      <c r="F12469" s="3" t="s">
        <v>1088</v>
      </c>
      <c r="G12469" s="3" t="s">
        <v>136</v>
      </c>
      <c r="H12469" s="3" t="s">
        <v>103</v>
      </c>
      <c r="I12469" s="3" t="s">
        <v>103</v>
      </c>
    </row>
    <row r="12470" spans="1:9" x14ac:dyDescent="0.3">
      <c r="A12470" t="s">
        <v>29</v>
      </c>
      <c r="B12470" t="s">
        <v>2766</v>
      </c>
      <c r="C12470">
        <v>394</v>
      </c>
      <c r="D12470" t="s">
        <v>438</v>
      </c>
      <c r="E12470" t="s">
        <v>1251</v>
      </c>
      <c r="F12470" t="s">
        <v>54</v>
      </c>
      <c r="G12470" t="s">
        <v>654</v>
      </c>
      <c r="H12470" t="s">
        <v>341</v>
      </c>
      <c r="I12470" t="s">
        <v>103</v>
      </c>
    </row>
    <row r="12471" spans="1:9" s="3" customFormat="1" x14ac:dyDescent="0.3">
      <c r="A12471" s="3" t="s">
        <v>28</v>
      </c>
      <c r="B12471" s="3" t="s">
        <v>2765</v>
      </c>
      <c r="C12471" s="3">
        <v>5</v>
      </c>
      <c r="D12471" s="3" t="s">
        <v>103</v>
      </c>
      <c r="E12471" s="3" t="s">
        <v>192</v>
      </c>
      <c r="F12471" s="3" t="s">
        <v>103</v>
      </c>
      <c r="G12471" s="3" t="s">
        <v>103</v>
      </c>
      <c r="H12471" s="3" t="s">
        <v>103</v>
      </c>
      <c r="I12471" s="3" t="s">
        <v>103</v>
      </c>
    </row>
    <row r="12472" spans="1:9" s="3" customFormat="1" x14ac:dyDescent="0.3">
      <c r="A12472" s="3" t="s">
        <v>28</v>
      </c>
      <c r="B12472" s="3" t="s">
        <v>585</v>
      </c>
      <c r="C12472" s="3">
        <v>8</v>
      </c>
      <c r="D12472" s="3" t="s">
        <v>578</v>
      </c>
      <c r="E12472" s="3" t="s">
        <v>403</v>
      </c>
      <c r="F12472" s="3" t="s">
        <v>106</v>
      </c>
      <c r="G12472" s="3" t="s">
        <v>103</v>
      </c>
      <c r="H12472" s="3" t="s">
        <v>103</v>
      </c>
      <c r="I12472" s="3" t="s">
        <v>103</v>
      </c>
    </row>
    <row r="12473" spans="1:9" s="3" customFormat="1" x14ac:dyDescent="0.3">
      <c r="A12473" s="3" t="s">
        <v>28</v>
      </c>
      <c r="B12473" s="3" t="s">
        <v>586</v>
      </c>
      <c r="C12473" s="3">
        <v>6</v>
      </c>
      <c r="D12473" s="3" t="s">
        <v>269</v>
      </c>
      <c r="E12473" s="3" t="s">
        <v>614</v>
      </c>
      <c r="F12473" s="3" t="s">
        <v>103</v>
      </c>
      <c r="G12473" s="3" t="s">
        <v>103</v>
      </c>
      <c r="H12473" s="3" t="s">
        <v>103</v>
      </c>
      <c r="I12473" s="3" t="s">
        <v>103</v>
      </c>
    </row>
    <row r="12474" spans="1:9" s="3" customFormat="1" x14ac:dyDescent="0.3">
      <c r="A12474" s="3" t="s">
        <v>28</v>
      </c>
      <c r="B12474" s="3" t="s">
        <v>587</v>
      </c>
      <c r="C12474" s="3">
        <v>11</v>
      </c>
      <c r="D12474" s="3" t="s">
        <v>232</v>
      </c>
      <c r="E12474" s="3" t="s">
        <v>606</v>
      </c>
      <c r="F12474" s="3" t="s">
        <v>103</v>
      </c>
      <c r="G12474" s="3" t="s">
        <v>186</v>
      </c>
      <c r="H12474" s="3" t="s">
        <v>103</v>
      </c>
      <c r="I12474" s="3" t="s">
        <v>103</v>
      </c>
    </row>
    <row r="12475" spans="1:9" x14ac:dyDescent="0.3">
      <c r="A12475" t="s">
        <v>28</v>
      </c>
      <c r="B12475" t="s">
        <v>588</v>
      </c>
      <c r="C12475">
        <v>32</v>
      </c>
      <c r="D12475" t="s">
        <v>103</v>
      </c>
      <c r="E12475" t="s">
        <v>988</v>
      </c>
      <c r="F12475" t="s">
        <v>467</v>
      </c>
      <c r="G12475" t="s">
        <v>103</v>
      </c>
      <c r="H12475" t="s">
        <v>103</v>
      </c>
      <c r="I12475" t="s">
        <v>103</v>
      </c>
    </row>
    <row r="12476" spans="1:9" x14ac:dyDescent="0.3">
      <c r="A12476" t="s">
        <v>28</v>
      </c>
      <c r="B12476" t="s">
        <v>2766</v>
      </c>
      <c r="C12476">
        <v>243</v>
      </c>
      <c r="D12476" t="s">
        <v>615</v>
      </c>
      <c r="E12476" t="s">
        <v>1373</v>
      </c>
      <c r="F12476" t="s">
        <v>126</v>
      </c>
      <c r="G12476" t="s">
        <v>470</v>
      </c>
      <c r="H12476" t="s">
        <v>103</v>
      </c>
      <c r="I12476" t="s">
        <v>103</v>
      </c>
    </row>
    <row r="12477" spans="1:9" x14ac:dyDescent="0.3">
      <c r="A12477" t="s">
        <v>27</v>
      </c>
      <c r="B12477" t="s">
        <v>2765</v>
      </c>
      <c r="C12477">
        <v>88</v>
      </c>
      <c r="D12477" t="s">
        <v>427</v>
      </c>
      <c r="E12477" t="s">
        <v>567</v>
      </c>
      <c r="F12477" t="s">
        <v>743</v>
      </c>
      <c r="G12477" t="s">
        <v>571</v>
      </c>
      <c r="H12477" t="s">
        <v>93</v>
      </c>
      <c r="I12477" t="s">
        <v>282</v>
      </c>
    </row>
    <row r="12478" spans="1:9" s="3" customFormat="1" x14ac:dyDescent="0.3">
      <c r="A12478" s="3" t="s">
        <v>27</v>
      </c>
      <c r="B12478" s="3" t="s">
        <v>585</v>
      </c>
      <c r="C12478" s="3">
        <v>1</v>
      </c>
      <c r="D12478" s="3" t="s">
        <v>103</v>
      </c>
      <c r="E12478" s="3" t="s">
        <v>103</v>
      </c>
      <c r="F12478" s="3" t="s">
        <v>103</v>
      </c>
      <c r="G12478" s="3" t="s">
        <v>192</v>
      </c>
      <c r="H12478" s="3" t="s">
        <v>103</v>
      </c>
      <c r="I12478" s="3" t="s">
        <v>103</v>
      </c>
    </row>
    <row r="12479" spans="1:9" s="3" customFormat="1" x14ac:dyDescent="0.3">
      <c r="A12479" s="3" t="s">
        <v>27</v>
      </c>
      <c r="B12479" s="3" t="s">
        <v>586</v>
      </c>
      <c r="C12479" s="3">
        <v>1</v>
      </c>
      <c r="D12479" s="3" t="s">
        <v>103</v>
      </c>
      <c r="E12479" s="3" t="s">
        <v>192</v>
      </c>
      <c r="F12479" s="3" t="s">
        <v>103</v>
      </c>
      <c r="G12479" s="3" t="s">
        <v>103</v>
      </c>
      <c r="H12479" s="3" t="s">
        <v>103</v>
      </c>
      <c r="I12479" s="3" t="s">
        <v>103</v>
      </c>
    </row>
    <row r="12480" spans="1:9" s="3" customFormat="1" x14ac:dyDescent="0.3">
      <c r="A12480" s="3" t="s">
        <v>27</v>
      </c>
      <c r="B12480" s="3" t="s">
        <v>588</v>
      </c>
      <c r="C12480" s="3">
        <v>3</v>
      </c>
      <c r="D12480" s="3" t="s">
        <v>103</v>
      </c>
      <c r="E12480" s="3" t="s">
        <v>658</v>
      </c>
      <c r="F12480" s="3" t="s">
        <v>103</v>
      </c>
      <c r="G12480" s="3" t="s">
        <v>705</v>
      </c>
      <c r="H12480" s="3" t="s">
        <v>359</v>
      </c>
      <c r="I12480" s="3" t="s">
        <v>103</v>
      </c>
    </row>
    <row r="12481" spans="1:9" x14ac:dyDescent="0.3">
      <c r="A12481" t="s">
        <v>27</v>
      </c>
      <c r="B12481" t="s">
        <v>2766</v>
      </c>
      <c r="C12481">
        <v>200</v>
      </c>
      <c r="D12481" t="s">
        <v>114</v>
      </c>
      <c r="E12481" t="s">
        <v>1394</v>
      </c>
      <c r="F12481" t="s">
        <v>471</v>
      </c>
      <c r="G12481" t="s">
        <v>155</v>
      </c>
      <c r="H12481" t="s">
        <v>245</v>
      </c>
      <c r="I12481" t="s">
        <v>103</v>
      </c>
    </row>
    <row r="12482" spans="1:9" x14ac:dyDescent="0.3">
      <c r="A12482" t="s">
        <v>41</v>
      </c>
      <c r="B12482" t="s">
        <v>2765</v>
      </c>
      <c r="C12482">
        <v>155</v>
      </c>
      <c r="D12482" t="s">
        <v>1219</v>
      </c>
      <c r="E12482" t="s">
        <v>1426</v>
      </c>
      <c r="F12482" t="s">
        <v>459</v>
      </c>
      <c r="G12482" t="s">
        <v>463</v>
      </c>
      <c r="H12482" t="s">
        <v>120</v>
      </c>
      <c r="I12482" t="s">
        <v>468</v>
      </c>
    </row>
    <row r="12483" spans="1:9" s="3" customFormat="1" x14ac:dyDescent="0.3">
      <c r="A12483" s="3" t="s">
        <v>41</v>
      </c>
      <c r="B12483" s="3" t="s">
        <v>585</v>
      </c>
      <c r="C12483" s="3">
        <v>18</v>
      </c>
      <c r="D12483" s="3" t="s">
        <v>114</v>
      </c>
      <c r="E12483" s="3" t="s">
        <v>679</v>
      </c>
      <c r="F12483" s="3" t="s">
        <v>112</v>
      </c>
      <c r="G12483" s="3" t="s">
        <v>1319</v>
      </c>
      <c r="H12483" s="3" t="s">
        <v>1203</v>
      </c>
      <c r="I12483" s="3" t="s">
        <v>488</v>
      </c>
    </row>
    <row r="12484" spans="1:9" x14ac:dyDescent="0.3">
      <c r="A12484" t="s">
        <v>41</v>
      </c>
      <c r="B12484" t="s">
        <v>586</v>
      </c>
      <c r="C12484">
        <v>31</v>
      </c>
      <c r="D12484" t="s">
        <v>478</v>
      </c>
      <c r="E12484" t="s">
        <v>722</v>
      </c>
      <c r="F12484" t="s">
        <v>102</v>
      </c>
      <c r="G12484" t="s">
        <v>124</v>
      </c>
      <c r="H12484" t="s">
        <v>103</v>
      </c>
      <c r="I12484" t="s">
        <v>101</v>
      </c>
    </row>
    <row r="12485" spans="1:9" s="3" customFormat="1" x14ac:dyDescent="0.3">
      <c r="A12485" s="3" t="s">
        <v>41</v>
      </c>
      <c r="B12485" s="3" t="s">
        <v>587</v>
      </c>
      <c r="C12485" s="3">
        <v>22</v>
      </c>
      <c r="D12485" s="3" t="s">
        <v>734</v>
      </c>
      <c r="E12485" s="3" t="s">
        <v>417</v>
      </c>
      <c r="F12485" s="3" t="s">
        <v>169</v>
      </c>
      <c r="G12485" s="3" t="s">
        <v>543</v>
      </c>
      <c r="H12485" s="3" t="s">
        <v>103</v>
      </c>
      <c r="I12485" s="3" t="s">
        <v>103</v>
      </c>
    </row>
    <row r="12486" spans="1:9" x14ac:dyDescent="0.3">
      <c r="A12486" t="s">
        <v>41</v>
      </c>
      <c r="B12486" t="s">
        <v>588</v>
      </c>
      <c r="C12486">
        <v>66</v>
      </c>
      <c r="D12486" t="s">
        <v>125</v>
      </c>
      <c r="E12486" t="s">
        <v>793</v>
      </c>
      <c r="F12486" t="s">
        <v>568</v>
      </c>
      <c r="G12486" t="s">
        <v>268</v>
      </c>
      <c r="H12486" t="s">
        <v>95</v>
      </c>
      <c r="I12486" t="s">
        <v>103</v>
      </c>
    </row>
    <row r="12487" spans="1:9" x14ac:dyDescent="0.3">
      <c r="A12487" t="s">
        <v>41</v>
      </c>
      <c r="B12487" t="s">
        <v>2766</v>
      </c>
      <c r="C12487">
        <v>1555</v>
      </c>
      <c r="D12487" t="s">
        <v>615</v>
      </c>
      <c r="E12487" t="s">
        <v>1327</v>
      </c>
      <c r="F12487" t="s">
        <v>173</v>
      </c>
      <c r="G12487" t="s">
        <v>568</v>
      </c>
      <c r="H12487" t="s">
        <v>110</v>
      </c>
      <c r="I12487" t="s">
        <v>91</v>
      </c>
    </row>
    <row r="12489" spans="1:9" x14ac:dyDescent="0.3">
      <c r="A12489" t="s">
        <v>2870</v>
      </c>
    </row>
    <row r="12490" spans="1:9" x14ac:dyDescent="0.3">
      <c r="A12490" t="s">
        <v>36</v>
      </c>
      <c r="B12490" t="s">
        <v>2768</v>
      </c>
      <c r="C12490" t="s">
        <v>24</v>
      </c>
      <c r="D12490" t="s">
        <v>2858</v>
      </c>
      <c r="E12490" t="s">
        <v>2859</v>
      </c>
      <c r="F12490" t="s">
        <v>2860</v>
      </c>
      <c r="G12490" t="s">
        <v>2862</v>
      </c>
      <c r="H12490" t="s">
        <v>1454</v>
      </c>
      <c r="I12490" t="s">
        <v>2861</v>
      </c>
    </row>
    <row r="12491" spans="1:9" s="3" customFormat="1" x14ac:dyDescent="0.3">
      <c r="A12491" s="3" t="s">
        <v>25</v>
      </c>
      <c r="B12491" s="3" t="s">
        <v>638</v>
      </c>
      <c r="C12491" s="3">
        <v>5</v>
      </c>
      <c r="D12491" s="3" t="s">
        <v>1368</v>
      </c>
      <c r="E12491" s="3" t="s">
        <v>224</v>
      </c>
      <c r="F12491" s="3" t="s">
        <v>106</v>
      </c>
      <c r="G12491" s="3" t="s">
        <v>103</v>
      </c>
      <c r="H12491" s="3" t="s">
        <v>103</v>
      </c>
      <c r="I12491" s="3" t="s">
        <v>103</v>
      </c>
    </row>
    <row r="12492" spans="1:9" s="3" customFormat="1" x14ac:dyDescent="0.3">
      <c r="A12492" s="3" t="s">
        <v>25</v>
      </c>
      <c r="B12492" s="3" t="s">
        <v>639</v>
      </c>
      <c r="C12492" s="3">
        <v>10</v>
      </c>
      <c r="D12492" s="3" t="s">
        <v>1377</v>
      </c>
      <c r="E12492" s="3" t="s">
        <v>54</v>
      </c>
      <c r="F12492" s="3" t="s">
        <v>103</v>
      </c>
      <c r="G12492" s="3" t="s">
        <v>111</v>
      </c>
      <c r="H12492" s="3" t="s">
        <v>103</v>
      </c>
      <c r="I12492" s="3" t="s">
        <v>103</v>
      </c>
    </row>
    <row r="12493" spans="1:9" s="3" customFormat="1" x14ac:dyDescent="0.3">
      <c r="A12493" s="3" t="s">
        <v>25</v>
      </c>
      <c r="B12493" s="3" t="s">
        <v>640</v>
      </c>
      <c r="C12493" s="3">
        <v>9</v>
      </c>
      <c r="D12493" s="3" t="s">
        <v>741</v>
      </c>
      <c r="E12493" s="3" t="s">
        <v>582</v>
      </c>
      <c r="F12493" s="3" t="s">
        <v>103</v>
      </c>
      <c r="G12493" s="3" t="s">
        <v>103</v>
      </c>
      <c r="H12493" s="3" t="s">
        <v>103</v>
      </c>
      <c r="I12493" s="3" t="s">
        <v>103</v>
      </c>
    </row>
    <row r="12494" spans="1:9" s="3" customFormat="1" x14ac:dyDescent="0.3">
      <c r="A12494" s="3" t="s">
        <v>25</v>
      </c>
      <c r="B12494" s="3" t="s">
        <v>2765</v>
      </c>
      <c r="C12494" s="3">
        <v>1</v>
      </c>
      <c r="D12494" s="3" t="s">
        <v>103</v>
      </c>
      <c r="E12494" s="3" t="s">
        <v>103</v>
      </c>
      <c r="F12494" s="3" t="s">
        <v>103</v>
      </c>
      <c r="G12494" s="3" t="s">
        <v>192</v>
      </c>
      <c r="H12494" s="3" t="s">
        <v>103</v>
      </c>
      <c r="I12494" s="3" t="s">
        <v>103</v>
      </c>
    </row>
    <row r="12495" spans="1:9" s="3" customFormat="1" x14ac:dyDescent="0.3">
      <c r="A12495" s="3" t="s">
        <v>25</v>
      </c>
      <c r="B12495" s="3" t="s">
        <v>641</v>
      </c>
      <c r="C12495" s="3">
        <v>6</v>
      </c>
      <c r="D12495" s="3" t="s">
        <v>192</v>
      </c>
      <c r="E12495" s="3" t="s">
        <v>103</v>
      </c>
      <c r="F12495" s="3" t="s">
        <v>103</v>
      </c>
      <c r="G12495" s="3" t="s">
        <v>103</v>
      </c>
      <c r="H12495" s="3" t="s">
        <v>103</v>
      </c>
      <c r="I12495" s="3" t="s">
        <v>103</v>
      </c>
    </row>
    <row r="12496" spans="1:9" s="3" customFormat="1" x14ac:dyDescent="0.3">
      <c r="A12496" s="3" t="s">
        <v>25</v>
      </c>
      <c r="B12496" s="3" t="s">
        <v>2769</v>
      </c>
      <c r="C12496" s="3">
        <v>3</v>
      </c>
      <c r="D12496" s="3" t="s">
        <v>135</v>
      </c>
      <c r="E12496" s="3" t="s">
        <v>103</v>
      </c>
      <c r="F12496" s="3" t="s">
        <v>103</v>
      </c>
      <c r="G12496" s="3" t="s">
        <v>193</v>
      </c>
      <c r="H12496" s="3" t="s">
        <v>103</v>
      </c>
      <c r="I12496" s="3" t="s">
        <v>103</v>
      </c>
    </row>
    <row r="12497" spans="1:9" x14ac:dyDescent="0.3">
      <c r="A12497" t="s">
        <v>25</v>
      </c>
      <c r="B12497" t="s">
        <v>308</v>
      </c>
      <c r="C12497">
        <v>323</v>
      </c>
      <c r="D12497" t="s">
        <v>933</v>
      </c>
      <c r="E12497" t="s">
        <v>570</v>
      </c>
      <c r="F12497" t="s">
        <v>95</v>
      </c>
      <c r="G12497" t="s">
        <v>409</v>
      </c>
      <c r="H12497" t="s">
        <v>133</v>
      </c>
      <c r="I12497" t="s">
        <v>122</v>
      </c>
    </row>
    <row r="12498" spans="1:9" s="3" customFormat="1" x14ac:dyDescent="0.3">
      <c r="A12498" s="3" t="s">
        <v>26</v>
      </c>
      <c r="B12498" s="3" t="s">
        <v>639</v>
      </c>
      <c r="C12498" s="3">
        <v>7</v>
      </c>
      <c r="D12498" s="3" t="s">
        <v>512</v>
      </c>
      <c r="E12498" s="3" t="s">
        <v>409</v>
      </c>
      <c r="F12498" s="3" t="s">
        <v>103</v>
      </c>
      <c r="G12498" s="3" t="s">
        <v>103</v>
      </c>
      <c r="H12498" s="3" t="s">
        <v>489</v>
      </c>
      <c r="I12498" s="3" t="s">
        <v>103</v>
      </c>
    </row>
    <row r="12499" spans="1:9" s="3" customFormat="1" x14ac:dyDescent="0.3">
      <c r="A12499" s="3" t="s">
        <v>26</v>
      </c>
      <c r="B12499" s="3" t="s">
        <v>640</v>
      </c>
      <c r="C12499" s="3">
        <v>2</v>
      </c>
      <c r="D12499" s="3" t="s">
        <v>103</v>
      </c>
      <c r="E12499" s="3" t="s">
        <v>103</v>
      </c>
      <c r="F12499" s="3" t="s">
        <v>103</v>
      </c>
      <c r="G12499" s="3" t="s">
        <v>192</v>
      </c>
      <c r="H12499" s="3" t="s">
        <v>103</v>
      </c>
      <c r="I12499" s="3" t="s">
        <v>103</v>
      </c>
    </row>
    <row r="12500" spans="1:9" s="3" customFormat="1" x14ac:dyDescent="0.3">
      <c r="A12500" s="3" t="s">
        <v>26</v>
      </c>
      <c r="B12500" s="3" t="s">
        <v>641</v>
      </c>
      <c r="C12500" s="3">
        <v>5</v>
      </c>
      <c r="D12500" s="3" t="s">
        <v>200</v>
      </c>
      <c r="E12500" s="3" t="s">
        <v>103</v>
      </c>
      <c r="F12500" s="3" t="s">
        <v>103</v>
      </c>
      <c r="G12500" s="3" t="s">
        <v>103</v>
      </c>
      <c r="H12500" s="3" t="s">
        <v>201</v>
      </c>
      <c r="I12500" s="3" t="s">
        <v>103</v>
      </c>
    </row>
    <row r="12501" spans="1:9" s="3" customFormat="1" x14ac:dyDescent="0.3">
      <c r="A12501" s="3" t="s">
        <v>26</v>
      </c>
      <c r="B12501" s="3" t="s">
        <v>2769</v>
      </c>
      <c r="C12501" s="3">
        <v>2</v>
      </c>
      <c r="D12501" s="3" t="s">
        <v>192</v>
      </c>
      <c r="E12501" s="3" t="s">
        <v>103</v>
      </c>
      <c r="F12501" s="3" t="s">
        <v>103</v>
      </c>
      <c r="G12501" s="3" t="s">
        <v>103</v>
      </c>
      <c r="H12501" s="3" t="s">
        <v>103</v>
      </c>
      <c r="I12501" s="3" t="s">
        <v>103</v>
      </c>
    </row>
    <row r="12502" spans="1:9" x14ac:dyDescent="0.3">
      <c r="A12502" t="s">
        <v>26</v>
      </c>
      <c r="B12502" t="s">
        <v>308</v>
      </c>
      <c r="C12502">
        <v>432</v>
      </c>
      <c r="D12502" t="s">
        <v>2106</v>
      </c>
      <c r="E12502" t="s">
        <v>164</v>
      </c>
      <c r="F12502" t="s">
        <v>282</v>
      </c>
      <c r="G12502" t="s">
        <v>734</v>
      </c>
      <c r="H12502" t="s">
        <v>466</v>
      </c>
      <c r="I12502" t="s">
        <v>103</v>
      </c>
    </row>
    <row r="12503" spans="1:9" s="3" customFormat="1" x14ac:dyDescent="0.3">
      <c r="A12503" s="3" t="s">
        <v>29</v>
      </c>
      <c r="B12503" s="3" t="s">
        <v>638</v>
      </c>
      <c r="C12503" s="3">
        <v>2</v>
      </c>
      <c r="D12503" s="3" t="s">
        <v>103</v>
      </c>
      <c r="E12503" s="3" t="s">
        <v>103</v>
      </c>
      <c r="F12503" s="3" t="s">
        <v>1030</v>
      </c>
      <c r="G12503" s="3" t="s">
        <v>1228</v>
      </c>
      <c r="H12503" s="3" t="s">
        <v>103</v>
      </c>
      <c r="I12503" s="3" t="s">
        <v>103</v>
      </c>
    </row>
    <row r="12504" spans="1:9" s="3" customFormat="1" x14ac:dyDescent="0.3">
      <c r="A12504" s="3" t="s">
        <v>29</v>
      </c>
      <c r="B12504" s="3" t="s">
        <v>639</v>
      </c>
      <c r="C12504" s="3">
        <v>2</v>
      </c>
      <c r="D12504" s="3" t="s">
        <v>692</v>
      </c>
      <c r="E12504" s="3" t="s">
        <v>103</v>
      </c>
      <c r="F12504" s="3" t="s">
        <v>103</v>
      </c>
      <c r="G12504" s="3" t="s">
        <v>1087</v>
      </c>
      <c r="H12504" s="3" t="s">
        <v>103</v>
      </c>
      <c r="I12504" s="3" t="s">
        <v>103</v>
      </c>
    </row>
    <row r="12505" spans="1:9" s="3" customFormat="1" x14ac:dyDescent="0.3">
      <c r="A12505" s="3" t="s">
        <v>29</v>
      </c>
      <c r="B12505" s="3" t="s">
        <v>640</v>
      </c>
      <c r="C12505" s="3">
        <v>9</v>
      </c>
      <c r="D12505" s="3" t="s">
        <v>1549</v>
      </c>
      <c r="E12505" s="3" t="s">
        <v>103</v>
      </c>
      <c r="F12505" s="3" t="s">
        <v>103</v>
      </c>
      <c r="G12505" s="3" t="s">
        <v>551</v>
      </c>
      <c r="H12505" s="3" t="s">
        <v>550</v>
      </c>
      <c r="I12505" s="3" t="s">
        <v>104</v>
      </c>
    </row>
    <row r="12506" spans="1:9" s="3" customFormat="1" x14ac:dyDescent="0.3">
      <c r="A12506" s="3" t="s">
        <v>29</v>
      </c>
      <c r="B12506" s="3" t="s">
        <v>2765</v>
      </c>
      <c r="C12506" s="3">
        <v>5</v>
      </c>
      <c r="D12506" s="3" t="s">
        <v>436</v>
      </c>
      <c r="E12506" s="3" t="s">
        <v>103</v>
      </c>
      <c r="F12506" s="3" t="s">
        <v>148</v>
      </c>
      <c r="G12506" s="3" t="s">
        <v>103</v>
      </c>
      <c r="H12506" s="3" t="s">
        <v>672</v>
      </c>
      <c r="I12506" s="3" t="s">
        <v>654</v>
      </c>
    </row>
    <row r="12507" spans="1:9" s="3" customFormat="1" x14ac:dyDescent="0.3">
      <c r="A12507" s="3" t="s">
        <v>29</v>
      </c>
      <c r="B12507" s="3" t="s">
        <v>641</v>
      </c>
      <c r="C12507" s="3">
        <v>5</v>
      </c>
      <c r="D12507" s="3" t="s">
        <v>103</v>
      </c>
      <c r="E12507" s="3" t="s">
        <v>831</v>
      </c>
      <c r="F12507" s="3" t="s">
        <v>103</v>
      </c>
      <c r="G12507" s="3" t="s">
        <v>103</v>
      </c>
      <c r="H12507" s="3" t="s">
        <v>1050</v>
      </c>
      <c r="I12507" s="3" t="s">
        <v>103</v>
      </c>
    </row>
    <row r="12508" spans="1:9" s="3" customFormat="1" x14ac:dyDescent="0.3">
      <c r="A12508" s="3" t="s">
        <v>29</v>
      </c>
      <c r="B12508" s="3" t="s">
        <v>2769</v>
      </c>
      <c r="C12508" s="3">
        <v>2</v>
      </c>
      <c r="D12508" s="3" t="s">
        <v>1404</v>
      </c>
      <c r="E12508" s="3" t="s">
        <v>1559</v>
      </c>
      <c r="F12508" s="3" t="s">
        <v>103</v>
      </c>
      <c r="G12508" s="3" t="s">
        <v>103</v>
      </c>
      <c r="H12508" s="3" t="s">
        <v>103</v>
      </c>
      <c r="I12508" s="3" t="s">
        <v>103</v>
      </c>
    </row>
    <row r="12509" spans="1:9" x14ac:dyDescent="0.3">
      <c r="A12509" t="s">
        <v>29</v>
      </c>
      <c r="B12509" t="s">
        <v>308</v>
      </c>
      <c r="C12509">
        <v>419</v>
      </c>
      <c r="D12509" t="s">
        <v>1676</v>
      </c>
      <c r="E12509" t="s">
        <v>173</v>
      </c>
      <c r="F12509" t="s">
        <v>105</v>
      </c>
      <c r="G12509" t="s">
        <v>697</v>
      </c>
      <c r="H12509" t="s">
        <v>107</v>
      </c>
      <c r="I12509" t="s">
        <v>66</v>
      </c>
    </row>
    <row r="12510" spans="1:9" s="3" customFormat="1" x14ac:dyDescent="0.3">
      <c r="A12510" s="3" t="s">
        <v>28</v>
      </c>
      <c r="B12510" s="3" t="s">
        <v>638</v>
      </c>
      <c r="C12510" s="3">
        <v>9</v>
      </c>
      <c r="D12510" s="3" t="s">
        <v>302</v>
      </c>
      <c r="E12510" s="3" t="s">
        <v>925</v>
      </c>
      <c r="F12510" s="3" t="s">
        <v>103</v>
      </c>
      <c r="G12510" s="3" t="s">
        <v>103</v>
      </c>
      <c r="H12510" s="3" t="s">
        <v>106</v>
      </c>
      <c r="I12510" s="3" t="s">
        <v>103</v>
      </c>
    </row>
    <row r="12511" spans="1:9" s="3" customFormat="1" x14ac:dyDescent="0.3">
      <c r="A12511" s="3" t="s">
        <v>28</v>
      </c>
      <c r="B12511" s="3" t="s">
        <v>639</v>
      </c>
      <c r="C12511" s="3">
        <v>17</v>
      </c>
      <c r="D12511" s="3" t="s">
        <v>869</v>
      </c>
      <c r="E12511" s="3" t="s">
        <v>103</v>
      </c>
      <c r="F12511" s="3" t="s">
        <v>103</v>
      </c>
      <c r="G12511" s="3" t="s">
        <v>195</v>
      </c>
      <c r="H12511" s="3" t="s">
        <v>113</v>
      </c>
      <c r="I12511" s="3" t="s">
        <v>103</v>
      </c>
    </row>
    <row r="12512" spans="1:9" s="3" customFormat="1" x14ac:dyDescent="0.3">
      <c r="A12512" s="3" t="s">
        <v>28</v>
      </c>
      <c r="B12512" s="3" t="s">
        <v>640</v>
      </c>
      <c r="C12512" s="3">
        <v>20</v>
      </c>
      <c r="D12512" s="3" t="s">
        <v>192</v>
      </c>
      <c r="E12512" s="3" t="s">
        <v>103</v>
      </c>
      <c r="F12512" s="3" t="s">
        <v>103</v>
      </c>
      <c r="G12512" s="3" t="s">
        <v>103</v>
      </c>
      <c r="H12512" s="3" t="s">
        <v>103</v>
      </c>
      <c r="I12512" s="3" t="s">
        <v>103</v>
      </c>
    </row>
    <row r="12513" spans="1:9" s="3" customFormat="1" x14ac:dyDescent="0.3">
      <c r="A12513" s="3" t="s">
        <v>28</v>
      </c>
      <c r="B12513" s="3" t="s">
        <v>2765</v>
      </c>
      <c r="C12513" s="3">
        <v>2</v>
      </c>
      <c r="D12513" s="3" t="s">
        <v>492</v>
      </c>
      <c r="E12513" s="3" t="s">
        <v>1252</v>
      </c>
      <c r="F12513" s="3" t="s">
        <v>103</v>
      </c>
      <c r="G12513" s="3" t="s">
        <v>103</v>
      </c>
      <c r="H12513" s="3" t="s">
        <v>103</v>
      </c>
      <c r="I12513" s="3" t="s">
        <v>103</v>
      </c>
    </row>
    <row r="12514" spans="1:9" s="3" customFormat="1" x14ac:dyDescent="0.3">
      <c r="A12514" s="3" t="s">
        <v>28</v>
      </c>
      <c r="B12514" s="3" t="s">
        <v>641</v>
      </c>
      <c r="C12514" s="3">
        <v>6</v>
      </c>
      <c r="D12514" s="3" t="s">
        <v>192</v>
      </c>
      <c r="E12514" s="3" t="s">
        <v>103</v>
      </c>
      <c r="F12514" s="3" t="s">
        <v>103</v>
      </c>
      <c r="G12514" s="3" t="s">
        <v>103</v>
      </c>
      <c r="H12514" s="3" t="s">
        <v>103</v>
      </c>
      <c r="I12514" s="3" t="s">
        <v>103</v>
      </c>
    </row>
    <row r="12515" spans="1:9" s="3" customFormat="1" x14ac:dyDescent="0.3">
      <c r="A12515" s="3" t="s">
        <v>28</v>
      </c>
      <c r="B12515" s="3" t="s">
        <v>2769</v>
      </c>
      <c r="C12515" s="3">
        <v>3</v>
      </c>
      <c r="D12515" s="3" t="s">
        <v>857</v>
      </c>
      <c r="E12515" s="3" t="s">
        <v>103</v>
      </c>
      <c r="F12515" s="3" t="s">
        <v>103</v>
      </c>
      <c r="G12515" s="3" t="s">
        <v>103</v>
      </c>
      <c r="H12515" s="3" t="s">
        <v>858</v>
      </c>
      <c r="I12515" s="3" t="s">
        <v>103</v>
      </c>
    </row>
    <row r="12516" spans="1:9" x14ac:dyDescent="0.3">
      <c r="A12516" t="s">
        <v>28</v>
      </c>
      <c r="B12516" t="s">
        <v>308</v>
      </c>
      <c r="C12516">
        <v>248</v>
      </c>
      <c r="D12516" t="s">
        <v>1244</v>
      </c>
      <c r="E12516" t="s">
        <v>575</v>
      </c>
      <c r="F12516" t="s">
        <v>103</v>
      </c>
      <c r="G12516" t="s">
        <v>687</v>
      </c>
      <c r="H12516" t="s">
        <v>615</v>
      </c>
      <c r="I12516" t="s">
        <v>103</v>
      </c>
    </row>
    <row r="12517" spans="1:9" s="3" customFormat="1" x14ac:dyDescent="0.3">
      <c r="A12517" s="3" t="s">
        <v>27</v>
      </c>
      <c r="B12517" s="3" t="s">
        <v>638</v>
      </c>
      <c r="C12517" s="3">
        <v>1</v>
      </c>
      <c r="D12517" s="3" t="s">
        <v>103</v>
      </c>
      <c r="E12517" s="3" t="s">
        <v>103</v>
      </c>
      <c r="F12517" s="3" t="s">
        <v>103</v>
      </c>
      <c r="G12517" s="3" t="s">
        <v>192</v>
      </c>
      <c r="H12517" s="3" t="s">
        <v>103</v>
      </c>
      <c r="I12517" s="3" t="s">
        <v>103</v>
      </c>
    </row>
    <row r="12518" spans="1:9" s="3" customFormat="1" x14ac:dyDescent="0.3">
      <c r="A12518" s="3" t="s">
        <v>27</v>
      </c>
      <c r="B12518" s="3" t="s">
        <v>639</v>
      </c>
      <c r="C12518" s="3">
        <v>1</v>
      </c>
      <c r="D12518" s="3" t="s">
        <v>103</v>
      </c>
      <c r="E12518" s="3" t="s">
        <v>103</v>
      </c>
      <c r="F12518" s="3" t="s">
        <v>103</v>
      </c>
      <c r="G12518" s="3" t="s">
        <v>192</v>
      </c>
      <c r="H12518" s="3" t="s">
        <v>103</v>
      </c>
      <c r="I12518" s="3" t="s">
        <v>103</v>
      </c>
    </row>
    <row r="12519" spans="1:9" s="3" customFormat="1" x14ac:dyDescent="0.3">
      <c r="A12519" s="3" t="s">
        <v>27</v>
      </c>
      <c r="B12519" s="3" t="s">
        <v>640</v>
      </c>
      <c r="C12519" s="3">
        <v>1</v>
      </c>
      <c r="D12519" s="3" t="s">
        <v>192</v>
      </c>
      <c r="E12519" s="3" t="s">
        <v>103</v>
      </c>
      <c r="F12519" s="3" t="s">
        <v>103</v>
      </c>
      <c r="G12519" s="3" t="s">
        <v>103</v>
      </c>
      <c r="H12519" s="3" t="s">
        <v>103</v>
      </c>
      <c r="I12519" s="3" t="s">
        <v>103</v>
      </c>
    </row>
    <row r="12520" spans="1:9" s="3" customFormat="1" x14ac:dyDescent="0.3">
      <c r="A12520" s="3" t="s">
        <v>27</v>
      </c>
      <c r="B12520" s="3" t="s">
        <v>2765</v>
      </c>
      <c r="C12520" s="3">
        <v>1</v>
      </c>
      <c r="D12520" s="3" t="s">
        <v>103</v>
      </c>
      <c r="E12520" s="3" t="s">
        <v>103</v>
      </c>
      <c r="F12520" s="3" t="s">
        <v>192</v>
      </c>
      <c r="G12520" s="3" t="s">
        <v>103</v>
      </c>
      <c r="H12520" s="3" t="s">
        <v>103</v>
      </c>
      <c r="I12520" s="3" t="s">
        <v>103</v>
      </c>
    </row>
    <row r="12521" spans="1:9" s="3" customFormat="1" x14ac:dyDescent="0.3">
      <c r="A12521" s="3" t="s">
        <v>27</v>
      </c>
      <c r="B12521" s="3" t="s">
        <v>641</v>
      </c>
      <c r="C12521" s="3">
        <v>1</v>
      </c>
      <c r="D12521" s="3" t="s">
        <v>192</v>
      </c>
      <c r="E12521" s="3" t="s">
        <v>103</v>
      </c>
      <c r="F12521" s="3" t="s">
        <v>103</v>
      </c>
      <c r="G12521" s="3" t="s">
        <v>103</v>
      </c>
      <c r="H12521" s="3" t="s">
        <v>103</v>
      </c>
      <c r="I12521" s="3" t="s">
        <v>103</v>
      </c>
    </row>
    <row r="12522" spans="1:9" x14ac:dyDescent="0.3">
      <c r="A12522" t="s">
        <v>27</v>
      </c>
      <c r="B12522" t="s">
        <v>308</v>
      </c>
      <c r="C12522">
        <v>288</v>
      </c>
      <c r="D12522" t="s">
        <v>2010</v>
      </c>
      <c r="E12522" t="s">
        <v>807</v>
      </c>
      <c r="F12522" t="s">
        <v>341</v>
      </c>
      <c r="G12522" t="s">
        <v>469</v>
      </c>
      <c r="H12522" t="s">
        <v>46</v>
      </c>
      <c r="I12522" t="s">
        <v>122</v>
      </c>
    </row>
    <row r="12523" spans="1:9" s="3" customFormat="1" x14ac:dyDescent="0.3">
      <c r="A12523" s="3" t="s">
        <v>41</v>
      </c>
      <c r="B12523" s="3" t="s">
        <v>638</v>
      </c>
      <c r="C12523" s="3">
        <v>17</v>
      </c>
      <c r="D12523" s="3" t="s">
        <v>436</v>
      </c>
      <c r="E12523" s="3" t="s">
        <v>511</v>
      </c>
      <c r="F12523" s="3" t="s">
        <v>754</v>
      </c>
      <c r="G12523" s="3" t="s">
        <v>30</v>
      </c>
      <c r="H12523" s="3" t="s">
        <v>33</v>
      </c>
      <c r="I12523" s="3" t="s">
        <v>103</v>
      </c>
    </row>
    <row r="12524" spans="1:9" x14ac:dyDescent="0.3">
      <c r="A12524" t="s">
        <v>41</v>
      </c>
      <c r="B12524" t="s">
        <v>639</v>
      </c>
      <c r="C12524">
        <v>37</v>
      </c>
      <c r="D12524" t="s">
        <v>801</v>
      </c>
      <c r="E12524" t="s">
        <v>700</v>
      </c>
      <c r="F12524" t="s">
        <v>103</v>
      </c>
      <c r="G12524" t="s">
        <v>144</v>
      </c>
      <c r="H12524" t="s">
        <v>191</v>
      </c>
      <c r="I12524" t="s">
        <v>103</v>
      </c>
    </row>
    <row r="12525" spans="1:9" x14ac:dyDescent="0.3">
      <c r="A12525" t="s">
        <v>41</v>
      </c>
      <c r="B12525" t="s">
        <v>640</v>
      </c>
      <c r="C12525">
        <v>41</v>
      </c>
      <c r="D12525" t="s">
        <v>229</v>
      </c>
      <c r="E12525" t="s">
        <v>251</v>
      </c>
      <c r="F12525" t="s">
        <v>103</v>
      </c>
      <c r="G12525" t="s">
        <v>160</v>
      </c>
      <c r="H12525" t="s">
        <v>205</v>
      </c>
      <c r="I12525" t="s">
        <v>662</v>
      </c>
    </row>
    <row r="12526" spans="1:9" s="3" customFormat="1" x14ac:dyDescent="0.3">
      <c r="A12526" s="3" t="s">
        <v>41</v>
      </c>
      <c r="B12526" s="3" t="s">
        <v>2765</v>
      </c>
      <c r="C12526" s="3">
        <v>9</v>
      </c>
      <c r="D12526" s="3" t="s">
        <v>453</v>
      </c>
      <c r="E12526" s="3" t="s">
        <v>64</v>
      </c>
      <c r="F12526" s="3" t="s">
        <v>519</v>
      </c>
      <c r="G12526" s="3" t="s">
        <v>126</v>
      </c>
      <c r="H12526" s="3" t="s">
        <v>578</v>
      </c>
      <c r="I12526" s="3" t="s">
        <v>514</v>
      </c>
    </row>
    <row r="12527" spans="1:9" s="3" customFormat="1" x14ac:dyDescent="0.3">
      <c r="A12527" s="3" t="s">
        <v>41</v>
      </c>
      <c r="B12527" s="3" t="s">
        <v>641</v>
      </c>
      <c r="C12527" s="3">
        <v>23</v>
      </c>
      <c r="D12527" s="3" t="s">
        <v>368</v>
      </c>
      <c r="E12527" s="3" t="s">
        <v>1204</v>
      </c>
      <c r="F12527" s="3" t="s">
        <v>103</v>
      </c>
      <c r="G12527" s="3" t="s">
        <v>103</v>
      </c>
      <c r="H12527" s="3" t="s">
        <v>470</v>
      </c>
      <c r="I12527" s="3" t="s">
        <v>103</v>
      </c>
    </row>
    <row r="12528" spans="1:9" s="3" customFormat="1" x14ac:dyDescent="0.3">
      <c r="A12528" s="3" t="s">
        <v>41</v>
      </c>
      <c r="B12528" s="3" t="s">
        <v>2769</v>
      </c>
      <c r="C12528" s="3">
        <v>10</v>
      </c>
      <c r="D12528" s="3" t="s">
        <v>1210</v>
      </c>
      <c r="E12528" s="3" t="s">
        <v>1319</v>
      </c>
      <c r="F12528" s="3" t="s">
        <v>103</v>
      </c>
      <c r="G12528" s="3" t="s">
        <v>367</v>
      </c>
      <c r="H12528" s="3" t="s">
        <v>93</v>
      </c>
      <c r="I12528" s="3" t="s">
        <v>103</v>
      </c>
    </row>
    <row r="12529" spans="1:9" x14ac:dyDescent="0.3">
      <c r="A12529" t="s">
        <v>41</v>
      </c>
      <c r="B12529" t="s">
        <v>308</v>
      </c>
      <c r="C12529">
        <v>1710</v>
      </c>
      <c r="D12529" t="s">
        <v>1034</v>
      </c>
      <c r="E12529" t="s">
        <v>516</v>
      </c>
      <c r="F12529" t="s">
        <v>194</v>
      </c>
      <c r="G12529" t="s">
        <v>479</v>
      </c>
      <c r="H12529" t="s">
        <v>558</v>
      </c>
      <c r="I12529" t="s">
        <v>66</v>
      </c>
    </row>
    <row r="12531" spans="1:9" x14ac:dyDescent="0.3">
      <c r="A12531" t="s">
        <v>2871</v>
      </c>
    </row>
    <row r="12532" spans="1:9" x14ac:dyDescent="0.3">
      <c r="A12532" t="s">
        <v>36</v>
      </c>
      <c r="B12532" t="s">
        <v>2771</v>
      </c>
      <c r="C12532" t="s">
        <v>24</v>
      </c>
      <c r="D12532" t="s">
        <v>2858</v>
      </c>
      <c r="E12532" t="s">
        <v>2862</v>
      </c>
      <c r="F12532" t="s">
        <v>1454</v>
      </c>
      <c r="G12532" t="s">
        <v>2859</v>
      </c>
      <c r="H12532" t="s">
        <v>2860</v>
      </c>
      <c r="I12532" t="s">
        <v>2861</v>
      </c>
    </row>
    <row r="12533" spans="1:9" s="3" customFormat="1" x14ac:dyDescent="0.3">
      <c r="A12533" s="3" t="s">
        <v>25</v>
      </c>
      <c r="B12533" s="3" t="s">
        <v>2772</v>
      </c>
      <c r="C12533" s="3">
        <v>1</v>
      </c>
      <c r="D12533" s="3" t="s">
        <v>192</v>
      </c>
      <c r="E12533" s="3" t="s">
        <v>103</v>
      </c>
      <c r="F12533" s="3" t="s">
        <v>103</v>
      </c>
      <c r="G12533" s="3" t="s">
        <v>103</v>
      </c>
      <c r="H12533" s="3" t="s">
        <v>103</v>
      </c>
      <c r="I12533" s="3" t="s">
        <v>103</v>
      </c>
    </row>
    <row r="12534" spans="1:9" s="3" customFormat="1" x14ac:dyDescent="0.3">
      <c r="A12534" s="3" t="s">
        <v>25</v>
      </c>
      <c r="B12534" s="3" t="s">
        <v>2773</v>
      </c>
      <c r="C12534" s="3">
        <v>3</v>
      </c>
      <c r="D12534" s="3" t="s">
        <v>793</v>
      </c>
      <c r="E12534" s="3" t="s">
        <v>1043</v>
      </c>
      <c r="F12534" s="3" t="s">
        <v>103</v>
      </c>
      <c r="G12534" s="3" t="s">
        <v>103</v>
      </c>
      <c r="H12534" s="3" t="s">
        <v>103</v>
      </c>
      <c r="I12534" s="3" t="s">
        <v>103</v>
      </c>
    </row>
    <row r="12535" spans="1:9" s="3" customFormat="1" x14ac:dyDescent="0.3">
      <c r="A12535" s="3" t="s">
        <v>25</v>
      </c>
      <c r="B12535" s="3" t="s">
        <v>2774</v>
      </c>
      <c r="C12535" s="3">
        <v>8</v>
      </c>
      <c r="D12535" s="3" t="s">
        <v>643</v>
      </c>
      <c r="E12535" s="3" t="s">
        <v>919</v>
      </c>
      <c r="F12535" s="3" t="s">
        <v>807</v>
      </c>
      <c r="G12535" s="3" t="s">
        <v>463</v>
      </c>
      <c r="H12535" s="3" t="s">
        <v>103</v>
      </c>
      <c r="I12535" s="3" t="s">
        <v>103</v>
      </c>
    </row>
    <row r="12536" spans="1:9" s="3" customFormat="1" x14ac:dyDescent="0.3">
      <c r="A12536" s="3" t="s">
        <v>25</v>
      </c>
      <c r="B12536" s="3" t="s">
        <v>2775</v>
      </c>
      <c r="C12536" s="3">
        <v>20</v>
      </c>
      <c r="D12536" s="3" t="s">
        <v>393</v>
      </c>
      <c r="E12536" s="3" t="s">
        <v>770</v>
      </c>
      <c r="F12536" s="3" t="s">
        <v>103</v>
      </c>
      <c r="G12536" s="3" t="s">
        <v>521</v>
      </c>
      <c r="H12536" s="3" t="s">
        <v>103</v>
      </c>
      <c r="I12536" s="3" t="s">
        <v>103</v>
      </c>
    </row>
    <row r="12537" spans="1:9" x14ac:dyDescent="0.3">
      <c r="A12537" t="s">
        <v>25</v>
      </c>
      <c r="B12537" t="s">
        <v>2776</v>
      </c>
      <c r="C12537">
        <v>45</v>
      </c>
      <c r="D12537" t="s">
        <v>1559</v>
      </c>
      <c r="E12537" t="s">
        <v>906</v>
      </c>
      <c r="F12537" t="s">
        <v>607</v>
      </c>
      <c r="G12537" t="s">
        <v>331</v>
      </c>
      <c r="H12537" t="s">
        <v>103</v>
      </c>
      <c r="I12537" t="s">
        <v>103</v>
      </c>
    </row>
    <row r="12538" spans="1:9" x14ac:dyDescent="0.3">
      <c r="A12538" t="s">
        <v>25</v>
      </c>
      <c r="B12538" t="s">
        <v>2777</v>
      </c>
      <c r="C12538">
        <v>130</v>
      </c>
      <c r="D12538" t="s">
        <v>372</v>
      </c>
      <c r="E12538" t="s">
        <v>472</v>
      </c>
      <c r="F12538" t="s">
        <v>467</v>
      </c>
      <c r="G12538" t="s">
        <v>807</v>
      </c>
      <c r="H12538" t="s">
        <v>105</v>
      </c>
      <c r="I12538" t="s">
        <v>116</v>
      </c>
    </row>
    <row r="12539" spans="1:9" x14ac:dyDescent="0.3">
      <c r="A12539" t="s">
        <v>25</v>
      </c>
      <c r="B12539" t="s">
        <v>2778</v>
      </c>
      <c r="C12539">
        <v>147</v>
      </c>
      <c r="D12539" t="s">
        <v>1577</v>
      </c>
      <c r="E12539" t="s">
        <v>506</v>
      </c>
      <c r="F12539" t="s">
        <v>466</v>
      </c>
      <c r="G12539" t="s">
        <v>687</v>
      </c>
      <c r="H12539" t="s">
        <v>116</v>
      </c>
      <c r="I12539" t="s">
        <v>120</v>
      </c>
    </row>
    <row r="12540" spans="1:9" s="3" customFormat="1" x14ac:dyDescent="0.3">
      <c r="A12540" s="3" t="s">
        <v>25</v>
      </c>
      <c r="B12540" s="3" t="s">
        <v>223</v>
      </c>
      <c r="C12540" s="3">
        <v>1</v>
      </c>
      <c r="D12540" s="3" t="s">
        <v>103</v>
      </c>
      <c r="E12540" s="3" t="s">
        <v>192</v>
      </c>
      <c r="F12540" s="3" t="s">
        <v>103</v>
      </c>
      <c r="G12540" s="3" t="s">
        <v>103</v>
      </c>
      <c r="H12540" s="3" t="s">
        <v>103</v>
      </c>
      <c r="I12540" s="3" t="s">
        <v>103</v>
      </c>
    </row>
    <row r="12541" spans="1:9" x14ac:dyDescent="0.3">
      <c r="A12541" t="s">
        <v>25</v>
      </c>
      <c r="B12541" t="s">
        <v>308</v>
      </c>
      <c r="C12541">
        <v>2</v>
      </c>
      <c r="D12541" t="s">
        <v>103</v>
      </c>
      <c r="E12541" t="s">
        <v>1199</v>
      </c>
      <c r="F12541" t="s">
        <v>103</v>
      </c>
      <c r="G12541" t="s">
        <v>1284</v>
      </c>
      <c r="H12541" t="s">
        <v>103</v>
      </c>
      <c r="I12541" t="s">
        <v>103</v>
      </c>
    </row>
    <row r="12542" spans="1:9" s="3" customFormat="1" x14ac:dyDescent="0.3">
      <c r="A12542" s="3" t="s">
        <v>26</v>
      </c>
      <c r="B12542" s="3" t="s">
        <v>2772</v>
      </c>
      <c r="C12542" s="3">
        <v>3</v>
      </c>
      <c r="D12542" s="3" t="s">
        <v>303</v>
      </c>
      <c r="E12542" s="3" t="s">
        <v>304</v>
      </c>
      <c r="F12542" s="3" t="s">
        <v>103</v>
      </c>
      <c r="G12542" s="3" t="s">
        <v>103</v>
      </c>
      <c r="H12542" s="3" t="s">
        <v>103</v>
      </c>
      <c r="I12542" s="3" t="s">
        <v>103</v>
      </c>
    </row>
    <row r="12543" spans="1:9" s="3" customFormat="1" x14ac:dyDescent="0.3">
      <c r="A12543" s="3" t="s">
        <v>26</v>
      </c>
      <c r="B12543" s="3" t="s">
        <v>2773</v>
      </c>
      <c r="C12543" s="3">
        <v>8</v>
      </c>
      <c r="D12543" s="3" t="s">
        <v>364</v>
      </c>
      <c r="E12543" s="3" t="s">
        <v>103</v>
      </c>
      <c r="F12543" s="3" t="s">
        <v>809</v>
      </c>
      <c r="G12543" s="3" t="s">
        <v>525</v>
      </c>
      <c r="H12543" s="3" t="s">
        <v>103</v>
      </c>
      <c r="I12543" s="3" t="s">
        <v>103</v>
      </c>
    </row>
    <row r="12544" spans="1:9" s="3" customFormat="1" x14ac:dyDescent="0.3">
      <c r="A12544" s="3" t="s">
        <v>26</v>
      </c>
      <c r="B12544" s="3" t="s">
        <v>2774</v>
      </c>
      <c r="C12544" s="3">
        <v>21</v>
      </c>
      <c r="D12544" s="3" t="s">
        <v>1202</v>
      </c>
      <c r="E12544" s="3" t="s">
        <v>580</v>
      </c>
      <c r="F12544" s="3" t="s">
        <v>580</v>
      </c>
      <c r="G12544" s="3" t="s">
        <v>256</v>
      </c>
      <c r="H12544" s="3" t="s">
        <v>103</v>
      </c>
      <c r="I12544" s="3" t="s">
        <v>103</v>
      </c>
    </row>
    <row r="12545" spans="1:9" x14ac:dyDescent="0.3">
      <c r="A12545" t="s">
        <v>26</v>
      </c>
      <c r="B12545" t="s">
        <v>2775</v>
      </c>
      <c r="C12545">
        <v>32</v>
      </c>
      <c r="D12545" t="s">
        <v>791</v>
      </c>
      <c r="E12545" t="s">
        <v>646</v>
      </c>
      <c r="F12545" t="s">
        <v>819</v>
      </c>
      <c r="G12545" t="s">
        <v>190</v>
      </c>
      <c r="H12545" t="s">
        <v>103</v>
      </c>
      <c r="I12545" t="s">
        <v>103</v>
      </c>
    </row>
    <row r="12546" spans="1:9" x14ac:dyDescent="0.3">
      <c r="A12546" t="s">
        <v>26</v>
      </c>
      <c r="B12546" t="s">
        <v>2776</v>
      </c>
      <c r="C12546">
        <v>81</v>
      </c>
      <c r="D12546" t="s">
        <v>1327</v>
      </c>
      <c r="E12546" t="s">
        <v>687</v>
      </c>
      <c r="F12546" t="s">
        <v>224</v>
      </c>
      <c r="G12546" t="s">
        <v>469</v>
      </c>
      <c r="H12546" t="s">
        <v>194</v>
      </c>
      <c r="I12546" t="s">
        <v>103</v>
      </c>
    </row>
    <row r="12547" spans="1:9" x14ac:dyDescent="0.3">
      <c r="A12547" t="s">
        <v>26</v>
      </c>
      <c r="B12547" t="s">
        <v>2777</v>
      </c>
      <c r="C12547">
        <v>184</v>
      </c>
      <c r="D12547" t="s">
        <v>811</v>
      </c>
      <c r="E12547" t="s">
        <v>566</v>
      </c>
      <c r="F12547" t="s">
        <v>245</v>
      </c>
      <c r="G12547" t="s">
        <v>136</v>
      </c>
      <c r="H12547" t="s">
        <v>120</v>
      </c>
      <c r="I12547" t="s">
        <v>103</v>
      </c>
    </row>
    <row r="12548" spans="1:9" x14ac:dyDescent="0.3">
      <c r="A12548" t="s">
        <v>26</v>
      </c>
      <c r="B12548" t="s">
        <v>2778</v>
      </c>
      <c r="C12548">
        <v>114</v>
      </c>
      <c r="D12548" t="s">
        <v>1209</v>
      </c>
      <c r="E12548" t="s">
        <v>46</v>
      </c>
      <c r="F12548" t="s">
        <v>531</v>
      </c>
      <c r="G12548" t="s">
        <v>54</v>
      </c>
      <c r="H12548" t="s">
        <v>341</v>
      </c>
      <c r="I12548" t="s">
        <v>103</v>
      </c>
    </row>
    <row r="12549" spans="1:9" x14ac:dyDescent="0.3">
      <c r="A12549" t="s">
        <v>26</v>
      </c>
      <c r="B12549" t="s">
        <v>308</v>
      </c>
      <c r="C12549">
        <v>5</v>
      </c>
      <c r="D12549" t="s">
        <v>734</v>
      </c>
      <c r="E12549" t="s">
        <v>2010</v>
      </c>
      <c r="F12549" t="s">
        <v>357</v>
      </c>
      <c r="G12549" t="s">
        <v>103</v>
      </c>
      <c r="H12549" t="s">
        <v>103</v>
      </c>
      <c r="I12549" t="s">
        <v>103</v>
      </c>
    </row>
    <row r="12550" spans="1:9" s="3" customFormat="1" x14ac:dyDescent="0.3">
      <c r="A12550" s="3" t="s">
        <v>29</v>
      </c>
      <c r="B12550" s="3" t="s">
        <v>2772</v>
      </c>
      <c r="C12550" s="3">
        <v>2</v>
      </c>
      <c r="D12550" s="3" t="s">
        <v>1197</v>
      </c>
      <c r="E12550" s="3" t="s">
        <v>103</v>
      </c>
      <c r="F12550" s="3" t="s">
        <v>366</v>
      </c>
      <c r="G12550" s="3" t="s">
        <v>103</v>
      </c>
      <c r="H12550" s="3" t="s">
        <v>103</v>
      </c>
      <c r="I12550" s="3" t="s">
        <v>103</v>
      </c>
    </row>
    <row r="12551" spans="1:9" s="3" customFormat="1" x14ac:dyDescent="0.3">
      <c r="A12551" s="3" t="s">
        <v>29</v>
      </c>
      <c r="B12551" s="3" t="s">
        <v>2773</v>
      </c>
      <c r="C12551" s="3">
        <v>6</v>
      </c>
      <c r="D12551" s="3" t="s">
        <v>1000</v>
      </c>
      <c r="E12551" s="3" t="s">
        <v>1090</v>
      </c>
      <c r="F12551" s="3" t="s">
        <v>103</v>
      </c>
      <c r="G12551" s="3" t="s">
        <v>471</v>
      </c>
      <c r="H12551" s="3" t="s">
        <v>103</v>
      </c>
      <c r="I12551" s="3" t="s">
        <v>103</v>
      </c>
    </row>
    <row r="12552" spans="1:9" s="3" customFormat="1" x14ac:dyDescent="0.3">
      <c r="A12552" s="3" t="s">
        <v>29</v>
      </c>
      <c r="B12552" s="3" t="s">
        <v>2774</v>
      </c>
      <c r="C12552" s="3">
        <v>20</v>
      </c>
      <c r="D12552" s="3" t="s">
        <v>1426</v>
      </c>
      <c r="E12552" s="3" t="s">
        <v>672</v>
      </c>
      <c r="F12552" s="3" t="s">
        <v>107</v>
      </c>
      <c r="G12552" s="3" t="s">
        <v>479</v>
      </c>
      <c r="H12552" s="3" t="s">
        <v>103</v>
      </c>
      <c r="I12552" s="3" t="s">
        <v>103</v>
      </c>
    </row>
    <row r="12553" spans="1:9" s="3" customFormat="1" x14ac:dyDescent="0.3">
      <c r="A12553" s="3" t="s">
        <v>29</v>
      </c>
      <c r="B12553" s="3" t="s">
        <v>2775</v>
      </c>
      <c r="C12553" s="3">
        <v>25</v>
      </c>
      <c r="D12553" s="3" t="s">
        <v>398</v>
      </c>
      <c r="E12553" s="3" t="s">
        <v>2010</v>
      </c>
      <c r="F12553" s="3" t="s">
        <v>103</v>
      </c>
      <c r="G12553" s="3" t="s">
        <v>486</v>
      </c>
      <c r="H12553" s="3" t="s">
        <v>532</v>
      </c>
      <c r="I12553" s="3" t="s">
        <v>125</v>
      </c>
    </row>
    <row r="12554" spans="1:9" x14ac:dyDescent="0.3">
      <c r="A12554" t="s">
        <v>29</v>
      </c>
      <c r="B12554" t="s">
        <v>2776</v>
      </c>
      <c r="C12554">
        <v>53</v>
      </c>
      <c r="D12554" t="s">
        <v>431</v>
      </c>
      <c r="E12554" t="s">
        <v>1227</v>
      </c>
      <c r="F12554" t="s">
        <v>214</v>
      </c>
      <c r="G12554" t="s">
        <v>136</v>
      </c>
      <c r="H12554" t="s">
        <v>116</v>
      </c>
      <c r="I12554" t="s">
        <v>103</v>
      </c>
    </row>
    <row r="12555" spans="1:9" x14ac:dyDescent="0.3">
      <c r="A12555" t="s">
        <v>29</v>
      </c>
      <c r="B12555" t="s">
        <v>2777</v>
      </c>
      <c r="C12555">
        <v>182</v>
      </c>
      <c r="D12555" t="s">
        <v>982</v>
      </c>
      <c r="E12555" t="s">
        <v>682</v>
      </c>
      <c r="F12555" t="s">
        <v>32</v>
      </c>
      <c r="G12555" t="s">
        <v>164</v>
      </c>
      <c r="H12555" t="s">
        <v>118</v>
      </c>
      <c r="I12555" t="s">
        <v>120</v>
      </c>
    </row>
    <row r="12556" spans="1:9" x14ac:dyDescent="0.3">
      <c r="A12556" t="s">
        <v>29</v>
      </c>
      <c r="B12556" t="s">
        <v>2778</v>
      </c>
      <c r="C12556">
        <v>155</v>
      </c>
      <c r="D12556" t="s">
        <v>1577</v>
      </c>
      <c r="E12556" t="s">
        <v>48</v>
      </c>
      <c r="F12556" t="s">
        <v>33</v>
      </c>
      <c r="G12556" t="s">
        <v>473</v>
      </c>
      <c r="H12556" t="s">
        <v>128</v>
      </c>
      <c r="I12556" t="s">
        <v>122</v>
      </c>
    </row>
    <row r="12557" spans="1:9" x14ac:dyDescent="0.3">
      <c r="A12557" t="s">
        <v>29</v>
      </c>
      <c r="B12557" t="s">
        <v>308</v>
      </c>
      <c r="C12557">
        <v>1</v>
      </c>
      <c r="D12557" t="s">
        <v>103</v>
      </c>
      <c r="E12557" t="s">
        <v>192</v>
      </c>
      <c r="F12557" t="s">
        <v>103</v>
      </c>
      <c r="G12557" t="s">
        <v>103</v>
      </c>
      <c r="H12557" t="s">
        <v>103</v>
      </c>
      <c r="I12557" t="s">
        <v>103</v>
      </c>
    </row>
    <row r="12558" spans="1:9" x14ac:dyDescent="0.3">
      <c r="A12558" t="s">
        <v>28</v>
      </c>
      <c r="B12558" t="s">
        <v>2772</v>
      </c>
      <c r="C12558">
        <v>37</v>
      </c>
      <c r="D12558" t="s">
        <v>753</v>
      </c>
      <c r="E12558" t="s">
        <v>148</v>
      </c>
      <c r="F12558" t="s">
        <v>205</v>
      </c>
      <c r="G12558" t="s">
        <v>103</v>
      </c>
      <c r="H12558" t="s">
        <v>103</v>
      </c>
      <c r="I12558" t="s">
        <v>103</v>
      </c>
    </row>
    <row r="12559" spans="1:9" x14ac:dyDescent="0.3">
      <c r="A12559" t="s">
        <v>28</v>
      </c>
      <c r="B12559" t="s">
        <v>2773</v>
      </c>
      <c r="C12559">
        <v>57</v>
      </c>
      <c r="D12559" t="s">
        <v>1282</v>
      </c>
      <c r="E12559" t="s">
        <v>99</v>
      </c>
      <c r="F12559" t="s">
        <v>101</v>
      </c>
      <c r="G12559" t="s">
        <v>62</v>
      </c>
      <c r="H12559" t="s">
        <v>103</v>
      </c>
      <c r="I12559" t="s">
        <v>103</v>
      </c>
    </row>
    <row r="12560" spans="1:9" s="3" customFormat="1" x14ac:dyDescent="0.3">
      <c r="A12560" s="3" t="s">
        <v>28</v>
      </c>
      <c r="B12560" s="3" t="s">
        <v>2774</v>
      </c>
      <c r="C12560" s="3">
        <v>30</v>
      </c>
      <c r="D12560" s="3" t="s">
        <v>749</v>
      </c>
      <c r="E12560" s="3" t="s">
        <v>99</v>
      </c>
      <c r="F12560" s="3" t="s">
        <v>103</v>
      </c>
      <c r="G12560" s="3" t="s">
        <v>93</v>
      </c>
      <c r="H12560" s="3" t="s">
        <v>103</v>
      </c>
      <c r="I12560" s="3" t="s">
        <v>103</v>
      </c>
    </row>
    <row r="12561" spans="1:9" x14ac:dyDescent="0.3">
      <c r="A12561" t="s">
        <v>28</v>
      </c>
      <c r="B12561" t="s">
        <v>2775</v>
      </c>
      <c r="C12561">
        <v>39</v>
      </c>
      <c r="D12561" t="s">
        <v>1175</v>
      </c>
      <c r="E12561" t="s">
        <v>925</v>
      </c>
      <c r="F12561" t="s">
        <v>649</v>
      </c>
      <c r="G12561" t="s">
        <v>136</v>
      </c>
      <c r="H12561" t="s">
        <v>103</v>
      </c>
      <c r="I12561" t="s">
        <v>103</v>
      </c>
    </row>
    <row r="12562" spans="1:9" x14ac:dyDescent="0.3">
      <c r="A12562" t="s">
        <v>28</v>
      </c>
      <c r="B12562" t="s">
        <v>2776</v>
      </c>
      <c r="C12562">
        <v>45</v>
      </c>
      <c r="D12562" t="s">
        <v>753</v>
      </c>
      <c r="E12562" t="s">
        <v>144</v>
      </c>
      <c r="F12562" t="s">
        <v>194</v>
      </c>
      <c r="G12562" t="s">
        <v>100</v>
      </c>
      <c r="H12562" t="s">
        <v>103</v>
      </c>
      <c r="I12562" t="s">
        <v>103</v>
      </c>
    </row>
    <row r="12563" spans="1:9" x14ac:dyDescent="0.3">
      <c r="A12563" t="s">
        <v>28</v>
      </c>
      <c r="B12563" t="s">
        <v>2777</v>
      </c>
      <c r="C12563">
        <v>54</v>
      </c>
      <c r="D12563" t="s">
        <v>717</v>
      </c>
      <c r="E12563" t="s">
        <v>48</v>
      </c>
      <c r="F12563" t="s">
        <v>329</v>
      </c>
      <c r="G12563" t="s">
        <v>104</v>
      </c>
      <c r="H12563" t="s">
        <v>103</v>
      </c>
      <c r="I12563" t="s">
        <v>103</v>
      </c>
    </row>
    <row r="12564" spans="1:9" x14ac:dyDescent="0.3">
      <c r="A12564" t="s">
        <v>28</v>
      </c>
      <c r="B12564" t="s">
        <v>2778</v>
      </c>
      <c r="C12564">
        <v>37</v>
      </c>
      <c r="D12564" t="s">
        <v>1373</v>
      </c>
      <c r="E12564" t="s">
        <v>474</v>
      </c>
      <c r="F12564" t="s">
        <v>201</v>
      </c>
      <c r="G12564" t="s">
        <v>140</v>
      </c>
      <c r="H12564" t="s">
        <v>103</v>
      </c>
      <c r="I12564" t="s">
        <v>103</v>
      </c>
    </row>
    <row r="12565" spans="1:9" x14ac:dyDescent="0.3">
      <c r="A12565" t="s">
        <v>28</v>
      </c>
      <c r="B12565" t="s">
        <v>308</v>
      </c>
      <c r="C12565">
        <v>6</v>
      </c>
      <c r="D12565" t="s">
        <v>863</v>
      </c>
      <c r="E12565" t="s">
        <v>103</v>
      </c>
      <c r="F12565" t="s">
        <v>191</v>
      </c>
      <c r="G12565" t="s">
        <v>103</v>
      </c>
      <c r="H12565" t="s">
        <v>103</v>
      </c>
      <c r="I12565" t="s">
        <v>103</v>
      </c>
    </row>
    <row r="12566" spans="1:9" s="3" customFormat="1" x14ac:dyDescent="0.3">
      <c r="A12566" s="3" t="s">
        <v>27</v>
      </c>
      <c r="B12566" s="3" t="s">
        <v>2772</v>
      </c>
      <c r="C12566" s="3">
        <v>10</v>
      </c>
      <c r="D12566" s="3" t="s">
        <v>935</v>
      </c>
      <c r="E12566" s="3" t="s">
        <v>644</v>
      </c>
      <c r="F12566" s="3" t="s">
        <v>505</v>
      </c>
      <c r="G12566" s="3" t="s">
        <v>825</v>
      </c>
      <c r="H12566" s="3" t="s">
        <v>103</v>
      </c>
      <c r="I12566" s="3" t="s">
        <v>103</v>
      </c>
    </row>
    <row r="12567" spans="1:9" s="3" customFormat="1" x14ac:dyDescent="0.3">
      <c r="A12567" s="3" t="s">
        <v>27</v>
      </c>
      <c r="B12567" s="3" t="s">
        <v>2773</v>
      </c>
      <c r="C12567" s="3">
        <v>9</v>
      </c>
      <c r="D12567" s="3" t="s">
        <v>231</v>
      </c>
      <c r="E12567" s="3" t="s">
        <v>103</v>
      </c>
      <c r="F12567" s="3" t="s">
        <v>456</v>
      </c>
      <c r="G12567" s="3" t="s">
        <v>173</v>
      </c>
      <c r="H12567" s="3" t="s">
        <v>103</v>
      </c>
      <c r="I12567" s="3" t="s">
        <v>103</v>
      </c>
    </row>
    <row r="12568" spans="1:9" s="3" customFormat="1" x14ac:dyDescent="0.3">
      <c r="A12568" s="3" t="s">
        <v>27</v>
      </c>
      <c r="B12568" s="3" t="s">
        <v>2774</v>
      </c>
      <c r="C12568" s="3">
        <v>18</v>
      </c>
      <c r="D12568" s="3" t="s">
        <v>442</v>
      </c>
      <c r="E12568" s="3" t="s">
        <v>62</v>
      </c>
      <c r="F12568" s="3" t="s">
        <v>264</v>
      </c>
      <c r="G12568" s="3" t="s">
        <v>829</v>
      </c>
      <c r="H12568" s="3" t="s">
        <v>201</v>
      </c>
      <c r="I12568" s="3" t="s">
        <v>103</v>
      </c>
    </row>
    <row r="12569" spans="1:9" x14ac:dyDescent="0.3">
      <c r="A12569" t="s">
        <v>27</v>
      </c>
      <c r="B12569" t="s">
        <v>2775</v>
      </c>
      <c r="C12569">
        <v>33</v>
      </c>
      <c r="D12569" t="s">
        <v>938</v>
      </c>
      <c r="E12569" t="s">
        <v>556</v>
      </c>
      <c r="F12569" t="s">
        <v>685</v>
      </c>
      <c r="G12569" t="s">
        <v>117</v>
      </c>
      <c r="H12569" t="s">
        <v>103</v>
      </c>
      <c r="I12569" t="s">
        <v>103</v>
      </c>
    </row>
    <row r="12570" spans="1:9" x14ac:dyDescent="0.3">
      <c r="A12570" t="s">
        <v>27</v>
      </c>
      <c r="B12570" t="s">
        <v>2776</v>
      </c>
      <c r="C12570">
        <v>64</v>
      </c>
      <c r="D12570" t="s">
        <v>431</v>
      </c>
      <c r="E12570" t="s">
        <v>890</v>
      </c>
      <c r="F12570" t="s">
        <v>475</v>
      </c>
      <c r="G12570" t="s">
        <v>46</v>
      </c>
      <c r="H12570" t="s">
        <v>329</v>
      </c>
      <c r="I12570" t="s">
        <v>103</v>
      </c>
    </row>
    <row r="12571" spans="1:9" x14ac:dyDescent="0.3">
      <c r="A12571" t="s">
        <v>27</v>
      </c>
      <c r="B12571" t="s">
        <v>2777</v>
      </c>
      <c r="C12571">
        <v>75</v>
      </c>
      <c r="D12571" t="s">
        <v>1231</v>
      </c>
      <c r="E12571" t="s">
        <v>551</v>
      </c>
      <c r="F12571" t="s">
        <v>160</v>
      </c>
      <c r="G12571" t="s">
        <v>92</v>
      </c>
      <c r="H12571" t="s">
        <v>68</v>
      </c>
      <c r="I12571" t="s">
        <v>110</v>
      </c>
    </row>
    <row r="12572" spans="1:9" x14ac:dyDescent="0.3">
      <c r="A12572" t="s">
        <v>27</v>
      </c>
      <c r="B12572" t="s">
        <v>2778</v>
      </c>
      <c r="C12572">
        <v>67</v>
      </c>
      <c r="D12572" t="s">
        <v>415</v>
      </c>
      <c r="E12572" t="s">
        <v>331</v>
      </c>
      <c r="F12572" t="s">
        <v>558</v>
      </c>
      <c r="G12572" t="s">
        <v>526</v>
      </c>
      <c r="H12572" t="s">
        <v>239</v>
      </c>
      <c r="I12572" t="s">
        <v>103</v>
      </c>
    </row>
    <row r="12573" spans="1:9" s="3" customFormat="1" x14ac:dyDescent="0.3">
      <c r="A12573" s="3" t="s">
        <v>27</v>
      </c>
      <c r="B12573" s="3" t="s">
        <v>223</v>
      </c>
      <c r="C12573" s="3">
        <v>2</v>
      </c>
      <c r="D12573" s="3" t="s">
        <v>103</v>
      </c>
      <c r="E12573" s="3" t="s">
        <v>391</v>
      </c>
      <c r="F12573" s="3" t="s">
        <v>103</v>
      </c>
      <c r="G12573" s="3" t="s">
        <v>392</v>
      </c>
      <c r="H12573" s="3" t="s">
        <v>103</v>
      </c>
      <c r="I12573" s="3" t="s">
        <v>103</v>
      </c>
    </row>
    <row r="12574" spans="1:9" x14ac:dyDescent="0.3">
      <c r="A12574" t="s">
        <v>27</v>
      </c>
      <c r="B12574" t="s">
        <v>308</v>
      </c>
      <c r="C12574">
        <v>15</v>
      </c>
      <c r="D12574" t="s">
        <v>1250</v>
      </c>
      <c r="E12574" t="s">
        <v>103</v>
      </c>
      <c r="F12574" t="s">
        <v>1207</v>
      </c>
      <c r="G12574" t="s">
        <v>150</v>
      </c>
      <c r="H12574" t="s">
        <v>607</v>
      </c>
      <c r="I12574" t="s">
        <v>103</v>
      </c>
    </row>
    <row r="12575" spans="1:9" x14ac:dyDescent="0.3">
      <c r="A12575" t="s">
        <v>41</v>
      </c>
      <c r="B12575" t="s">
        <v>2772</v>
      </c>
      <c r="C12575">
        <v>53</v>
      </c>
      <c r="D12575" t="s">
        <v>508</v>
      </c>
      <c r="E12575" t="s">
        <v>331</v>
      </c>
      <c r="F12575" t="s">
        <v>555</v>
      </c>
      <c r="G12575" t="s">
        <v>217</v>
      </c>
      <c r="H12575" t="s">
        <v>103</v>
      </c>
      <c r="I12575" t="s">
        <v>103</v>
      </c>
    </row>
    <row r="12576" spans="1:9" x14ac:dyDescent="0.3">
      <c r="A12576" t="s">
        <v>41</v>
      </c>
      <c r="B12576" t="s">
        <v>2773</v>
      </c>
      <c r="C12576">
        <v>83</v>
      </c>
      <c r="D12576" t="s">
        <v>260</v>
      </c>
      <c r="E12576" t="s">
        <v>162</v>
      </c>
      <c r="F12576" t="s">
        <v>575</v>
      </c>
      <c r="G12576" t="s">
        <v>524</v>
      </c>
      <c r="H12576" t="s">
        <v>103</v>
      </c>
      <c r="I12576" t="s">
        <v>103</v>
      </c>
    </row>
    <row r="12577" spans="1:9" x14ac:dyDescent="0.3">
      <c r="A12577" t="s">
        <v>41</v>
      </c>
      <c r="B12577" t="s">
        <v>2774</v>
      </c>
      <c r="C12577">
        <v>97</v>
      </c>
      <c r="D12577" t="s">
        <v>349</v>
      </c>
      <c r="E12577" t="s">
        <v>548</v>
      </c>
      <c r="F12577" t="s">
        <v>169</v>
      </c>
      <c r="G12577" t="s">
        <v>829</v>
      </c>
      <c r="H12577" t="s">
        <v>122</v>
      </c>
      <c r="I12577" t="s">
        <v>103</v>
      </c>
    </row>
    <row r="12578" spans="1:9" x14ac:dyDescent="0.3">
      <c r="A12578" t="s">
        <v>41</v>
      </c>
      <c r="B12578" t="s">
        <v>2775</v>
      </c>
      <c r="C12578">
        <v>149</v>
      </c>
      <c r="D12578" t="s">
        <v>361</v>
      </c>
      <c r="E12578" t="s">
        <v>510</v>
      </c>
      <c r="F12578" t="s">
        <v>601</v>
      </c>
      <c r="G12578" t="s">
        <v>809</v>
      </c>
      <c r="H12578" t="s">
        <v>245</v>
      </c>
      <c r="I12578" t="s">
        <v>194</v>
      </c>
    </row>
    <row r="12579" spans="1:9" x14ac:dyDescent="0.3">
      <c r="A12579" t="s">
        <v>41</v>
      </c>
      <c r="B12579" t="s">
        <v>2776</v>
      </c>
      <c r="C12579">
        <v>288</v>
      </c>
      <c r="D12579" t="s">
        <v>1426</v>
      </c>
      <c r="E12579" t="s">
        <v>702</v>
      </c>
      <c r="F12579" t="s">
        <v>190</v>
      </c>
      <c r="G12579" t="s">
        <v>925</v>
      </c>
      <c r="H12579" t="s">
        <v>95</v>
      </c>
      <c r="I12579" t="s">
        <v>103</v>
      </c>
    </row>
    <row r="12580" spans="1:9" x14ac:dyDescent="0.3">
      <c r="A12580" t="s">
        <v>41</v>
      </c>
      <c r="B12580" t="s">
        <v>2777</v>
      </c>
      <c r="C12580">
        <v>625</v>
      </c>
      <c r="D12580" t="s">
        <v>304</v>
      </c>
      <c r="E12580" t="s">
        <v>687</v>
      </c>
      <c r="F12580" t="s">
        <v>591</v>
      </c>
      <c r="G12580" t="s">
        <v>164</v>
      </c>
      <c r="H12580" t="s">
        <v>105</v>
      </c>
      <c r="I12580" t="s">
        <v>122</v>
      </c>
    </row>
    <row r="12581" spans="1:9" x14ac:dyDescent="0.3">
      <c r="A12581" t="s">
        <v>41</v>
      </c>
      <c r="B12581" t="s">
        <v>2778</v>
      </c>
      <c r="C12581">
        <v>520</v>
      </c>
      <c r="D12581" t="s">
        <v>782</v>
      </c>
      <c r="E12581" t="s">
        <v>471</v>
      </c>
      <c r="F12581" t="s">
        <v>112</v>
      </c>
      <c r="G12581" t="s">
        <v>734</v>
      </c>
      <c r="H12581" t="s">
        <v>216</v>
      </c>
      <c r="I12581" t="s">
        <v>116</v>
      </c>
    </row>
    <row r="12582" spans="1:9" s="3" customFormat="1" x14ac:dyDescent="0.3">
      <c r="A12582" s="3" t="s">
        <v>41</v>
      </c>
      <c r="B12582" s="3" t="s">
        <v>223</v>
      </c>
      <c r="C12582" s="3">
        <v>3</v>
      </c>
      <c r="D12582" s="3" t="s">
        <v>103</v>
      </c>
      <c r="E12582" s="3" t="s">
        <v>174</v>
      </c>
      <c r="F12582" s="3" t="s">
        <v>103</v>
      </c>
      <c r="G12582" s="3" t="s">
        <v>173</v>
      </c>
      <c r="H12582" s="3" t="s">
        <v>103</v>
      </c>
      <c r="I12582" s="3" t="s">
        <v>103</v>
      </c>
    </row>
    <row r="12583" spans="1:9" x14ac:dyDescent="0.3">
      <c r="A12583" t="s">
        <v>41</v>
      </c>
      <c r="B12583" t="s">
        <v>308</v>
      </c>
      <c r="C12583">
        <v>29</v>
      </c>
      <c r="D12583" t="s">
        <v>455</v>
      </c>
      <c r="E12583" t="s">
        <v>121</v>
      </c>
      <c r="F12583" t="s">
        <v>644</v>
      </c>
      <c r="G12583" t="s">
        <v>123</v>
      </c>
      <c r="H12583" t="s">
        <v>128</v>
      </c>
      <c r="I12583" t="s">
        <v>103</v>
      </c>
    </row>
    <row r="12585" spans="1:9" x14ac:dyDescent="0.3">
      <c r="A12585" t="s">
        <v>2872</v>
      </c>
    </row>
    <row r="12586" spans="1:9" x14ac:dyDescent="0.3">
      <c r="A12586" t="s">
        <v>36</v>
      </c>
      <c r="B12586" t="s">
        <v>197</v>
      </c>
      <c r="C12586" t="s">
        <v>24</v>
      </c>
      <c r="D12586" t="s">
        <v>1454</v>
      </c>
      <c r="E12586" t="s">
        <v>2858</v>
      </c>
      <c r="F12586" t="s">
        <v>2859</v>
      </c>
      <c r="G12586" t="s">
        <v>2860</v>
      </c>
      <c r="H12586" t="s">
        <v>2862</v>
      </c>
      <c r="I12586" t="s">
        <v>2861</v>
      </c>
    </row>
    <row r="12587" spans="1:9" x14ac:dyDescent="0.3">
      <c r="A12587" t="s">
        <v>25</v>
      </c>
      <c r="B12587" t="s">
        <v>198</v>
      </c>
      <c r="C12587">
        <v>87</v>
      </c>
      <c r="D12587" t="s">
        <v>90</v>
      </c>
      <c r="E12587" t="s">
        <v>1284</v>
      </c>
      <c r="F12587" t="s">
        <v>695</v>
      </c>
      <c r="G12587" t="s">
        <v>282</v>
      </c>
      <c r="H12587" t="s">
        <v>1198</v>
      </c>
      <c r="I12587" t="s">
        <v>103</v>
      </c>
    </row>
    <row r="12588" spans="1:9" x14ac:dyDescent="0.3">
      <c r="A12588" t="s">
        <v>25</v>
      </c>
      <c r="B12588" t="s">
        <v>199</v>
      </c>
      <c r="C12588">
        <v>270</v>
      </c>
      <c r="D12588" t="s">
        <v>186</v>
      </c>
      <c r="E12588" t="s">
        <v>1279</v>
      </c>
      <c r="F12588" t="s">
        <v>528</v>
      </c>
      <c r="G12588" t="s">
        <v>95</v>
      </c>
      <c r="H12588" t="s">
        <v>691</v>
      </c>
      <c r="I12588" t="s">
        <v>122</v>
      </c>
    </row>
    <row r="12589" spans="1:9" x14ac:dyDescent="0.3">
      <c r="A12589" t="s">
        <v>26</v>
      </c>
      <c r="B12589" t="s">
        <v>198</v>
      </c>
      <c r="C12589">
        <v>40</v>
      </c>
      <c r="D12589" t="s">
        <v>438</v>
      </c>
      <c r="E12589" t="s">
        <v>939</v>
      </c>
      <c r="F12589" t="s">
        <v>270</v>
      </c>
      <c r="G12589" t="s">
        <v>103</v>
      </c>
      <c r="H12589" t="s">
        <v>627</v>
      </c>
      <c r="I12589" t="s">
        <v>103</v>
      </c>
    </row>
    <row r="12590" spans="1:9" x14ac:dyDescent="0.3">
      <c r="A12590" t="s">
        <v>26</v>
      </c>
      <c r="B12590" t="s">
        <v>199</v>
      </c>
      <c r="C12590">
        <v>408</v>
      </c>
      <c r="D12590" t="s">
        <v>190</v>
      </c>
      <c r="E12590" t="s">
        <v>620</v>
      </c>
      <c r="F12590" t="s">
        <v>925</v>
      </c>
      <c r="G12590" t="s">
        <v>282</v>
      </c>
      <c r="H12590" t="s">
        <v>475</v>
      </c>
      <c r="I12590" t="s">
        <v>103</v>
      </c>
    </row>
    <row r="12591" spans="1:9" x14ac:dyDescent="0.3">
      <c r="A12591" t="s">
        <v>29</v>
      </c>
      <c r="B12591" t="s">
        <v>198</v>
      </c>
      <c r="C12591">
        <v>152</v>
      </c>
      <c r="D12591" t="s">
        <v>102</v>
      </c>
      <c r="E12591" t="s">
        <v>1328</v>
      </c>
      <c r="F12591" t="s">
        <v>175</v>
      </c>
      <c r="G12591" t="s">
        <v>103</v>
      </c>
      <c r="H12591" t="s">
        <v>256</v>
      </c>
      <c r="I12591" t="s">
        <v>282</v>
      </c>
    </row>
    <row r="12592" spans="1:9" x14ac:dyDescent="0.3">
      <c r="A12592" t="s">
        <v>29</v>
      </c>
      <c r="B12592" t="s">
        <v>199</v>
      </c>
      <c r="C12592">
        <v>292</v>
      </c>
      <c r="D12592" t="s">
        <v>112</v>
      </c>
      <c r="E12592" t="s">
        <v>1032</v>
      </c>
      <c r="F12592" t="s">
        <v>469</v>
      </c>
      <c r="G12592" t="s">
        <v>68</v>
      </c>
      <c r="H12592" t="s">
        <v>927</v>
      </c>
      <c r="I12592" t="s">
        <v>122</v>
      </c>
    </row>
    <row r="12593" spans="1:9" x14ac:dyDescent="0.3">
      <c r="A12593" t="s">
        <v>28</v>
      </c>
      <c r="B12593" t="s">
        <v>198</v>
      </c>
      <c r="C12593">
        <v>68</v>
      </c>
      <c r="D12593" t="s">
        <v>103</v>
      </c>
      <c r="E12593" t="s">
        <v>249</v>
      </c>
      <c r="F12593" t="s">
        <v>452</v>
      </c>
      <c r="G12593" t="s">
        <v>103</v>
      </c>
      <c r="H12593" t="s">
        <v>529</v>
      </c>
      <c r="I12593" t="s">
        <v>103</v>
      </c>
    </row>
    <row r="12594" spans="1:9" x14ac:dyDescent="0.3">
      <c r="A12594" t="s">
        <v>28</v>
      </c>
      <c r="B12594" t="s">
        <v>199</v>
      </c>
      <c r="C12594">
        <v>237</v>
      </c>
      <c r="D12594" t="s">
        <v>466</v>
      </c>
      <c r="E12594" t="s">
        <v>1153</v>
      </c>
      <c r="F12594" t="s">
        <v>494</v>
      </c>
      <c r="G12594" t="s">
        <v>103</v>
      </c>
      <c r="H12594" t="s">
        <v>140</v>
      </c>
      <c r="I12594" t="s">
        <v>103</v>
      </c>
    </row>
    <row r="12595" spans="1:9" x14ac:dyDescent="0.3">
      <c r="A12595" t="s">
        <v>27</v>
      </c>
      <c r="B12595" t="s">
        <v>198</v>
      </c>
      <c r="C12595">
        <v>132</v>
      </c>
      <c r="D12595" t="s">
        <v>682</v>
      </c>
      <c r="E12595" t="s">
        <v>441</v>
      </c>
      <c r="F12595" t="s">
        <v>734</v>
      </c>
      <c r="G12595" t="s">
        <v>239</v>
      </c>
      <c r="H12595" t="s">
        <v>92</v>
      </c>
      <c r="I12595" t="s">
        <v>103</v>
      </c>
    </row>
    <row r="12596" spans="1:9" x14ac:dyDescent="0.3">
      <c r="A12596" t="s">
        <v>27</v>
      </c>
      <c r="B12596" t="s">
        <v>199</v>
      </c>
      <c r="C12596">
        <v>161</v>
      </c>
      <c r="D12596" t="s">
        <v>142</v>
      </c>
      <c r="E12596" t="s">
        <v>1559</v>
      </c>
      <c r="F12596" t="s">
        <v>515</v>
      </c>
      <c r="G12596" t="s">
        <v>270</v>
      </c>
      <c r="H12596" t="s">
        <v>473</v>
      </c>
      <c r="I12596" t="s">
        <v>95</v>
      </c>
    </row>
    <row r="12597" spans="1:9" x14ac:dyDescent="0.3">
      <c r="A12597" t="s">
        <v>41</v>
      </c>
      <c r="B12597" t="s">
        <v>198</v>
      </c>
      <c r="C12597">
        <v>479</v>
      </c>
      <c r="D12597" t="s">
        <v>133</v>
      </c>
      <c r="E12597" t="s">
        <v>1034</v>
      </c>
      <c r="F12597" t="s">
        <v>566</v>
      </c>
      <c r="G12597" t="s">
        <v>116</v>
      </c>
      <c r="H12597" t="s">
        <v>697</v>
      </c>
      <c r="I12597" t="s">
        <v>120</v>
      </c>
    </row>
    <row r="12598" spans="1:9" x14ac:dyDescent="0.3">
      <c r="A12598" t="s">
        <v>41</v>
      </c>
      <c r="B12598" t="s">
        <v>199</v>
      </c>
      <c r="C12598">
        <v>1368</v>
      </c>
      <c r="D12598" t="s">
        <v>531</v>
      </c>
      <c r="E12598" t="s">
        <v>802</v>
      </c>
      <c r="F12598" t="s">
        <v>524</v>
      </c>
      <c r="G12598" t="s">
        <v>105</v>
      </c>
      <c r="H12598" t="s">
        <v>50</v>
      </c>
      <c r="I12598" t="s">
        <v>116</v>
      </c>
    </row>
    <row r="12600" spans="1:9" x14ac:dyDescent="0.3">
      <c r="A12600" t="s">
        <v>2873</v>
      </c>
    </row>
    <row r="12601" spans="1:9" x14ac:dyDescent="0.3">
      <c r="A12601" t="s">
        <v>36</v>
      </c>
      <c r="B12601" t="s">
        <v>24</v>
      </c>
      <c r="C12601" t="s">
        <v>58</v>
      </c>
      <c r="D12601" t="s">
        <v>2874</v>
      </c>
      <c r="E12601" t="s">
        <v>181</v>
      </c>
      <c r="F12601" t="s">
        <v>59</v>
      </c>
    </row>
    <row r="12602" spans="1:9" x14ac:dyDescent="0.3">
      <c r="A12602" t="s">
        <v>25</v>
      </c>
      <c r="B12602">
        <v>414</v>
      </c>
      <c r="C12602" t="s">
        <v>264</v>
      </c>
      <c r="D12602" t="s">
        <v>750</v>
      </c>
      <c r="E12602" t="s">
        <v>95</v>
      </c>
      <c r="F12602" t="s">
        <v>1243</v>
      </c>
    </row>
    <row r="12603" spans="1:9" x14ac:dyDescent="0.3">
      <c r="A12603" t="s">
        <v>26</v>
      </c>
      <c r="B12603">
        <v>477</v>
      </c>
      <c r="C12603" t="s">
        <v>921</v>
      </c>
      <c r="D12603" t="s">
        <v>541</v>
      </c>
      <c r="E12603" t="s">
        <v>66</v>
      </c>
      <c r="F12603" t="s">
        <v>1202</v>
      </c>
    </row>
    <row r="12604" spans="1:9" x14ac:dyDescent="0.3">
      <c r="A12604" t="s">
        <v>29</v>
      </c>
      <c r="B12604">
        <v>530</v>
      </c>
      <c r="C12604" t="s">
        <v>583</v>
      </c>
      <c r="D12604" t="s">
        <v>788</v>
      </c>
      <c r="E12604" t="s">
        <v>468</v>
      </c>
      <c r="F12604" t="s">
        <v>729</v>
      </c>
    </row>
    <row r="12605" spans="1:9" x14ac:dyDescent="0.3">
      <c r="A12605" t="s">
        <v>28</v>
      </c>
      <c r="B12605">
        <v>317</v>
      </c>
      <c r="C12605" t="s">
        <v>1093</v>
      </c>
      <c r="D12605" t="s">
        <v>577</v>
      </c>
      <c r="E12605" t="s">
        <v>103</v>
      </c>
      <c r="F12605" t="s">
        <v>1396</v>
      </c>
    </row>
    <row r="12606" spans="1:9" x14ac:dyDescent="0.3">
      <c r="A12606" t="s">
        <v>27</v>
      </c>
      <c r="B12606">
        <v>300</v>
      </c>
      <c r="C12606" t="s">
        <v>566</v>
      </c>
      <c r="D12606" t="s">
        <v>1240</v>
      </c>
      <c r="E12606" t="s">
        <v>116</v>
      </c>
      <c r="F12606" t="s">
        <v>582</v>
      </c>
    </row>
    <row r="12607" spans="1:9" x14ac:dyDescent="0.3">
      <c r="A12607" t="s">
        <v>41</v>
      </c>
      <c r="B12607">
        <v>2038</v>
      </c>
      <c r="C12607" t="s">
        <v>1203</v>
      </c>
      <c r="D12607" t="s">
        <v>685</v>
      </c>
      <c r="E12607" t="s">
        <v>95</v>
      </c>
      <c r="F12607" t="s">
        <v>535</v>
      </c>
    </row>
    <row r="12609" spans="1:7" x14ac:dyDescent="0.3">
      <c r="A12609" t="s">
        <v>2875</v>
      </c>
    </row>
    <row r="12610" spans="1:7" x14ac:dyDescent="0.3">
      <c r="A12610" t="s">
        <v>36</v>
      </c>
      <c r="B12610" t="s">
        <v>307</v>
      </c>
      <c r="C12610" t="s">
        <v>24</v>
      </c>
      <c r="D12610" t="s">
        <v>58</v>
      </c>
      <c r="E12610" t="s">
        <v>2874</v>
      </c>
      <c r="F12610" t="s">
        <v>181</v>
      </c>
      <c r="G12610" t="s">
        <v>59</v>
      </c>
    </row>
    <row r="12611" spans="1:7" x14ac:dyDescent="0.3">
      <c r="A12611" t="s">
        <v>25</v>
      </c>
      <c r="B12611" t="s">
        <v>291</v>
      </c>
      <c r="C12611">
        <v>156</v>
      </c>
      <c r="D12611" t="s">
        <v>646</v>
      </c>
      <c r="E12611" t="s">
        <v>191</v>
      </c>
      <c r="F12611" t="s">
        <v>110</v>
      </c>
      <c r="G12611" t="s">
        <v>233</v>
      </c>
    </row>
    <row r="12612" spans="1:7" x14ac:dyDescent="0.3">
      <c r="A12612" t="s">
        <v>25</v>
      </c>
      <c r="B12612" t="s">
        <v>292</v>
      </c>
      <c r="C12612">
        <v>254</v>
      </c>
      <c r="D12612" t="s">
        <v>756</v>
      </c>
      <c r="E12612" t="s">
        <v>268</v>
      </c>
      <c r="F12612" t="s">
        <v>116</v>
      </c>
      <c r="G12612" t="s">
        <v>1328</v>
      </c>
    </row>
    <row r="12613" spans="1:7" x14ac:dyDescent="0.3">
      <c r="A12613" t="s">
        <v>25</v>
      </c>
      <c r="B12613" t="s">
        <v>308</v>
      </c>
      <c r="C12613">
        <v>4</v>
      </c>
      <c r="D12613" t="s">
        <v>103</v>
      </c>
      <c r="E12613" t="s">
        <v>693</v>
      </c>
      <c r="F12613" t="s">
        <v>103</v>
      </c>
      <c r="G12613" t="s">
        <v>240</v>
      </c>
    </row>
    <row r="12614" spans="1:7" x14ac:dyDescent="0.3">
      <c r="A12614" t="s">
        <v>26</v>
      </c>
      <c r="B12614" t="s">
        <v>291</v>
      </c>
      <c r="C12614">
        <v>122</v>
      </c>
      <c r="D12614" t="s">
        <v>975</v>
      </c>
      <c r="E12614" t="s">
        <v>683</v>
      </c>
      <c r="F12614" t="s">
        <v>103</v>
      </c>
      <c r="G12614" t="s">
        <v>34</v>
      </c>
    </row>
    <row r="12615" spans="1:7" x14ac:dyDescent="0.3">
      <c r="A12615" t="s">
        <v>26</v>
      </c>
      <c r="B12615" t="s">
        <v>292</v>
      </c>
      <c r="C12615">
        <v>352</v>
      </c>
      <c r="D12615" t="s">
        <v>504</v>
      </c>
      <c r="E12615" t="s">
        <v>376</v>
      </c>
      <c r="F12615" t="s">
        <v>116</v>
      </c>
      <c r="G12615" t="s">
        <v>490</v>
      </c>
    </row>
    <row r="12616" spans="1:7" x14ac:dyDescent="0.3">
      <c r="A12616" t="s">
        <v>26</v>
      </c>
      <c r="B12616" t="s">
        <v>308</v>
      </c>
      <c r="C12616">
        <v>3</v>
      </c>
      <c r="D12616" t="s">
        <v>699</v>
      </c>
      <c r="E12616" t="s">
        <v>103</v>
      </c>
      <c r="F12616" t="s">
        <v>103</v>
      </c>
      <c r="G12616" t="s">
        <v>784</v>
      </c>
    </row>
    <row r="12617" spans="1:7" x14ac:dyDescent="0.3">
      <c r="A12617" t="s">
        <v>29</v>
      </c>
      <c r="B12617" t="s">
        <v>291</v>
      </c>
      <c r="C12617">
        <v>205</v>
      </c>
      <c r="D12617" t="s">
        <v>1229</v>
      </c>
      <c r="E12617" t="s">
        <v>250</v>
      </c>
      <c r="F12617" t="s">
        <v>110</v>
      </c>
      <c r="G12617" t="s">
        <v>1097</v>
      </c>
    </row>
    <row r="12618" spans="1:7" x14ac:dyDescent="0.3">
      <c r="A12618" t="s">
        <v>29</v>
      </c>
      <c r="B12618" t="s">
        <v>292</v>
      </c>
      <c r="C12618">
        <v>325</v>
      </c>
      <c r="D12618" t="s">
        <v>647</v>
      </c>
      <c r="E12618" t="s">
        <v>656</v>
      </c>
      <c r="F12618" t="s">
        <v>282</v>
      </c>
      <c r="G12618" t="s">
        <v>492</v>
      </c>
    </row>
    <row r="12619" spans="1:7" x14ac:dyDescent="0.3">
      <c r="A12619" t="s">
        <v>28</v>
      </c>
      <c r="B12619" t="s">
        <v>291</v>
      </c>
      <c r="C12619">
        <v>114</v>
      </c>
      <c r="D12619" t="s">
        <v>577</v>
      </c>
      <c r="E12619" t="s">
        <v>1023</v>
      </c>
      <c r="F12619" t="s">
        <v>103</v>
      </c>
      <c r="G12619" t="s">
        <v>423</v>
      </c>
    </row>
    <row r="12620" spans="1:7" x14ac:dyDescent="0.3">
      <c r="A12620" t="s">
        <v>28</v>
      </c>
      <c r="B12620" t="s">
        <v>292</v>
      </c>
      <c r="C12620">
        <v>191</v>
      </c>
      <c r="D12620" t="s">
        <v>674</v>
      </c>
      <c r="E12620" t="s">
        <v>429</v>
      </c>
      <c r="F12620" t="s">
        <v>103</v>
      </c>
      <c r="G12620" t="s">
        <v>1028</v>
      </c>
    </row>
    <row r="12621" spans="1:7" x14ac:dyDescent="0.3">
      <c r="A12621" t="s">
        <v>28</v>
      </c>
      <c r="B12621" t="s">
        <v>308</v>
      </c>
      <c r="C12621">
        <v>12</v>
      </c>
      <c r="D12621" t="s">
        <v>665</v>
      </c>
      <c r="E12621" t="s">
        <v>124</v>
      </c>
      <c r="F12621" t="s">
        <v>103</v>
      </c>
      <c r="G12621" t="s">
        <v>677</v>
      </c>
    </row>
    <row r="12622" spans="1:7" x14ac:dyDescent="0.3">
      <c r="A12622" t="s">
        <v>27</v>
      </c>
      <c r="B12622" t="s">
        <v>291</v>
      </c>
      <c r="C12622">
        <v>95</v>
      </c>
      <c r="D12622" t="s">
        <v>695</v>
      </c>
      <c r="E12622" t="s">
        <v>1064</v>
      </c>
      <c r="F12622" t="s">
        <v>468</v>
      </c>
      <c r="G12622" t="s">
        <v>228</v>
      </c>
    </row>
    <row r="12623" spans="1:7" x14ac:dyDescent="0.3">
      <c r="A12623" t="s">
        <v>27</v>
      </c>
      <c r="B12623" t="s">
        <v>292</v>
      </c>
      <c r="C12623">
        <v>198</v>
      </c>
      <c r="D12623" t="s">
        <v>517</v>
      </c>
      <c r="E12623" t="s">
        <v>802</v>
      </c>
      <c r="F12623" t="s">
        <v>103</v>
      </c>
      <c r="G12623" t="s">
        <v>480</v>
      </c>
    </row>
    <row r="12624" spans="1:7" x14ac:dyDescent="0.3">
      <c r="A12624" t="s">
        <v>27</v>
      </c>
      <c r="B12624" t="s">
        <v>308</v>
      </c>
      <c r="C12624">
        <v>7</v>
      </c>
      <c r="D12624" t="s">
        <v>488</v>
      </c>
      <c r="E12624" t="s">
        <v>1060</v>
      </c>
      <c r="F12624" t="s">
        <v>103</v>
      </c>
      <c r="G12624" t="s">
        <v>1216</v>
      </c>
    </row>
    <row r="12625" spans="1:7" x14ac:dyDescent="0.3">
      <c r="A12625" t="s">
        <v>41</v>
      </c>
      <c r="B12625" t="s">
        <v>291</v>
      </c>
      <c r="C12625">
        <v>692</v>
      </c>
      <c r="D12625" t="s">
        <v>129</v>
      </c>
      <c r="E12625" t="s">
        <v>539</v>
      </c>
      <c r="F12625" t="s">
        <v>345</v>
      </c>
      <c r="G12625" t="s">
        <v>462</v>
      </c>
    </row>
    <row r="12626" spans="1:7" x14ac:dyDescent="0.3">
      <c r="A12626" t="s">
        <v>41</v>
      </c>
      <c r="B12626" t="s">
        <v>292</v>
      </c>
      <c r="C12626">
        <v>1320</v>
      </c>
      <c r="D12626" t="s">
        <v>921</v>
      </c>
      <c r="E12626" t="s">
        <v>906</v>
      </c>
      <c r="F12626" t="s">
        <v>120</v>
      </c>
      <c r="G12626" t="s">
        <v>1091</v>
      </c>
    </row>
    <row r="12627" spans="1:7" x14ac:dyDescent="0.3">
      <c r="A12627" t="s">
        <v>41</v>
      </c>
      <c r="B12627" t="s">
        <v>308</v>
      </c>
      <c r="C12627">
        <v>26</v>
      </c>
      <c r="D12627" t="s">
        <v>650</v>
      </c>
      <c r="E12627" t="s">
        <v>813</v>
      </c>
      <c r="F12627" t="s">
        <v>103</v>
      </c>
      <c r="G12627" t="s">
        <v>1172</v>
      </c>
    </row>
    <row r="12629" spans="1:7" x14ac:dyDescent="0.3">
      <c r="A12629" t="s">
        <v>2876</v>
      </c>
    </row>
    <row r="12630" spans="1:7" x14ac:dyDescent="0.3">
      <c r="A12630" t="s">
        <v>36</v>
      </c>
      <c r="B12630" t="s">
        <v>763</v>
      </c>
      <c r="C12630" t="s">
        <v>24</v>
      </c>
      <c r="D12630" t="s">
        <v>58</v>
      </c>
      <c r="E12630" t="s">
        <v>2874</v>
      </c>
      <c r="F12630" t="s">
        <v>59</v>
      </c>
      <c r="G12630" t="s">
        <v>181</v>
      </c>
    </row>
    <row r="12631" spans="1:7" x14ac:dyDescent="0.3">
      <c r="A12631" t="s">
        <v>25</v>
      </c>
      <c r="B12631" t="s">
        <v>764</v>
      </c>
      <c r="C12631">
        <v>31</v>
      </c>
      <c r="D12631" t="s">
        <v>1084</v>
      </c>
      <c r="E12631" t="s">
        <v>173</v>
      </c>
      <c r="F12631" t="s">
        <v>1252</v>
      </c>
      <c r="G12631" t="s">
        <v>103</v>
      </c>
    </row>
    <row r="12632" spans="1:7" x14ac:dyDescent="0.3">
      <c r="A12632" t="s">
        <v>25</v>
      </c>
      <c r="B12632" t="s">
        <v>765</v>
      </c>
      <c r="C12632">
        <v>280</v>
      </c>
      <c r="D12632" t="s">
        <v>927</v>
      </c>
      <c r="E12632" t="s">
        <v>918</v>
      </c>
      <c r="F12632" t="s">
        <v>1375</v>
      </c>
      <c r="G12632" t="s">
        <v>282</v>
      </c>
    </row>
    <row r="12633" spans="1:7" x14ac:dyDescent="0.3">
      <c r="A12633" t="s">
        <v>25</v>
      </c>
      <c r="B12633" t="s">
        <v>767</v>
      </c>
      <c r="C12633">
        <v>103</v>
      </c>
      <c r="D12633" t="s">
        <v>50</v>
      </c>
      <c r="E12633" t="s">
        <v>155</v>
      </c>
      <c r="F12633" t="s">
        <v>294</v>
      </c>
      <c r="G12633" t="s">
        <v>103</v>
      </c>
    </row>
    <row r="12634" spans="1:7" x14ac:dyDescent="0.3">
      <c r="A12634" t="s">
        <v>26</v>
      </c>
      <c r="B12634" t="s">
        <v>764</v>
      </c>
      <c r="C12634">
        <v>58</v>
      </c>
      <c r="D12634" t="s">
        <v>683</v>
      </c>
      <c r="E12634" t="s">
        <v>1065</v>
      </c>
      <c r="F12634" t="s">
        <v>644</v>
      </c>
      <c r="G12634" t="s">
        <v>103</v>
      </c>
    </row>
    <row r="12635" spans="1:7" x14ac:dyDescent="0.3">
      <c r="A12635" t="s">
        <v>26</v>
      </c>
      <c r="B12635" t="s">
        <v>765</v>
      </c>
      <c r="C12635">
        <v>278</v>
      </c>
      <c r="D12635" t="s">
        <v>565</v>
      </c>
      <c r="E12635" t="s">
        <v>542</v>
      </c>
      <c r="F12635" t="s">
        <v>462</v>
      </c>
      <c r="G12635" t="s">
        <v>103</v>
      </c>
    </row>
    <row r="12636" spans="1:7" x14ac:dyDescent="0.3">
      <c r="A12636" t="s">
        <v>26</v>
      </c>
      <c r="B12636" t="s">
        <v>767</v>
      </c>
      <c r="C12636">
        <v>141</v>
      </c>
      <c r="D12636" t="s">
        <v>52</v>
      </c>
      <c r="E12636" t="s">
        <v>456</v>
      </c>
      <c r="F12636" t="s">
        <v>1098</v>
      </c>
      <c r="G12636" t="s">
        <v>139</v>
      </c>
    </row>
    <row r="12637" spans="1:7" s="3" customFormat="1" x14ac:dyDescent="0.3">
      <c r="A12637" s="3" t="s">
        <v>29</v>
      </c>
      <c r="B12637" s="3" t="s">
        <v>764</v>
      </c>
      <c r="C12637" s="3">
        <v>11</v>
      </c>
      <c r="D12637" s="3" t="s">
        <v>398</v>
      </c>
      <c r="E12637" s="3" t="s">
        <v>2103</v>
      </c>
      <c r="F12637" s="3" t="s">
        <v>115</v>
      </c>
      <c r="G12637" s="3" t="s">
        <v>103</v>
      </c>
    </row>
    <row r="12638" spans="1:7" x14ac:dyDescent="0.3">
      <c r="A12638" t="s">
        <v>29</v>
      </c>
      <c r="B12638" t="s">
        <v>765</v>
      </c>
      <c r="C12638">
        <v>365</v>
      </c>
      <c r="D12638" t="s">
        <v>619</v>
      </c>
      <c r="E12638" t="s">
        <v>1213</v>
      </c>
      <c r="F12638" t="s">
        <v>1014</v>
      </c>
      <c r="G12638" t="s">
        <v>245</v>
      </c>
    </row>
    <row r="12639" spans="1:7" x14ac:dyDescent="0.3">
      <c r="A12639" t="s">
        <v>29</v>
      </c>
      <c r="B12639" t="s">
        <v>767</v>
      </c>
      <c r="C12639">
        <v>154</v>
      </c>
      <c r="D12639" t="s">
        <v>504</v>
      </c>
      <c r="E12639" t="s">
        <v>456</v>
      </c>
      <c r="F12639" t="s">
        <v>1210</v>
      </c>
      <c r="G12639" t="s">
        <v>103</v>
      </c>
    </row>
    <row r="12640" spans="1:7" s="3" customFormat="1" x14ac:dyDescent="0.3">
      <c r="A12640" s="3" t="s">
        <v>28</v>
      </c>
      <c r="B12640" s="3" t="s">
        <v>764</v>
      </c>
      <c r="C12640" s="3">
        <v>20</v>
      </c>
      <c r="D12640" s="3" t="s">
        <v>1394</v>
      </c>
      <c r="E12640" s="3" t="s">
        <v>167</v>
      </c>
      <c r="F12640" s="3" t="s">
        <v>906</v>
      </c>
      <c r="G12640" s="3" t="s">
        <v>103</v>
      </c>
    </row>
    <row r="12641" spans="1:7" x14ac:dyDescent="0.3">
      <c r="A12641" t="s">
        <v>28</v>
      </c>
      <c r="B12641" t="s">
        <v>765</v>
      </c>
      <c r="C12641">
        <v>260</v>
      </c>
      <c r="D12641" t="s">
        <v>457</v>
      </c>
      <c r="E12641" t="s">
        <v>920</v>
      </c>
      <c r="F12641" t="s">
        <v>1049</v>
      </c>
      <c r="G12641" t="s">
        <v>103</v>
      </c>
    </row>
    <row r="12642" spans="1:7" x14ac:dyDescent="0.3">
      <c r="A12642" t="s">
        <v>28</v>
      </c>
      <c r="B12642" t="s">
        <v>767</v>
      </c>
      <c r="C12642">
        <v>37</v>
      </c>
      <c r="D12642" t="s">
        <v>230</v>
      </c>
      <c r="E12642" t="s">
        <v>479</v>
      </c>
      <c r="F12642" t="s">
        <v>1000</v>
      </c>
      <c r="G12642" t="s">
        <v>103</v>
      </c>
    </row>
    <row r="12643" spans="1:7" s="3" customFormat="1" x14ac:dyDescent="0.3">
      <c r="A12643" s="3" t="s">
        <v>27</v>
      </c>
      <c r="B12643" s="3" t="s">
        <v>764</v>
      </c>
      <c r="C12643" s="3">
        <v>29</v>
      </c>
      <c r="D12643" s="3" t="s">
        <v>68</v>
      </c>
      <c r="E12643" s="3" t="s">
        <v>364</v>
      </c>
      <c r="F12643" s="3" t="s">
        <v>541</v>
      </c>
      <c r="G12643" s="3" t="s">
        <v>103</v>
      </c>
    </row>
    <row r="12644" spans="1:7" x14ac:dyDescent="0.3">
      <c r="A12644" t="s">
        <v>27</v>
      </c>
      <c r="B12644" t="s">
        <v>765</v>
      </c>
      <c r="C12644">
        <v>209</v>
      </c>
      <c r="D12644" t="s">
        <v>687</v>
      </c>
      <c r="E12644" t="s">
        <v>1252</v>
      </c>
      <c r="F12644" t="s">
        <v>707</v>
      </c>
      <c r="G12644" t="s">
        <v>97</v>
      </c>
    </row>
    <row r="12645" spans="1:7" x14ac:dyDescent="0.3">
      <c r="A12645" t="s">
        <v>27</v>
      </c>
      <c r="B12645" t="s">
        <v>767</v>
      </c>
      <c r="C12645">
        <v>62</v>
      </c>
      <c r="D12645" t="s">
        <v>164</v>
      </c>
      <c r="E12645" t="s">
        <v>1356</v>
      </c>
      <c r="F12645" t="s">
        <v>573</v>
      </c>
      <c r="G12645" t="s">
        <v>103</v>
      </c>
    </row>
    <row r="12646" spans="1:7" x14ac:dyDescent="0.3">
      <c r="A12646" t="s">
        <v>41</v>
      </c>
      <c r="B12646" t="s">
        <v>764</v>
      </c>
      <c r="C12646">
        <v>149</v>
      </c>
      <c r="D12646" t="s">
        <v>261</v>
      </c>
      <c r="E12646" t="s">
        <v>427</v>
      </c>
      <c r="F12646" t="s">
        <v>1207</v>
      </c>
      <c r="G12646" t="s">
        <v>103</v>
      </c>
    </row>
    <row r="12647" spans="1:7" x14ac:dyDescent="0.3">
      <c r="A12647" t="s">
        <v>41</v>
      </c>
      <c r="B12647" t="s">
        <v>765</v>
      </c>
      <c r="C12647">
        <v>1392</v>
      </c>
      <c r="D12647" t="s">
        <v>1227</v>
      </c>
      <c r="E12647" t="s">
        <v>1203</v>
      </c>
      <c r="F12647" t="s">
        <v>694</v>
      </c>
      <c r="G12647" t="s">
        <v>345</v>
      </c>
    </row>
    <row r="12648" spans="1:7" x14ac:dyDescent="0.3">
      <c r="A12648" t="s">
        <v>41</v>
      </c>
      <c r="B12648" t="s">
        <v>767</v>
      </c>
      <c r="C12648">
        <v>497</v>
      </c>
      <c r="D12648" t="s">
        <v>539</v>
      </c>
      <c r="E12648" t="s">
        <v>920</v>
      </c>
      <c r="F12648" t="s">
        <v>1006</v>
      </c>
      <c r="G12648" t="s">
        <v>66</v>
      </c>
    </row>
    <row r="12650" spans="1:7" x14ac:dyDescent="0.3">
      <c r="A12650" t="s">
        <v>2877</v>
      </c>
    </row>
    <row r="12651" spans="1:7" x14ac:dyDescent="0.3">
      <c r="A12651" t="s">
        <v>36</v>
      </c>
      <c r="B12651" t="s">
        <v>1647</v>
      </c>
      <c r="C12651" t="s">
        <v>24</v>
      </c>
      <c r="D12651" t="s">
        <v>58</v>
      </c>
      <c r="E12651" t="s">
        <v>2874</v>
      </c>
      <c r="F12651" t="s">
        <v>181</v>
      </c>
      <c r="G12651" t="s">
        <v>59</v>
      </c>
    </row>
    <row r="12652" spans="1:7" x14ac:dyDescent="0.3">
      <c r="A12652" t="s">
        <v>25</v>
      </c>
      <c r="B12652" t="s">
        <v>1648</v>
      </c>
      <c r="C12652">
        <v>143</v>
      </c>
      <c r="D12652" t="s">
        <v>789</v>
      </c>
      <c r="E12652" t="s">
        <v>167</v>
      </c>
      <c r="F12652" t="s">
        <v>139</v>
      </c>
      <c r="G12652" t="s">
        <v>826</v>
      </c>
    </row>
    <row r="12653" spans="1:7" x14ac:dyDescent="0.3">
      <c r="A12653" t="s">
        <v>25</v>
      </c>
      <c r="B12653" t="s">
        <v>1649</v>
      </c>
      <c r="C12653">
        <v>271</v>
      </c>
      <c r="D12653" t="s">
        <v>506</v>
      </c>
      <c r="E12653" t="s">
        <v>519</v>
      </c>
      <c r="F12653" t="s">
        <v>120</v>
      </c>
      <c r="G12653" t="s">
        <v>364</v>
      </c>
    </row>
    <row r="12654" spans="1:7" x14ac:dyDescent="0.3">
      <c r="A12654" t="s">
        <v>26</v>
      </c>
      <c r="B12654" t="s">
        <v>1648</v>
      </c>
      <c r="C12654">
        <v>153</v>
      </c>
      <c r="D12654" t="s">
        <v>484</v>
      </c>
      <c r="E12654" t="s">
        <v>250</v>
      </c>
      <c r="F12654" t="s">
        <v>120</v>
      </c>
      <c r="G12654" t="s">
        <v>1356</v>
      </c>
    </row>
    <row r="12655" spans="1:7" x14ac:dyDescent="0.3">
      <c r="A12655" t="s">
        <v>26</v>
      </c>
      <c r="B12655" t="s">
        <v>1649</v>
      </c>
      <c r="C12655">
        <v>324</v>
      </c>
      <c r="D12655" t="s">
        <v>556</v>
      </c>
      <c r="E12655" t="s">
        <v>1070</v>
      </c>
      <c r="F12655" t="s">
        <v>103</v>
      </c>
      <c r="G12655" t="s">
        <v>655</v>
      </c>
    </row>
    <row r="12656" spans="1:7" x14ac:dyDescent="0.3">
      <c r="A12656" t="s">
        <v>29</v>
      </c>
      <c r="B12656" t="s">
        <v>1648</v>
      </c>
      <c r="C12656">
        <v>252</v>
      </c>
      <c r="D12656" t="s">
        <v>1011</v>
      </c>
      <c r="E12656" t="s">
        <v>505</v>
      </c>
      <c r="F12656" t="s">
        <v>345</v>
      </c>
      <c r="G12656" t="s">
        <v>498</v>
      </c>
    </row>
    <row r="12657" spans="1:7" x14ac:dyDescent="0.3">
      <c r="A12657" t="s">
        <v>29</v>
      </c>
      <c r="B12657" t="s">
        <v>1649</v>
      </c>
      <c r="C12657">
        <v>278</v>
      </c>
      <c r="D12657" t="s">
        <v>647</v>
      </c>
      <c r="E12657" t="s">
        <v>567</v>
      </c>
      <c r="F12657" t="s">
        <v>468</v>
      </c>
      <c r="G12657" t="s">
        <v>938</v>
      </c>
    </row>
    <row r="12658" spans="1:7" x14ac:dyDescent="0.3">
      <c r="A12658" t="s">
        <v>28</v>
      </c>
      <c r="B12658" t="s">
        <v>1648</v>
      </c>
      <c r="C12658">
        <v>77</v>
      </c>
      <c r="D12658" t="s">
        <v>507</v>
      </c>
      <c r="E12658" t="s">
        <v>160</v>
      </c>
      <c r="F12658" t="s">
        <v>103</v>
      </c>
      <c r="G12658" t="s">
        <v>675</v>
      </c>
    </row>
    <row r="12659" spans="1:7" x14ac:dyDescent="0.3">
      <c r="A12659" t="s">
        <v>28</v>
      </c>
      <c r="B12659" t="s">
        <v>1649</v>
      </c>
      <c r="C12659">
        <v>240</v>
      </c>
      <c r="D12659" t="s">
        <v>683</v>
      </c>
      <c r="E12659" t="s">
        <v>301</v>
      </c>
      <c r="F12659" t="s">
        <v>103</v>
      </c>
      <c r="G12659" t="s">
        <v>513</v>
      </c>
    </row>
    <row r="12660" spans="1:7" x14ac:dyDescent="0.3">
      <c r="A12660" t="s">
        <v>27</v>
      </c>
      <c r="B12660" t="s">
        <v>1648</v>
      </c>
      <c r="C12660">
        <v>64</v>
      </c>
      <c r="D12660" t="s">
        <v>169</v>
      </c>
      <c r="E12660" t="s">
        <v>798</v>
      </c>
      <c r="F12660" t="s">
        <v>110</v>
      </c>
      <c r="G12660" t="s">
        <v>567</v>
      </c>
    </row>
    <row r="12661" spans="1:7" x14ac:dyDescent="0.3">
      <c r="A12661" t="s">
        <v>27</v>
      </c>
      <c r="B12661" t="s">
        <v>1649</v>
      </c>
      <c r="C12661">
        <v>236</v>
      </c>
      <c r="D12661" t="s">
        <v>518</v>
      </c>
      <c r="E12661" t="s">
        <v>1048</v>
      </c>
      <c r="F12661" t="s">
        <v>103</v>
      </c>
      <c r="G12661" t="s">
        <v>875</v>
      </c>
    </row>
    <row r="12662" spans="1:7" x14ac:dyDescent="0.3">
      <c r="A12662" t="s">
        <v>41</v>
      </c>
      <c r="B12662" t="s">
        <v>1648</v>
      </c>
      <c r="C12662">
        <v>689</v>
      </c>
      <c r="D12662" t="s">
        <v>1204</v>
      </c>
      <c r="E12662" t="s">
        <v>702</v>
      </c>
      <c r="F12662" t="s">
        <v>98</v>
      </c>
      <c r="G12662" t="s">
        <v>932</v>
      </c>
    </row>
    <row r="12663" spans="1:7" x14ac:dyDescent="0.3">
      <c r="A12663" t="s">
        <v>41</v>
      </c>
      <c r="B12663" t="s">
        <v>1649</v>
      </c>
      <c r="C12663">
        <v>1349</v>
      </c>
      <c r="D12663" t="s">
        <v>688</v>
      </c>
      <c r="E12663" t="s">
        <v>491</v>
      </c>
      <c r="F12663" t="s">
        <v>120</v>
      </c>
      <c r="G12663" t="s">
        <v>509</v>
      </c>
    </row>
    <row r="12665" spans="1:7" x14ac:dyDescent="0.3">
      <c r="A12665" t="s">
        <v>2878</v>
      </c>
    </row>
    <row r="12666" spans="1:7" x14ac:dyDescent="0.3">
      <c r="A12666" t="s">
        <v>36</v>
      </c>
      <c r="B12666" t="s">
        <v>2756</v>
      </c>
      <c r="C12666" t="s">
        <v>24</v>
      </c>
      <c r="D12666" t="s">
        <v>58</v>
      </c>
      <c r="E12666" t="s">
        <v>2874</v>
      </c>
      <c r="F12666" t="s">
        <v>59</v>
      </c>
      <c r="G12666" t="s">
        <v>181</v>
      </c>
    </row>
    <row r="12667" spans="1:7" s="3" customFormat="1" x14ac:dyDescent="0.3">
      <c r="A12667" s="3" t="s">
        <v>25</v>
      </c>
      <c r="B12667" s="3" t="s">
        <v>2757</v>
      </c>
      <c r="C12667" s="3">
        <v>13</v>
      </c>
      <c r="D12667" s="3" t="s">
        <v>571</v>
      </c>
      <c r="E12667" s="3" t="s">
        <v>1203</v>
      </c>
      <c r="F12667" s="3" t="s">
        <v>260</v>
      </c>
      <c r="G12667" s="3" t="s">
        <v>103</v>
      </c>
    </row>
    <row r="12668" spans="1:7" x14ac:dyDescent="0.3">
      <c r="A12668" t="s">
        <v>25</v>
      </c>
      <c r="B12668" t="s">
        <v>2758</v>
      </c>
      <c r="C12668">
        <v>136</v>
      </c>
      <c r="D12668" t="s">
        <v>525</v>
      </c>
      <c r="E12668" t="s">
        <v>123</v>
      </c>
      <c r="F12668" t="s">
        <v>831</v>
      </c>
      <c r="G12668" t="s">
        <v>103</v>
      </c>
    </row>
    <row r="12669" spans="1:7" x14ac:dyDescent="0.3">
      <c r="A12669" t="s">
        <v>25</v>
      </c>
      <c r="B12669" t="s">
        <v>2759</v>
      </c>
      <c r="C12669">
        <v>135</v>
      </c>
      <c r="D12669" t="s">
        <v>398</v>
      </c>
      <c r="E12669" t="s">
        <v>536</v>
      </c>
      <c r="F12669" t="s">
        <v>2103</v>
      </c>
      <c r="G12669" t="s">
        <v>98</v>
      </c>
    </row>
    <row r="12670" spans="1:7" x14ac:dyDescent="0.3">
      <c r="A12670" t="s">
        <v>25</v>
      </c>
      <c r="B12670" t="s">
        <v>2760</v>
      </c>
      <c r="C12670">
        <v>122</v>
      </c>
      <c r="D12670" t="s">
        <v>687</v>
      </c>
      <c r="E12670" t="s">
        <v>470</v>
      </c>
      <c r="F12670" t="s">
        <v>2263</v>
      </c>
      <c r="G12670" t="s">
        <v>110</v>
      </c>
    </row>
    <row r="12671" spans="1:7" x14ac:dyDescent="0.3">
      <c r="A12671" t="s">
        <v>25</v>
      </c>
      <c r="B12671" t="s">
        <v>308</v>
      </c>
      <c r="C12671">
        <v>8</v>
      </c>
      <c r="D12671" t="s">
        <v>522</v>
      </c>
      <c r="E12671" t="s">
        <v>374</v>
      </c>
      <c r="F12671" t="s">
        <v>522</v>
      </c>
      <c r="G12671" t="s">
        <v>103</v>
      </c>
    </row>
    <row r="12672" spans="1:7" s="3" customFormat="1" x14ac:dyDescent="0.3">
      <c r="A12672" s="3" t="s">
        <v>26</v>
      </c>
      <c r="B12672" s="3" t="s">
        <v>2757</v>
      </c>
      <c r="C12672" s="3">
        <v>17</v>
      </c>
      <c r="D12672" s="3" t="s">
        <v>530</v>
      </c>
      <c r="E12672" s="3" t="s">
        <v>1096</v>
      </c>
      <c r="F12672" s="3" t="s">
        <v>117</v>
      </c>
      <c r="G12672" s="3" t="s">
        <v>103</v>
      </c>
    </row>
    <row r="12673" spans="1:7" x14ac:dyDescent="0.3">
      <c r="A12673" t="s">
        <v>26</v>
      </c>
      <c r="B12673" t="s">
        <v>2758</v>
      </c>
      <c r="C12673">
        <v>194</v>
      </c>
      <c r="D12673" t="s">
        <v>1226</v>
      </c>
      <c r="E12673" t="s">
        <v>456</v>
      </c>
      <c r="F12673" t="s">
        <v>546</v>
      </c>
      <c r="G12673" t="s">
        <v>97</v>
      </c>
    </row>
    <row r="12674" spans="1:7" x14ac:dyDescent="0.3">
      <c r="A12674" t="s">
        <v>26</v>
      </c>
      <c r="B12674" t="s">
        <v>2759</v>
      </c>
      <c r="C12674">
        <v>143</v>
      </c>
      <c r="D12674" t="s">
        <v>1143</v>
      </c>
      <c r="E12674" t="s">
        <v>1014</v>
      </c>
      <c r="F12674" t="s">
        <v>1007</v>
      </c>
      <c r="G12674" t="s">
        <v>103</v>
      </c>
    </row>
    <row r="12675" spans="1:7" x14ac:dyDescent="0.3">
      <c r="A12675" t="s">
        <v>26</v>
      </c>
      <c r="B12675" t="s">
        <v>2760</v>
      </c>
      <c r="C12675">
        <v>112</v>
      </c>
      <c r="D12675" t="s">
        <v>825</v>
      </c>
      <c r="E12675" t="s">
        <v>303</v>
      </c>
      <c r="F12675" t="s">
        <v>509</v>
      </c>
      <c r="G12675" t="s">
        <v>103</v>
      </c>
    </row>
    <row r="12676" spans="1:7" x14ac:dyDescent="0.3">
      <c r="A12676" t="s">
        <v>26</v>
      </c>
      <c r="B12676" t="s">
        <v>308</v>
      </c>
      <c r="C12676">
        <v>11</v>
      </c>
      <c r="D12676" t="s">
        <v>1576</v>
      </c>
      <c r="E12676" t="s">
        <v>357</v>
      </c>
      <c r="F12676" t="s">
        <v>648</v>
      </c>
      <c r="G12676" t="s">
        <v>103</v>
      </c>
    </row>
    <row r="12677" spans="1:7" s="3" customFormat="1" x14ac:dyDescent="0.3">
      <c r="A12677" s="3" t="s">
        <v>29</v>
      </c>
      <c r="B12677" s="3" t="s">
        <v>2757</v>
      </c>
      <c r="C12677" s="3">
        <v>15</v>
      </c>
      <c r="D12677" s="3" t="s">
        <v>375</v>
      </c>
      <c r="E12677" s="3" t="s">
        <v>420</v>
      </c>
      <c r="F12677" s="3" t="s">
        <v>111</v>
      </c>
      <c r="G12677" s="3" t="s">
        <v>558</v>
      </c>
    </row>
    <row r="12678" spans="1:7" x14ac:dyDescent="0.3">
      <c r="A12678" t="s">
        <v>29</v>
      </c>
      <c r="B12678" t="s">
        <v>2758</v>
      </c>
      <c r="C12678">
        <v>245</v>
      </c>
      <c r="D12678" t="s">
        <v>705</v>
      </c>
      <c r="E12678" t="s">
        <v>577</v>
      </c>
      <c r="F12678" t="s">
        <v>694</v>
      </c>
      <c r="G12678" t="s">
        <v>139</v>
      </c>
    </row>
    <row r="12679" spans="1:7" x14ac:dyDescent="0.3">
      <c r="A12679" t="s">
        <v>29</v>
      </c>
      <c r="B12679" t="s">
        <v>2759</v>
      </c>
      <c r="C12679">
        <v>139</v>
      </c>
      <c r="D12679" t="s">
        <v>480</v>
      </c>
      <c r="E12679" t="s">
        <v>816</v>
      </c>
      <c r="F12679" t="s">
        <v>604</v>
      </c>
      <c r="G12679" t="s">
        <v>110</v>
      </c>
    </row>
    <row r="12680" spans="1:7" x14ac:dyDescent="0.3">
      <c r="A12680" t="s">
        <v>29</v>
      </c>
      <c r="B12680" t="s">
        <v>2760</v>
      </c>
      <c r="C12680">
        <v>122</v>
      </c>
      <c r="D12680" t="s">
        <v>1097</v>
      </c>
      <c r="E12680" t="s">
        <v>1050</v>
      </c>
      <c r="F12680" t="s">
        <v>121</v>
      </c>
      <c r="G12680" t="s">
        <v>194</v>
      </c>
    </row>
    <row r="12681" spans="1:7" x14ac:dyDescent="0.3">
      <c r="A12681" t="s">
        <v>29</v>
      </c>
      <c r="B12681" t="s">
        <v>308</v>
      </c>
      <c r="C12681">
        <v>9</v>
      </c>
      <c r="D12681" t="s">
        <v>790</v>
      </c>
      <c r="E12681" t="s">
        <v>103</v>
      </c>
      <c r="F12681" t="s">
        <v>656</v>
      </c>
      <c r="G12681" t="s">
        <v>103</v>
      </c>
    </row>
    <row r="12682" spans="1:7" x14ac:dyDescent="0.3">
      <c r="A12682" t="s">
        <v>28</v>
      </c>
      <c r="B12682" t="s">
        <v>2757</v>
      </c>
      <c r="C12682">
        <v>31</v>
      </c>
      <c r="D12682" t="s">
        <v>1055</v>
      </c>
      <c r="E12682" t="s">
        <v>268</v>
      </c>
      <c r="F12682" t="s">
        <v>627</v>
      </c>
      <c r="G12682" t="s">
        <v>103</v>
      </c>
    </row>
    <row r="12683" spans="1:7" x14ac:dyDescent="0.3">
      <c r="A12683" t="s">
        <v>28</v>
      </c>
      <c r="B12683" t="s">
        <v>2758</v>
      </c>
      <c r="C12683">
        <v>100</v>
      </c>
      <c r="D12683" t="s">
        <v>1206</v>
      </c>
      <c r="E12683" t="s">
        <v>582</v>
      </c>
      <c r="F12683" t="s">
        <v>677</v>
      </c>
      <c r="G12683" t="s">
        <v>103</v>
      </c>
    </row>
    <row r="12684" spans="1:7" x14ac:dyDescent="0.3">
      <c r="A12684" t="s">
        <v>28</v>
      </c>
      <c r="B12684" t="s">
        <v>2759</v>
      </c>
      <c r="C12684">
        <v>104</v>
      </c>
      <c r="D12684" t="s">
        <v>52</v>
      </c>
      <c r="E12684" t="s">
        <v>457</v>
      </c>
      <c r="F12684" t="s">
        <v>34</v>
      </c>
      <c r="G12684" t="s">
        <v>103</v>
      </c>
    </row>
    <row r="12685" spans="1:7" x14ac:dyDescent="0.3">
      <c r="A12685" t="s">
        <v>28</v>
      </c>
      <c r="B12685" t="s">
        <v>2760</v>
      </c>
      <c r="C12685">
        <v>82</v>
      </c>
      <c r="D12685" t="s">
        <v>1008</v>
      </c>
      <c r="E12685" t="s">
        <v>259</v>
      </c>
      <c r="F12685" t="s">
        <v>934</v>
      </c>
      <c r="G12685" t="s">
        <v>103</v>
      </c>
    </row>
    <row r="12686" spans="1:7" s="3" customFormat="1" x14ac:dyDescent="0.3">
      <c r="A12686" s="3" t="s">
        <v>27</v>
      </c>
      <c r="B12686" s="3" t="s">
        <v>2757</v>
      </c>
      <c r="C12686" s="3">
        <v>2</v>
      </c>
      <c r="D12686" s="3" t="s">
        <v>437</v>
      </c>
      <c r="E12686" s="3" t="s">
        <v>103</v>
      </c>
      <c r="F12686" s="3" t="s">
        <v>654</v>
      </c>
      <c r="G12686" s="3" t="s">
        <v>103</v>
      </c>
    </row>
    <row r="12687" spans="1:7" x14ac:dyDescent="0.3">
      <c r="A12687" t="s">
        <v>27</v>
      </c>
      <c r="B12687" t="s">
        <v>2758</v>
      </c>
      <c r="C12687">
        <v>86</v>
      </c>
      <c r="D12687" t="s">
        <v>536</v>
      </c>
      <c r="E12687" t="s">
        <v>389</v>
      </c>
      <c r="F12687" t="s">
        <v>583</v>
      </c>
      <c r="G12687" t="s">
        <v>103</v>
      </c>
    </row>
    <row r="12688" spans="1:7" x14ac:dyDescent="0.3">
      <c r="A12688" t="s">
        <v>27</v>
      </c>
      <c r="B12688" t="s">
        <v>2759</v>
      </c>
      <c r="C12688">
        <v>82</v>
      </c>
      <c r="D12688" t="s">
        <v>162</v>
      </c>
      <c r="E12688" t="s">
        <v>993</v>
      </c>
      <c r="F12688" t="s">
        <v>1070</v>
      </c>
      <c r="G12688" t="s">
        <v>103</v>
      </c>
    </row>
    <row r="12689" spans="1:7" x14ac:dyDescent="0.3">
      <c r="A12689" t="s">
        <v>27</v>
      </c>
      <c r="B12689" t="s">
        <v>2760</v>
      </c>
      <c r="C12689">
        <v>128</v>
      </c>
      <c r="D12689" t="s">
        <v>528</v>
      </c>
      <c r="E12689" t="s">
        <v>263</v>
      </c>
      <c r="F12689" t="s">
        <v>273</v>
      </c>
      <c r="G12689" t="s">
        <v>98</v>
      </c>
    </row>
    <row r="12690" spans="1:7" x14ac:dyDescent="0.3">
      <c r="A12690" t="s">
        <v>27</v>
      </c>
      <c r="B12690" t="s">
        <v>308</v>
      </c>
      <c r="C12690">
        <v>2</v>
      </c>
      <c r="D12690" t="s">
        <v>103</v>
      </c>
      <c r="E12690" t="s">
        <v>192</v>
      </c>
      <c r="F12690" t="s">
        <v>103</v>
      </c>
      <c r="G12690" t="s">
        <v>103</v>
      </c>
    </row>
    <row r="12691" spans="1:7" x14ac:dyDescent="0.3">
      <c r="A12691" t="s">
        <v>41</v>
      </c>
      <c r="B12691" t="s">
        <v>2757</v>
      </c>
      <c r="C12691">
        <v>78</v>
      </c>
      <c r="D12691" t="s">
        <v>1011</v>
      </c>
      <c r="E12691" t="s">
        <v>499</v>
      </c>
      <c r="F12691" t="s">
        <v>31</v>
      </c>
      <c r="G12691" t="s">
        <v>257</v>
      </c>
    </row>
    <row r="12692" spans="1:7" x14ac:dyDescent="0.3">
      <c r="A12692" t="s">
        <v>41</v>
      </c>
      <c r="B12692" t="s">
        <v>2758</v>
      </c>
      <c r="C12692">
        <v>761</v>
      </c>
      <c r="D12692" t="s">
        <v>234</v>
      </c>
      <c r="E12692" t="s">
        <v>1143</v>
      </c>
      <c r="F12692" t="s">
        <v>538</v>
      </c>
      <c r="G12692" t="s">
        <v>97</v>
      </c>
    </row>
    <row r="12693" spans="1:7" x14ac:dyDescent="0.3">
      <c r="A12693" t="s">
        <v>41</v>
      </c>
      <c r="B12693" t="s">
        <v>2759</v>
      </c>
      <c r="C12693">
        <v>603</v>
      </c>
      <c r="D12693" t="s">
        <v>504</v>
      </c>
      <c r="E12693" t="s">
        <v>435</v>
      </c>
      <c r="F12693" t="s">
        <v>1091</v>
      </c>
      <c r="G12693" t="s">
        <v>139</v>
      </c>
    </row>
    <row r="12694" spans="1:7" x14ac:dyDescent="0.3">
      <c r="A12694" t="s">
        <v>41</v>
      </c>
      <c r="B12694" t="s">
        <v>2760</v>
      </c>
      <c r="C12694">
        <v>566</v>
      </c>
      <c r="D12694" t="s">
        <v>461</v>
      </c>
      <c r="E12694" t="s">
        <v>1206</v>
      </c>
      <c r="F12694" t="s">
        <v>404</v>
      </c>
      <c r="G12694" t="s">
        <v>98</v>
      </c>
    </row>
    <row r="12695" spans="1:7" x14ac:dyDescent="0.3">
      <c r="A12695" t="s">
        <v>41</v>
      </c>
      <c r="B12695" t="s">
        <v>308</v>
      </c>
      <c r="C12695">
        <v>30</v>
      </c>
      <c r="D12695" t="s">
        <v>934</v>
      </c>
      <c r="E12695" t="s">
        <v>684</v>
      </c>
      <c r="F12695" t="s">
        <v>503</v>
      </c>
      <c r="G12695" t="s">
        <v>103</v>
      </c>
    </row>
    <row r="12697" spans="1:7" x14ac:dyDescent="0.3">
      <c r="A12697" t="s">
        <v>2879</v>
      </c>
    </row>
    <row r="12698" spans="1:7" x14ac:dyDescent="0.3">
      <c r="A12698" t="s">
        <v>36</v>
      </c>
      <c r="B12698" t="s">
        <v>310</v>
      </c>
      <c r="C12698" t="s">
        <v>24</v>
      </c>
      <c r="D12698" t="s">
        <v>58</v>
      </c>
      <c r="E12698" t="s">
        <v>2874</v>
      </c>
      <c r="F12698" t="s">
        <v>181</v>
      </c>
      <c r="G12698" t="s">
        <v>59</v>
      </c>
    </row>
    <row r="12699" spans="1:7" x14ac:dyDescent="0.3">
      <c r="A12699" t="s">
        <v>25</v>
      </c>
      <c r="B12699" t="s">
        <v>311</v>
      </c>
      <c r="C12699">
        <v>324</v>
      </c>
      <c r="D12699" t="s">
        <v>805</v>
      </c>
      <c r="E12699" t="s">
        <v>169</v>
      </c>
      <c r="F12699" t="s">
        <v>98</v>
      </c>
      <c r="G12699" t="s">
        <v>1133</v>
      </c>
    </row>
    <row r="12700" spans="1:7" x14ac:dyDescent="0.3">
      <c r="A12700" t="s">
        <v>25</v>
      </c>
      <c r="B12700" t="s">
        <v>312</v>
      </c>
      <c r="C12700">
        <v>80</v>
      </c>
      <c r="D12700" t="s">
        <v>807</v>
      </c>
      <c r="E12700" t="s">
        <v>1084</v>
      </c>
      <c r="F12700" t="s">
        <v>103</v>
      </c>
      <c r="G12700" t="s">
        <v>372</v>
      </c>
    </row>
    <row r="12701" spans="1:7" x14ac:dyDescent="0.3">
      <c r="A12701" t="s">
        <v>25</v>
      </c>
      <c r="B12701" t="s">
        <v>308</v>
      </c>
      <c r="C12701">
        <v>10</v>
      </c>
      <c r="D12701" t="s">
        <v>551</v>
      </c>
      <c r="E12701" t="s">
        <v>665</v>
      </c>
      <c r="F12701" t="s">
        <v>103</v>
      </c>
      <c r="G12701" t="s">
        <v>542</v>
      </c>
    </row>
    <row r="12702" spans="1:7" x14ac:dyDescent="0.3">
      <c r="A12702" t="s">
        <v>26</v>
      </c>
      <c r="B12702" t="s">
        <v>311</v>
      </c>
      <c r="C12702">
        <v>343</v>
      </c>
      <c r="D12702" t="s">
        <v>686</v>
      </c>
      <c r="E12702" t="s">
        <v>435</v>
      </c>
      <c r="F12702" t="s">
        <v>116</v>
      </c>
      <c r="G12702" t="s">
        <v>355</v>
      </c>
    </row>
    <row r="12703" spans="1:7" x14ac:dyDescent="0.3">
      <c r="A12703" t="s">
        <v>26</v>
      </c>
      <c r="B12703" t="s">
        <v>312</v>
      </c>
      <c r="C12703">
        <v>96</v>
      </c>
      <c r="D12703" t="s">
        <v>534</v>
      </c>
      <c r="E12703" t="s">
        <v>858</v>
      </c>
      <c r="F12703" t="s">
        <v>103</v>
      </c>
      <c r="G12703" t="s">
        <v>659</v>
      </c>
    </row>
    <row r="12704" spans="1:7" x14ac:dyDescent="0.3">
      <c r="A12704" t="s">
        <v>26</v>
      </c>
      <c r="B12704" t="s">
        <v>308</v>
      </c>
      <c r="C12704">
        <v>38</v>
      </c>
      <c r="D12704" t="s">
        <v>514</v>
      </c>
      <c r="E12704" t="s">
        <v>1241</v>
      </c>
      <c r="F12704" t="s">
        <v>103</v>
      </c>
      <c r="G12704" t="s">
        <v>654</v>
      </c>
    </row>
    <row r="12705" spans="1:7" x14ac:dyDescent="0.3">
      <c r="A12705" t="s">
        <v>29</v>
      </c>
      <c r="B12705" t="s">
        <v>311</v>
      </c>
      <c r="C12705">
        <v>414</v>
      </c>
      <c r="D12705" t="s">
        <v>455</v>
      </c>
      <c r="E12705" t="s">
        <v>1038</v>
      </c>
      <c r="F12705" t="s">
        <v>282</v>
      </c>
      <c r="G12705" t="s">
        <v>567</v>
      </c>
    </row>
    <row r="12706" spans="1:7" x14ac:dyDescent="0.3">
      <c r="A12706" t="s">
        <v>29</v>
      </c>
      <c r="B12706" t="s">
        <v>312</v>
      </c>
      <c r="C12706">
        <v>103</v>
      </c>
      <c r="D12706" t="s">
        <v>1204</v>
      </c>
      <c r="E12706" t="s">
        <v>684</v>
      </c>
      <c r="F12706" t="s">
        <v>329</v>
      </c>
      <c r="G12706" t="s">
        <v>1043</v>
      </c>
    </row>
    <row r="12707" spans="1:7" x14ac:dyDescent="0.3">
      <c r="A12707" t="s">
        <v>29</v>
      </c>
      <c r="B12707" t="s">
        <v>308</v>
      </c>
      <c r="C12707">
        <v>13</v>
      </c>
      <c r="D12707" t="s">
        <v>839</v>
      </c>
      <c r="E12707" t="s">
        <v>474</v>
      </c>
      <c r="F12707" t="s">
        <v>103</v>
      </c>
      <c r="G12707" t="s">
        <v>559</v>
      </c>
    </row>
    <row r="12708" spans="1:7" x14ac:dyDescent="0.3">
      <c r="A12708" t="s">
        <v>28</v>
      </c>
      <c r="B12708" t="s">
        <v>311</v>
      </c>
      <c r="C12708">
        <v>223</v>
      </c>
      <c r="D12708" t="s">
        <v>684</v>
      </c>
      <c r="E12708" t="s">
        <v>875</v>
      </c>
      <c r="F12708" t="s">
        <v>103</v>
      </c>
      <c r="G12708" t="s">
        <v>386</v>
      </c>
    </row>
    <row r="12709" spans="1:7" x14ac:dyDescent="0.3">
      <c r="A12709" t="s">
        <v>28</v>
      </c>
      <c r="B12709" t="s">
        <v>312</v>
      </c>
      <c r="C12709">
        <v>93</v>
      </c>
      <c r="D12709" t="s">
        <v>1007</v>
      </c>
      <c r="E12709" t="s">
        <v>815</v>
      </c>
      <c r="F12709" t="s">
        <v>103</v>
      </c>
      <c r="G12709" t="s">
        <v>647</v>
      </c>
    </row>
    <row r="12710" spans="1:7" x14ac:dyDescent="0.3">
      <c r="A12710" t="s">
        <v>28</v>
      </c>
      <c r="B12710" t="s">
        <v>308</v>
      </c>
      <c r="C12710">
        <v>1</v>
      </c>
      <c r="D12710" t="s">
        <v>103</v>
      </c>
      <c r="E12710" t="s">
        <v>103</v>
      </c>
      <c r="F12710" t="s">
        <v>103</v>
      </c>
      <c r="G12710" t="s">
        <v>192</v>
      </c>
    </row>
    <row r="12711" spans="1:7" x14ac:dyDescent="0.3">
      <c r="A12711" t="s">
        <v>27</v>
      </c>
      <c r="B12711" t="s">
        <v>311</v>
      </c>
      <c r="C12711">
        <v>237</v>
      </c>
      <c r="D12711" t="s">
        <v>131</v>
      </c>
      <c r="E12711" t="s">
        <v>793</v>
      </c>
      <c r="F12711" t="s">
        <v>103</v>
      </c>
      <c r="G12711" t="s">
        <v>1203</v>
      </c>
    </row>
    <row r="12712" spans="1:7" x14ac:dyDescent="0.3">
      <c r="A12712" t="s">
        <v>27</v>
      </c>
      <c r="B12712" t="s">
        <v>312</v>
      </c>
      <c r="C12712">
        <v>60</v>
      </c>
      <c r="D12712" t="s">
        <v>123</v>
      </c>
      <c r="E12712" t="s">
        <v>982</v>
      </c>
      <c r="F12712" t="s">
        <v>208</v>
      </c>
      <c r="G12712" t="s">
        <v>825</v>
      </c>
    </row>
    <row r="12713" spans="1:7" x14ac:dyDescent="0.3">
      <c r="A12713" t="s">
        <v>27</v>
      </c>
      <c r="B12713" t="s">
        <v>308</v>
      </c>
      <c r="C12713">
        <v>3</v>
      </c>
      <c r="D12713" t="s">
        <v>527</v>
      </c>
      <c r="E12713" t="s">
        <v>119</v>
      </c>
      <c r="F12713" t="s">
        <v>103</v>
      </c>
      <c r="G12713" t="s">
        <v>407</v>
      </c>
    </row>
    <row r="12714" spans="1:7" x14ac:dyDescent="0.3">
      <c r="A12714" t="s">
        <v>41</v>
      </c>
      <c r="B12714" t="s">
        <v>311</v>
      </c>
      <c r="C12714">
        <v>1541</v>
      </c>
      <c r="D12714" t="s">
        <v>234</v>
      </c>
      <c r="E12714" t="s">
        <v>1203</v>
      </c>
      <c r="F12714" t="s">
        <v>95</v>
      </c>
      <c r="G12714" t="s">
        <v>1293</v>
      </c>
    </row>
    <row r="12715" spans="1:7" x14ac:dyDescent="0.3">
      <c r="A12715" t="s">
        <v>41</v>
      </c>
      <c r="B12715" t="s">
        <v>312</v>
      </c>
      <c r="C12715">
        <v>432</v>
      </c>
      <c r="D12715" t="s">
        <v>457</v>
      </c>
      <c r="E12715" t="s">
        <v>301</v>
      </c>
      <c r="F12715" t="s">
        <v>345</v>
      </c>
      <c r="G12715" t="s">
        <v>1216</v>
      </c>
    </row>
    <row r="12716" spans="1:7" x14ac:dyDescent="0.3">
      <c r="A12716" t="s">
        <v>41</v>
      </c>
      <c r="B12716" t="s">
        <v>308</v>
      </c>
      <c r="C12716">
        <v>65</v>
      </c>
      <c r="D12716" t="s">
        <v>457</v>
      </c>
      <c r="E12716" t="s">
        <v>1425</v>
      </c>
      <c r="F12716" t="s">
        <v>103</v>
      </c>
      <c r="G12716" t="s">
        <v>686</v>
      </c>
    </row>
    <row r="12718" spans="1:7" x14ac:dyDescent="0.3">
      <c r="A12718" t="s">
        <v>2880</v>
      </c>
    </row>
    <row r="12719" spans="1:7" x14ac:dyDescent="0.3">
      <c r="A12719" t="s">
        <v>36</v>
      </c>
      <c r="B12719" t="s">
        <v>1233</v>
      </c>
      <c r="C12719" t="s">
        <v>24</v>
      </c>
      <c r="D12719" t="s">
        <v>58</v>
      </c>
      <c r="E12719" t="s">
        <v>2874</v>
      </c>
      <c r="F12719" t="s">
        <v>181</v>
      </c>
      <c r="G12719" t="s">
        <v>59</v>
      </c>
    </row>
    <row r="12720" spans="1:7" x14ac:dyDescent="0.3">
      <c r="A12720" t="s">
        <v>25</v>
      </c>
      <c r="B12720" t="s">
        <v>1234</v>
      </c>
      <c r="C12720">
        <v>257</v>
      </c>
      <c r="D12720" t="s">
        <v>554</v>
      </c>
      <c r="E12720" t="s">
        <v>566</v>
      </c>
      <c r="F12720" t="s">
        <v>98</v>
      </c>
      <c r="G12720" t="s">
        <v>1397</v>
      </c>
    </row>
    <row r="12721" spans="1:7" s="3" customFormat="1" x14ac:dyDescent="0.3">
      <c r="A12721" s="3" t="s">
        <v>25</v>
      </c>
      <c r="B12721" s="3" t="s">
        <v>1235</v>
      </c>
      <c r="C12721" s="3">
        <v>25</v>
      </c>
      <c r="D12721" s="3" t="s">
        <v>702</v>
      </c>
      <c r="E12721" s="3" t="s">
        <v>732</v>
      </c>
      <c r="F12721" s="3" t="s">
        <v>103</v>
      </c>
      <c r="G12721" s="3" t="s">
        <v>1029</v>
      </c>
    </row>
    <row r="12722" spans="1:7" x14ac:dyDescent="0.3">
      <c r="A12722" t="s">
        <v>25</v>
      </c>
      <c r="B12722" t="s">
        <v>1237</v>
      </c>
      <c r="C12722">
        <v>132</v>
      </c>
      <c r="D12722" t="s">
        <v>514</v>
      </c>
      <c r="E12722" t="s">
        <v>171</v>
      </c>
      <c r="F12722" t="s">
        <v>97</v>
      </c>
      <c r="G12722" t="s">
        <v>857</v>
      </c>
    </row>
    <row r="12723" spans="1:7" x14ac:dyDescent="0.3">
      <c r="A12723" t="s">
        <v>26</v>
      </c>
      <c r="B12723" t="s">
        <v>1234</v>
      </c>
      <c r="C12723">
        <v>296</v>
      </c>
      <c r="D12723" t="s">
        <v>660</v>
      </c>
      <c r="E12723" t="s">
        <v>455</v>
      </c>
      <c r="F12723" t="s">
        <v>116</v>
      </c>
      <c r="G12723" t="s">
        <v>1205</v>
      </c>
    </row>
    <row r="12724" spans="1:7" x14ac:dyDescent="0.3">
      <c r="A12724" t="s">
        <v>26</v>
      </c>
      <c r="B12724" t="s">
        <v>1235</v>
      </c>
      <c r="C12724">
        <v>37</v>
      </c>
      <c r="D12724" t="s">
        <v>750</v>
      </c>
      <c r="E12724" t="s">
        <v>516</v>
      </c>
      <c r="F12724" t="s">
        <v>103</v>
      </c>
      <c r="G12724" t="s">
        <v>1317</v>
      </c>
    </row>
    <row r="12725" spans="1:7" x14ac:dyDescent="0.3">
      <c r="A12725" t="s">
        <v>26</v>
      </c>
      <c r="B12725" t="s">
        <v>1237</v>
      </c>
      <c r="C12725">
        <v>144</v>
      </c>
      <c r="D12725" t="s">
        <v>541</v>
      </c>
      <c r="E12725" t="s">
        <v>1576</v>
      </c>
      <c r="F12725" t="s">
        <v>103</v>
      </c>
      <c r="G12725" t="s">
        <v>236</v>
      </c>
    </row>
    <row r="12726" spans="1:7" x14ac:dyDescent="0.3">
      <c r="A12726" t="s">
        <v>29</v>
      </c>
      <c r="B12726" t="s">
        <v>1234</v>
      </c>
      <c r="C12726">
        <v>372</v>
      </c>
      <c r="D12726" t="s">
        <v>816</v>
      </c>
      <c r="E12726" t="s">
        <v>920</v>
      </c>
      <c r="F12726" t="s">
        <v>468</v>
      </c>
      <c r="G12726" t="s">
        <v>1057</v>
      </c>
    </row>
    <row r="12727" spans="1:7" x14ac:dyDescent="0.3">
      <c r="A12727" t="s">
        <v>29</v>
      </c>
      <c r="B12727" t="s">
        <v>1235</v>
      </c>
      <c r="C12727">
        <v>38</v>
      </c>
      <c r="D12727" t="s">
        <v>138</v>
      </c>
      <c r="E12727" t="s">
        <v>648</v>
      </c>
      <c r="F12727" t="s">
        <v>329</v>
      </c>
      <c r="G12727" t="s">
        <v>420</v>
      </c>
    </row>
    <row r="12728" spans="1:7" x14ac:dyDescent="0.3">
      <c r="A12728" t="s">
        <v>29</v>
      </c>
      <c r="B12728" t="s">
        <v>1237</v>
      </c>
      <c r="C12728">
        <v>120</v>
      </c>
      <c r="D12728" t="s">
        <v>1226</v>
      </c>
      <c r="E12728" t="s">
        <v>643</v>
      </c>
      <c r="F12728" t="s">
        <v>120</v>
      </c>
      <c r="G12728" t="s">
        <v>418</v>
      </c>
    </row>
    <row r="12729" spans="1:7" x14ac:dyDescent="0.3">
      <c r="A12729" t="s">
        <v>28</v>
      </c>
      <c r="B12729" t="s">
        <v>1234</v>
      </c>
      <c r="C12729">
        <v>126</v>
      </c>
      <c r="D12729" t="s">
        <v>52</v>
      </c>
      <c r="E12729" t="s">
        <v>522</v>
      </c>
      <c r="F12729" t="s">
        <v>103</v>
      </c>
      <c r="G12729" t="s">
        <v>1087</v>
      </c>
    </row>
    <row r="12730" spans="1:7" s="3" customFormat="1" x14ac:dyDescent="0.3">
      <c r="A12730" s="3" t="s">
        <v>28</v>
      </c>
      <c r="B12730" s="3" t="s">
        <v>1235</v>
      </c>
      <c r="C12730" s="3">
        <v>17</v>
      </c>
      <c r="D12730" s="3" t="s">
        <v>540</v>
      </c>
      <c r="E12730" s="3" t="s">
        <v>114</v>
      </c>
      <c r="F12730" s="3" t="s">
        <v>103</v>
      </c>
      <c r="G12730" s="3" t="s">
        <v>1238</v>
      </c>
    </row>
    <row r="12731" spans="1:7" x14ac:dyDescent="0.3">
      <c r="A12731" t="s">
        <v>28</v>
      </c>
      <c r="B12731" t="s">
        <v>1237</v>
      </c>
      <c r="C12731">
        <v>174</v>
      </c>
      <c r="D12731" t="s">
        <v>129</v>
      </c>
      <c r="E12731" t="s">
        <v>480</v>
      </c>
      <c r="F12731" t="s">
        <v>103</v>
      </c>
      <c r="G12731" t="s">
        <v>1422</v>
      </c>
    </row>
    <row r="12732" spans="1:7" x14ac:dyDescent="0.3">
      <c r="A12732" t="s">
        <v>27</v>
      </c>
      <c r="B12732" t="s">
        <v>1234</v>
      </c>
      <c r="C12732">
        <v>149</v>
      </c>
      <c r="D12732" t="s">
        <v>160</v>
      </c>
      <c r="E12732" t="s">
        <v>1238</v>
      </c>
      <c r="F12732" t="s">
        <v>120</v>
      </c>
      <c r="G12732" t="s">
        <v>1204</v>
      </c>
    </row>
    <row r="12733" spans="1:7" s="3" customFormat="1" x14ac:dyDescent="0.3">
      <c r="A12733" s="3" t="s">
        <v>27</v>
      </c>
      <c r="B12733" s="3" t="s">
        <v>1235</v>
      </c>
      <c r="C12733" s="3">
        <v>10</v>
      </c>
      <c r="D12733" s="3" t="s">
        <v>103</v>
      </c>
      <c r="E12733" s="3" t="s">
        <v>249</v>
      </c>
      <c r="F12733" s="3" t="s">
        <v>103</v>
      </c>
      <c r="G12733" s="3" t="s">
        <v>361</v>
      </c>
    </row>
    <row r="12734" spans="1:7" x14ac:dyDescent="0.3">
      <c r="A12734" t="s">
        <v>27</v>
      </c>
      <c r="B12734" t="s">
        <v>1237</v>
      </c>
      <c r="C12734">
        <v>141</v>
      </c>
      <c r="D12734" t="s">
        <v>148</v>
      </c>
      <c r="E12734" t="s">
        <v>379</v>
      </c>
      <c r="F12734" t="s">
        <v>103</v>
      </c>
      <c r="G12734" t="s">
        <v>805</v>
      </c>
    </row>
    <row r="12735" spans="1:7" x14ac:dyDescent="0.3">
      <c r="A12735" t="s">
        <v>41</v>
      </c>
      <c r="B12735" t="s">
        <v>1234</v>
      </c>
      <c r="C12735">
        <v>1200</v>
      </c>
      <c r="D12735" t="s">
        <v>301</v>
      </c>
      <c r="E12735" t="s">
        <v>582</v>
      </c>
      <c r="F12735" t="s">
        <v>98</v>
      </c>
      <c r="G12735" t="s">
        <v>1216</v>
      </c>
    </row>
    <row r="12736" spans="1:7" x14ac:dyDescent="0.3">
      <c r="A12736" t="s">
        <v>41</v>
      </c>
      <c r="B12736" t="s">
        <v>1235</v>
      </c>
      <c r="C12736">
        <v>127</v>
      </c>
      <c r="D12736" t="s">
        <v>295</v>
      </c>
      <c r="E12736" t="s">
        <v>654</v>
      </c>
      <c r="F12736" t="s">
        <v>282</v>
      </c>
      <c r="G12736" t="s">
        <v>665</v>
      </c>
    </row>
    <row r="12737" spans="1:7" x14ac:dyDescent="0.3">
      <c r="A12737" t="s">
        <v>41</v>
      </c>
      <c r="B12737" t="s">
        <v>1237</v>
      </c>
      <c r="C12737">
        <v>711</v>
      </c>
      <c r="D12737" t="s">
        <v>259</v>
      </c>
      <c r="E12737" t="s">
        <v>489</v>
      </c>
      <c r="F12737" t="s">
        <v>116</v>
      </c>
      <c r="G12737" t="s">
        <v>1028</v>
      </c>
    </row>
    <row r="12739" spans="1:7" x14ac:dyDescent="0.3">
      <c r="A12739" t="s">
        <v>2881</v>
      </c>
    </row>
    <row r="12740" spans="1:7" x14ac:dyDescent="0.3">
      <c r="A12740" t="s">
        <v>36</v>
      </c>
      <c r="B12740" t="s">
        <v>2764</v>
      </c>
      <c r="C12740" t="s">
        <v>24</v>
      </c>
      <c r="D12740" t="s">
        <v>58</v>
      </c>
      <c r="E12740" t="s">
        <v>2874</v>
      </c>
      <c r="F12740" t="s">
        <v>181</v>
      </c>
      <c r="G12740" t="s">
        <v>59</v>
      </c>
    </row>
    <row r="12741" spans="1:7" s="3" customFormat="1" x14ac:dyDescent="0.3">
      <c r="A12741" s="3" t="s">
        <v>25</v>
      </c>
      <c r="B12741" s="3" t="s">
        <v>2765</v>
      </c>
      <c r="C12741" s="3">
        <v>16</v>
      </c>
      <c r="D12741" s="3" t="s">
        <v>626</v>
      </c>
      <c r="E12741" s="3" t="s">
        <v>732</v>
      </c>
      <c r="F12741" s="3" t="s">
        <v>251</v>
      </c>
      <c r="G12741" s="3" t="s">
        <v>427</v>
      </c>
    </row>
    <row r="12742" spans="1:7" s="3" customFormat="1" x14ac:dyDescent="0.3">
      <c r="A12742" s="3" t="s">
        <v>25</v>
      </c>
      <c r="B12742" s="3" t="s">
        <v>585</v>
      </c>
      <c r="C12742" s="3">
        <v>5</v>
      </c>
      <c r="D12742" s="3" t="s">
        <v>106</v>
      </c>
      <c r="E12742" s="3" t="s">
        <v>113</v>
      </c>
      <c r="F12742" s="3" t="s">
        <v>103</v>
      </c>
      <c r="G12742" s="3" t="s">
        <v>156</v>
      </c>
    </row>
    <row r="12743" spans="1:7" s="3" customFormat="1" x14ac:dyDescent="0.3">
      <c r="A12743" s="3" t="s">
        <v>25</v>
      </c>
      <c r="B12743" s="3" t="s">
        <v>586</v>
      </c>
      <c r="C12743" s="3">
        <v>17</v>
      </c>
      <c r="D12743" s="3" t="s">
        <v>33</v>
      </c>
      <c r="E12743" s="3" t="s">
        <v>580</v>
      </c>
      <c r="F12743" s="3" t="s">
        <v>103</v>
      </c>
      <c r="G12743" s="3" t="s">
        <v>747</v>
      </c>
    </row>
    <row r="12744" spans="1:7" s="3" customFormat="1" x14ac:dyDescent="0.3">
      <c r="A12744" s="3" t="s">
        <v>25</v>
      </c>
      <c r="B12744" s="3" t="s">
        <v>587</v>
      </c>
      <c r="C12744" s="3">
        <v>2</v>
      </c>
      <c r="D12744" s="3" t="s">
        <v>1400</v>
      </c>
      <c r="E12744" s="3" t="s">
        <v>250</v>
      </c>
      <c r="F12744" s="3" t="s">
        <v>103</v>
      </c>
      <c r="G12744" s="3" t="s">
        <v>103</v>
      </c>
    </row>
    <row r="12745" spans="1:7" s="3" customFormat="1" x14ac:dyDescent="0.3">
      <c r="A12745" s="3" t="s">
        <v>25</v>
      </c>
      <c r="B12745" s="3" t="s">
        <v>588</v>
      </c>
      <c r="C12745" s="3">
        <v>20</v>
      </c>
      <c r="D12745" s="3" t="s">
        <v>476</v>
      </c>
      <c r="E12745" s="3" t="s">
        <v>523</v>
      </c>
      <c r="F12745" s="3" t="s">
        <v>272</v>
      </c>
      <c r="G12745" s="3" t="s">
        <v>442</v>
      </c>
    </row>
    <row r="12746" spans="1:7" x14ac:dyDescent="0.3">
      <c r="A12746" t="s">
        <v>25</v>
      </c>
      <c r="B12746" t="s">
        <v>2766</v>
      </c>
      <c r="C12746">
        <v>354</v>
      </c>
      <c r="D12746" t="s">
        <v>476</v>
      </c>
      <c r="E12746" t="s">
        <v>813</v>
      </c>
      <c r="F12746" t="s">
        <v>116</v>
      </c>
      <c r="G12746" t="s">
        <v>439</v>
      </c>
    </row>
    <row r="12747" spans="1:7" s="3" customFormat="1" x14ac:dyDescent="0.3">
      <c r="A12747" s="3" t="s">
        <v>26</v>
      </c>
      <c r="B12747" s="3" t="s">
        <v>2765</v>
      </c>
      <c r="C12747" s="3">
        <v>26</v>
      </c>
      <c r="D12747" s="3" t="s">
        <v>671</v>
      </c>
      <c r="E12747" s="3" t="s">
        <v>564</v>
      </c>
      <c r="F12747" s="3" t="s">
        <v>103</v>
      </c>
      <c r="G12747" s="3" t="s">
        <v>490</v>
      </c>
    </row>
    <row r="12748" spans="1:7" s="3" customFormat="1" x14ac:dyDescent="0.3">
      <c r="A12748" s="3" t="s">
        <v>26</v>
      </c>
      <c r="B12748" s="3" t="s">
        <v>586</v>
      </c>
      <c r="C12748" s="3">
        <v>4</v>
      </c>
      <c r="D12748" s="3" t="s">
        <v>1210</v>
      </c>
      <c r="E12748" s="3" t="s">
        <v>1394</v>
      </c>
      <c r="F12748" s="3" t="s">
        <v>103</v>
      </c>
      <c r="G12748" s="3" t="s">
        <v>103</v>
      </c>
    </row>
    <row r="12749" spans="1:7" s="3" customFormat="1" x14ac:dyDescent="0.3">
      <c r="A12749" s="3" t="s">
        <v>26</v>
      </c>
      <c r="B12749" s="3" t="s">
        <v>587</v>
      </c>
      <c r="C12749" s="3">
        <v>8</v>
      </c>
      <c r="D12749" s="3" t="s">
        <v>560</v>
      </c>
      <c r="E12749" s="3" t="s">
        <v>409</v>
      </c>
      <c r="F12749" s="3" t="s">
        <v>103</v>
      </c>
      <c r="G12749" s="3" t="s">
        <v>1293</v>
      </c>
    </row>
    <row r="12750" spans="1:7" s="3" customFormat="1" x14ac:dyDescent="0.3">
      <c r="A12750" s="3" t="s">
        <v>26</v>
      </c>
      <c r="B12750" s="3" t="s">
        <v>588</v>
      </c>
      <c r="C12750" s="3">
        <v>4</v>
      </c>
      <c r="D12750" s="3" t="s">
        <v>103</v>
      </c>
      <c r="E12750" s="3" t="s">
        <v>665</v>
      </c>
      <c r="F12750" s="3" t="s">
        <v>103</v>
      </c>
      <c r="G12750" s="3" t="s">
        <v>664</v>
      </c>
    </row>
    <row r="12751" spans="1:7" x14ac:dyDescent="0.3">
      <c r="A12751" t="s">
        <v>26</v>
      </c>
      <c r="B12751" t="s">
        <v>2766</v>
      </c>
      <c r="C12751">
        <v>435</v>
      </c>
      <c r="D12751" t="s">
        <v>921</v>
      </c>
      <c r="E12751" t="s">
        <v>858</v>
      </c>
      <c r="F12751" t="s">
        <v>66</v>
      </c>
      <c r="G12751" t="s">
        <v>677</v>
      </c>
    </row>
    <row r="12752" spans="1:7" s="3" customFormat="1" x14ac:dyDescent="0.3">
      <c r="A12752" s="3" t="s">
        <v>29</v>
      </c>
      <c r="B12752" s="3" t="s">
        <v>2765</v>
      </c>
      <c r="C12752" s="3">
        <v>30</v>
      </c>
      <c r="D12752" s="3" t="s">
        <v>687</v>
      </c>
      <c r="E12752" s="3" t="s">
        <v>673</v>
      </c>
      <c r="F12752" s="3" t="s">
        <v>532</v>
      </c>
      <c r="G12752" s="3" t="s">
        <v>1008</v>
      </c>
    </row>
    <row r="12753" spans="1:7" s="3" customFormat="1" x14ac:dyDescent="0.3">
      <c r="A12753" s="3" t="s">
        <v>29</v>
      </c>
      <c r="B12753" s="3" t="s">
        <v>585</v>
      </c>
      <c r="C12753" s="3">
        <v>6</v>
      </c>
      <c r="D12753" s="3" t="s">
        <v>351</v>
      </c>
      <c r="E12753" s="3" t="s">
        <v>565</v>
      </c>
      <c r="F12753" s="3" t="s">
        <v>103</v>
      </c>
      <c r="G12753" s="3" t="s">
        <v>813</v>
      </c>
    </row>
    <row r="12754" spans="1:7" s="3" customFormat="1" x14ac:dyDescent="0.3">
      <c r="A12754" s="3" t="s">
        <v>29</v>
      </c>
      <c r="B12754" s="3" t="s">
        <v>586</v>
      </c>
      <c r="C12754" s="3">
        <v>12</v>
      </c>
      <c r="D12754" s="3" t="s">
        <v>501</v>
      </c>
      <c r="E12754" s="3" t="s">
        <v>906</v>
      </c>
      <c r="F12754" s="3" t="s">
        <v>103</v>
      </c>
      <c r="G12754" s="3" t="s">
        <v>1088</v>
      </c>
    </row>
    <row r="12755" spans="1:7" s="3" customFormat="1" x14ac:dyDescent="0.3">
      <c r="A12755" s="3" t="s">
        <v>29</v>
      </c>
      <c r="B12755" s="3" t="s">
        <v>587</v>
      </c>
      <c r="C12755" s="3">
        <v>3</v>
      </c>
      <c r="D12755" s="3" t="s">
        <v>890</v>
      </c>
      <c r="E12755" s="3" t="s">
        <v>103</v>
      </c>
      <c r="F12755" s="3" t="s">
        <v>103</v>
      </c>
      <c r="G12755" s="3" t="s">
        <v>889</v>
      </c>
    </row>
    <row r="12756" spans="1:7" s="3" customFormat="1" x14ac:dyDescent="0.3">
      <c r="A12756" s="3" t="s">
        <v>29</v>
      </c>
      <c r="B12756" s="3" t="s">
        <v>588</v>
      </c>
      <c r="C12756" s="3">
        <v>15</v>
      </c>
      <c r="D12756" s="3" t="s">
        <v>550</v>
      </c>
      <c r="E12756" s="3" t="s">
        <v>259</v>
      </c>
      <c r="F12756" s="3" t="s">
        <v>103</v>
      </c>
      <c r="G12756" s="3" t="s">
        <v>1068</v>
      </c>
    </row>
    <row r="12757" spans="1:7" x14ac:dyDescent="0.3">
      <c r="A12757" t="s">
        <v>29</v>
      </c>
      <c r="B12757" t="s">
        <v>2766</v>
      </c>
      <c r="C12757">
        <v>464</v>
      </c>
      <c r="D12757" t="s">
        <v>440</v>
      </c>
      <c r="E12757" t="s">
        <v>685</v>
      </c>
      <c r="F12757" t="s">
        <v>282</v>
      </c>
      <c r="G12757" t="s">
        <v>729</v>
      </c>
    </row>
    <row r="12758" spans="1:7" s="3" customFormat="1" x14ac:dyDescent="0.3">
      <c r="A12758" s="3" t="s">
        <v>28</v>
      </c>
      <c r="B12758" s="3" t="s">
        <v>2765</v>
      </c>
      <c r="C12758" s="3">
        <v>6</v>
      </c>
      <c r="D12758" s="3" t="s">
        <v>103</v>
      </c>
      <c r="E12758" s="3" t="s">
        <v>1278</v>
      </c>
      <c r="F12758" s="3" t="s">
        <v>103</v>
      </c>
      <c r="G12758" s="3" t="s">
        <v>509</v>
      </c>
    </row>
    <row r="12759" spans="1:7" s="3" customFormat="1" x14ac:dyDescent="0.3">
      <c r="A12759" s="3" t="s">
        <v>28</v>
      </c>
      <c r="B12759" s="3" t="s">
        <v>585</v>
      </c>
      <c r="C12759" s="3">
        <v>8</v>
      </c>
      <c r="D12759" s="3" t="s">
        <v>117</v>
      </c>
      <c r="E12759" s="3" t="s">
        <v>628</v>
      </c>
      <c r="F12759" s="3" t="s">
        <v>103</v>
      </c>
      <c r="G12759" s="3" t="s">
        <v>935</v>
      </c>
    </row>
    <row r="12760" spans="1:7" s="3" customFormat="1" x14ac:dyDescent="0.3">
      <c r="A12760" s="3" t="s">
        <v>28</v>
      </c>
      <c r="B12760" s="3" t="s">
        <v>586</v>
      </c>
      <c r="C12760" s="3">
        <v>6</v>
      </c>
      <c r="D12760" s="3" t="s">
        <v>103</v>
      </c>
      <c r="E12760" s="3" t="s">
        <v>1011</v>
      </c>
      <c r="F12760" s="3" t="s">
        <v>103</v>
      </c>
      <c r="G12760" s="3" t="s">
        <v>229</v>
      </c>
    </row>
    <row r="12761" spans="1:7" s="3" customFormat="1" x14ac:dyDescent="0.3">
      <c r="A12761" s="3" t="s">
        <v>28</v>
      </c>
      <c r="B12761" s="3" t="s">
        <v>587</v>
      </c>
      <c r="C12761" s="3">
        <v>11</v>
      </c>
      <c r="D12761" s="3" t="s">
        <v>358</v>
      </c>
      <c r="E12761" s="3" t="s">
        <v>1011</v>
      </c>
      <c r="F12761" s="3" t="s">
        <v>103</v>
      </c>
      <c r="G12761" s="3" t="s">
        <v>481</v>
      </c>
    </row>
    <row r="12762" spans="1:7" x14ac:dyDescent="0.3">
      <c r="A12762" t="s">
        <v>28</v>
      </c>
      <c r="B12762" t="s">
        <v>588</v>
      </c>
      <c r="C12762">
        <v>33</v>
      </c>
      <c r="D12762" t="s">
        <v>820</v>
      </c>
      <c r="E12762" t="s">
        <v>1202</v>
      </c>
      <c r="F12762" t="s">
        <v>103</v>
      </c>
      <c r="G12762" t="s">
        <v>567</v>
      </c>
    </row>
    <row r="12763" spans="1:7" x14ac:dyDescent="0.3">
      <c r="A12763" t="s">
        <v>28</v>
      </c>
      <c r="B12763" t="s">
        <v>2766</v>
      </c>
      <c r="C12763">
        <v>253</v>
      </c>
      <c r="D12763" t="s">
        <v>705</v>
      </c>
      <c r="E12763" t="s">
        <v>654</v>
      </c>
      <c r="F12763" t="s">
        <v>103</v>
      </c>
      <c r="G12763" t="s">
        <v>1006</v>
      </c>
    </row>
    <row r="12764" spans="1:7" x14ac:dyDescent="0.3">
      <c r="A12764" t="s">
        <v>27</v>
      </c>
      <c r="B12764" t="s">
        <v>2765</v>
      </c>
      <c r="C12764">
        <v>92</v>
      </c>
      <c r="D12764" t="s">
        <v>146</v>
      </c>
      <c r="E12764" t="s">
        <v>1436</v>
      </c>
      <c r="F12764" t="s">
        <v>103</v>
      </c>
      <c r="G12764" t="s">
        <v>819</v>
      </c>
    </row>
    <row r="12765" spans="1:7" s="3" customFormat="1" x14ac:dyDescent="0.3">
      <c r="A12765" s="3" t="s">
        <v>27</v>
      </c>
      <c r="B12765" s="3" t="s">
        <v>585</v>
      </c>
      <c r="C12765" s="3">
        <v>1</v>
      </c>
      <c r="D12765" s="3" t="s">
        <v>103</v>
      </c>
      <c r="E12765" s="3" t="s">
        <v>103</v>
      </c>
      <c r="F12765" s="3" t="s">
        <v>103</v>
      </c>
      <c r="G12765" s="3" t="s">
        <v>192</v>
      </c>
    </row>
    <row r="12766" spans="1:7" s="3" customFormat="1" x14ac:dyDescent="0.3">
      <c r="A12766" s="3" t="s">
        <v>27</v>
      </c>
      <c r="B12766" s="3" t="s">
        <v>586</v>
      </c>
      <c r="C12766" s="3">
        <v>1</v>
      </c>
      <c r="D12766" s="3" t="s">
        <v>103</v>
      </c>
      <c r="E12766" s="3" t="s">
        <v>192</v>
      </c>
      <c r="F12766" s="3" t="s">
        <v>103</v>
      </c>
      <c r="G12766" s="3" t="s">
        <v>103</v>
      </c>
    </row>
    <row r="12767" spans="1:7" s="3" customFormat="1" x14ac:dyDescent="0.3">
      <c r="A12767" s="3" t="s">
        <v>27</v>
      </c>
      <c r="B12767" s="3" t="s">
        <v>588</v>
      </c>
      <c r="C12767" s="3">
        <v>3</v>
      </c>
      <c r="D12767" s="3" t="s">
        <v>103</v>
      </c>
      <c r="E12767" s="3" t="s">
        <v>359</v>
      </c>
      <c r="F12767" s="3" t="s">
        <v>103</v>
      </c>
      <c r="G12767" s="3" t="s">
        <v>798</v>
      </c>
    </row>
    <row r="12768" spans="1:7" x14ac:dyDescent="0.3">
      <c r="A12768" t="s">
        <v>27</v>
      </c>
      <c r="B12768" t="s">
        <v>2766</v>
      </c>
      <c r="C12768">
        <v>203</v>
      </c>
      <c r="D12768" t="s">
        <v>550</v>
      </c>
      <c r="E12768" t="s">
        <v>1295</v>
      </c>
      <c r="F12768" t="s">
        <v>97</v>
      </c>
      <c r="G12768" t="s">
        <v>402</v>
      </c>
    </row>
    <row r="12769" spans="1:7" x14ac:dyDescent="0.3">
      <c r="A12769" t="s">
        <v>41</v>
      </c>
      <c r="B12769" t="s">
        <v>2765</v>
      </c>
      <c r="C12769">
        <v>170</v>
      </c>
      <c r="D12769" t="s">
        <v>142</v>
      </c>
      <c r="E12769" t="s">
        <v>385</v>
      </c>
      <c r="F12769" t="s">
        <v>266</v>
      </c>
      <c r="G12769" t="s">
        <v>1227</v>
      </c>
    </row>
    <row r="12770" spans="1:7" s="3" customFormat="1" x14ac:dyDescent="0.3">
      <c r="A12770" s="3" t="s">
        <v>41</v>
      </c>
      <c r="B12770" s="3" t="s">
        <v>585</v>
      </c>
      <c r="C12770" s="3">
        <v>20</v>
      </c>
      <c r="D12770" s="3" t="s">
        <v>797</v>
      </c>
      <c r="E12770" s="3" t="s">
        <v>477</v>
      </c>
      <c r="F12770" s="3" t="s">
        <v>103</v>
      </c>
      <c r="G12770" s="3" t="s">
        <v>1038</v>
      </c>
    </row>
    <row r="12771" spans="1:7" x14ac:dyDescent="0.3">
      <c r="A12771" t="s">
        <v>41</v>
      </c>
      <c r="B12771" t="s">
        <v>586</v>
      </c>
      <c r="C12771">
        <v>40</v>
      </c>
      <c r="D12771" t="s">
        <v>547</v>
      </c>
      <c r="E12771" t="s">
        <v>705</v>
      </c>
      <c r="F12771" t="s">
        <v>103</v>
      </c>
      <c r="G12771" t="s">
        <v>1545</v>
      </c>
    </row>
    <row r="12772" spans="1:7" s="3" customFormat="1" x14ac:dyDescent="0.3">
      <c r="A12772" s="3" t="s">
        <v>41</v>
      </c>
      <c r="B12772" s="3" t="s">
        <v>587</v>
      </c>
      <c r="C12772" s="3">
        <v>24</v>
      </c>
      <c r="D12772" s="3" t="s">
        <v>545</v>
      </c>
      <c r="E12772" s="3" t="s">
        <v>706</v>
      </c>
      <c r="F12772" s="3" t="s">
        <v>103</v>
      </c>
      <c r="G12772" s="3" t="s">
        <v>513</v>
      </c>
    </row>
    <row r="12773" spans="1:7" x14ac:dyDescent="0.3">
      <c r="A12773" t="s">
        <v>41</v>
      </c>
      <c r="B12773" t="s">
        <v>588</v>
      </c>
      <c r="C12773">
        <v>75</v>
      </c>
      <c r="D12773" t="s">
        <v>819</v>
      </c>
      <c r="E12773" t="s">
        <v>1223</v>
      </c>
      <c r="F12773" t="s">
        <v>345</v>
      </c>
      <c r="G12773" t="s">
        <v>423</v>
      </c>
    </row>
    <row r="12774" spans="1:7" x14ac:dyDescent="0.3">
      <c r="A12774" t="s">
        <v>41</v>
      </c>
      <c r="B12774" t="s">
        <v>2766</v>
      </c>
      <c r="C12774">
        <v>1709</v>
      </c>
      <c r="D12774" t="s">
        <v>685</v>
      </c>
      <c r="E12774" t="s">
        <v>504</v>
      </c>
      <c r="F12774" t="s">
        <v>120</v>
      </c>
      <c r="G12774" t="s">
        <v>1293</v>
      </c>
    </row>
    <row r="12776" spans="1:7" x14ac:dyDescent="0.3">
      <c r="A12776" t="s">
        <v>2882</v>
      </c>
    </row>
    <row r="12777" spans="1:7" x14ac:dyDescent="0.3">
      <c r="A12777" t="s">
        <v>36</v>
      </c>
      <c r="B12777" t="s">
        <v>2768</v>
      </c>
      <c r="C12777" t="s">
        <v>24</v>
      </c>
      <c r="D12777" t="s">
        <v>58</v>
      </c>
      <c r="E12777" t="s">
        <v>2874</v>
      </c>
      <c r="F12777" t="s">
        <v>59</v>
      </c>
      <c r="G12777" t="s">
        <v>181</v>
      </c>
    </row>
    <row r="12778" spans="1:7" s="3" customFormat="1" x14ac:dyDescent="0.3">
      <c r="A12778" s="3" t="s">
        <v>25</v>
      </c>
      <c r="B12778" s="3" t="s">
        <v>638</v>
      </c>
      <c r="C12778" s="3">
        <v>5</v>
      </c>
      <c r="D12778" s="3" t="s">
        <v>106</v>
      </c>
      <c r="E12778" s="3" t="s">
        <v>113</v>
      </c>
      <c r="F12778" s="3" t="s">
        <v>156</v>
      </c>
      <c r="G12778" s="3" t="s">
        <v>103</v>
      </c>
    </row>
    <row r="12779" spans="1:7" s="3" customFormat="1" x14ac:dyDescent="0.3">
      <c r="A12779" s="3" t="s">
        <v>25</v>
      </c>
      <c r="B12779" s="3" t="s">
        <v>639</v>
      </c>
      <c r="C12779" s="3">
        <v>13</v>
      </c>
      <c r="D12779" s="3" t="s">
        <v>46</v>
      </c>
      <c r="E12779" s="3" t="s">
        <v>1205</v>
      </c>
      <c r="F12779" s="3" t="s">
        <v>1011</v>
      </c>
      <c r="G12779" s="3" t="s">
        <v>32</v>
      </c>
    </row>
    <row r="12780" spans="1:7" s="3" customFormat="1" x14ac:dyDescent="0.3">
      <c r="A12780" s="3" t="s">
        <v>25</v>
      </c>
      <c r="B12780" s="3" t="s">
        <v>640</v>
      </c>
      <c r="C12780" s="3">
        <v>11</v>
      </c>
      <c r="D12780" s="3" t="s">
        <v>127</v>
      </c>
      <c r="E12780" s="3" t="s">
        <v>117</v>
      </c>
      <c r="F12780" s="3" t="s">
        <v>1135</v>
      </c>
      <c r="G12780" s="3" t="s">
        <v>103</v>
      </c>
    </row>
    <row r="12781" spans="1:7" s="3" customFormat="1" x14ac:dyDescent="0.3">
      <c r="A12781" s="3" t="s">
        <v>25</v>
      </c>
      <c r="B12781" s="3" t="s">
        <v>2765</v>
      </c>
      <c r="C12781" s="3">
        <v>2</v>
      </c>
      <c r="D12781" s="3" t="s">
        <v>695</v>
      </c>
      <c r="E12781" s="3" t="s">
        <v>103</v>
      </c>
      <c r="F12781" s="3" t="s">
        <v>761</v>
      </c>
      <c r="G12781" s="3" t="s">
        <v>103</v>
      </c>
    </row>
    <row r="12782" spans="1:7" s="3" customFormat="1" x14ac:dyDescent="0.3">
      <c r="A12782" s="3" t="s">
        <v>25</v>
      </c>
      <c r="B12782" s="3" t="s">
        <v>641</v>
      </c>
      <c r="C12782" s="3">
        <v>8</v>
      </c>
      <c r="D12782" s="3" t="s">
        <v>150</v>
      </c>
      <c r="E12782" s="3" t="s">
        <v>402</v>
      </c>
      <c r="F12782" s="3" t="s">
        <v>400</v>
      </c>
      <c r="G12782" s="3" t="s">
        <v>103</v>
      </c>
    </row>
    <row r="12783" spans="1:7" s="3" customFormat="1" x14ac:dyDescent="0.3">
      <c r="A12783" s="3" t="s">
        <v>25</v>
      </c>
      <c r="B12783" s="3" t="s">
        <v>2769</v>
      </c>
      <c r="C12783" s="3">
        <v>5</v>
      </c>
      <c r="D12783" s="3" t="s">
        <v>1050</v>
      </c>
      <c r="E12783" s="3" t="s">
        <v>251</v>
      </c>
      <c r="F12783" s="3" t="s">
        <v>300</v>
      </c>
      <c r="G12783" s="3" t="s">
        <v>103</v>
      </c>
    </row>
    <row r="12784" spans="1:7" x14ac:dyDescent="0.3">
      <c r="A12784" t="s">
        <v>25</v>
      </c>
      <c r="B12784" t="s">
        <v>308</v>
      </c>
      <c r="C12784">
        <v>370</v>
      </c>
      <c r="D12784" t="s">
        <v>1083</v>
      </c>
      <c r="E12784" t="s">
        <v>175</v>
      </c>
      <c r="F12784" t="s">
        <v>379</v>
      </c>
      <c r="G12784" t="s">
        <v>120</v>
      </c>
    </row>
    <row r="12785" spans="1:7" s="3" customFormat="1" x14ac:dyDescent="0.3">
      <c r="A12785" s="3" t="s">
        <v>26</v>
      </c>
      <c r="B12785" s="3" t="s">
        <v>639</v>
      </c>
      <c r="C12785" s="3">
        <v>7</v>
      </c>
      <c r="D12785" s="3" t="s">
        <v>1207</v>
      </c>
      <c r="E12785" s="3" t="s">
        <v>556</v>
      </c>
      <c r="F12785" s="3" t="s">
        <v>1015</v>
      </c>
      <c r="G12785" s="3" t="s">
        <v>103</v>
      </c>
    </row>
    <row r="12786" spans="1:7" s="3" customFormat="1" x14ac:dyDescent="0.3">
      <c r="A12786" s="3" t="s">
        <v>26</v>
      </c>
      <c r="B12786" s="3" t="s">
        <v>640</v>
      </c>
      <c r="C12786" s="3">
        <v>2</v>
      </c>
      <c r="D12786" s="3" t="s">
        <v>103</v>
      </c>
      <c r="E12786" s="3" t="s">
        <v>1426</v>
      </c>
      <c r="F12786" s="3" t="s">
        <v>546</v>
      </c>
      <c r="G12786" s="3" t="s">
        <v>103</v>
      </c>
    </row>
    <row r="12787" spans="1:7" s="3" customFormat="1" x14ac:dyDescent="0.3">
      <c r="A12787" s="3" t="s">
        <v>26</v>
      </c>
      <c r="B12787" s="3" t="s">
        <v>641</v>
      </c>
      <c r="C12787" s="3">
        <v>5</v>
      </c>
      <c r="D12787" s="3" t="s">
        <v>1015</v>
      </c>
      <c r="E12787" s="3" t="s">
        <v>357</v>
      </c>
      <c r="F12787" s="3" t="s">
        <v>1084</v>
      </c>
      <c r="G12787" s="3" t="s">
        <v>103</v>
      </c>
    </row>
    <row r="12788" spans="1:7" s="3" customFormat="1" x14ac:dyDescent="0.3">
      <c r="A12788" s="3" t="s">
        <v>26</v>
      </c>
      <c r="B12788" s="3" t="s">
        <v>2769</v>
      </c>
      <c r="C12788" s="3">
        <v>2</v>
      </c>
      <c r="D12788" s="3" t="s">
        <v>697</v>
      </c>
      <c r="E12788" s="3" t="s">
        <v>227</v>
      </c>
      <c r="F12788" s="3" t="s">
        <v>103</v>
      </c>
      <c r="G12788" s="3" t="s">
        <v>103</v>
      </c>
    </row>
    <row r="12789" spans="1:7" x14ac:dyDescent="0.3">
      <c r="A12789" t="s">
        <v>26</v>
      </c>
      <c r="B12789" t="s">
        <v>308</v>
      </c>
      <c r="C12789">
        <v>461</v>
      </c>
      <c r="D12789" t="s">
        <v>688</v>
      </c>
      <c r="E12789" t="s">
        <v>455</v>
      </c>
      <c r="F12789" t="s">
        <v>509</v>
      </c>
      <c r="G12789" t="s">
        <v>66</v>
      </c>
    </row>
    <row r="12790" spans="1:7" s="3" customFormat="1" x14ac:dyDescent="0.3">
      <c r="A12790" s="3" t="s">
        <v>29</v>
      </c>
      <c r="B12790" s="3" t="s">
        <v>638</v>
      </c>
      <c r="C12790" s="3">
        <v>5</v>
      </c>
      <c r="D12790" s="3" t="s">
        <v>379</v>
      </c>
      <c r="E12790" s="3" t="s">
        <v>380</v>
      </c>
      <c r="F12790" s="3" t="s">
        <v>103</v>
      </c>
      <c r="G12790" s="3" t="s">
        <v>103</v>
      </c>
    </row>
    <row r="12791" spans="1:7" s="3" customFormat="1" x14ac:dyDescent="0.3">
      <c r="A12791" s="3" t="s">
        <v>29</v>
      </c>
      <c r="B12791" s="3" t="s">
        <v>639</v>
      </c>
      <c r="C12791" s="3">
        <v>4</v>
      </c>
      <c r="D12791" s="3" t="s">
        <v>511</v>
      </c>
      <c r="E12791" s="3" t="s">
        <v>1224</v>
      </c>
      <c r="F12791" s="3" t="s">
        <v>426</v>
      </c>
      <c r="G12791" s="3" t="s">
        <v>103</v>
      </c>
    </row>
    <row r="12792" spans="1:7" s="3" customFormat="1" x14ac:dyDescent="0.3">
      <c r="A12792" s="3" t="s">
        <v>29</v>
      </c>
      <c r="B12792" s="3" t="s">
        <v>640</v>
      </c>
      <c r="C12792" s="3">
        <v>10</v>
      </c>
      <c r="D12792" s="3" t="s">
        <v>115</v>
      </c>
      <c r="E12792" s="3" t="s">
        <v>1227</v>
      </c>
      <c r="F12792" s="3" t="s">
        <v>795</v>
      </c>
      <c r="G12792" s="3" t="s">
        <v>103</v>
      </c>
    </row>
    <row r="12793" spans="1:7" s="3" customFormat="1" x14ac:dyDescent="0.3">
      <c r="A12793" s="3" t="s">
        <v>29</v>
      </c>
      <c r="B12793" s="3" t="s">
        <v>2765</v>
      </c>
      <c r="C12793" s="3">
        <v>8</v>
      </c>
      <c r="D12793" s="3" t="s">
        <v>900</v>
      </c>
      <c r="E12793" s="3" t="s">
        <v>687</v>
      </c>
      <c r="F12793" s="3" t="s">
        <v>366</v>
      </c>
      <c r="G12793" s="3" t="s">
        <v>103</v>
      </c>
    </row>
    <row r="12794" spans="1:7" s="3" customFormat="1" x14ac:dyDescent="0.3">
      <c r="A12794" s="3" t="s">
        <v>29</v>
      </c>
      <c r="B12794" s="3" t="s">
        <v>641</v>
      </c>
      <c r="C12794" s="3">
        <v>7</v>
      </c>
      <c r="D12794" s="3" t="s">
        <v>368</v>
      </c>
      <c r="E12794" s="3" t="s">
        <v>504</v>
      </c>
      <c r="F12794" s="3" t="s">
        <v>548</v>
      </c>
      <c r="G12794" s="3" t="s">
        <v>103</v>
      </c>
    </row>
    <row r="12795" spans="1:7" s="3" customFormat="1" x14ac:dyDescent="0.3">
      <c r="A12795" s="3" t="s">
        <v>29</v>
      </c>
      <c r="B12795" s="3" t="s">
        <v>2769</v>
      </c>
      <c r="C12795" s="3">
        <v>2</v>
      </c>
      <c r="D12795" s="3" t="s">
        <v>103</v>
      </c>
      <c r="E12795" s="3" t="s">
        <v>103</v>
      </c>
      <c r="F12795" s="3" t="s">
        <v>192</v>
      </c>
      <c r="G12795" s="3" t="s">
        <v>103</v>
      </c>
    </row>
    <row r="12796" spans="1:7" x14ac:dyDescent="0.3">
      <c r="A12796" t="s">
        <v>29</v>
      </c>
      <c r="B12796" t="s">
        <v>308</v>
      </c>
      <c r="C12796">
        <v>494</v>
      </c>
      <c r="D12796" t="s">
        <v>541</v>
      </c>
      <c r="E12796" t="s">
        <v>815</v>
      </c>
      <c r="F12796" t="s">
        <v>1070</v>
      </c>
      <c r="G12796" t="s">
        <v>468</v>
      </c>
    </row>
    <row r="12797" spans="1:7" s="3" customFormat="1" x14ac:dyDescent="0.3">
      <c r="A12797" s="3" t="s">
        <v>28</v>
      </c>
      <c r="B12797" s="3" t="s">
        <v>638</v>
      </c>
      <c r="C12797" s="3">
        <v>9</v>
      </c>
      <c r="D12797" s="3" t="s">
        <v>191</v>
      </c>
      <c r="E12797" s="3" t="s">
        <v>810</v>
      </c>
      <c r="F12797" s="3" t="s">
        <v>729</v>
      </c>
      <c r="G12797" s="3" t="s">
        <v>103</v>
      </c>
    </row>
    <row r="12798" spans="1:7" s="3" customFormat="1" x14ac:dyDescent="0.3">
      <c r="A12798" s="3" t="s">
        <v>28</v>
      </c>
      <c r="B12798" s="3" t="s">
        <v>639</v>
      </c>
      <c r="C12798" s="3">
        <v>17</v>
      </c>
      <c r="D12798" s="3" t="s">
        <v>489</v>
      </c>
      <c r="E12798" s="3" t="s">
        <v>669</v>
      </c>
      <c r="F12798" s="3" t="s">
        <v>660</v>
      </c>
      <c r="G12798" s="3" t="s">
        <v>103</v>
      </c>
    </row>
    <row r="12799" spans="1:7" s="3" customFormat="1" x14ac:dyDescent="0.3">
      <c r="A12799" s="3" t="s">
        <v>28</v>
      </c>
      <c r="B12799" s="3" t="s">
        <v>640</v>
      </c>
      <c r="C12799" s="3">
        <v>20</v>
      </c>
      <c r="D12799" s="3" t="s">
        <v>1093</v>
      </c>
      <c r="E12799" s="3" t="s">
        <v>355</v>
      </c>
      <c r="F12799" s="3" t="s">
        <v>1082</v>
      </c>
      <c r="G12799" s="3" t="s">
        <v>103</v>
      </c>
    </row>
    <row r="12800" spans="1:7" s="3" customFormat="1" x14ac:dyDescent="0.3">
      <c r="A12800" s="3" t="s">
        <v>28</v>
      </c>
      <c r="B12800" s="3" t="s">
        <v>2765</v>
      </c>
      <c r="C12800" s="3">
        <v>2</v>
      </c>
      <c r="D12800" s="3" t="s">
        <v>103</v>
      </c>
      <c r="E12800" s="3" t="s">
        <v>1252</v>
      </c>
      <c r="F12800" s="3" t="s">
        <v>492</v>
      </c>
      <c r="G12800" s="3" t="s">
        <v>103</v>
      </c>
    </row>
    <row r="12801" spans="1:7" s="3" customFormat="1" x14ac:dyDescent="0.3">
      <c r="A12801" s="3" t="s">
        <v>28</v>
      </c>
      <c r="B12801" s="3" t="s">
        <v>641</v>
      </c>
      <c r="C12801" s="3">
        <v>7</v>
      </c>
      <c r="D12801" s="3" t="s">
        <v>906</v>
      </c>
      <c r="E12801" s="3" t="s">
        <v>829</v>
      </c>
      <c r="F12801" s="3" t="s">
        <v>798</v>
      </c>
      <c r="G12801" s="3" t="s">
        <v>103</v>
      </c>
    </row>
    <row r="12802" spans="1:7" s="3" customFormat="1" x14ac:dyDescent="0.3">
      <c r="A12802" s="3" t="s">
        <v>28</v>
      </c>
      <c r="B12802" s="3" t="s">
        <v>2769</v>
      </c>
      <c r="C12802" s="3">
        <v>3</v>
      </c>
      <c r="D12802" s="3" t="s">
        <v>103</v>
      </c>
      <c r="E12802" s="3" t="s">
        <v>857</v>
      </c>
      <c r="F12802" s="3" t="s">
        <v>858</v>
      </c>
      <c r="G12802" s="3" t="s">
        <v>103</v>
      </c>
    </row>
    <row r="12803" spans="1:7" x14ac:dyDescent="0.3">
      <c r="A12803" t="s">
        <v>28</v>
      </c>
      <c r="B12803" t="s">
        <v>308</v>
      </c>
      <c r="C12803">
        <v>259</v>
      </c>
      <c r="D12803" t="s">
        <v>480</v>
      </c>
      <c r="E12803" t="s">
        <v>525</v>
      </c>
      <c r="F12803" t="s">
        <v>1024</v>
      </c>
      <c r="G12803" t="s">
        <v>103</v>
      </c>
    </row>
    <row r="12804" spans="1:7" s="3" customFormat="1" x14ac:dyDescent="0.3">
      <c r="A12804" s="3" t="s">
        <v>27</v>
      </c>
      <c r="B12804" s="3" t="s">
        <v>638</v>
      </c>
      <c r="C12804" s="3">
        <v>1</v>
      </c>
      <c r="D12804" s="3" t="s">
        <v>103</v>
      </c>
      <c r="E12804" s="3" t="s">
        <v>103</v>
      </c>
      <c r="F12804" s="3" t="s">
        <v>192</v>
      </c>
      <c r="G12804" s="3" t="s">
        <v>103</v>
      </c>
    </row>
    <row r="12805" spans="1:7" s="3" customFormat="1" x14ac:dyDescent="0.3">
      <c r="A12805" s="3" t="s">
        <v>27</v>
      </c>
      <c r="B12805" s="3" t="s">
        <v>639</v>
      </c>
      <c r="C12805" s="3">
        <v>1</v>
      </c>
      <c r="D12805" s="3" t="s">
        <v>103</v>
      </c>
      <c r="E12805" s="3" t="s">
        <v>103</v>
      </c>
      <c r="F12805" s="3" t="s">
        <v>192</v>
      </c>
      <c r="G12805" s="3" t="s">
        <v>103</v>
      </c>
    </row>
    <row r="12806" spans="1:7" s="3" customFormat="1" x14ac:dyDescent="0.3">
      <c r="A12806" s="3" t="s">
        <v>27</v>
      </c>
      <c r="B12806" s="3" t="s">
        <v>640</v>
      </c>
      <c r="C12806" s="3">
        <v>1</v>
      </c>
      <c r="D12806" s="3" t="s">
        <v>103</v>
      </c>
      <c r="E12806" s="3" t="s">
        <v>103</v>
      </c>
      <c r="F12806" s="3" t="s">
        <v>192</v>
      </c>
      <c r="G12806" s="3" t="s">
        <v>103</v>
      </c>
    </row>
    <row r="12807" spans="1:7" s="3" customFormat="1" x14ac:dyDescent="0.3">
      <c r="A12807" s="3" t="s">
        <v>27</v>
      </c>
      <c r="B12807" s="3" t="s">
        <v>2765</v>
      </c>
      <c r="C12807" s="3">
        <v>1</v>
      </c>
      <c r="D12807" s="3" t="s">
        <v>103</v>
      </c>
      <c r="E12807" s="3" t="s">
        <v>192</v>
      </c>
      <c r="F12807" s="3" t="s">
        <v>103</v>
      </c>
      <c r="G12807" s="3" t="s">
        <v>103</v>
      </c>
    </row>
    <row r="12808" spans="1:7" s="3" customFormat="1" x14ac:dyDescent="0.3">
      <c r="A12808" s="3" t="s">
        <v>27</v>
      </c>
      <c r="B12808" s="3" t="s">
        <v>641</v>
      </c>
      <c r="C12808" s="3">
        <v>1</v>
      </c>
      <c r="D12808" s="3" t="s">
        <v>103</v>
      </c>
      <c r="E12808" s="3" t="s">
        <v>192</v>
      </c>
      <c r="F12808" s="3" t="s">
        <v>103</v>
      </c>
      <c r="G12808" s="3" t="s">
        <v>103</v>
      </c>
    </row>
    <row r="12809" spans="1:7" x14ac:dyDescent="0.3">
      <c r="A12809" t="s">
        <v>27</v>
      </c>
      <c r="B12809" t="s">
        <v>308</v>
      </c>
      <c r="C12809">
        <v>295</v>
      </c>
      <c r="D12809" t="s">
        <v>162</v>
      </c>
      <c r="E12809" t="s">
        <v>1327</v>
      </c>
      <c r="F12809" t="s">
        <v>1082</v>
      </c>
      <c r="G12809" t="s">
        <v>116</v>
      </c>
    </row>
    <row r="12810" spans="1:7" s="3" customFormat="1" x14ac:dyDescent="0.3">
      <c r="A12810" s="3" t="s">
        <v>41</v>
      </c>
      <c r="B12810" s="3" t="s">
        <v>638</v>
      </c>
      <c r="C12810" s="3">
        <v>20</v>
      </c>
      <c r="D12810" s="3" t="s">
        <v>492</v>
      </c>
      <c r="E12810" s="3" t="s">
        <v>382</v>
      </c>
      <c r="F12810" s="3" t="s">
        <v>435</v>
      </c>
      <c r="G12810" s="3" t="s">
        <v>103</v>
      </c>
    </row>
    <row r="12811" spans="1:7" x14ac:dyDescent="0.3">
      <c r="A12811" t="s">
        <v>41</v>
      </c>
      <c r="B12811" t="s">
        <v>639</v>
      </c>
      <c r="C12811">
        <v>42</v>
      </c>
      <c r="D12811" t="s">
        <v>927</v>
      </c>
      <c r="E12811" t="s">
        <v>564</v>
      </c>
      <c r="F12811" t="s">
        <v>453</v>
      </c>
      <c r="G12811" t="s">
        <v>329</v>
      </c>
    </row>
    <row r="12812" spans="1:7" x14ac:dyDescent="0.3">
      <c r="A12812" t="s">
        <v>41</v>
      </c>
      <c r="B12812" t="s">
        <v>640</v>
      </c>
      <c r="C12812">
        <v>44</v>
      </c>
      <c r="D12812" t="s">
        <v>150</v>
      </c>
      <c r="E12812" t="s">
        <v>920</v>
      </c>
      <c r="F12812" t="s">
        <v>1327</v>
      </c>
      <c r="G12812" t="s">
        <v>103</v>
      </c>
    </row>
    <row r="12813" spans="1:7" s="3" customFormat="1" x14ac:dyDescent="0.3">
      <c r="A12813" s="3" t="s">
        <v>41</v>
      </c>
      <c r="B12813" s="3" t="s">
        <v>2765</v>
      </c>
      <c r="C12813" s="3">
        <v>13</v>
      </c>
      <c r="D12813" s="3" t="s">
        <v>506</v>
      </c>
      <c r="E12813" s="3" t="s">
        <v>471</v>
      </c>
      <c r="F12813" s="3" t="s">
        <v>372</v>
      </c>
      <c r="G12813" s="3" t="s">
        <v>103</v>
      </c>
    </row>
    <row r="12814" spans="1:7" s="3" customFormat="1" x14ac:dyDescent="0.3">
      <c r="A12814" s="3" t="s">
        <v>41</v>
      </c>
      <c r="B12814" s="3" t="s">
        <v>641</v>
      </c>
      <c r="C12814" s="3">
        <v>28</v>
      </c>
      <c r="D12814" s="3" t="s">
        <v>562</v>
      </c>
      <c r="E12814" s="3" t="s">
        <v>935</v>
      </c>
      <c r="F12814" s="3" t="s">
        <v>129</v>
      </c>
      <c r="G12814" s="3" t="s">
        <v>103</v>
      </c>
    </row>
    <row r="12815" spans="1:7" s="3" customFormat="1" x14ac:dyDescent="0.3">
      <c r="A12815" s="3" t="s">
        <v>41</v>
      </c>
      <c r="B12815" s="3" t="s">
        <v>2769</v>
      </c>
      <c r="C12815" s="3">
        <v>12</v>
      </c>
      <c r="D12815" s="3" t="s">
        <v>552</v>
      </c>
      <c r="E12815" s="3" t="s">
        <v>474</v>
      </c>
      <c r="F12815" s="3" t="s">
        <v>690</v>
      </c>
      <c r="G12815" s="3" t="s">
        <v>103</v>
      </c>
    </row>
    <row r="12816" spans="1:7" x14ac:dyDescent="0.3">
      <c r="A12816" t="s">
        <v>41</v>
      </c>
      <c r="B12816" t="s">
        <v>308</v>
      </c>
      <c r="C12816">
        <v>1879</v>
      </c>
      <c r="D12816" t="s">
        <v>234</v>
      </c>
      <c r="E12816" t="s">
        <v>685</v>
      </c>
      <c r="F12816" t="s">
        <v>512</v>
      </c>
      <c r="G12816" t="s">
        <v>139</v>
      </c>
    </row>
    <row r="12818" spans="1:7" x14ac:dyDescent="0.3">
      <c r="A12818" t="s">
        <v>2883</v>
      </c>
    </row>
    <row r="12819" spans="1:7" x14ac:dyDescent="0.3">
      <c r="A12819" t="s">
        <v>36</v>
      </c>
      <c r="B12819" t="s">
        <v>2771</v>
      </c>
      <c r="C12819" t="s">
        <v>24</v>
      </c>
      <c r="D12819" t="s">
        <v>2874</v>
      </c>
      <c r="E12819" t="s">
        <v>59</v>
      </c>
      <c r="F12819" t="s">
        <v>58</v>
      </c>
      <c r="G12819" t="s">
        <v>181</v>
      </c>
    </row>
    <row r="12820" spans="1:7" s="3" customFormat="1" x14ac:dyDescent="0.3">
      <c r="A12820" s="3" t="s">
        <v>25</v>
      </c>
      <c r="B12820" s="3" t="s">
        <v>2772</v>
      </c>
      <c r="C12820" s="3">
        <v>1</v>
      </c>
      <c r="D12820" s="3" t="s">
        <v>192</v>
      </c>
      <c r="E12820" s="3" t="s">
        <v>103</v>
      </c>
      <c r="F12820" s="3" t="s">
        <v>103</v>
      </c>
      <c r="G12820" s="3" t="s">
        <v>103</v>
      </c>
    </row>
    <row r="12821" spans="1:7" s="3" customFormat="1" x14ac:dyDescent="0.3">
      <c r="A12821" s="3" t="s">
        <v>25</v>
      </c>
      <c r="B12821" s="3" t="s">
        <v>2773</v>
      </c>
      <c r="C12821" s="3">
        <v>3</v>
      </c>
      <c r="D12821" s="3" t="s">
        <v>103</v>
      </c>
      <c r="E12821" s="3" t="s">
        <v>192</v>
      </c>
      <c r="F12821" s="3" t="s">
        <v>103</v>
      </c>
      <c r="G12821" s="3" t="s">
        <v>103</v>
      </c>
    </row>
    <row r="12822" spans="1:7" s="3" customFormat="1" x14ac:dyDescent="0.3">
      <c r="A12822" s="3" t="s">
        <v>25</v>
      </c>
      <c r="B12822" s="3" t="s">
        <v>2774</v>
      </c>
      <c r="C12822" s="3">
        <v>9</v>
      </c>
      <c r="D12822" s="3" t="s">
        <v>469</v>
      </c>
      <c r="E12822" s="3" t="s">
        <v>704</v>
      </c>
      <c r="F12822" s="3" t="s">
        <v>829</v>
      </c>
      <c r="G12822" s="3" t="s">
        <v>103</v>
      </c>
    </row>
    <row r="12823" spans="1:7" s="3" customFormat="1" x14ac:dyDescent="0.3">
      <c r="A12823" s="3" t="s">
        <v>25</v>
      </c>
      <c r="B12823" s="3" t="s">
        <v>2775</v>
      </c>
      <c r="C12823" s="3">
        <v>21</v>
      </c>
      <c r="D12823" s="3" t="s">
        <v>162</v>
      </c>
      <c r="E12823" s="3" t="s">
        <v>1420</v>
      </c>
      <c r="F12823" s="3" t="s">
        <v>680</v>
      </c>
      <c r="G12823" s="3" t="s">
        <v>103</v>
      </c>
    </row>
    <row r="12824" spans="1:7" x14ac:dyDescent="0.3">
      <c r="A12824" t="s">
        <v>25</v>
      </c>
      <c r="B12824" t="s">
        <v>2776</v>
      </c>
      <c r="C12824">
        <v>51</v>
      </c>
      <c r="D12824" t="s">
        <v>126</v>
      </c>
      <c r="E12824" t="s">
        <v>793</v>
      </c>
      <c r="F12824" t="s">
        <v>1014</v>
      </c>
      <c r="G12824" t="s">
        <v>103</v>
      </c>
    </row>
    <row r="12825" spans="1:7" x14ac:dyDescent="0.3">
      <c r="A12825" t="s">
        <v>25</v>
      </c>
      <c r="B12825" t="s">
        <v>2777</v>
      </c>
      <c r="C12825">
        <v>151</v>
      </c>
      <c r="D12825" t="s">
        <v>269</v>
      </c>
      <c r="E12825" t="s">
        <v>1047</v>
      </c>
      <c r="F12825" t="s">
        <v>732</v>
      </c>
      <c r="G12825" t="s">
        <v>341</v>
      </c>
    </row>
    <row r="12826" spans="1:7" x14ac:dyDescent="0.3">
      <c r="A12826" t="s">
        <v>25</v>
      </c>
      <c r="B12826" t="s">
        <v>2778</v>
      </c>
      <c r="C12826">
        <v>174</v>
      </c>
      <c r="D12826" t="s">
        <v>727</v>
      </c>
      <c r="E12826" t="s">
        <v>2103</v>
      </c>
      <c r="F12826" t="s">
        <v>486</v>
      </c>
      <c r="G12826" t="s">
        <v>103</v>
      </c>
    </row>
    <row r="12827" spans="1:7" s="3" customFormat="1" x14ac:dyDescent="0.3">
      <c r="A12827" s="3" t="s">
        <v>25</v>
      </c>
      <c r="B12827" s="3" t="s">
        <v>223</v>
      </c>
      <c r="C12827" s="3">
        <v>2</v>
      </c>
      <c r="D12827" s="3" t="s">
        <v>103</v>
      </c>
      <c r="E12827" s="3" t="s">
        <v>192</v>
      </c>
      <c r="F12827" s="3" t="s">
        <v>103</v>
      </c>
      <c r="G12827" s="3" t="s">
        <v>103</v>
      </c>
    </row>
    <row r="12828" spans="1:7" x14ac:dyDescent="0.3">
      <c r="A12828" t="s">
        <v>25</v>
      </c>
      <c r="B12828" t="s">
        <v>308</v>
      </c>
      <c r="C12828">
        <v>2</v>
      </c>
      <c r="D12828" t="s">
        <v>103</v>
      </c>
      <c r="E12828" t="s">
        <v>1199</v>
      </c>
      <c r="F12828" t="s">
        <v>1284</v>
      </c>
      <c r="G12828" t="s">
        <v>103</v>
      </c>
    </row>
    <row r="12829" spans="1:7" s="3" customFormat="1" x14ac:dyDescent="0.3">
      <c r="A12829" s="3" t="s">
        <v>26</v>
      </c>
      <c r="B12829" s="3" t="s">
        <v>2772</v>
      </c>
      <c r="C12829" s="3">
        <v>3</v>
      </c>
      <c r="D12829" s="3" t="s">
        <v>103</v>
      </c>
      <c r="E12829" s="3" t="s">
        <v>1199</v>
      </c>
      <c r="F12829" s="3" t="s">
        <v>1284</v>
      </c>
      <c r="G12829" s="3" t="s">
        <v>103</v>
      </c>
    </row>
    <row r="12830" spans="1:7" s="3" customFormat="1" x14ac:dyDescent="0.3">
      <c r="A12830" s="3" t="s">
        <v>26</v>
      </c>
      <c r="B12830" s="3" t="s">
        <v>2773</v>
      </c>
      <c r="C12830" s="3">
        <v>8</v>
      </c>
      <c r="D12830" s="3" t="s">
        <v>665</v>
      </c>
      <c r="E12830" s="3" t="s">
        <v>702</v>
      </c>
      <c r="F12830" s="3" t="s">
        <v>484</v>
      </c>
      <c r="G12830" s="3" t="s">
        <v>103</v>
      </c>
    </row>
    <row r="12831" spans="1:7" s="3" customFormat="1" x14ac:dyDescent="0.3">
      <c r="A12831" s="3" t="s">
        <v>26</v>
      </c>
      <c r="B12831" s="3" t="s">
        <v>2774</v>
      </c>
      <c r="C12831" s="3">
        <v>22</v>
      </c>
      <c r="D12831" s="3" t="s">
        <v>547</v>
      </c>
      <c r="E12831" s="3" t="s">
        <v>567</v>
      </c>
      <c r="F12831" s="3" t="s">
        <v>404</v>
      </c>
      <c r="G12831" s="3" t="s">
        <v>103</v>
      </c>
    </row>
    <row r="12832" spans="1:7" x14ac:dyDescent="0.3">
      <c r="A12832" t="s">
        <v>26</v>
      </c>
      <c r="B12832" t="s">
        <v>2775</v>
      </c>
      <c r="C12832">
        <v>33</v>
      </c>
      <c r="D12832" t="s">
        <v>556</v>
      </c>
      <c r="E12832" t="s">
        <v>431</v>
      </c>
      <c r="F12832" t="s">
        <v>486</v>
      </c>
      <c r="G12832" t="s">
        <v>103</v>
      </c>
    </row>
    <row r="12833" spans="1:7" x14ac:dyDescent="0.3">
      <c r="A12833" t="s">
        <v>26</v>
      </c>
      <c r="B12833" t="s">
        <v>2776</v>
      </c>
      <c r="C12833">
        <v>86</v>
      </c>
      <c r="D12833" t="s">
        <v>509</v>
      </c>
      <c r="E12833" t="s">
        <v>453</v>
      </c>
      <c r="F12833" t="s">
        <v>727</v>
      </c>
      <c r="G12833" t="s">
        <v>103</v>
      </c>
    </row>
    <row r="12834" spans="1:7" x14ac:dyDescent="0.3">
      <c r="A12834" t="s">
        <v>26</v>
      </c>
      <c r="B12834" t="s">
        <v>2777</v>
      </c>
      <c r="C12834">
        <v>192</v>
      </c>
      <c r="D12834" t="s">
        <v>421</v>
      </c>
      <c r="E12834" t="s">
        <v>510</v>
      </c>
      <c r="F12834" t="s">
        <v>461</v>
      </c>
      <c r="G12834" t="s">
        <v>97</v>
      </c>
    </row>
    <row r="12835" spans="1:7" x14ac:dyDescent="0.3">
      <c r="A12835" t="s">
        <v>26</v>
      </c>
      <c r="B12835" t="s">
        <v>2778</v>
      </c>
      <c r="C12835">
        <v>126</v>
      </c>
      <c r="D12835" t="s">
        <v>667</v>
      </c>
      <c r="E12835" t="s">
        <v>1228</v>
      </c>
      <c r="F12835" t="s">
        <v>815</v>
      </c>
      <c r="G12835" t="s">
        <v>103</v>
      </c>
    </row>
    <row r="12836" spans="1:7" x14ac:dyDescent="0.3">
      <c r="A12836" t="s">
        <v>26</v>
      </c>
      <c r="B12836" t="s">
        <v>308</v>
      </c>
      <c r="C12836">
        <v>7</v>
      </c>
      <c r="D12836" t="s">
        <v>727</v>
      </c>
      <c r="E12836" t="s">
        <v>384</v>
      </c>
      <c r="F12836" t="s">
        <v>1038</v>
      </c>
      <c r="G12836" t="s">
        <v>103</v>
      </c>
    </row>
    <row r="12837" spans="1:7" s="3" customFormat="1" x14ac:dyDescent="0.3">
      <c r="A12837" s="3" t="s">
        <v>29</v>
      </c>
      <c r="B12837" s="3" t="s">
        <v>2772</v>
      </c>
      <c r="C12837" s="3">
        <v>2</v>
      </c>
      <c r="D12837" s="3" t="s">
        <v>366</v>
      </c>
      <c r="E12837" s="3" t="s">
        <v>1197</v>
      </c>
      <c r="F12837" s="3" t="s">
        <v>103</v>
      </c>
      <c r="G12837" s="3" t="s">
        <v>103</v>
      </c>
    </row>
    <row r="12838" spans="1:7" s="3" customFormat="1" x14ac:dyDescent="0.3">
      <c r="A12838" s="3" t="s">
        <v>29</v>
      </c>
      <c r="B12838" s="3" t="s">
        <v>2773</v>
      </c>
      <c r="C12838" s="3">
        <v>8</v>
      </c>
      <c r="D12838" s="3" t="s">
        <v>1230</v>
      </c>
      <c r="E12838" s="3" t="s">
        <v>505</v>
      </c>
      <c r="F12838" s="3" t="s">
        <v>469</v>
      </c>
      <c r="G12838" s="3" t="s">
        <v>103</v>
      </c>
    </row>
    <row r="12839" spans="1:7" s="3" customFormat="1" x14ac:dyDescent="0.3">
      <c r="A12839" s="3" t="s">
        <v>29</v>
      </c>
      <c r="B12839" s="3" t="s">
        <v>2774</v>
      </c>
      <c r="C12839" s="3">
        <v>21</v>
      </c>
      <c r="D12839" s="3" t="s">
        <v>743</v>
      </c>
      <c r="E12839" s="3" t="s">
        <v>496</v>
      </c>
      <c r="F12839" s="3" t="s">
        <v>666</v>
      </c>
      <c r="G12839" s="3" t="s">
        <v>205</v>
      </c>
    </row>
    <row r="12840" spans="1:7" x14ac:dyDescent="0.3">
      <c r="A12840" t="s">
        <v>29</v>
      </c>
      <c r="B12840" t="s">
        <v>2775</v>
      </c>
      <c r="C12840">
        <v>31</v>
      </c>
      <c r="D12840" t="s">
        <v>138</v>
      </c>
      <c r="E12840" t="s">
        <v>121</v>
      </c>
      <c r="F12840" t="s">
        <v>1200</v>
      </c>
      <c r="G12840" t="s">
        <v>103</v>
      </c>
    </row>
    <row r="12841" spans="1:7" x14ac:dyDescent="0.3">
      <c r="A12841" t="s">
        <v>29</v>
      </c>
      <c r="B12841" t="s">
        <v>2776</v>
      </c>
      <c r="C12841">
        <v>65</v>
      </c>
      <c r="D12841" t="s">
        <v>457</v>
      </c>
      <c r="E12841" t="s">
        <v>512</v>
      </c>
      <c r="F12841" t="s">
        <v>1204</v>
      </c>
      <c r="G12841" t="s">
        <v>103</v>
      </c>
    </row>
    <row r="12842" spans="1:7" x14ac:dyDescent="0.3">
      <c r="A12842" t="s">
        <v>29</v>
      </c>
      <c r="B12842" t="s">
        <v>2777</v>
      </c>
      <c r="C12842">
        <v>219</v>
      </c>
      <c r="D12842" t="s">
        <v>935</v>
      </c>
      <c r="E12842" t="s">
        <v>134</v>
      </c>
      <c r="F12842" t="s">
        <v>435</v>
      </c>
      <c r="G12842" t="s">
        <v>103</v>
      </c>
    </row>
    <row r="12843" spans="1:7" x14ac:dyDescent="0.3">
      <c r="A12843" t="s">
        <v>29</v>
      </c>
      <c r="B12843" t="s">
        <v>2778</v>
      </c>
      <c r="C12843">
        <v>183</v>
      </c>
      <c r="D12843" t="s">
        <v>698</v>
      </c>
      <c r="E12843" t="s">
        <v>683</v>
      </c>
      <c r="F12843" t="s">
        <v>545</v>
      </c>
      <c r="G12843" t="s">
        <v>118</v>
      </c>
    </row>
    <row r="12844" spans="1:7" x14ac:dyDescent="0.3">
      <c r="A12844" t="s">
        <v>29</v>
      </c>
      <c r="B12844" t="s">
        <v>308</v>
      </c>
      <c r="C12844">
        <v>1</v>
      </c>
      <c r="D12844" t="s">
        <v>103</v>
      </c>
      <c r="E12844" t="s">
        <v>103</v>
      </c>
      <c r="F12844" t="s">
        <v>192</v>
      </c>
      <c r="G12844" t="s">
        <v>103</v>
      </c>
    </row>
    <row r="12845" spans="1:7" x14ac:dyDescent="0.3">
      <c r="A12845" t="s">
        <v>28</v>
      </c>
      <c r="B12845" t="s">
        <v>2772</v>
      </c>
      <c r="C12845">
        <v>39</v>
      </c>
      <c r="D12845" t="s">
        <v>546</v>
      </c>
      <c r="E12845" t="s">
        <v>402</v>
      </c>
      <c r="F12845" t="s">
        <v>825</v>
      </c>
      <c r="G12845" t="s">
        <v>103</v>
      </c>
    </row>
    <row r="12846" spans="1:7" x14ac:dyDescent="0.3">
      <c r="A12846" t="s">
        <v>28</v>
      </c>
      <c r="B12846" t="s">
        <v>2773</v>
      </c>
      <c r="C12846">
        <v>57</v>
      </c>
      <c r="D12846" t="s">
        <v>538</v>
      </c>
      <c r="E12846" t="s">
        <v>1229</v>
      </c>
      <c r="F12846" t="s">
        <v>570</v>
      </c>
      <c r="G12846" t="s">
        <v>103</v>
      </c>
    </row>
    <row r="12847" spans="1:7" s="3" customFormat="1" x14ac:dyDescent="0.3">
      <c r="A12847" s="3" t="s">
        <v>28</v>
      </c>
      <c r="B12847" s="3" t="s">
        <v>2774</v>
      </c>
      <c r="C12847" s="3">
        <v>30</v>
      </c>
      <c r="D12847" s="3" t="s">
        <v>935</v>
      </c>
      <c r="E12847" s="3" t="s">
        <v>370</v>
      </c>
      <c r="F12847" s="3" t="s">
        <v>1093</v>
      </c>
      <c r="G12847" s="3" t="s">
        <v>103</v>
      </c>
    </row>
    <row r="12848" spans="1:7" x14ac:dyDescent="0.3">
      <c r="A12848" t="s">
        <v>28</v>
      </c>
      <c r="B12848" t="s">
        <v>2775</v>
      </c>
      <c r="C12848">
        <v>41</v>
      </c>
      <c r="D12848" t="s">
        <v>583</v>
      </c>
      <c r="E12848" t="s">
        <v>1242</v>
      </c>
      <c r="F12848" t="s">
        <v>570</v>
      </c>
      <c r="G12848" t="s">
        <v>103</v>
      </c>
    </row>
    <row r="12849" spans="1:7" x14ac:dyDescent="0.3">
      <c r="A12849" t="s">
        <v>28</v>
      </c>
      <c r="B12849" t="s">
        <v>2776</v>
      </c>
      <c r="C12849">
        <v>45</v>
      </c>
      <c r="D12849" t="s">
        <v>167</v>
      </c>
      <c r="E12849" t="s">
        <v>621</v>
      </c>
      <c r="F12849" t="s">
        <v>261</v>
      </c>
      <c r="G12849" t="s">
        <v>103</v>
      </c>
    </row>
    <row r="12850" spans="1:7" x14ac:dyDescent="0.3">
      <c r="A12850" t="s">
        <v>28</v>
      </c>
      <c r="B12850" t="s">
        <v>2777</v>
      </c>
      <c r="C12850">
        <v>55</v>
      </c>
      <c r="D12850" t="s">
        <v>544</v>
      </c>
      <c r="E12850" t="s">
        <v>362</v>
      </c>
      <c r="F12850" t="s">
        <v>396</v>
      </c>
      <c r="G12850" t="s">
        <v>103</v>
      </c>
    </row>
    <row r="12851" spans="1:7" x14ac:dyDescent="0.3">
      <c r="A12851" t="s">
        <v>28</v>
      </c>
      <c r="B12851" t="s">
        <v>2778</v>
      </c>
      <c r="C12851">
        <v>44</v>
      </c>
      <c r="D12851" t="s">
        <v>144</v>
      </c>
      <c r="E12851" t="s">
        <v>1011</v>
      </c>
      <c r="F12851" t="s">
        <v>804</v>
      </c>
      <c r="G12851" t="s">
        <v>103</v>
      </c>
    </row>
    <row r="12852" spans="1:7" x14ac:dyDescent="0.3">
      <c r="A12852" t="s">
        <v>28</v>
      </c>
      <c r="B12852" t="s">
        <v>308</v>
      </c>
      <c r="C12852">
        <v>6</v>
      </c>
      <c r="D12852" t="s">
        <v>103</v>
      </c>
      <c r="E12852" t="s">
        <v>620</v>
      </c>
      <c r="F12852" t="s">
        <v>1057</v>
      </c>
      <c r="G12852" t="s">
        <v>103</v>
      </c>
    </row>
    <row r="12853" spans="1:7" s="3" customFormat="1" x14ac:dyDescent="0.3">
      <c r="A12853" s="3" t="s">
        <v>27</v>
      </c>
      <c r="B12853" s="3" t="s">
        <v>2772</v>
      </c>
      <c r="C12853" s="3">
        <v>10</v>
      </c>
      <c r="D12853" s="3" t="s">
        <v>356</v>
      </c>
      <c r="E12853" s="3" t="s">
        <v>644</v>
      </c>
      <c r="F12853" s="3" t="s">
        <v>743</v>
      </c>
      <c r="G12853" s="3" t="s">
        <v>103</v>
      </c>
    </row>
    <row r="12854" spans="1:7" s="3" customFormat="1" x14ac:dyDescent="0.3">
      <c r="A12854" s="3" t="s">
        <v>27</v>
      </c>
      <c r="B12854" s="3" t="s">
        <v>2773</v>
      </c>
      <c r="C12854" s="3">
        <v>9</v>
      </c>
      <c r="D12854" s="3" t="s">
        <v>862</v>
      </c>
      <c r="E12854" s="3" t="s">
        <v>103</v>
      </c>
      <c r="F12854" s="3" t="s">
        <v>531</v>
      </c>
      <c r="G12854" s="3" t="s">
        <v>103</v>
      </c>
    </row>
    <row r="12855" spans="1:7" s="3" customFormat="1" x14ac:dyDescent="0.3">
      <c r="A12855" s="3" t="s">
        <v>27</v>
      </c>
      <c r="B12855" s="3" t="s">
        <v>2774</v>
      </c>
      <c r="C12855" s="3">
        <v>18</v>
      </c>
      <c r="D12855" s="3" t="s">
        <v>437</v>
      </c>
      <c r="E12855" s="3" t="s">
        <v>474</v>
      </c>
      <c r="F12855" s="3" t="s">
        <v>201</v>
      </c>
      <c r="G12855" s="3" t="s">
        <v>103</v>
      </c>
    </row>
    <row r="12856" spans="1:7" x14ac:dyDescent="0.3">
      <c r="A12856" t="s">
        <v>27</v>
      </c>
      <c r="B12856" t="s">
        <v>2775</v>
      </c>
      <c r="C12856">
        <v>33</v>
      </c>
      <c r="D12856" t="s">
        <v>387</v>
      </c>
      <c r="E12856" t="s">
        <v>1422</v>
      </c>
      <c r="F12856" t="s">
        <v>169</v>
      </c>
      <c r="G12856" t="s">
        <v>103</v>
      </c>
    </row>
    <row r="12857" spans="1:7" x14ac:dyDescent="0.3">
      <c r="A12857" t="s">
        <v>27</v>
      </c>
      <c r="B12857" t="s">
        <v>2776</v>
      </c>
      <c r="C12857">
        <v>65</v>
      </c>
      <c r="D12857" t="s">
        <v>1024</v>
      </c>
      <c r="E12857" t="s">
        <v>510</v>
      </c>
      <c r="F12857" t="s">
        <v>228</v>
      </c>
      <c r="G12857" t="s">
        <v>103</v>
      </c>
    </row>
    <row r="12858" spans="1:7" x14ac:dyDescent="0.3">
      <c r="A12858" t="s">
        <v>27</v>
      </c>
      <c r="B12858" t="s">
        <v>2777</v>
      </c>
      <c r="C12858">
        <v>78</v>
      </c>
      <c r="D12858" t="s">
        <v>993</v>
      </c>
      <c r="E12858" t="s">
        <v>138</v>
      </c>
      <c r="F12858" t="s">
        <v>273</v>
      </c>
      <c r="G12858" t="s">
        <v>194</v>
      </c>
    </row>
    <row r="12859" spans="1:7" x14ac:dyDescent="0.3">
      <c r="A12859" t="s">
        <v>27</v>
      </c>
      <c r="B12859" t="s">
        <v>2778</v>
      </c>
      <c r="C12859">
        <v>70</v>
      </c>
      <c r="D12859" t="s">
        <v>703</v>
      </c>
      <c r="E12859" t="s">
        <v>551</v>
      </c>
      <c r="F12859" t="s">
        <v>164</v>
      </c>
      <c r="G12859" t="s">
        <v>103</v>
      </c>
    </row>
    <row r="12860" spans="1:7" s="3" customFormat="1" x14ac:dyDescent="0.3">
      <c r="A12860" s="3" t="s">
        <v>27</v>
      </c>
      <c r="B12860" s="3" t="s">
        <v>223</v>
      </c>
      <c r="C12860" s="3">
        <v>2</v>
      </c>
      <c r="D12860" s="3" t="s">
        <v>391</v>
      </c>
      <c r="E12860" s="3" t="s">
        <v>103</v>
      </c>
      <c r="F12860" s="3" t="s">
        <v>392</v>
      </c>
      <c r="G12860" s="3" t="s">
        <v>103</v>
      </c>
    </row>
    <row r="12861" spans="1:7" x14ac:dyDescent="0.3">
      <c r="A12861" t="s">
        <v>27</v>
      </c>
      <c r="B12861" t="s">
        <v>308</v>
      </c>
      <c r="C12861">
        <v>15</v>
      </c>
      <c r="D12861" t="s">
        <v>1325</v>
      </c>
      <c r="E12861" t="s">
        <v>607</v>
      </c>
      <c r="F12861" t="s">
        <v>727</v>
      </c>
      <c r="G12861" t="s">
        <v>103</v>
      </c>
    </row>
    <row r="12862" spans="1:7" x14ac:dyDescent="0.3">
      <c r="A12862" t="s">
        <v>41</v>
      </c>
      <c r="B12862" t="s">
        <v>2772</v>
      </c>
      <c r="C12862">
        <v>55</v>
      </c>
      <c r="D12862" t="s">
        <v>34</v>
      </c>
      <c r="E12862" t="s">
        <v>1050</v>
      </c>
      <c r="F12862" t="s">
        <v>756</v>
      </c>
      <c r="G12862" t="s">
        <v>103</v>
      </c>
    </row>
    <row r="12863" spans="1:7" x14ac:dyDescent="0.3">
      <c r="A12863" t="s">
        <v>41</v>
      </c>
      <c r="B12863" t="s">
        <v>2773</v>
      </c>
      <c r="C12863">
        <v>85</v>
      </c>
      <c r="D12863" t="s">
        <v>401</v>
      </c>
      <c r="E12863" t="s">
        <v>138</v>
      </c>
      <c r="F12863" t="s">
        <v>470</v>
      </c>
      <c r="G12863" t="s">
        <v>103</v>
      </c>
    </row>
    <row r="12864" spans="1:7" x14ac:dyDescent="0.3">
      <c r="A12864" t="s">
        <v>41</v>
      </c>
      <c r="B12864" t="s">
        <v>2774</v>
      </c>
      <c r="C12864">
        <v>100</v>
      </c>
      <c r="D12864" t="s">
        <v>702</v>
      </c>
      <c r="E12864" t="s">
        <v>134</v>
      </c>
      <c r="F12864" t="s">
        <v>583</v>
      </c>
      <c r="G12864" t="s">
        <v>438</v>
      </c>
    </row>
    <row r="12865" spans="1:7" x14ac:dyDescent="0.3">
      <c r="A12865" t="s">
        <v>41</v>
      </c>
      <c r="B12865" t="s">
        <v>2775</v>
      </c>
      <c r="C12865">
        <v>159</v>
      </c>
      <c r="D12865" t="s">
        <v>129</v>
      </c>
      <c r="E12865" t="s">
        <v>1214</v>
      </c>
      <c r="F12865" t="s">
        <v>825</v>
      </c>
      <c r="G12865" t="s">
        <v>103</v>
      </c>
    </row>
    <row r="12866" spans="1:7" x14ac:dyDescent="0.3">
      <c r="A12866" t="s">
        <v>41</v>
      </c>
      <c r="B12866" t="s">
        <v>2776</v>
      </c>
      <c r="C12866">
        <v>312</v>
      </c>
      <c r="D12866" t="s">
        <v>230</v>
      </c>
      <c r="E12866" t="s">
        <v>1049</v>
      </c>
      <c r="F12866" t="s">
        <v>250</v>
      </c>
      <c r="G12866" t="s">
        <v>103</v>
      </c>
    </row>
    <row r="12867" spans="1:7" x14ac:dyDescent="0.3">
      <c r="A12867" t="s">
        <v>41</v>
      </c>
      <c r="B12867" t="s">
        <v>2777</v>
      </c>
      <c r="C12867">
        <v>695</v>
      </c>
      <c r="D12867" t="s">
        <v>230</v>
      </c>
      <c r="E12867" t="s">
        <v>1396</v>
      </c>
      <c r="F12867" t="s">
        <v>556</v>
      </c>
      <c r="G12867" t="s">
        <v>97</v>
      </c>
    </row>
    <row r="12868" spans="1:7" x14ac:dyDescent="0.3">
      <c r="A12868" t="s">
        <v>41</v>
      </c>
      <c r="B12868" t="s">
        <v>2778</v>
      </c>
      <c r="C12868">
        <v>597</v>
      </c>
      <c r="D12868" t="s">
        <v>261</v>
      </c>
      <c r="E12868" t="s">
        <v>677</v>
      </c>
      <c r="F12868" t="s">
        <v>1223</v>
      </c>
      <c r="G12868" t="s">
        <v>468</v>
      </c>
    </row>
    <row r="12869" spans="1:7" s="3" customFormat="1" x14ac:dyDescent="0.3">
      <c r="A12869" s="3" t="s">
        <v>41</v>
      </c>
      <c r="B12869" s="3" t="s">
        <v>223</v>
      </c>
      <c r="C12869" s="3">
        <v>4</v>
      </c>
      <c r="D12869" s="3" t="s">
        <v>146</v>
      </c>
      <c r="E12869" s="3" t="s">
        <v>1171</v>
      </c>
      <c r="F12869" s="3" t="s">
        <v>152</v>
      </c>
      <c r="G12869" s="3" t="s">
        <v>103</v>
      </c>
    </row>
    <row r="12870" spans="1:7" x14ac:dyDescent="0.3">
      <c r="A12870" t="s">
        <v>41</v>
      </c>
      <c r="B12870" t="s">
        <v>308</v>
      </c>
      <c r="C12870">
        <v>31</v>
      </c>
      <c r="D12870" t="s">
        <v>1090</v>
      </c>
      <c r="E12870" t="s">
        <v>1200</v>
      </c>
      <c r="F12870" t="s">
        <v>567</v>
      </c>
      <c r="G12870" t="s">
        <v>103</v>
      </c>
    </row>
    <row r="12872" spans="1:7" x14ac:dyDescent="0.3">
      <c r="A12872" t="s">
        <v>2884</v>
      </c>
    </row>
    <row r="12873" spans="1:7" x14ac:dyDescent="0.3">
      <c r="A12873" t="s">
        <v>36</v>
      </c>
      <c r="B12873" t="s">
        <v>197</v>
      </c>
      <c r="C12873" t="s">
        <v>24</v>
      </c>
      <c r="D12873" t="s">
        <v>58</v>
      </c>
      <c r="E12873" t="s">
        <v>2874</v>
      </c>
      <c r="F12873" t="s">
        <v>59</v>
      </c>
      <c r="G12873" t="s">
        <v>181</v>
      </c>
    </row>
    <row r="12874" spans="1:7" x14ac:dyDescent="0.3">
      <c r="A12874" t="s">
        <v>25</v>
      </c>
      <c r="B12874" t="s">
        <v>198</v>
      </c>
      <c r="C12874">
        <v>104</v>
      </c>
      <c r="D12874" t="s">
        <v>553</v>
      </c>
      <c r="E12874" t="s">
        <v>566</v>
      </c>
      <c r="F12874" t="s">
        <v>426</v>
      </c>
      <c r="G12874" t="s">
        <v>103</v>
      </c>
    </row>
    <row r="12875" spans="1:7" x14ac:dyDescent="0.3">
      <c r="A12875" t="s">
        <v>25</v>
      </c>
      <c r="B12875" t="s">
        <v>199</v>
      </c>
      <c r="C12875">
        <v>310</v>
      </c>
      <c r="D12875" t="s">
        <v>555</v>
      </c>
      <c r="E12875" t="s">
        <v>516</v>
      </c>
      <c r="F12875" t="s">
        <v>1175</v>
      </c>
      <c r="G12875" t="s">
        <v>98</v>
      </c>
    </row>
    <row r="12876" spans="1:7" x14ac:dyDescent="0.3">
      <c r="A12876" t="s">
        <v>26</v>
      </c>
      <c r="B12876" t="s">
        <v>198</v>
      </c>
      <c r="C12876">
        <v>41</v>
      </c>
      <c r="D12876" t="s">
        <v>301</v>
      </c>
      <c r="E12876" t="s">
        <v>456</v>
      </c>
      <c r="F12876" t="s">
        <v>1015</v>
      </c>
      <c r="G12876" t="s">
        <v>103</v>
      </c>
    </row>
    <row r="12877" spans="1:7" x14ac:dyDescent="0.3">
      <c r="A12877" t="s">
        <v>26</v>
      </c>
      <c r="B12877" t="s">
        <v>199</v>
      </c>
      <c r="C12877">
        <v>436</v>
      </c>
      <c r="D12877" t="s">
        <v>688</v>
      </c>
      <c r="E12877" t="s">
        <v>1196</v>
      </c>
      <c r="F12877" t="s">
        <v>1202</v>
      </c>
      <c r="G12877" t="s">
        <v>66</v>
      </c>
    </row>
    <row r="12878" spans="1:7" x14ac:dyDescent="0.3">
      <c r="A12878" t="s">
        <v>29</v>
      </c>
      <c r="B12878" t="s">
        <v>198</v>
      </c>
      <c r="C12878">
        <v>170</v>
      </c>
      <c r="D12878" t="s">
        <v>504</v>
      </c>
      <c r="E12878" t="s">
        <v>789</v>
      </c>
      <c r="F12878" t="s">
        <v>1231</v>
      </c>
      <c r="G12878" t="s">
        <v>118</v>
      </c>
    </row>
    <row r="12879" spans="1:7" x14ac:dyDescent="0.3">
      <c r="A12879" t="s">
        <v>29</v>
      </c>
      <c r="B12879" t="s">
        <v>199</v>
      </c>
      <c r="C12879">
        <v>360</v>
      </c>
      <c r="D12879" t="s">
        <v>380</v>
      </c>
      <c r="E12879" t="s">
        <v>138</v>
      </c>
      <c r="F12879" t="s">
        <v>1038</v>
      </c>
      <c r="G12879" t="s">
        <v>120</v>
      </c>
    </row>
    <row r="12880" spans="1:7" x14ac:dyDescent="0.3">
      <c r="A12880" t="s">
        <v>28</v>
      </c>
      <c r="B12880" t="s">
        <v>198</v>
      </c>
      <c r="C12880">
        <v>70</v>
      </c>
      <c r="D12880" t="s">
        <v>643</v>
      </c>
      <c r="E12880" t="s">
        <v>579</v>
      </c>
      <c r="F12880" t="s">
        <v>399</v>
      </c>
      <c r="G12880" t="s">
        <v>103</v>
      </c>
    </row>
    <row r="12881" spans="1:14" x14ac:dyDescent="0.3">
      <c r="A12881" t="s">
        <v>28</v>
      </c>
      <c r="B12881" t="s">
        <v>199</v>
      </c>
      <c r="C12881">
        <v>247</v>
      </c>
      <c r="D12881" t="s">
        <v>261</v>
      </c>
      <c r="E12881" t="s">
        <v>236</v>
      </c>
      <c r="F12881" t="s">
        <v>676</v>
      </c>
      <c r="G12881" t="s">
        <v>103</v>
      </c>
    </row>
    <row r="12882" spans="1:14" x14ac:dyDescent="0.3">
      <c r="A12882" t="s">
        <v>27</v>
      </c>
      <c r="B12882" t="s">
        <v>198</v>
      </c>
      <c r="C12882">
        <v>136</v>
      </c>
      <c r="D12882" t="s">
        <v>175</v>
      </c>
      <c r="E12882" t="s">
        <v>1327</v>
      </c>
      <c r="F12882" t="s">
        <v>920</v>
      </c>
      <c r="G12882" t="s">
        <v>103</v>
      </c>
    </row>
    <row r="12883" spans="1:14" x14ac:dyDescent="0.3">
      <c r="A12883" t="s">
        <v>27</v>
      </c>
      <c r="B12883" t="s">
        <v>199</v>
      </c>
      <c r="C12883">
        <v>164</v>
      </c>
      <c r="D12883" t="s">
        <v>524</v>
      </c>
      <c r="E12883" t="s">
        <v>1034</v>
      </c>
      <c r="F12883" t="s">
        <v>1226</v>
      </c>
      <c r="G12883" t="s">
        <v>120</v>
      </c>
    </row>
    <row r="12884" spans="1:14" x14ac:dyDescent="0.3">
      <c r="A12884" t="s">
        <v>41</v>
      </c>
      <c r="B12884" t="s">
        <v>198</v>
      </c>
      <c r="C12884">
        <v>521</v>
      </c>
      <c r="D12884" t="s">
        <v>52</v>
      </c>
      <c r="E12884" t="s">
        <v>691</v>
      </c>
      <c r="F12884" t="s">
        <v>930</v>
      </c>
      <c r="G12884" t="s">
        <v>239</v>
      </c>
    </row>
    <row r="12885" spans="1:14" x14ac:dyDescent="0.3">
      <c r="A12885" t="s">
        <v>41</v>
      </c>
      <c r="B12885" t="s">
        <v>199</v>
      </c>
      <c r="C12885">
        <v>1517</v>
      </c>
      <c r="D12885" t="s">
        <v>523</v>
      </c>
      <c r="E12885" t="s">
        <v>815</v>
      </c>
      <c r="F12885" t="s">
        <v>513</v>
      </c>
      <c r="G12885" t="s">
        <v>97</v>
      </c>
    </row>
    <row r="12887" spans="1:14" x14ac:dyDescent="0.3">
      <c r="A12887" t="s">
        <v>2885</v>
      </c>
    </row>
    <row r="12888" spans="1:14" x14ac:dyDescent="0.3">
      <c r="A12888" t="s">
        <v>36</v>
      </c>
      <c r="B12888" t="s">
        <v>24</v>
      </c>
      <c r="C12888" t="s">
        <v>2886</v>
      </c>
      <c r="D12888" t="s">
        <v>2887</v>
      </c>
      <c r="E12888" t="s">
        <v>2888</v>
      </c>
      <c r="F12888" t="s">
        <v>2889</v>
      </c>
      <c r="G12888" t="s">
        <v>2890</v>
      </c>
      <c r="H12888" t="s">
        <v>2891</v>
      </c>
      <c r="I12888" t="s">
        <v>2892</v>
      </c>
      <c r="J12888" t="s">
        <v>2893</v>
      </c>
      <c r="K12888" t="s">
        <v>2894</v>
      </c>
      <c r="L12888" t="s">
        <v>183</v>
      </c>
      <c r="M12888" t="s">
        <v>87</v>
      </c>
      <c r="N12888" t="s">
        <v>181</v>
      </c>
    </row>
    <row r="12889" spans="1:14" x14ac:dyDescent="0.3">
      <c r="A12889" t="s">
        <v>25</v>
      </c>
      <c r="B12889">
        <v>414</v>
      </c>
      <c r="C12889" t="s">
        <v>71</v>
      </c>
      <c r="D12889" t="s">
        <v>103</v>
      </c>
      <c r="E12889" t="s">
        <v>103</v>
      </c>
      <c r="F12889" t="s">
        <v>103</v>
      </c>
      <c r="G12889" t="s">
        <v>103</v>
      </c>
      <c r="H12889" t="s">
        <v>103</v>
      </c>
      <c r="I12889" t="s">
        <v>116</v>
      </c>
      <c r="J12889" t="s">
        <v>103</v>
      </c>
      <c r="K12889" t="s">
        <v>103</v>
      </c>
      <c r="L12889" t="s">
        <v>103</v>
      </c>
      <c r="M12889" t="s">
        <v>284</v>
      </c>
      <c r="N12889" t="s">
        <v>103</v>
      </c>
    </row>
    <row r="12890" spans="1:14" x14ac:dyDescent="0.3">
      <c r="A12890" t="s">
        <v>26</v>
      </c>
      <c r="B12890">
        <v>477</v>
      </c>
      <c r="C12890" t="s">
        <v>185</v>
      </c>
      <c r="D12890" t="s">
        <v>103</v>
      </c>
      <c r="E12890" t="s">
        <v>103</v>
      </c>
      <c r="F12890" t="s">
        <v>91</v>
      </c>
      <c r="G12890" t="s">
        <v>103</v>
      </c>
      <c r="H12890" t="s">
        <v>120</v>
      </c>
      <c r="I12890" t="s">
        <v>103</v>
      </c>
      <c r="J12890" t="s">
        <v>282</v>
      </c>
      <c r="K12890" t="s">
        <v>103</v>
      </c>
      <c r="L12890" t="s">
        <v>66</v>
      </c>
      <c r="M12890" t="s">
        <v>329</v>
      </c>
      <c r="N12890" t="s">
        <v>66</v>
      </c>
    </row>
    <row r="12891" spans="1:14" x14ac:dyDescent="0.3">
      <c r="A12891" t="s">
        <v>29</v>
      </c>
      <c r="B12891">
        <v>530</v>
      </c>
      <c r="C12891" t="s">
        <v>783</v>
      </c>
      <c r="D12891" t="s">
        <v>245</v>
      </c>
      <c r="E12891" t="s">
        <v>345</v>
      </c>
      <c r="F12891" t="s">
        <v>120</v>
      </c>
      <c r="G12891" t="s">
        <v>122</v>
      </c>
      <c r="H12891" t="s">
        <v>139</v>
      </c>
      <c r="I12891" t="s">
        <v>116</v>
      </c>
      <c r="J12891" t="s">
        <v>345</v>
      </c>
      <c r="K12891" t="s">
        <v>139</v>
      </c>
      <c r="L12891" t="s">
        <v>103</v>
      </c>
      <c r="M12891" t="s">
        <v>460</v>
      </c>
      <c r="N12891" t="s">
        <v>122</v>
      </c>
    </row>
    <row r="12892" spans="1:14" x14ac:dyDescent="0.3">
      <c r="A12892" t="s">
        <v>28</v>
      </c>
      <c r="B12892">
        <v>317</v>
      </c>
      <c r="C12892" t="s">
        <v>328</v>
      </c>
      <c r="D12892" t="s">
        <v>103</v>
      </c>
      <c r="E12892" t="s">
        <v>103</v>
      </c>
      <c r="F12892" t="s">
        <v>103</v>
      </c>
      <c r="G12892" t="s">
        <v>103</v>
      </c>
      <c r="H12892" t="s">
        <v>97</v>
      </c>
      <c r="I12892" t="s">
        <v>103</v>
      </c>
      <c r="J12892" t="s">
        <v>103</v>
      </c>
      <c r="K12892" t="s">
        <v>103</v>
      </c>
      <c r="L12892" t="s">
        <v>103</v>
      </c>
      <c r="M12892" t="s">
        <v>216</v>
      </c>
      <c r="N12892" t="s">
        <v>103</v>
      </c>
    </row>
    <row r="12893" spans="1:14" x14ac:dyDescent="0.3">
      <c r="A12893" t="s">
        <v>27</v>
      </c>
      <c r="B12893">
        <v>300</v>
      </c>
      <c r="C12893" t="s">
        <v>766</v>
      </c>
      <c r="D12893" t="s">
        <v>345</v>
      </c>
      <c r="E12893" t="s">
        <v>120</v>
      </c>
      <c r="F12893" t="s">
        <v>282</v>
      </c>
      <c r="G12893" t="s">
        <v>468</v>
      </c>
      <c r="H12893" t="s">
        <v>208</v>
      </c>
      <c r="I12893" t="s">
        <v>103</v>
      </c>
      <c r="J12893" t="s">
        <v>110</v>
      </c>
      <c r="K12893" t="s">
        <v>103</v>
      </c>
      <c r="L12893" t="s">
        <v>103</v>
      </c>
      <c r="M12893" t="s">
        <v>254</v>
      </c>
      <c r="N12893" t="s">
        <v>116</v>
      </c>
    </row>
    <row r="12894" spans="1:14" x14ac:dyDescent="0.3">
      <c r="A12894" t="s">
        <v>41</v>
      </c>
      <c r="B12894">
        <v>2038</v>
      </c>
      <c r="C12894" t="s">
        <v>1177</v>
      </c>
      <c r="D12894" t="s">
        <v>139</v>
      </c>
      <c r="E12894" t="s">
        <v>97</v>
      </c>
      <c r="F12894" t="s">
        <v>122</v>
      </c>
      <c r="G12894" t="s">
        <v>66</v>
      </c>
      <c r="H12894" t="s">
        <v>95</v>
      </c>
      <c r="I12894" t="s">
        <v>66</v>
      </c>
      <c r="J12894" t="s">
        <v>139</v>
      </c>
      <c r="K12894" t="s">
        <v>122</v>
      </c>
      <c r="L12894" t="s">
        <v>91</v>
      </c>
      <c r="M12894" t="s">
        <v>70</v>
      </c>
      <c r="N12894" t="s">
        <v>116</v>
      </c>
    </row>
    <row r="12896" spans="1:14" x14ac:dyDescent="0.3">
      <c r="A12896" t="s">
        <v>2895</v>
      </c>
    </row>
    <row r="12897" spans="1:15" x14ac:dyDescent="0.3">
      <c r="A12897" t="s">
        <v>36</v>
      </c>
      <c r="B12897" t="s">
        <v>307</v>
      </c>
      <c r="C12897" t="s">
        <v>24</v>
      </c>
      <c r="D12897" t="s">
        <v>2886</v>
      </c>
      <c r="E12897" t="s">
        <v>2887</v>
      </c>
      <c r="F12897" t="s">
        <v>2888</v>
      </c>
      <c r="G12897" t="s">
        <v>2889</v>
      </c>
      <c r="H12897" t="s">
        <v>2890</v>
      </c>
      <c r="I12897" t="s">
        <v>2891</v>
      </c>
      <c r="J12897" t="s">
        <v>2892</v>
      </c>
      <c r="K12897" t="s">
        <v>2893</v>
      </c>
      <c r="L12897" t="s">
        <v>2894</v>
      </c>
      <c r="M12897" t="s">
        <v>183</v>
      </c>
      <c r="N12897" t="s">
        <v>87</v>
      </c>
      <c r="O12897" t="s">
        <v>181</v>
      </c>
    </row>
    <row r="12898" spans="1:15" x14ac:dyDescent="0.3">
      <c r="A12898" t="s">
        <v>25</v>
      </c>
      <c r="B12898" t="s">
        <v>291</v>
      </c>
      <c r="C12898">
        <v>156</v>
      </c>
      <c r="D12898" t="s">
        <v>863</v>
      </c>
      <c r="E12898" t="s">
        <v>103</v>
      </c>
      <c r="F12898" t="s">
        <v>103</v>
      </c>
      <c r="G12898" t="s">
        <v>103</v>
      </c>
      <c r="H12898" t="s">
        <v>103</v>
      </c>
      <c r="I12898" t="s">
        <v>103</v>
      </c>
      <c r="J12898" t="s">
        <v>139</v>
      </c>
      <c r="K12898" t="s">
        <v>103</v>
      </c>
      <c r="L12898" t="s">
        <v>103</v>
      </c>
      <c r="M12898" t="s">
        <v>103</v>
      </c>
      <c r="N12898" t="s">
        <v>254</v>
      </c>
      <c r="O12898" t="s">
        <v>103</v>
      </c>
    </row>
    <row r="12899" spans="1:15" x14ac:dyDescent="0.3">
      <c r="A12899" t="s">
        <v>25</v>
      </c>
      <c r="B12899" t="s">
        <v>292</v>
      </c>
      <c r="C12899">
        <v>254</v>
      </c>
      <c r="D12899" t="s">
        <v>768</v>
      </c>
      <c r="E12899" t="s">
        <v>103</v>
      </c>
      <c r="F12899" t="s">
        <v>103</v>
      </c>
      <c r="G12899" t="s">
        <v>103</v>
      </c>
      <c r="H12899" t="s">
        <v>103</v>
      </c>
      <c r="I12899" t="s">
        <v>103</v>
      </c>
      <c r="J12899" t="s">
        <v>103</v>
      </c>
      <c r="K12899" t="s">
        <v>103</v>
      </c>
      <c r="L12899" t="s">
        <v>103</v>
      </c>
      <c r="M12899" t="s">
        <v>103</v>
      </c>
      <c r="N12899" t="s">
        <v>217</v>
      </c>
      <c r="O12899" t="s">
        <v>103</v>
      </c>
    </row>
    <row r="12900" spans="1:15" x14ac:dyDescent="0.3">
      <c r="A12900" t="s">
        <v>25</v>
      </c>
      <c r="B12900" t="s">
        <v>308</v>
      </c>
      <c r="C12900">
        <v>4</v>
      </c>
      <c r="D12900" t="s">
        <v>192</v>
      </c>
      <c r="E12900" t="s">
        <v>103</v>
      </c>
      <c r="F12900" t="s">
        <v>103</v>
      </c>
      <c r="G12900" t="s">
        <v>103</v>
      </c>
      <c r="H12900" t="s">
        <v>103</v>
      </c>
      <c r="I12900" t="s">
        <v>103</v>
      </c>
      <c r="J12900" t="s">
        <v>103</v>
      </c>
      <c r="K12900" t="s">
        <v>103</v>
      </c>
      <c r="L12900" t="s">
        <v>103</v>
      </c>
      <c r="M12900" t="s">
        <v>103</v>
      </c>
      <c r="N12900" t="s">
        <v>103</v>
      </c>
      <c r="O12900" t="s">
        <v>103</v>
      </c>
    </row>
    <row r="12901" spans="1:15" x14ac:dyDescent="0.3">
      <c r="A12901" t="s">
        <v>26</v>
      </c>
      <c r="B12901" t="s">
        <v>291</v>
      </c>
      <c r="C12901">
        <v>122</v>
      </c>
      <c r="D12901" t="s">
        <v>859</v>
      </c>
      <c r="E12901" t="s">
        <v>103</v>
      </c>
      <c r="F12901" t="s">
        <v>103</v>
      </c>
      <c r="G12901" t="s">
        <v>103</v>
      </c>
      <c r="H12901" t="s">
        <v>103</v>
      </c>
      <c r="I12901" t="s">
        <v>282</v>
      </c>
      <c r="J12901" t="s">
        <v>103</v>
      </c>
      <c r="K12901" t="s">
        <v>245</v>
      </c>
      <c r="L12901" t="s">
        <v>103</v>
      </c>
      <c r="M12901" t="s">
        <v>282</v>
      </c>
      <c r="N12901" t="s">
        <v>270</v>
      </c>
      <c r="O12901" t="s">
        <v>103</v>
      </c>
    </row>
    <row r="12902" spans="1:15" x14ac:dyDescent="0.3">
      <c r="A12902" t="s">
        <v>26</v>
      </c>
      <c r="B12902" t="s">
        <v>292</v>
      </c>
      <c r="C12902">
        <v>352</v>
      </c>
      <c r="D12902" t="s">
        <v>1633</v>
      </c>
      <c r="E12902" t="s">
        <v>103</v>
      </c>
      <c r="F12902" t="s">
        <v>103</v>
      </c>
      <c r="G12902" t="s">
        <v>66</v>
      </c>
      <c r="H12902" t="s">
        <v>103</v>
      </c>
      <c r="I12902" t="s">
        <v>97</v>
      </c>
      <c r="J12902" t="s">
        <v>103</v>
      </c>
      <c r="K12902" t="s">
        <v>139</v>
      </c>
      <c r="L12902" t="s">
        <v>103</v>
      </c>
      <c r="M12902" t="s">
        <v>103</v>
      </c>
      <c r="N12902" t="s">
        <v>105</v>
      </c>
      <c r="O12902" t="s">
        <v>116</v>
      </c>
    </row>
    <row r="12903" spans="1:15" x14ac:dyDescent="0.3">
      <c r="A12903" t="s">
        <v>26</v>
      </c>
      <c r="B12903" t="s">
        <v>308</v>
      </c>
      <c r="C12903">
        <v>3</v>
      </c>
      <c r="D12903" t="s">
        <v>192</v>
      </c>
      <c r="E12903" t="s">
        <v>103</v>
      </c>
      <c r="F12903" t="s">
        <v>103</v>
      </c>
      <c r="G12903" t="s">
        <v>103</v>
      </c>
      <c r="H12903" t="s">
        <v>103</v>
      </c>
      <c r="I12903" t="s">
        <v>103</v>
      </c>
      <c r="J12903" t="s">
        <v>103</v>
      </c>
      <c r="K12903" t="s">
        <v>103</v>
      </c>
      <c r="L12903" t="s">
        <v>103</v>
      </c>
      <c r="M12903" t="s">
        <v>103</v>
      </c>
      <c r="N12903" t="s">
        <v>103</v>
      </c>
      <c r="O12903" t="s">
        <v>103</v>
      </c>
    </row>
    <row r="12904" spans="1:15" x14ac:dyDescent="0.3">
      <c r="A12904" t="s">
        <v>29</v>
      </c>
      <c r="B12904" t="s">
        <v>291</v>
      </c>
      <c r="C12904">
        <v>205</v>
      </c>
      <c r="D12904" t="s">
        <v>1019</v>
      </c>
      <c r="E12904" t="s">
        <v>270</v>
      </c>
      <c r="F12904" t="s">
        <v>245</v>
      </c>
      <c r="G12904" t="s">
        <v>345</v>
      </c>
      <c r="H12904" t="s">
        <v>122</v>
      </c>
      <c r="I12904" t="s">
        <v>95</v>
      </c>
      <c r="J12904" t="s">
        <v>95</v>
      </c>
      <c r="K12904" t="s">
        <v>95</v>
      </c>
      <c r="L12904" t="s">
        <v>345</v>
      </c>
      <c r="M12904" t="s">
        <v>103</v>
      </c>
      <c r="N12904" t="s">
        <v>549</v>
      </c>
      <c r="O12904" t="s">
        <v>103</v>
      </c>
    </row>
    <row r="12905" spans="1:15" x14ac:dyDescent="0.3">
      <c r="A12905" t="s">
        <v>29</v>
      </c>
      <c r="B12905" t="s">
        <v>292</v>
      </c>
      <c r="C12905">
        <v>325</v>
      </c>
      <c r="D12905" t="s">
        <v>616</v>
      </c>
      <c r="E12905" t="s">
        <v>98</v>
      </c>
      <c r="F12905" t="s">
        <v>95</v>
      </c>
      <c r="G12905" t="s">
        <v>116</v>
      </c>
      <c r="H12905" t="s">
        <v>122</v>
      </c>
      <c r="I12905" t="s">
        <v>98</v>
      </c>
      <c r="J12905" t="s">
        <v>103</v>
      </c>
      <c r="K12905" t="s">
        <v>194</v>
      </c>
      <c r="L12905" t="s">
        <v>120</v>
      </c>
      <c r="M12905" t="s">
        <v>103</v>
      </c>
      <c r="N12905" t="s">
        <v>594</v>
      </c>
      <c r="O12905" t="s">
        <v>120</v>
      </c>
    </row>
    <row r="12906" spans="1:15" x14ac:dyDescent="0.3">
      <c r="A12906" t="s">
        <v>28</v>
      </c>
      <c r="B12906" t="s">
        <v>291</v>
      </c>
      <c r="C12906">
        <v>114</v>
      </c>
      <c r="D12906" t="s">
        <v>326</v>
      </c>
      <c r="E12906" t="s">
        <v>103</v>
      </c>
      <c r="F12906" t="s">
        <v>103</v>
      </c>
      <c r="G12906" t="s">
        <v>103</v>
      </c>
      <c r="H12906" t="s">
        <v>103</v>
      </c>
      <c r="I12906" t="s">
        <v>194</v>
      </c>
      <c r="J12906" t="s">
        <v>103</v>
      </c>
      <c r="K12906" t="s">
        <v>103</v>
      </c>
      <c r="L12906" t="s">
        <v>103</v>
      </c>
      <c r="M12906" t="s">
        <v>103</v>
      </c>
      <c r="N12906" t="s">
        <v>103</v>
      </c>
      <c r="O12906" t="s">
        <v>103</v>
      </c>
    </row>
    <row r="12907" spans="1:15" x14ac:dyDescent="0.3">
      <c r="A12907" t="s">
        <v>28</v>
      </c>
      <c r="B12907" t="s">
        <v>292</v>
      </c>
      <c r="C12907">
        <v>191</v>
      </c>
      <c r="D12907" t="s">
        <v>879</v>
      </c>
      <c r="E12907" t="s">
        <v>103</v>
      </c>
      <c r="F12907" t="s">
        <v>103</v>
      </c>
      <c r="G12907" t="s">
        <v>103</v>
      </c>
      <c r="H12907" t="s">
        <v>103</v>
      </c>
      <c r="I12907" t="s">
        <v>103</v>
      </c>
      <c r="J12907" t="s">
        <v>103</v>
      </c>
      <c r="K12907" t="s">
        <v>103</v>
      </c>
      <c r="L12907" t="s">
        <v>103</v>
      </c>
      <c r="M12907" t="s">
        <v>103</v>
      </c>
      <c r="N12907" t="s">
        <v>266</v>
      </c>
      <c r="O12907" t="s">
        <v>103</v>
      </c>
    </row>
    <row r="12908" spans="1:15" x14ac:dyDescent="0.3">
      <c r="A12908" t="s">
        <v>28</v>
      </c>
      <c r="B12908" t="s">
        <v>308</v>
      </c>
      <c r="C12908">
        <v>12</v>
      </c>
      <c r="D12908" t="s">
        <v>192</v>
      </c>
      <c r="E12908" t="s">
        <v>103</v>
      </c>
      <c r="F12908" t="s">
        <v>103</v>
      </c>
      <c r="G12908" t="s">
        <v>103</v>
      </c>
      <c r="H12908" t="s">
        <v>103</v>
      </c>
      <c r="I12908" t="s">
        <v>103</v>
      </c>
      <c r="J12908" t="s">
        <v>103</v>
      </c>
      <c r="K12908" t="s">
        <v>103</v>
      </c>
      <c r="L12908" t="s">
        <v>103</v>
      </c>
      <c r="M12908" t="s">
        <v>103</v>
      </c>
      <c r="N12908" t="s">
        <v>103</v>
      </c>
      <c r="O12908" t="s">
        <v>103</v>
      </c>
    </row>
    <row r="12909" spans="1:15" x14ac:dyDescent="0.3">
      <c r="A12909" t="s">
        <v>27</v>
      </c>
      <c r="B12909" t="s">
        <v>291</v>
      </c>
      <c r="C12909">
        <v>95</v>
      </c>
      <c r="D12909" t="s">
        <v>267</v>
      </c>
      <c r="E12909" t="s">
        <v>64</v>
      </c>
      <c r="F12909" t="s">
        <v>98</v>
      </c>
      <c r="G12909" t="s">
        <v>98</v>
      </c>
      <c r="H12909" t="s">
        <v>195</v>
      </c>
      <c r="I12909" t="s">
        <v>103</v>
      </c>
      <c r="J12909" t="s">
        <v>103</v>
      </c>
      <c r="K12909" t="s">
        <v>217</v>
      </c>
      <c r="L12909" t="s">
        <v>103</v>
      </c>
      <c r="M12909" t="s">
        <v>103</v>
      </c>
      <c r="N12909" t="s">
        <v>171</v>
      </c>
      <c r="O12909" t="s">
        <v>103</v>
      </c>
    </row>
    <row r="12910" spans="1:15" x14ac:dyDescent="0.3">
      <c r="A12910" t="s">
        <v>27</v>
      </c>
      <c r="B12910" t="s">
        <v>292</v>
      </c>
      <c r="C12910">
        <v>198</v>
      </c>
      <c r="D12910" t="s">
        <v>187</v>
      </c>
      <c r="E12910" t="s">
        <v>97</v>
      </c>
      <c r="F12910" t="s">
        <v>97</v>
      </c>
      <c r="G12910" t="s">
        <v>282</v>
      </c>
      <c r="H12910" t="s">
        <v>97</v>
      </c>
      <c r="I12910" t="s">
        <v>270</v>
      </c>
      <c r="J12910" t="s">
        <v>103</v>
      </c>
      <c r="K12910" t="s">
        <v>282</v>
      </c>
      <c r="L12910" t="s">
        <v>103</v>
      </c>
      <c r="M12910" t="s">
        <v>103</v>
      </c>
      <c r="N12910" t="s">
        <v>460</v>
      </c>
      <c r="O12910" t="s">
        <v>97</v>
      </c>
    </row>
    <row r="12911" spans="1:15" x14ac:dyDescent="0.3">
      <c r="A12911" t="s">
        <v>27</v>
      </c>
      <c r="B12911" t="s">
        <v>308</v>
      </c>
      <c r="C12911">
        <v>7</v>
      </c>
      <c r="D12911" t="s">
        <v>192</v>
      </c>
      <c r="E12911" t="s">
        <v>103</v>
      </c>
      <c r="F12911" t="s">
        <v>103</v>
      </c>
      <c r="G12911" t="s">
        <v>103</v>
      </c>
      <c r="H12911" t="s">
        <v>103</v>
      </c>
      <c r="I12911" t="s">
        <v>103</v>
      </c>
      <c r="J12911" t="s">
        <v>103</v>
      </c>
      <c r="K12911" t="s">
        <v>103</v>
      </c>
      <c r="L12911" t="s">
        <v>103</v>
      </c>
      <c r="M12911" t="s">
        <v>103</v>
      </c>
      <c r="N12911" t="s">
        <v>103</v>
      </c>
      <c r="O12911" t="s">
        <v>103</v>
      </c>
    </row>
    <row r="12912" spans="1:15" x14ac:dyDescent="0.3">
      <c r="A12912" t="s">
        <v>41</v>
      </c>
      <c r="B12912" t="s">
        <v>291</v>
      </c>
      <c r="C12912">
        <v>692</v>
      </c>
      <c r="D12912" t="s">
        <v>614</v>
      </c>
      <c r="E12912" t="s">
        <v>216</v>
      </c>
      <c r="F12912" t="s">
        <v>98</v>
      </c>
      <c r="G12912" t="s">
        <v>120</v>
      </c>
      <c r="H12912" t="s">
        <v>116</v>
      </c>
      <c r="I12912" t="s">
        <v>120</v>
      </c>
      <c r="J12912" t="s">
        <v>97</v>
      </c>
      <c r="K12912" t="s">
        <v>95</v>
      </c>
      <c r="L12912" t="s">
        <v>120</v>
      </c>
      <c r="M12912" t="s">
        <v>66</v>
      </c>
      <c r="N12912" t="s">
        <v>494</v>
      </c>
      <c r="O12912" t="s">
        <v>103</v>
      </c>
    </row>
    <row r="12913" spans="1:15" x14ac:dyDescent="0.3">
      <c r="A12913" t="s">
        <v>41</v>
      </c>
      <c r="B12913" t="s">
        <v>292</v>
      </c>
      <c r="C12913">
        <v>1320</v>
      </c>
      <c r="D12913" t="s">
        <v>882</v>
      </c>
      <c r="E12913" t="s">
        <v>122</v>
      </c>
      <c r="F12913" t="s">
        <v>116</v>
      </c>
      <c r="G12913" t="s">
        <v>66</v>
      </c>
      <c r="H12913" t="s">
        <v>66</v>
      </c>
      <c r="I12913" t="s">
        <v>95</v>
      </c>
      <c r="J12913" t="s">
        <v>103</v>
      </c>
      <c r="K12913" t="s">
        <v>98</v>
      </c>
      <c r="L12913" t="s">
        <v>116</v>
      </c>
      <c r="M12913" t="s">
        <v>103</v>
      </c>
      <c r="N12913" t="s">
        <v>113</v>
      </c>
      <c r="O12913" t="s">
        <v>122</v>
      </c>
    </row>
    <row r="12914" spans="1:15" x14ac:dyDescent="0.3">
      <c r="A12914" t="s">
        <v>41</v>
      </c>
      <c r="B12914" t="s">
        <v>308</v>
      </c>
      <c r="C12914">
        <v>26</v>
      </c>
      <c r="D12914" t="s">
        <v>192</v>
      </c>
      <c r="E12914" t="s">
        <v>103</v>
      </c>
      <c r="F12914" t="s">
        <v>103</v>
      </c>
      <c r="G12914" t="s">
        <v>103</v>
      </c>
      <c r="H12914" t="s">
        <v>103</v>
      </c>
      <c r="I12914" t="s">
        <v>103</v>
      </c>
      <c r="J12914" t="s">
        <v>103</v>
      </c>
      <c r="K12914" t="s">
        <v>103</v>
      </c>
      <c r="L12914" t="s">
        <v>103</v>
      </c>
      <c r="M12914" t="s">
        <v>103</v>
      </c>
      <c r="N12914" t="s">
        <v>103</v>
      </c>
      <c r="O12914" t="s">
        <v>103</v>
      </c>
    </row>
    <row r="12916" spans="1:15" x14ac:dyDescent="0.3">
      <c r="A12916" t="s">
        <v>2896</v>
      </c>
    </row>
    <row r="12917" spans="1:15" x14ac:dyDescent="0.3">
      <c r="A12917" t="s">
        <v>36</v>
      </c>
      <c r="B12917" t="s">
        <v>763</v>
      </c>
      <c r="C12917" t="s">
        <v>24</v>
      </c>
      <c r="D12917" t="s">
        <v>2886</v>
      </c>
      <c r="E12917" t="s">
        <v>2887</v>
      </c>
      <c r="F12917" t="s">
        <v>2888</v>
      </c>
      <c r="G12917" t="s">
        <v>2889</v>
      </c>
      <c r="H12917" t="s">
        <v>2890</v>
      </c>
      <c r="I12917" t="s">
        <v>2891</v>
      </c>
      <c r="J12917" t="s">
        <v>2892</v>
      </c>
      <c r="K12917" t="s">
        <v>2893</v>
      </c>
      <c r="L12917" t="s">
        <v>2894</v>
      </c>
      <c r="M12917" t="s">
        <v>183</v>
      </c>
      <c r="N12917" t="s">
        <v>87</v>
      </c>
      <c r="O12917" t="s">
        <v>181</v>
      </c>
    </row>
    <row r="12918" spans="1:15" x14ac:dyDescent="0.3">
      <c r="A12918" t="s">
        <v>25</v>
      </c>
      <c r="B12918" t="s">
        <v>764</v>
      </c>
      <c r="C12918">
        <v>31</v>
      </c>
      <c r="D12918" t="s">
        <v>71</v>
      </c>
      <c r="E12918" t="s">
        <v>103</v>
      </c>
      <c r="F12918" t="s">
        <v>103</v>
      </c>
      <c r="G12918" t="s">
        <v>103</v>
      </c>
      <c r="H12918" t="s">
        <v>103</v>
      </c>
      <c r="I12918" t="s">
        <v>103</v>
      </c>
      <c r="J12918" t="s">
        <v>103</v>
      </c>
      <c r="K12918" t="s">
        <v>103</v>
      </c>
      <c r="L12918" t="s">
        <v>103</v>
      </c>
      <c r="M12918" t="s">
        <v>103</v>
      </c>
      <c r="N12918" t="s">
        <v>70</v>
      </c>
      <c r="O12918" t="s">
        <v>103</v>
      </c>
    </row>
    <row r="12919" spans="1:15" x14ac:dyDescent="0.3">
      <c r="A12919" t="s">
        <v>25</v>
      </c>
      <c r="B12919" t="s">
        <v>765</v>
      </c>
      <c r="C12919">
        <v>280</v>
      </c>
      <c r="D12919" t="s">
        <v>289</v>
      </c>
      <c r="E12919" t="s">
        <v>103</v>
      </c>
      <c r="F12919" t="s">
        <v>103</v>
      </c>
      <c r="G12919" t="s">
        <v>103</v>
      </c>
      <c r="H12919" t="s">
        <v>103</v>
      </c>
      <c r="I12919" t="s">
        <v>103</v>
      </c>
      <c r="J12919" t="s">
        <v>97</v>
      </c>
      <c r="K12919" t="s">
        <v>103</v>
      </c>
      <c r="L12919" t="s">
        <v>103</v>
      </c>
      <c r="M12919" t="s">
        <v>103</v>
      </c>
      <c r="N12919" t="s">
        <v>32</v>
      </c>
      <c r="O12919" t="s">
        <v>103</v>
      </c>
    </row>
    <row r="12920" spans="1:15" x14ac:dyDescent="0.3">
      <c r="A12920" t="s">
        <v>25</v>
      </c>
      <c r="B12920" t="s">
        <v>767</v>
      </c>
      <c r="C12920">
        <v>103</v>
      </c>
      <c r="D12920" t="s">
        <v>71</v>
      </c>
      <c r="E12920" t="s">
        <v>103</v>
      </c>
      <c r="F12920" t="s">
        <v>103</v>
      </c>
      <c r="G12920" t="s">
        <v>103</v>
      </c>
      <c r="H12920" t="s">
        <v>103</v>
      </c>
      <c r="I12920" t="s">
        <v>103</v>
      </c>
      <c r="J12920" t="s">
        <v>103</v>
      </c>
      <c r="K12920" t="s">
        <v>103</v>
      </c>
      <c r="L12920" t="s">
        <v>103</v>
      </c>
      <c r="M12920" t="s">
        <v>103</v>
      </c>
      <c r="N12920" t="s">
        <v>70</v>
      </c>
      <c r="O12920" t="s">
        <v>103</v>
      </c>
    </row>
    <row r="12921" spans="1:15" x14ac:dyDescent="0.3">
      <c r="A12921" t="s">
        <v>26</v>
      </c>
      <c r="B12921" t="s">
        <v>764</v>
      </c>
      <c r="C12921">
        <v>58</v>
      </c>
      <c r="D12921" t="s">
        <v>322</v>
      </c>
      <c r="E12921" t="s">
        <v>103</v>
      </c>
      <c r="F12921" t="s">
        <v>103</v>
      </c>
      <c r="G12921" t="s">
        <v>103</v>
      </c>
      <c r="H12921" t="s">
        <v>103</v>
      </c>
      <c r="I12921" t="s">
        <v>103</v>
      </c>
      <c r="J12921" t="s">
        <v>103</v>
      </c>
      <c r="K12921" t="s">
        <v>103</v>
      </c>
      <c r="L12921" t="s">
        <v>103</v>
      </c>
      <c r="M12921" t="s">
        <v>105</v>
      </c>
      <c r="N12921" t="s">
        <v>103</v>
      </c>
      <c r="O12921" t="s">
        <v>103</v>
      </c>
    </row>
    <row r="12922" spans="1:15" x14ac:dyDescent="0.3">
      <c r="A12922" t="s">
        <v>26</v>
      </c>
      <c r="B12922" t="s">
        <v>765</v>
      </c>
      <c r="C12922">
        <v>278</v>
      </c>
      <c r="D12922" t="s">
        <v>850</v>
      </c>
      <c r="E12922" t="s">
        <v>103</v>
      </c>
      <c r="F12922" t="s">
        <v>103</v>
      </c>
      <c r="G12922" t="s">
        <v>103</v>
      </c>
      <c r="H12922" t="s">
        <v>103</v>
      </c>
      <c r="I12922" t="s">
        <v>139</v>
      </c>
      <c r="J12922" t="s">
        <v>103</v>
      </c>
      <c r="K12922" t="s">
        <v>345</v>
      </c>
      <c r="L12922" t="s">
        <v>103</v>
      </c>
      <c r="M12922" t="s">
        <v>103</v>
      </c>
      <c r="N12922" t="s">
        <v>195</v>
      </c>
      <c r="O12922" t="s">
        <v>122</v>
      </c>
    </row>
    <row r="12923" spans="1:15" x14ac:dyDescent="0.3">
      <c r="A12923" t="s">
        <v>26</v>
      </c>
      <c r="B12923" t="s">
        <v>767</v>
      </c>
      <c r="C12923">
        <v>141</v>
      </c>
      <c r="D12923" t="s">
        <v>1633</v>
      </c>
      <c r="E12923" t="s">
        <v>103</v>
      </c>
      <c r="F12923" t="s">
        <v>103</v>
      </c>
      <c r="G12923" t="s">
        <v>97</v>
      </c>
      <c r="H12923" t="s">
        <v>103</v>
      </c>
      <c r="I12923" t="s">
        <v>95</v>
      </c>
      <c r="J12923" t="s">
        <v>103</v>
      </c>
      <c r="K12923" t="s">
        <v>110</v>
      </c>
      <c r="L12923" t="s">
        <v>103</v>
      </c>
      <c r="M12923" t="s">
        <v>103</v>
      </c>
      <c r="N12923" t="s">
        <v>282</v>
      </c>
      <c r="O12923" t="s">
        <v>103</v>
      </c>
    </row>
    <row r="12924" spans="1:15" s="3" customFormat="1" x14ac:dyDescent="0.3">
      <c r="A12924" s="3" t="s">
        <v>29</v>
      </c>
      <c r="B12924" s="3" t="s">
        <v>764</v>
      </c>
      <c r="C12924" s="3">
        <v>11</v>
      </c>
      <c r="D12924" s="3" t="s">
        <v>1053</v>
      </c>
      <c r="E12924" s="3" t="s">
        <v>140</v>
      </c>
      <c r="F12924" s="3" t="s">
        <v>103</v>
      </c>
      <c r="G12924" s="3" t="s">
        <v>103</v>
      </c>
      <c r="H12924" s="3" t="s">
        <v>103</v>
      </c>
      <c r="I12924" s="3" t="s">
        <v>103</v>
      </c>
      <c r="J12924" s="3" t="s">
        <v>103</v>
      </c>
      <c r="K12924" s="3" t="s">
        <v>103</v>
      </c>
      <c r="L12924" s="3" t="s">
        <v>103</v>
      </c>
      <c r="M12924" s="3" t="s">
        <v>103</v>
      </c>
      <c r="N12924" s="3" t="s">
        <v>729</v>
      </c>
      <c r="O12924" s="3" t="s">
        <v>103</v>
      </c>
    </row>
    <row r="12925" spans="1:15" x14ac:dyDescent="0.3">
      <c r="A12925" t="s">
        <v>29</v>
      </c>
      <c r="B12925" t="s">
        <v>765</v>
      </c>
      <c r="C12925">
        <v>365</v>
      </c>
      <c r="D12925" t="s">
        <v>606</v>
      </c>
      <c r="E12925" t="s">
        <v>468</v>
      </c>
      <c r="F12925" t="s">
        <v>139</v>
      </c>
      <c r="G12925" t="s">
        <v>120</v>
      </c>
      <c r="H12925" t="s">
        <v>66</v>
      </c>
      <c r="I12925" t="s">
        <v>98</v>
      </c>
      <c r="J12925" t="s">
        <v>122</v>
      </c>
      <c r="K12925" t="s">
        <v>139</v>
      </c>
      <c r="L12925" t="s">
        <v>116</v>
      </c>
      <c r="M12925" t="s">
        <v>103</v>
      </c>
      <c r="N12925" t="s">
        <v>607</v>
      </c>
      <c r="O12925" t="s">
        <v>103</v>
      </c>
    </row>
    <row r="12926" spans="1:15" x14ac:dyDescent="0.3">
      <c r="A12926" t="s">
        <v>29</v>
      </c>
      <c r="B12926" t="s">
        <v>767</v>
      </c>
      <c r="C12926">
        <v>154</v>
      </c>
      <c r="D12926" t="s">
        <v>176</v>
      </c>
      <c r="E12926" t="s">
        <v>257</v>
      </c>
      <c r="F12926" t="s">
        <v>245</v>
      </c>
      <c r="G12926" t="s">
        <v>95</v>
      </c>
      <c r="H12926" t="s">
        <v>95</v>
      </c>
      <c r="I12926" t="s">
        <v>95</v>
      </c>
      <c r="J12926" t="s">
        <v>103</v>
      </c>
      <c r="K12926" t="s">
        <v>105</v>
      </c>
      <c r="L12926" t="s">
        <v>208</v>
      </c>
      <c r="M12926" t="s">
        <v>103</v>
      </c>
      <c r="N12926" t="s">
        <v>94</v>
      </c>
      <c r="O12926" t="s">
        <v>468</v>
      </c>
    </row>
    <row r="12927" spans="1:15" s="3" customFormat="1" x14ac:dyDescent="0.3">
      <c r="A12927" s="3" t="s">
        <v>28</v>
      </c>
      <c r="B12927" s="3" t="s">
        <v>764</v>
      </c>
      <c r="C12927" s="3">
        <v>20</v>
      </c>
      <c r="D12927" s="3" t="s">
        <v>192</v>
      </c>
      <c r="E12927" s="3" t="s">
        <v>103</v>
      </c>
      <c r="F12927" s="3" t="s">
        <v>103</v>
      </c>
      <c r="G12927" s="3" t="s">
        <v>103</v>
      </c>
      <c r="H12927" s="3" t="s">
        <v>103</v>
      </c>
      <c r="I12927" s="3" t="s">
        <v>103</v>
      </c>
      <c r="J12927" s="3" t="s">
        <v>103</v>
      </c>
      <c r="K12927" s="3" t="s">
        <v>103</v>
      </c>
      <c r="L12927" s="3" t="s">
        <v>103</v>
      </c>
      <c r="M12927" s="3" t="s">
        <v>103</v>
      </c>
      <c r="N12927" s="3" t="s">
        <v>103</v>
      </c>
      <c r="O12927" s="3" t="s">
        <v>103</v>
      </c>
    </row>
    <row r="12928" spans="1:15" x14ac:dyDescent="0.3">
      <c r="A12928" t="s">
        <v>28</v>
      </c>
      <c r="B12928" t="s">
        <v>765</v>
      </c>
      <c r="C12928">
        <v>260</v>
      </c>
      <c r="D12928" t="s">
        <v>342</v>
      </c>
      <c r="E12928" t="s">
        <v>103</v>
      </c>
      <c r="F12928" t="s">
        <v>103</v>
      </c>
      <c r="G12928" t="s">
        <v>103</v>
      </c>
      <c r="H12928" t="s">
        <v>103</v>
      </c>
      <c r="I12928" t="s">
        <v>120</v>
      </c>
      <c r="J12928" t="s">
        <v>103</v>
      </c>
      <c r="K12928" t="s">
        <v>103</v>
      </c>
      <c r="L12928" t="s">
        <v>103</v>
      </c>
      <c r="M12928" t="s">
        <v>103</v>
      </c>
      <c r="N12928" t="s">
        <v>194</v>
      </c>
      <c r="O12928" t="s">
        <v>103</v>
      </c>
    </row>
    <row r="12929" spans="1:15" x14ac:dyDescent="0.3">
      <c r="A12929" t="s">
        <v>28</v>
      </c>
      <c r="B12929" t="s">
        <v>767</v>
      </c>
      <c r="C12929">
        <v>37</v>
      </c>
      <c r="D12929" t="s">
        <v>781</v>
      </c>
      <c r="E12929" t="s">
        <v>103</v>
      </c>
      <c r="F12929" t="s">
        <v>103</v>
      </c>
      <c r="G12929" t="s">
        <v>103</v>
      </c>
      <c r="H12929" t="s">
        <v>103</v>
      </c>
      <c r="I12929" t="s">
        <v>103</v>
      </c>
      <c r="J12929" t="s">
        <v>103</v>
      </c>
      <c r="K12929" t="s">
        <v>103</v>
      </c>
      <c r="L12929" t="s">
        <v>103</v>
      </c>
      <c r="M12929" t="s">
        <v>103</v>
      </c>
      <c r="N12929" t="s">
        <v>284</v>
      </c>
      <c r="O12929" t="s">
        <v>103</v>
      </c>
    </row>
    <row r="12930" spans="1:15" s="3" customFormat="1" x14ac:dyDescent="0.3">
      <c r="A12930" s="3" t="s">
        <v>27</v>
      </c>
      <c r="B12930" s="3" t="s">
        <v>764</v>
      </c>
      <c r="C12930" s="3">
        <v>29</v>
      </c>
      <c r="D12930" s="3" t="s">
        <v>632</v>
      </c>
      <c r="E12930" s="3" t="s">
        <v>103</v>
      </c>
      <c r="F12930" s="3" t="s">
        <v>103</v>
      </c>
      <c r="G12930" s="3" t="s">
        <v>103</v>
      </c>
      <c r="H12930" s="3" t="s">
        <v>103</v>
      </c>
      <c r="I12930" s="3" t="s">
        <v>272</v>
      </c>
      <c r="J12930" s="3" t="s">
        <v>103</v>
      </c>
      <c r="K12930" s="3" t="s">
        <v>103</v>
      </c>
      <c r="L12930" s="3" t="s">
        <v>103</v>
      </c>
      <c r="M12930" s="3" t="s">
        <v>103</v>
      </c>
      <c r="N12930" s="3" t="s">
        <v>594</v>
      </c>
      <c r="O12930" s="3" t="s">
        <v>103</v>
      </c>
    </row>
    <row r="12931" spans="1:15" x14ac:dyDescent="0.3">
      <c r="A12931" t="s">
        <v>27</v>
      </c>
      <c r="B12931" t="s">
        <v>765</v>
      </c>
      <c r="C12931">
        <v>209</v>
      </c>
      <c r="D12931" t="s">
        <v>622</v>
      </c>
      <c r="E12931" t="s">
        <v>468</v>
      </c>
      <c r="F12931" t="s">
        <v>122</v>
      </c>
      <c r="G12931" t="s">
        <v>239</v>
      </c>
      <c r="H12931" t="s">
        <v>194</v>
      </c>
      <c r="I12931" t="s">
        <v>208</v>
      </c>
      <c r="J12931" t="s">
        <v>103</v>
      </c>
      <c r="K12931" t="s">
        <v>345</v>
      </c>
      <c r="L12931" t="s">
        <v>103</v>
      </c>
      <c r="M12931" t="s">
        <v>103</v>
      </c>
      <c r="N12931" t="s">
        <v>269</v>
      </c>
      <c r="O12931" t="s">
        <v>103</v>
      </c>
    </row>
    <row r="12932" spans="1:15" x14ac:dyDescent="0.3">
      <c r="A12932" t="s">
        <v>27</v>
      </c>
      <c r="B12932" t="s">
        <v>767</v>
      </c>
      <c r="C12932">
        <v>62</v>
      </c>
      <c r="D12932" t="s">
        <v>145</v>
      </c>
      <c r="E12932" t="s">
        <v>110</v>
      </c>
      <c r="F12932" t="s">
        <v>110</v>
      </c>
      <c r="G12932" t="s">
        <v>103</v>
      </c>
      <c r="H12932" t="s">
        <v>468</v>
      </c>
      <c r="I12932" t="s">
        <v>110</v>
      </c>
      <c r="J12932" t="s">
        <v>103</v>
      </c>
      <c r="K12932" t="s">
        <v>64</v>
      </c>
      <c r="L12932" t="s">
        <v>103</v>
      </c>
      <c r="M12932" t="s">
        <v>103</v>
      </c>
      <c r="N12932" t="s">
        <v>70</v>
      </c>
      <c r="O12932" t="s">
        <v>110</v>
      </c>
    </row>
    <row r="12933" spans="1:15" x14ac:dyDescent="0.3">
      <c r="A12933" t="s">
        <v>41</v>
      </c>
      <c r="B12933" t="s">
        <v>764</v>
      </c>
      <c r="C12933">
        <v>149</v>
      </c>
      <c r="D12933" t="s">
        <v>871</v>
      </c>
      <c r="E12933" t="s">
        <v>98</v>
      </c>
      <c r="F12933" t="s">
        <v>103</v>
      </c>
      <c r="G12933" t="s">
        <v>103</v>
      </c>
      <c r="H12933" t="s">
        <v>103</v>
      </c>
      <c r="I12933" t="s">
        <v>116</v>
      </c>
      <c r="J12933" t="s">
        <v>103</v>
      </c>
      <c r="K12933" t="s">
        <v>103</v>
      </c>
      <c r="L12933" t="s">
        <v>103</v>
      </c>
      <c r="M12933" t="s">
        <v>98</v>
      </c>
      <c r="N12933" t="s">
        <v>94</v>
      </c>
      <c r="O12933" t="s">
        <v>103</v>
      </c>
    </row>
    <row r="12934" spans="1:15" x14ac:dyDescent="0.3">
      <c r="A12934" t="s">
        <v>41</v>
      </c>
      <c r="B12934" t="s">
        <v>765</v>
      </c>
      <c r="C12934">
        <v>1392</v>
      </c>
      <c r="D12934" t="s">
        <v>590</v>
      </c>
      <c r="E12934" t="s">
        <v>120</v>
      </c>
      <c r="F12934" t="s">
        <v>122</v>
      </c>
      <c r="G12934" t="s">
        <v>122</v>
      </c>
      <c r="H12934" t="s">
        <v>66</v>
      </c>
      <c r="I12934" t="s">
        <v>95</v>
      </c>
      <c r="J12934" t="s">
        <v>116</v>
      </c>
      <c r="K12934" t="s">
        <v>95</v>
      </c>
      <c r="L12934" t="s">
        <v>91</v>
      </c>
      <c r="M12934" t="s">
        <v>103</v>
      </c>
      <c r="N12934" t="s">
        <v>133</v>
      </c>
      <c r="O12934" t="s">
        <v>91</v>
      </c>
    </row>
    <row r="12935" spans="1:15" x14ac:dyDescent="0.3">
      <c r="A12935" t="s">
        <v>41</v>
      </c>
      <c r="B12935" t="s">
        <v>767</v>
      </c>
      <c r="C12935">
        <v>497</v>
      </c>
      <c r="D12935" t="s">
        <v>1134</v>
      </c>
      <c r="E12935" t="s">
        <v>194</v>
      </c>
      <c r="F12935" t="s">
        <v>98</v>
      </c>
      <c r="G12935" t="s">
        <v>97</v>
      </c>
      <c r="H12935" t="s">
        <v>122</v>
      </c>
      <c r="I12935" t="s">
        <v>120</v>
      </c>
      <c r="J12935" t="s">
        <v>103</v>
      </c>
      <c r="K12935" t="s">
        <v>110</v>
      </c>
      <c r="L12935" t="s">
        <v>282</v>
      </c>
      <c r="M12935" t="s">
        <v>103</v>
      </c>
      <c r="N12935" t="s">
        <v>32</v>
      </c>
      <c r="O12935" t="s">
        <v>95</v>
      </c>
    </row>
    <row r="12937" spans="1:15" x14ac:dyDescent="0.3">
      <c r="A12937" t="s">
        <v>2897</v>
      </c>
    </row>
    <row r="12938" spans="1:15" x14ac:dyDescent="0.3">
      <c r="A12938" t="s">
        <v>36</v>
      </c>
      <c r="B12938" t="s">
        <v>1647</v>
      </c>
      <c r="C12938" t="s">
        <v>24</v>
      </c>
      <c r="D12938" t="s">
        <v>2886</v>
      </c>
      <c r="E12938" t="s">
        <v>2887</v>
      </c>
      <c r="F12938" t="s">
        <v>2888</v>
      </c>
      <c r="G12938" t="s">
        <v>2889</v>
      </c>
      <c r="H12938" t="s">
        <v>2890</v>
      </c>
      <c r="I12938" t="s">
        <v>2891</v>
      </c>
      <c r="J12938" t="s">
        <v>2892</v>
      </c>
      <c r="K12938" t="s">
        <v>2893</v>
      </c>
      <c r="L12938" t="s">
        <v>2894</v>
      </c>
      <c r="M12938" t="s">
        <v>183</v>
      </c>
      <c r="N12938" t="s">
        <v>87</v>
      </c>
      <c r="O12938" t="s">
        <v>181</v>
      </c>
    </row>
    <row r="12939" spans="1:15" x14ac:dyDescent="0.3">
      <c r="A12939" t="s">
        <v>25</v>
      </c>
      <c r="B12939" t="s">
        <v>1648</v>
      </c>
      <c r="C12939">
        <v>143</v>
      </c>
      <c r="D12939" t="s">
        <v>781</v>
      </c>
      <c r="E12939" t="s">
        <v>103</v>
      </c>
      <c r="F12939" t="s">
        <v>103</v>
      </c>
      <c r="G12939" t="s">
        <v>103</v>
      </c>
      <c r="H12939" t="s">
        <v>103</v>
      </c>
      <c r="I12939" t="s">
        <v>103</v>
      </c>
      <c r="J12939" t="s">
        <v>98</v>
      </c>
      <c r="K12939" t="s">
        <v>103</v>
      </c>
      <c r="L12939" t="s">
        <v>103</v>
      </c>
      <c r="M12939" t="s">
        <v>103</v>
      </c>
      <c r="N12939" t="s">
        <v>186</v>
      </c>
      <c r="O12939" t="s">
        <v>103</v>
      </c>
    </row>
    <row r="12940" spans="1:15" x14ac:dyDescent="0.3">
      <c r="A12940" t="s">
        <v>25</v>
      </c>
      <c r="B12940" t="s">
        <v>1649</v>
      </c>
      <c r="C12940">
        <v>271</v>
      </c>
      <c r="D12940" t="s">
        <v>896</v>
      </c>
      <c r="E12940" t="s">
        <v>103</v>
      </c>
      <c r="F12940" t="s">
        <v>103</v>
      </c>
      <c r="G12940" t="s">
        <v>103</v>
      </c>
      <c r="H12940" t="s">
        <v>103</v>
      </c>
      <c r="I12940" t="s">
        <v>103</v>
      </c>
      <c r="J12940" t="s">
        <v>103</v>
      </c>
      <c r="K12940" t="s">
        <v>103</v>
      </c>
      <c r="L12940" t="s">
        <v>103</v>
      </c>
      <c r="M12940" t="s">
        <v>103</v>
      </c>
      <c r="N12940" t="s">
        <v>133</v>
      </c>
      <c r="O12940" t="s">
        <v>103</v>
      </c>
    </row>
    <row r="12941" spans="1:15" x14ac:dyDescent="0.3">
      <c r="A12941" t="s">
        <v>26</v>
      </c>
      <c r="B12941" t="s">
        <v>1648</v>
      </c>
      <c r="C12941">
        <v>153</v>
      </c>
      <c r="D12941" t="s">
        <v>597</v>
      </c>
      <c r="E12941" t="s">
        <v>103</v>
      </c>
      <c r="F12941" t="s">
        <v>103</v>
      </c>
      <c r="G12941" t="s">
        <v>122</v>
      </c>
      <c r="H12941" t="s">
        <v>103</v>
      </c>
      <c r="I12941" t="s">
        <v>105</v>
      </c>
      <c r="J12941" t="s">
        <v>103</v>
      </c>
      <c r="K12941" t="s">
        <v>118</v>
      </c>
      <c r="L12941" t="s">
        <v>103</v>
      </c>
      <c r="M12941" t="s">
        <v>103</v>
      </c>
      <c r="N12941" t="s">
        <v>468</v>
      </c>
      <c r="O12941" t="s">
        <v>103</v>
      </c>
    </row>
    <row r="12942" spans="1:15" x14ac:dyDescent="0.3">
      <c r="A12942" t="s">
        <v>26</v>
      </c>
      <c r="B12942" t="s">
        <v>1649</v>
      </c>
      <c r="C12942">
        <v>324</v>
      </c>
      <c r="D12942" t="s">
        <v>1633</v>
      </c>
      <c r="E12942" t="s">
        <v>103</v>
      </c>
      <c r="F12942" t="s">
        <v>103</v>
      </c>
      <c r="G12942" t="s">
        <v>103</v>
      </c>
      <c r="H12942" t="s">
        <v>103</v>
      </c>
      <c r="I12942" t="s">
        <v>103</v>
      </c>
      <c r="J12942" t="s">
        <v>103</v>
      </c>
      <c r="K12942" t="s">
        <v>116</v>
      </c>
      <c r="L12942" t="s">
        <v>103</v>
      </c>
      <c r="M12942" t="s">
        <v>122</v>
      </c>
      <c r="N12942" t="s">
        <v>257</v>
      </c>
      <c r="O12942" t="s">
        <v>122</v>
      </c>
    </row>
    <row r="12943" spans="1:15" x14ac:dyDescent="0.3">
      <c r="A12943" t="s">
        <v>29</v>
      </c>
      <c r="B12943" t="s">
        <v>1648</v>
      </c>
      <c r="C12943">
        <v>252</v>
      </c>
      <c r="D12943" t="s">
        <v>897</v>
      </c>
      <c r="E12943" t="s">
        <v>195</v>
      </c>
      <c r="F12943" t="s">
        <v>216</v>
      </c>
      <c r="G12943" t="s">
        <v>139</v>
      </c>
      <c r="H12943" t="s">
        <v>95</v>
      </c>
      <c r="I12943" t="s">
        <v>139</v>
      </c>
      <c r="J12943" t="s">
        <v>122</v>
      </c>
      <c r="K12943" t="s">
        <v>128</v>
      </c>
      <c r="L12943" t="s">
        <v>468</v>
      </c>
      <c r="M12943" t="s">
        <v>103</v>
      </c>
      <c r="N12943" t="s">
        <v>100</v>
      </c>
      <c r="O12943" t="s">
        <v>95</v>
      </c>
    </row>
    <row r="12944" spans="1:15" x14ac:dyDescent="0.3">
      <c r="A12944" t="s">
        <v>29</v>
      </c>
      <c r="B12944" t="s">
        <v>1649</v>
      </c>
      <c r="C12944">
        <v>278</v>
      </c>
      <c r="D12944" t="s">
        <v>827</v>
      </c>
      <c r="E12944" t="s">
        <v>122</v>
      </c>
      <c r="F12944" t="s">
        <v>120</v>
      </c>
      <c r="G12944" t="s">
        <v>122</v>
      </c>
      <c r="H12944" t="s">
        <v>91</v>
      </c>
      <c r="I12944" t="s">
        <v>139</v>
      </c>
      <c r="J12944" t="s">
        <v>91</v>
      </c>
      <c r="K12944" t="s">
        <v>103</v>
      </c>
      <c r="L12944" t="s">
        <v>122</v>
      </c>
      <c r="M12944" t="s">
        <v>103</v>
      </c>
      <c r="N12944" t="s">
        <v>511</v>
      </c>
      <c r="O12944" t="s">
        <v>91</v>
      </c>
    </row>
    <row r="12945" spans="1:15" x14ac:dyDescent="0.3">
      <c r="A12945" t="s">
        <v>28</v>
      </c>
      <c r="B12945" t="s">
        <v>1648</v>
      </c>
      <c r="C12945">
        <v>77</v>
      </c>
      <c r="D12945" t="s">
        <v>339</v>
      </c>
      <c r="E12945" t="s">
        <v>103</v>
      </c>
      <c r="F12945" t="s">
        <v>103</v>
      </c>
      <c r="G12945" t="s">
        <v>103</v>
      </c>
      <c r="H12945" t="s">
        <v>103</v>
      </c>
      <c r="I12945" t="s">
        <v>118</v>
      </c>
      <c r="J12945" t="s">
        <v>103</v>
      </c>
      <c r="K12945" t="s">
        <v>103</v>
      </c>
      <c r="L12945" t="s">
        <v>103</v>
      </c>
      <c r="M12945" t="s">
        <v>103</v>
      </c>
      <c r="N12945" t="s">
        <v>103</v>
      </c>
      <c r="O12945" t="s">
        <v>103</v>
      </c>
    </row>
    <row r="12946" spans="1:15" x14ac:dyDescent="0.3">
      <c r="A12946" t="s">
        <v>28</v>
      </c>
      <c r="B12946" t="s">
        <v>1649</v>
      </c>
      <c r="C12946">
        <v>240</v>
      </c>
      <c r="D12946" t="s">
        <v>1481</v>
      </c>
      <c r="E12946" t="s">
        <v>103</v>
      </c>
      <c r="F12946" t="s">
        <v>103</v>
      </c>
      <c r="G12946" t="s">
        <v>103</v>
      </c>
      <c r="H12946" t="s">
        <v>103</v>
      </c>
      <c r="I12946" t="s">
        <v>103</v>
      </c>
      <c r="J12946" t="s">
        <v>103</v>
      </c>
      <c r="K12946" t="s">
        <v>103</v>
      </c>
      <c r="L12946" t="s">
        <v>103</v>
      </c>
      <c r="M12946" t="s">
        <v>103</v>
      </c>
      <c r="N12946" t="s">
        <v>208</v>
      </c>
      <c r="O12946" t="s">
        <v>103</v>
      </c>
    </row>
    <row r="12947" spans="1:15" x14ac:dyDescent="0.3">
      <c r="A12947" t="s">
        <v>27</v>
      </c>
      <c r="B12947" t="s">
        <v>1648</v>
      </c>
      <c r="C12947">
        <v>64</v>
      </c>
      <c r="D12947" t="s">
        <v>712</v>
      </c>
      <c r="E12947" t="s">
        <v>110</v>
      </c>
      <c r="F12947" t="s">
        <v>110</v>
      </c>
      <c r="G12947" t="s">
        <v>103</v>
      </c>
      <c r="H12947" t="s">
        <v>103</v>
      </c>
      <c r="I12947" t="s">
        <v>64</v>
      </c>
      <c r="J12947" t="s">
        <v>103</v>
      </c>
      <c r="K12947" t="s">
        <v>201</v>
      </c>
      <c r="L12947" t="s">
        <v>103</v>
      </c>
      <c r="M12947" t="s">
        <v>103</v>
      </c>
      <c r="N12947" t="s">
        <v>615</v>
      </c>
      <c r="O12947" t="s">
        <v>103</v>
      </c>
    </row>
    <row r="12948" spans="1:15" x14ac:dyDescent="0.3">
      <c r="A12948" t="s">
        <v>27</v>
      </c>
      <c r="B12948" t="s">
        <v>1649</v>
      </c>
      <c r="C12948">
        <v>236</v>
      </c>
      <c r="D12948" t="s">
        <v>53</v>
      </c>
      <c r="E12948" t="s">
        <v>282</v>
      </c>
      <c r="F12948" t="s">
        <v>116</v>
      </c>
      <c r="G12948" t="s">
        <v>194</v>
      </c>
      <c r="H12948" t="s">
        <v>239</v>
      </c>
      <c r="I12948" t="s">
        <v>105</v>
      </c>
      <c r="J12948" t="s">
        <v>103</v>
      </c>
      <c r="K12948" t="s">
        <v>97</v>
      </c>
      <c r="L12948" t="s">
        <v>103</v>
      </c>
      <c r="M12948" t="s">
        <v>103</v>
      </c>
      <c r="N12948" t="s">
        <v>146</v>
      </c>
      <c r="O12948" t="s">
        <v>97</v>
      </c>
    </row>
    <row r="12949" spans="1:15" x14ac:dyDescent="0.3">
      <c r="A12949" t="s">
        <v>41</v>
      </c>
      <c r="B12949" t="s">
        <v>1648</v>
      </c>
      <c r="C12949">
        <v>689</v>
      </c>
      <c r="D12949" t="s">
        <v>170</v>
      </c>
      <c r="E12949" t="s">
        <v>245</v>
      </c>
      <c r="F12949" t="s">
        <v>98</v>
      </c>
      <c r="G12949" t="s">
        <v>120</v>
      </c>
      <c r="H12949" t="s">
        <v>122</v>
      </c>
      <c r="I12949" t="s">
        <v>282</v>
      </c>
      <c r="J12949" t="s">
        <v>122</v>
      </c>
      <c r="K12949" t="s">
        <v>341</v>
      </c>
      <c r="L12949" t="s">
        <v>95</v>
      </c>
      <c r="M12949" t="s">
        <v>103</v>
      </c>
      <c r="N12949" t="s">
        <v>70</v>
      </c>
      <c r="O12949" t="s">
        <v>122</v>
      </c>
    </row>
    <row r="12950" spans="1:15" x14ac:dyDescent="0.3">
      <c r="A12950" t="s">
        <v>41</v>
      </c>
      <c r="B12950" t="s">
        <v>1649</v>
      </c>
      <c r="C12950">
        <v>1349</v>
      </c>
      <c r="D12950" t="s">
        <v>1027</v>
      </c>
      <c r="E12950" t="s">
        <v>66</v>
      </c>
      <c r="F12950" t="s">
        <v>66</v>
      </c>
      <c r="G12950" t="s">
        <v>66</v>
      </c>
      <c r="H12950" t="s">
        <v>91</v>
      </c>
      <c r="I12950" t="s">
        <v>122</v>
      </c>
      <c r="J12950" t="s">
        <v>103</v>
      </c>
      <c r="K12950" t="s">
        <v>91</v>
      </c>
      <c r="L12950" t="s">
        <v>66</v>
      </c>
      <c r="M12950" t="s">
        <v>91</v>
      </c>
      <c r="N12950" t="s">
        <v>70</v>
      </c>
      <c r="O12950" t="s">
        <v>91</v>
      </c>
    </row>
    <row r="12952" spans="1:15" x14ac:dyDescent="0.3">
      <c r="A12952" t="s">
        <v>2898</v>
      </c>
    </row>
    <row r="12953" spans="1:15" x14ac:dyDescent="0.3">
      <c r="A12953" t="s">
        <v>36</v>
      </c>
      <c r="B12953" t="s">
        <v>2756</v>
      </c>
      <c r="C12953" t="s">
        <v>24</v>
      </c>
      <c r="D12953" t="s">
        <v>2886</v>
      </c>
      <c r="E12953" t="s">
        <v>2887</v>
      </c>
      <c r="F12953" t="s">
        <v>2888</v>
      </c>
      <c r="G12953" t="s">
        <v>2889</v>
      </c>
      <c r="H12953" t="s">
        <v>2890</v>
      </c>
      <c r="I12953" t="s">
        <v>2891</v>
      </c>
      <c r="J12953" t="s">
        <v>2892</v>
      </c>
      <c r="K12953" t="s">
        <v>2893</v>
      </c>
      <c r="L12953" t="s">
        <v>2894</v>
      </c>
      <c r="M12953" t="s">
        <v>183</v>
      </c>
      <c r="N12953" t="s">
        <v>87</v>
      </c>
      <c r="O12953" t="s">
        <v>181</v>
      </c>
    </row>
    <row r="12954" spans="1:15" s="3" customFormat="1" x14ac:dyDescent="0.3">
      <c r="A12954" s="3" t="s">
        <v>25</v>
      </c>
      <c r="B12954" s="3" t="s">
        <v>2757</v>
      </c>
      <c r="C12954" s="3">
        <v>13</v>
      </c>
      <c r="D12954" s="3" t="s">
        <v>851</v>
      </c>
      <c r="E12954" s="3" t="s">
        <v>103</v>
      </c>
      <c r="F12954" s="3" t="s">
        <v>103</v>
      </c>
      <c r="G12954" s="3" t="s">
        <v>103</v>
      </c>
      <c r="H12954" s="3" t="s">
        <v>103</v>
      </c>
      <c r="I12954" s="3" t="s">
        <v>103</v>
      </c>
      <c r="J12954" s="3" t="s">
        <v>103</v>
      </c>
      <c r="K12954" s="3" t="s">
        <v>103</v>
      </c>
      <c r="L12954" s="3" t="s">
        <v>103</v>
      </c>
      <c r="M12954" s="3" t="s">
        <v>103</v>
      </c>
      <c r="N12954" s="3" t="s">
        <v>571</v>
      </c>
      <c r="O12954" s="3" t="s">
        <v>103</v>
      </c>
    </row>
    <row r="12955" spans="1:15" x14ac:dyDescent="0.3">
      <c r="A12955" t="s">
        <v>25</v>
      </c>
      <c r="B12955" t="s">
        <v>2758</v>
      </c>
      <c r="C12955">
        <v>136</v>
      </c>
      <c r="D12955" t="s">
        <v>287</v>
      </c>
      <c r="E12955" t="s">
        <v>103</v>
      </c>
      <c r="F12955" t="s">
        <v>103</v>
      </c>
      <c r="G12955" t="s">
        <v>103</v>
      </c>
      <c r="H12955" t="s">
        <v>103</v>
      </c>
      <c r="I12955" t="s">
        <v>103</v>
      </c>
      <c r="J12955" t="s">
        <v>98</v>
      </c>
      <c r="K12955" t="s">
        <v>103</v>
      </c>
      <c r="L12955" t="s">
        <v>103</v>
      </c>
      <c r="M12955" t="s">
        <v>103</v>
      </c>
      <c r="N12955" t="s">
        <v>68</v>
      </c>
      <c r="O12955" t="s">
        <v>103</v>
      </c>
    </row>
    <row r="12956" spans="1:15" x14ac:dyDescent="0.3">
      <c r="A12956" t="s">
        <v>25</v>
      </c>
      <c r="B12956" t="s">
        <v>2759</v>
      </c>
      <c r="C12956">
        <v>135</v>
      </c>
      <c r="D12956" t="s">
        <v>71</v>
      </c>
      <c r="E12956" t="s">
        <v>103</v>
      </c>
      <c r="F12956" t="s">
        <v>103</v>
      </c>
      <c r="G12956" t="s">
        <v>103</v>
      </c>
      <c r="H12956" t="s">
        <v>103</v>
      </c>
      <c r="I12956" t="s">
        <v>103</v>
      </c>
      <c r="J12956" t="s">
        <v>103</v>
      </c>
      <c r="K12956" t="s">
        <v>103</v>
      </c>
      <c r="L12956" t="s">
        <v>103</v>
      </c>
      <c r="M12956" t="s">
        <v>103</v>
      </c>
      <c r="N12956" t="s">
        <v>70</v>
      </c>
      <c r="O12956" t="s">
        <v>103</v>
      </c>
    </row>
    <row r="12957" spans="1:15" x14ac:dyDescent="0.3">
      <c r="A12957" t="s">
        <v>25</v>
      </c>
      <c r="B12957" t="s">
        <v>2760</v>
      </c>
      <c r="C12957">
        <v>122</v>
      </c>
      <c r="D12957" t="s">
        <v>752</v>
      </c>
      <c r="E12957" t="s">
        <v>103</v>
      </c>
      <c r="F12957" t="s">
        <v>103</v>
      </c>
      <c r="G12957" t="s">
        <v>103</v>
      </c>
      <c r="H12957" t="s">
        <v>103</v>
      </c>
      <c r="I12957" t="s">
        <v>103</v>
      </c>
      <c r="J12957" t="s">
        <v>103</v>
      </c>
      <c r="K12957" t="s">
        <v>103</v>
      </c>
      <c r="L12957" t="s">
        <v>103</v>
      </c>
      <c r="M12957" t="s">
        <v>103</v>
      </c>
      <c r="N12957" t="s">
        <v>558</v>
      </c>
      <c r="O12957" t="s">
        <v>103</v>
      </c>
    </row>
    <row r="12958" spans="1:15" x14ac:dyDescent="0.3">
      <c r="A12958" t="s">
        <v>25</v>
      </c>
      <c r="B12958" t="s">
        <v>308</v>
      </c>
      <c r="C12958">
        <v>8</v>
      </c>
      <c r="D12958" t="s">
        <v>1019</v>
      </c>
      <c r="E12958" t="s">
        <v>103</v>
      </c>
      <c r="F12958" t="s">
        <v>103</v>
      </c>
      <c r="G12958" t="s">
        <v>103</v>
      </c>
      <c r="H12958" t="s">
        <v>103</v>
      </c>
      <c r="I12958" t="s">
        <v>103</v>
      </c>
      <c r="J12958" t="s">
        <v>103</v>
      </c>
      <c r="K12958" t="s">
        <v>103</v>
      </c>
      <c r="L12958" t="s">
        <v>103</v>
      </c>
      <c r="M12958" t="s">
        <v>103</v>
      </c>
      <c r="N12958" t="s">
        <v>813</v>
      </c>
      <c r="O12958" t="s">
        <v>103</v>
      </c>
    </row>
    <row r="12959" spans="1:15" s="3" customFormat="1" x14ac:dyDescent="0.3">
      <c r="A12959" s="3" t="s">
        <v>26</v>
      </c>
      <c r="B12959" s="3" t="s">
        <v>2757</v>
      </c>
      <c r="C12959" s="3">
        <v>17</v>
      </c>
      <c r="D12959" s="3" t="s">
        <v>841</v>
      </c>
      <c r="E12959" s="3" t="s">
        <v>103</v>
      </c>
      <c r="F12959" s="3" t="s">
        <v>103</v>
      </c>
      <c r="G12959" s="3" t="s">
        <v>103</v>
      </c>
      <c r="H12959" s="3" t="s">
        <v>103</v>
      </c>
      <c r="I12959" s="3" t="s">
        <v>103</v>
      </c>
      <c r="J12959" s="3" t="s">
        <v>103</v>
      </c>
      <c r="K12959" s="3" t="s">
        <v>103</v>
      </c>
      <c r="L12959" s="3" t="s">
        <v>103</v>
      </c>
      <c r="M12959" s="3" t="s">
        <v>103</v>
      </c>
      <c r="N12959" s="3" t="s">
        <v>615</v>
      </c>
      <c r="O12959" s="3" t="s">
        <v>103</v>
      </c>
    </row>
    <row r="12960" spans="1:15" x14ac:dyDescent="0.3">
      <c r="A12960" t="s">
        <v>26</v>
      </c>
      <c r="B12960" t="s">
        <v>2758</v>
      </c>
      <c r="C12960">
        <v>194</v>
      </c>
      <c r="D12960" t="s">
        <v>833</v>
      </c>
      <c r="E12960" t="s">
        <v>103</v>
      </c>
      <c r="F12960" t="s">
        <v>103</v>
      </c>
      <c r="G12960" t="s">
        <v>116</v>
      </c>
      <c r="H12960" t="s">
        <v>103</v>
      </c>
      <c r="I12960" t="s">
        <v>98</v>
      </c>
      <c r="J12960" t="s">
        <v>103</v>
      </c>
      <c r="K12960" t="s">
        <v>194</v>
      </c>
      <c r="L12960" t="s">
        <v>103</v>
      </c>
      <c r="M12960" t="s">
        <v>103</v>
      </c>
      <c r="N12960" t="s">
        <v>194</v>
      </c>
      <c r="O12960" t="s">
        <v>103</v>
      </c>
    </row>
    <row r="12961" spans="1:15" x14ac:dyDescent="0.3">
      <c r="A12961" t="s">
        <v>26</v>
      </c>
      <c r="B12961" t="s">
        <v>2759</v>
      </c>
      <c r="C12961">
        <v>143</v>
      </c>
      <c r="D12961" t="s">
        <v>71</v>
      </c>
      <c r="E12961" t="s">
        <v>103</v>
      </c>
      <c r="F12961" t="s">
        <v>103</v>
      </c>
      <c r="G12961" t="s">
        <v>103</v>
      </c>
      <c r="H12961" t="s">
        <v>103</v>
      </c>
      <c r="I12961" t="s">
        <v>103</v>
      </c>
      <c r="J12961" t="s">
        <v>103</v>
      </c>
      <c r="K12961" t="s">
        <v>139</v>
      </c>
      <c r="L12961" t="s">
        <v>103</v>
      </c>
      <c r="M12961" t="s">
        <v>98</v>
      </c>
      <c r="N12961" t="s">
        <v>270</v>
      </c>
      <c r="O12961" t="s">
        <v>139</v>
      </c>
    </row>
    <row r="12962" spans="1:15" x14ac:dyDescent="0.3">
      <c r="A12962" t="s">
        <v>26</v>
      </c>
      <c r="B12962" t="s">
        <v>2760</v>
      </c>
      <c r="C12962">
        <v>112</v>
      </c>
      <c r="D12962" t="s">
        <v>988</v>
      </c>
      <c r="E12962" t="s">
        <v>103</v>
      </c>
      <c r="F12962" t="s">
        <v>103</v>
      </c>
      <c r="G12962" t="s">
        <v>103</v>
      </c>
      <c r="H12962" t="s">
        <v>103</v>
      </c>
      <c r="I12962" t="s">
        <v>345</v>
      </c>
      <c r="J12962" t="s">
        <v>103</v>
      </c>
      <c r="K12962" t="s">
        <v>345</v>
      </c>
      <c r="L12962" t="s">
        <v>103</v>
      </c>
      <c r="M12962" t="s">
        <v>103</v>
      </c>
      <c r="N12962" t="s">
        <v>93</v>
      </c>
      <c r="O12962" t="s">
        <v>103</v>
      </c>
    </row>
    <row r="12963" spans="1:15" x14ac:dyDescent="0.3">
      <c r="A12963" t="s">
        <v>26</v>
      </c>
      <c r="B12963" t="s">
        <v>308</v>
      </c>
      <c r="C12963">
        <v>11</v>
      </c>
      <c r="D12963" t="s">
        <v>192</v>
      </c>
      <c r="E12963" t="s">
        <v>103</v>
      </c>
      <c r="F12963" t="s">
        <v>103</v>
      </c>
      <c r="G12963" t="s">
        <v>103</v>
      </c>
      <c r="H12963" t="s">
        <v>103</v>
      </c>
      <c r="I12963" t="s">
        <v>103</v>
      </c>
      <c r="J12963" t="s">
        <v>103</v>
      </c>
      <c r="K12963" t="s">
        <v>103</v>
      </c>
      <c r="L12963" t="s">
        <v>103</v>
      </c>
      <c r="M12963" t="s">
        <v>103</v>
      </c>
      <c r="N12963" t="s">
        <v>103</v>
      </c>
      <c r="O12963" t="s">
        <v>103</v>
      </c>
    </row>
    <row r="12964" spans="1:15" s="3" customFormat="1" x14ac:dyDescent="0.3">
      <c r="A12964" s="3" t="s">
        <v>29</v>
      </c>
      <c r="B12964" s="3" t="s">
        <v>2757</v>
      </c>
      <c r="C12964" s="3">
        <v>15</v>
      </c>
      <c r="D12964" s="3" t="s">
        <v>776</v>
      </c>
      <c r="E12964" s="3" t="s">
        <v>103</v>
      </c>
      <c r="F12964" s="3" t="s">
        <v>103</v>
      </c>
      <c r="G12964" s="3" t="s">
        <v>103</v>
      </c>
      <c r="H12964" s="3" t="s">
        <v>103</v>
      </c>
      <c r="I12964" s="3" t="s">
        <v>103</v>
      </c>
      <c r="J12964" s="3" t="s">
        <v>103</v>
      </c>
      <c r="K12964" s="3" t="s">
        <v>103</v>
      </c>
      <c r="L12964" s="3" t="s">
        <v>103</v>
      </c>
      <c r="M12964" s="3" t="s">
        <v>103</v>
      </c>
      <c r="N12964" s="3" t="s">
        <v>558</v>
      </c>
      <c r="O12964" s="3" t="s">
        <v>70</v>
      </c>
    </row>
    <row r="12965" spans="1:15" x14ac:dyDescent="0.3">
      <c r="A12965" t="s">
        <v>29</v>
      </c>
      <c r="B12965" t="s">
        <v>2758</v>
      </c>
      <c r="C12965">
        <v>245</v>
      </c>
      <c r="D12965" t="s">
        <v>243</v>
      </c>
      <c r="E12965" t="s">
        <v>195</v>
      </c>
      <c r="F12965" t="s">
        <v>105</v>
      </c>
      <c r="G12965" t="s">
        <v>98</v>
      </c>
      <c r="H12965" t="s">
        <v>95</v>
      </c>
      <c r="I12965" t="s">
        <v>98</v>
      </c>
      <c r="J12965" t="s">
        <v>122</v>
      </c>
      <c r="K12965" t="s">
        <v>128</v>
      </c>
      <c r="L12965" t="s">
        <v>194</v>
      </c>
      <c r="M12965" t="s">
        <v>103</v>
      </c>
      <c r="N12965" t="s">
        <v>459</v>
      </c>
      <c r="O12965" t="s">
        <v>122</v>
      </c>
    </row>
    <row r="12966" spans="1:15" x14ac:dyDescent="0.3">
      <c r="A12966" t="s">
        <v>29</v>
      </c>
      <c r="B12966" t="s">
        <v>2759</v>
      </c>
      <c r="C12966">
        <v>139</v>
      </c>
      <c r="D12966" t="s">
        <v>855</v>
      </c>
      <c r="E12966" t="s">
        <v>103</v>
      </c>
      <c r="F12966" t="s">
        <v>103</v>
      </c>
      <c r="G12966" t="s">
        <v>103</v>
      </c>
      <c r="H12966" t="s">
        <v>103</v>
      </c>
      <c r="I12966" t="s">
        <v>216</v>
      </c>
      <c r="J12966" t="s">
        <v>66</v>
      </c>
      <c r="K12966" t="s">
        <v>103</v>
      </c>
      <c r="L12966" t="s">
        <v>103</v>
      </c>
      <c r="M12966" t="s">
        <v>103</v>
      </c>
      <c r="N12966" t="s">
        <v>32</v>
      </c>
      <c r="O12966" t="s">
        <v>103</v>
      </c>
    </row>
    <row r="12967" spans="1:15" x14ac:dyDescent="0.3">
      <c r="A12967" t="s">
        <v>29</v>
      </c>
      <c r="B12967" t="s">
        <v>2760</v>
      </c>
      <c r="C12967">
        <v>122</v>
      </c>
      <c r="D12967" t="s">
        <v>855</v>
      </c>
      <c r="E12967" t="s">
        <v>345</v>
      </c>
      <c r="F12967" t="s">
        <v>282</v>
      </c>
      <c r="G12967" t="s">
        <v>282</v>
      </c>
      <c r="H12967" t="s">
        <v>103</v>
      </c>
      <c r="I12967" t="s">
        <v>103</v>
      </c>
      <c r="J12967" t="s">
        <v>103</v>
      </c>
      <c r="K12967" t="s">
        <v>103</v>
      </c>
      <c r="L12967" t="s">
        <v>282</v>
      </c>
      <c r="M12967" t="s">
        <v>103</v>
      </c>
      <c r="N12967" t="s">
        <v>107</v>
      </c>
      <c r="O12967" t="s">
        <v>91</v>
      </c>
    </row>
    <row r="12968" spans="1:15" x14ac:dyDescent="0.3">
      <c r="A12968" t="s">
        <v>29</v>
      </c>
      <c r="B12968" t="s">
        <v>308</v>
      </c>
      <c r="C12968">
        <v>9</v>
      </c>
      <c r="D12968" t="s">
        <v>617</v>
      </c>
      <c r="E12968" t="s">
        <v>103</v>
      </c>
      <c r="F12968" t="s">
        <v>103</v>
      </c>
      <c r="G12968" t="s">
        <v>103</v>
      </c>
      <c r="H12968" t="s">
        <v>93</v>
      </c>
      <c r="I12968" t="s">
        <v>103</v>
      </c>
      <c r="J12968" t="s">
        <v>103</v>
      </c>
      <c r="K12968" t="s">
        <v>103</v>
      </c>
      <c r="L12968" t="s">
        <v>103</v>
      </c>
      <c r="M12968" t="s">
        <v>103</v>
      </c>
      <c r="N12968" t="s">
        <v>536</v>
      </c>
      <c r="O12968" t="s">
        <v>103</v>
      </c>
    </row>
    <row r="12969" spans="1:15" x14ac:dyDescent="0.3">
      <c r="A12969" t="s">
        <v>28</v>
      </c>
      <c r="B12969" t="s">
        <v>2757</v>
      </c>
      <c r="C12969">
        <v>31</v>
      </c>
      <c r="D12969" t="s">
        <v>192</v>
      </c>
      <c r="E12969" t="s">
        <v>103</v>
      </c>
      <c r="F12969" t="s">
        <v>103</v>
      </c>
      <c r="G12969" t="s">
        <v>103</v>
      </c>
      <c r="H12969" t="s">
        <v>103</v>
      </c>
      <c r="I12969" t="s">
        <v>103</v>
      </c>
      <c r="J12969" t="s">
        <v>103</v>
      </c>
      <c r="K12969" t="s">
        <v>103</v>
      </c>
      <c r="L12969" t="s">
        <v>103</v>
      </c>
      <c r="M12969" t="s">
        <v>103</v>
      </c>
      <c r="N12969" t="s">
        <v>103</v>
      </c>
      <c r="O12969" t="s">
        <v>103</v>
      </c>
    </row>
    <row r="12970" spans="1:15" x14ac:dyDescent="0.3">
      <c r="A12970" t="s">
        <v>28</v>
      </c>
      <c r="B12970" t="s">
        <v>2758</v>
      </c>
      <c r="C12970">
        <v>100</v>
      </c>
      <c r="D12970" t="s">
        <v>1471</v>
      </c>
      <c r="E12970" t="s">
        <v>103</v>
      </c>
      <c r="F12970" t="s">
        <v>103</v>
      </c>
      <c r="G12970" t="s">
        <v>103</v>
      </c>
      <c r="H12970" t="s">
        <v>103</v>
      </c>
      <c r="I12970" t="s">
        <v>103</v>
      </c>
      <c r="J12970" t="s">
        <v>103</v>
      </c>
      <c r="K12970" t="s">
        <v>103</v>
      </c>
      <c r="L12970" t="s">
        <v>103</v>
      </c>
      <c r="M12970" t="s">
        <v>103</v>
      </c>
      <c r="N12970" t="s">
        <v>245</v>
      </c>
      <c r="O12970" t="s">
        <v>103</v>
      </c>
    </row>
    <row r="12971" spans="1:15" x14ac:dyDescent="0.3">
      <c r="A12971" t="s">
        <v>28</v>
      </c>
      <c r="B12971" t="s">
        <v>2759</v>
      </c>
      <c r="C12971">
        <v>104</v>
      </c>
      <c r="D12971" t="s">
        <v>340</v>
      </c>
      <c r="E12971" t="s">
        <v>103</v>
      </c>
      <c r="F12971" t="s">
        <v>103</v>
      </c>
      <c r="G12971" t="s">
        <v>103</v>
      </c>
      <c r="H12971" t="s">
        <v>103</v>
      </c>
      <c r="I12971" t="s">
        <v>216</v>
      </c>
      <c r="J12971" t="s">
        <v>103</v>
      </c>
      <c r="K12971" t="s">
        <v>103</v>
      </c>
      <c r="L12971" t="s">
        <v>103</v>
      </c>
      <c r="M12971" t="s">
        <v>103</v>
      </c>
      <c r="N12971" t="s">
        <v>103</v>
      </c>
      <c r="O12971" t="s">
        <v>103</v>
      </c>
    </row>
    <row r="12972" spans="1:15" x14ac:dyDescent="0.3">
      <c r="A12972" t="s">
        <v>28</v>
      </c>
      <c r="B12972" t="s">
        <v>2760</v>
      </c>
      <c r="C12972">
        <v>82</v>
      </c>
      <c r="D12972" t="s">
        <v>840</v>
      </c>
      <c r="E12972" t="s">
        <v>103</v>
      </c>
      <c r="F12972" t="s">
        <v>103</v>
      </c>
      <c r="G12972" t="s">
        <v>103</v>
      </c>
      <c r="H12972" t="s">
        <v>103</v>
      </c>
      <c r="I12972" t="s">
        <v>103</v>
      </c>
      <c r="J12972" t="s">
        <v>103</v>
      </c>
      <c r="K12972" t="s">
        <v>103</v>
      </c>
      <c r="L12972" t="s">
        <v>103</v>
      </c>
      <c r="M12972" t="s">
        <v>103</v>
      </c>
      <c r="N12972" t="s">
        <v>438</v>
      </c>
      <c r="O12972" t="s">
        <v>103</v>
      </c>
    </row>
    <row r="12973" spans="1:15" s="3" customFormat="1" x14ac:dyDescent="0.3">
      <c r="A12973" s="3" t="s">
        <v>27</v>
      </c>
      <c r="B12973" s="3" t="s">
        <v>2757</v>
      </c>
      <c r="C12973" s="3">
        <v>2</v>
      </c>
      <c r="D12973" s="3" t="s">
        <v>654</v>
      </c>
      <c r="E12973" s="3" t="s">
        <v>437</v>
      </c>
      <c r="F12973" s="3" t="s">
        <v>103</v>
      </c>
      <c r="G12973" s="3" t="s">
        <v>103</v>
      </c>
      <c r="H12973" s="3" t="s">
        <v>437</v>
      </c>
      <c r="I12973" s="3" t="s">
        <v>103</v>
      </c>
      <c r="J12973" s="3" t="s">
        <v>103</v>
      </c>
      <c r="K12973" s="3" t="s">
        <v>103</v>
      </c>
      <c r="L12973" s="3" t="s">
        <v>103</v>
      </c>
      <c r="M12973" s="3" t="s">
        <v>103</v>
      </c>
      <c r="N12973" s="3" t="s">
        <v>103</v>
      </c>
      <c r="O12973" s="3" t="s">
        <v>103</v>
      </c>
    </row>
    <row r="12974" spans="1:15" x14ac:dyDescent="0.3">
      <c r="A12974" t="s">
        <v>27</v>
      </c>
      <c r="B12974" t="s">
        <v>2758</v>
      </c>
      <c r="C12974">
        <v>86</v>
      </c>
      <c r="D12974" t="s">
        <v>176</v>
      </c>
      <c r="E12974" t="s">
        <v>270</v>
      </c>
      <c r="F12974" t="s">
        <v>208</v>
      </c>
      <c r="G12974" t="s">
        <v>98</v>
      </c>
      <c r="H12974" t="s">
        <v>98</v>
      </c>
      <c r="I12974" t="s">
        <v>438</v>
      </c>
      <c r="J12974" t="s">
        <v>103</v>
      </c>
      <c r="K12974" t="s">
        <v>345</v>
      </c>
      <c r="L12974" t="s">
        <v>103</v>
      </c>
      <c r="M12974" t="s">
        <v>103</v>
      </c>
      <c r="N12974" t="s">
        <v>101</v>
      </c>
      <c r="O12974" t="s">
        <v>103</v>
      </c>
    </row>
    <row r="12975" spans="1:15" x14ac:dyDescent="0.3">
      <c r="A12975" t="s">
        <v>27</v>
      </c>
      <c r="B12975" t="s">
        <v>2759</v>
      </c>
      <c r="C12975">
        <v>82</v>
      </c>
      <c r="D12975" t="s">
        <v>215</v>
      </c>
      <c r="E12975" t="s">
        <v>103</v>
      </c>
      <c r="F12975" t="s">
        <v>103</v>
      </c>
      <c r="G12975" t="s">
        <v>345</v>
      </c>
      <c r="H12975" t="s">
        <v>208</v>
      </c>
      <c r="I12975" t="s">
        <v>329</v>
      </c>
      <c r="J12975" t="s">
        <v>103</v>
      </c>
      <c r="K12975" t="s">
        <v>128</v>
      </c>
      <c r="L12975" t="s">
        <v>103</v>
      </c>
      <c r="M12975" t="s">
        <v>103</v>
      </c>
      <c r="N12975" t="s">
        <v>33</v>
      </c>
      <c r="O12975" t="s">
        <v>103</v>
      </c>
    </row>
    <row r="12976" spans="1:15" x14ac:dyDescent="0.3">
      <c r="A12976" t="s">
        <v>27</v>
      </c>
      <c r="B12976" t="s">
        <v>2760</v>
      </c>
      <c r="C12976">
        <v>128</v>
      </c>
      <c r="D12976" t="s">
        <v>274</v>
      </c>
      <c r="E12976" t="s">
        <v>103</v>
      </c>
      <c r="F12976" t="s">
        <v>103</v>
      </c>
      <c r="G12976" t="s">
        <v>98</v>
      </c>
      <c r="H12976" t="s">
        <v>103</v>
      </c>
      <c r="I12976" t="s">
        <v>98</v>
      </c>
      <c r="J12976" t="s">
        <v>103</v>
      </c>
      <c r="K12976" t="s">
        <v>98</v>
      </c>
      <c r="L12976" t="s">
        <v>103</v>
      </c>
      <c r="M12976" t="s">
        <v>103</v>
      </c>
      <c r="N12976" t="s">
        <v>92</v>
      </c>
      <c r="O12976" t="s">
        <v>98</v>
      </c>
    </row>
    <row r="12977" spans="1:15" x14ac:dyDescent="0.3">
      <c r="A12977" t="s">
        <v>27</v>
      </c>
      <c r="B12977" t="s">
        <v>308</v>
      </c>
      <c r="C12977">
        <v>2</v>
      </c>
      <c r="D12977" t="s">
        <v>192</v>
      </c>
      <c r="E12977" t="s">
        <v>103</v>
      </c>
      <c r="F12977" t="s">
        <v>103</v>
      </c>
      <c r="G12977" t="s">
        <v>103</v>
      </c>
      <c r="H12977" t="s">
        <v>103</v>
      </c>
      <c r="I12977" t="s">
        <v>103</v>
      </c>
      <c r="J12977" t="s">
        <v>103</v>
      </c>
      <c r="K12977" t="s">
        <v>103</v>
      </c>
      <c r="L12977" t="s">
        <v>103</v>
      </c>
      <c r="M12977" t="s">
        <v>103</v>
      </c>
      <c r="N12977" t="s">
        <v>103</v>
      </c>
      <c r="O12977" t="s">
        <v>103</v>
      </c>
    </row>
    <row r="12978" spans="1:15" x14ac:dyDescent="0.3">
      <c r="A12978" t="s">
        <v>41</v>
      </c>
      <c r="B12978" t="s">
        <v>2757</v>
      </c>
      <c r="C12978">
        <v>78</v>
      </c>
      <c r="D12978" t="s">
        <v>283</v>
      </c>
      <c r="E12978" t="s">
        <v>122</v>
      </c>
      <c r="F12978" t="s">
        <v>103</v>
      </c>
      <c r="G12978" t="s">
        <v>103</v>
      </c>
      <c r="H12978" t="s">
        <v>122</v>
      </c>
      <c r="I12978" t="s">
        <v>103</v>
      </c>
      <c r="J12978" t="s">
        <v>103</v>
      </c>
      <c r="K12978" t="s">
        <v>103</v>
      </c>
      <c r="L12978" t="s">
        <v>103</v>
      </c>
      <c r="M12978" t="s">
        <v>103</v>
      </c>
      <c r="N12978" t="s">
        <v>281</v>
      </c>
      <c r="O12978" t="s">
        <v>128</v>
      </c>
    </row>
    <row r="12979" spans="1:15" x14ac:dyDescent="0.3">
      <c r="A12979" t="s">
        <v>41</v>
      </c>
      <c r="B12979" t="s">
        <v>2758</v>
      </c>
      <c r="C12979">
        <v>761</v>
      </c>
      <c r="D12979" t="s">
        <v>776</v>
      </c>
      <c r="E12979" t="s">
        <v>245</v>
      </c>
      <c r="F12979" t="s">
        <v>282</v>
      </c>
      <c r="G12979" t="s">
        <v>120</v>
      </c>
      <c r="H12979" t="s">
        <v>122</v>
      </c>
      <c r="I12979" t="s">
        <v>139</v>
      </c>
      <c r="J12979" t="s">
        <v>122</v>
      </c>
      <c r="K12979" t="s">
        <v>216</v>
      </c>
      <c r="L12979" t="s">
        <v>95</v>
      </c>
      <c r="M12979" t="s">
        <v>103</v>
      </c>
      <c r="N12979" t="s">
        <v>594</v>
      </c>
      <c r="O12979" t="s">
        <v>66</v>
      </c>
    </row>
    <row r="12980" spans="1:15" x14ac:dyDescent="0.3">
      <c r="A12980" t="s">
        <v>41</v>
      </c>
      <c r="B12980" t="s">
        <v>2759</v>
      </c>
      <c r="C12980">
        <v>603</v>
      </c>
      <c r="D12980" t="s">
        <v>849</v>
      </c>
      <c r="E12980" t="s">
        <v>103</v>
      </c>
      <c r="F12980" t="s">
        <v>103</v>
      </c>
      <c r="G12980" t="s">
        <v>91</v>
      </c>
      <c r="H12980" t="s">
        <v>91</v>
      </c>
      <c r="I12980" t="s">
        <v>98</v>
      </c>
      <c r="J12980" t="s">
        <v>91</v>
      </c>
      <c r="K12980" t="s">
        <v>116</v>
      </c>
      <c r="L12980" t="s">
        <v>103</v>
      </c>
      <c r="M12980" t="s">
        <v>66</v>
      </c>
      <c r="N12980" t="s">
        <v>107</v>
      </c>
      <c r="O12980" t="s">
        <v>66</v>
      </c>
    </row>
    <row r="12981" spans="1:15" x14ac:dyDescent="0.3">
      <c r="A12981" t="s">
        <v>41</v>
      </c>
      <c r="B12981" t="s">
        <v>2760</v>
      </c>
      <c r="C12981">
        <v>566</v>
      </c>
      <c r="D12981" t="s">
        <v>636</v>
      </c>
      <c r="E12981" t="s">
        <v>97</v>
      </c>
      <c r="F12981" t="s">
        <v>122</v>
      </c>
      <c r="G12981" t="s">
        <v>97</v>
      </c>
      <c r="H12981" t="s">
        <v>103</v>
      </c>
      <c r="I12981" t="s">
        <v>116</v>
      </c>
      <c r="J12981" t="s">
        <v>103</v>
      </c>
      <c r="K12981" t="s">
        <v>116</v>
      </c>
      <c r="L12981" t="s">
        <v>122</v>
      </c>
      <c r="M12981" t="s">
        <v>103</v>
      </c>
      <c r="N12981" t="s">
        <v>32</v>
      </c>
      <c r="O12981" t="s">
        <v>91</v>
      </c>
    </row>
    <row r="12982" spans="1:15" x14ac:dyDescent="0.3">
      <c r="A12982" t="s">
        <v>41</v>
      </c>
      <c r="B12982" t="s">
        <v>308</v>
      </c>
      <c r="C12982">
        <v>30</v>
      </c>
      <c r="D12982" t="s">
        <v>280</v>
      </c>
      <c r="E12982" t="s">
        <v>103</v>
      </c>
      <c r="F12982" t="s">
        <v>103</v>
      </c>
      <c r="G12982" t="s">
        <v>103</v>
      </c>
      <c r="H12982" t="s">
        <v>98</v>
      </c>
      <c r="I12982" t="s">
        <v>103</v>
      </c>
      <c r="J12982" t="s">
        <v>103</v>
      </c>
      <c r="K12982" t="s">
        <v>103</v>
      </c>
      <c r="L12982" t="s">
        <v>103</v>
      </c>
      <c r="M12982" t="s">
        <v>103</v>
      </c>
      <c r="N12982" t="s">
        <v>242</v>
      </c>
      <c r="O12982" t="s">
        <v>103</v>
      </c>
    </row>
    <row r="12984" spans="1:15" x14ac:dyDescent="0.3">
      <c r="A12984" t="s">
        <v>2899</v>
      </c>
    </row>
    <row r="12985" spans="1:15" x14ac:dyDescent="0.3">
      <c r="A12985" t="s">
        <v>36</v>
      </c>
      <c r="B12985" t="s">
        <v>310</v>
      </c>
      <c r="C12985" t="s">
        <v>24</v>
      </c>
      <c r="D12985" t="s">
        <v>2886</v>
      </c>
      <c r="E12985" t="s">
        <v>2887</v>
      </c>
      <c r="F12985" t="s">
        <v>2888</v>
      </c>
      <c r="G12985" t="s">
        <v>2889</v>
      </c>
      <c r="H12985" t="s">
        <v>2890</v>
      </c>
      <c r="I12985" t="s">
        <v>2891</v>
      </c>
      <c r="J12985" t="s">
        <v>2892</v>
      </c>
      <c r="K12985" t="s">
        <v>2893</v>
      </c>
      <c r="L12985" t="s">
        <v>2894</v>
      </c>
      <c r="M12985" t="s">
        <v>183</v>
      </c>
      <c r="N12985" t="s">
        <v>87</v>
      </c>
      <c r="O12985" t="s">
        <v>181</v>
      </c>
    </row>
    <row r="12986" spans="1:15" x14ac:dyDescent="0.3">
      <c r="A12986" t="s">
        <v>25</v>
      </c>
      <c r="B12986" t="s">
        <v>311</v>
      </c>
      <c r="C12986">
        <v>324</v>
      </c>
      <c r="D12986" t="s">
        <v>611</v>
      </c>
      <c r="E12986" t="s">
        <v>103</v>
      </c>
      <c r="F12986" t="s">
        <v>103</v>
      </c>
      <c r="G12986" t="s">
        <v>103</v>
      </c>
      <c r="H12986" t="s">
        <v>103</v>
      </c>
      <c r="I12986" t="s">
        <v>103</v>
      </c>
      <c r="J12986" t="s">
        <v>122</v>
      </c>
      <c r="K12986" t="s">
        <v>103</v>
      </c>
      <c r="L12986" t="s">
        <v>103</v>
      </c>
      <c r="M12986" t="s">
        <v>103</v>
      </c>
      <c r="N12986" t="s">
        <v>70</v>
      </c>
      <c r="O12986" t="s">
        <v>103</v>
      </c>
    </row>
    <row r="12987" spans="1:15" x14ac:dyDescent="0.3">
      <c r="A12987" t="s">
        <v>25</v>
      </c>
      <c r="B12987" t="s">
        <v>312</v>
      </c>
      <c r="C12987">
        <v>80</v>
      </c>
      <c r="D12987" t="s">
        <v>65</v>
      </c>
      <c r="E12987" t="s">
        <v>103</v>
      </c>
      <c r="F12987" t="s">
        <v>103</v>
      </c>
      <c r="G12987" t="s">
        <v>103</v>
      </c>
      <c r="H12987" t="s">
        <v>103</v>
      </c>
      <c r="I12987" t="s">
        <v>103</v>
      </c>
      <c r="J12987" t="s">
        <v>103</v>
      </c>
      <c r="K12987" t="s">
        <v>103</v>
      </c>
      <c r="L12987" t="s">
        <v>103</v>
      </c>
      <c r="M12987" t="s">
        <v>103</v>
      </c>
      <c r="N12987" t="s">
        <v>64</v>
      </c>
      <c r="O12987" t="s">
        <v>103</v>
      </c>
    </row>
    <row r="12988" spans="1:15" x14ac:dyDescent="0.3">
      <c r="A12988" t="s">
        <v>25</v>
      </c>
      <c r="B12988" t="s">
        <v>308</v>
      </c>
      <c r="C12988">
        <v>10</v>
      </c>
      <c r="D12988" t="s">
        <v>193</v>
      </c>
      <c r="E12988" t="s">
        <v>103</v>
      </c>
      <c r="F12988" t="s">
        <v>103</v>
      </c>
      <c r="G12988" t="s">
        <v>103</v>
      </c>
      <c r="H12988" t="s">
        <v>103</v>
      </c>
      <c r="I12988" t="s">
        <v>103</v>
      </c>
      <c r="J12988" t="s">
        <v>103</v>
      </c>
      <c r="K12988" t="s">
        <v>103</v>
      </c>
      <c r="L12988" t="s">
        <v>103</v>
      </c>
      <c r="M12988" t="s">
        <v>103</v>
      </c>
      <c r="N12988" t="s">
        <v>135</v>
      </c>
      <c r="O12988" t="s">
        <v>103</v>
      </c>
    </row>
    <row r="12989" spans="1:15" x14ac:dyDescent="0.3">
      <c r="A12989" t="s">
        <v>26</v>
      </c>
      <c r="B12989" t="s">
        <v>311</v>
      </c>
      <c r="C12989">
        <v>343</v>
      </c>
      <c r="D12989" t="s">
        <v>833</v>
      </c>
      <c r="E12989" t="s">
        <v>103</v>
      </c>
      <c r="F12989" t="s">
        <v>103</v>
      </c>
      <c r="G12989" t="s">
        <v>66</v>
      </c>
      <c r="H12989" t="s">
        <v>103</v>
      </c>
      <c r="I12989" t="s">
        <v>98</v>
      </c>
      <c r="J12989" t="s">
        <v>103</v>
      </c>
      <c r="K12989" t="s">
        <v>110</v>
      </c>
      <c r="L12989" t="s">
        <v>103</v>
      </c>
      <c r="M12989" t="s">
        <v>116</v>
      </c>
      <c r="N12989" t="s">
        <v>110</v>
      </c>
      <c r="O12989" t="s">
        <v>103</v>
      </c>
    </row>
    <row r="12990" spans="1:15" x14ac:dyDescent="0.3">
      <c r="A12990" t="s">
        <v>26</v>
      </c>
      <c r="B12990" t="s">
        <v>312</v>
      </c>
      <c r="C12990">
        <v>96</v>
      </c>
      <c r="D12990" t="s">
        <v>882</v>
      </c>
      <c r="E12990" t="s">
        <v>103</v>
      </c>
      <c r="F12990" t="s">
        <v>103</v>
      </c>
      <c r="G12990" t="s">
        <v>103</v>
      </c>
      <c r="H12990" t="s">
        <v>103</v>
      </c>
      <c r="I12990" t="s">
        <v>103</v>
      </c>
      <c r="J12990" t="s">
        <v>103</v>
      </c>
      <c r="K12990" t="s">
        <v>103</v>
      </c>
      <c r="L12990" t="s">
        <v>103</v>
      </c>
      <c r="M12990" t="s">
        <v>103</v>
      </c>
      <c r="N12990" t="s">
        <v>558</v>
      </c>
      <c r="O12990" t="s">
        <v>194</v>
      </c>
    </row>
    <row r="12991" spans="1:15" x14ac:dyDescent="0.3">
      <c r="A12991" t="s">
        <v>26</v>
      </c>
      <c r="B12991" t="s">
        <v>308</v>
      </c>
      <c r="C12991">
        <v>38</v>
      </c>
      <c r="D12991" t="s">
        <v>192</v>
      </c>
      <c r="E12991" t="s">
        <v>103</v>
      </c>
      <c r="F12991" t="s">
        <v>103</v>
      </c>
      <c r="G12991" t="s">
        <v>103</v>
      </c>
      <c r="H12991" t="s">
        <v>103</v>
      </c>
      <c r="I12991" t="s">
        <v>103</v>
      </c>
      <c r="J12991" t="s">
        <v>103</v>
      </c>
      <c r="K12991" t="s">
        <v>103</v>
      </c>
      <c r="L12991" t="s">
        <v>103</v>
      </c>
      <c r="M12991" t="s">
        <v>103</v>
      </c>
      <c r="N12991" t="s">
        <v>103</v>
      </c>
      <c r="O12991" t="s">
        <v>103</v>
      </c>
    </row>
    <row r="12992" spans="1:15" x14ac:dyDescent="0.3">
      <c r="A12992" t="s">
        <v>29</v>
      </c>
      <c r="B12992" t="s">
        <v>311</v>
      </c>
      <c r="C12992">
        <v>414</v>
      </c>
      <c r="D12992" t="s">
        <v>147</v>
      </c>
      <c r="E12992" t="s">
        <v>329</v>
      </c>
      <c r="F12992" t="s">
        <v>345</v>
      </c>
      <c r="G12992" t="s">
        <v>97</v>
      </c>
      <c r="H12992" t="s">
        <v>97</v>
      </c>
      <c r="I12992" t="s">
        <v>345</v>
      </c>
      <c r="J12992" t="s">
        <v>116</v>
      </c>
      <c r="K12992" t="s">
        <v>110</v>
      </c>
      <c r="L12992" t="s">
        <v>139</v>
      </c>
      <c r="M12992" t="s">
        <v>103</v>
      </c>
      <c r="N12992" t="s">
        <v>284</v>
      </c>
      <c r="O12992" t="s">
        <v>116</v>
      </c>
    </row>
    <row r="12993" spans="1:15" x14ac:dyDescent="0.3">
      <c r="A12993" t="s">
        <v>29</v>
      </c>
      <c r="B12993" t="s">
        <v>312</v>
      </c>
      <c r="C12993">
        <v>103</v>
      </c>
      <c r="D12993" t="s">
        <v>758</v>
      </c>
      <c r="E12993" t="s">
        <v>103</v>
      </c>
      <c r="F12993" t="s">
        <v>345</v>
      </c>
      <c r="G12993" t="s">
        <v>345</v>
      </c>
      <c r="H12993" t="s">
        <v>103</v>
      </c>
      <c r="I12993" t="s">
        <v>103</v>
      </c>
      <c r="J12993" t="s">
        <v>103</v>
      </c>
      <c r="K12993" t="s">
        <v>103</v>
      </c>
      <c r="L12993" t="s">
        <v>345</v>
      </c>
      <c r="M12993" t="s">
        <v>103</v>
      </c>
      <c r="N12993" t="s">
        <v>275</v>
      </c>
      <c r="O12993" t="s">
        <v>98</v>
      </c>
    </row>
    <row r="12994" spans="1:15" x14ac:dyDescent="0.3">
      <c r="A12994" t="s">
        <v>29</v>
      </c>
      <c r="B12994" t="s">
        <v>308</v>
      </c>
      <c r="C12994">
        <v>13</v>
      </c>
      <c r="D12994" t="s">
        <v>1131</v>
      </c>
      <c r="E12994" t="s">
        <v>103</v>
      </c>
      <c r="F12994" t="s">
        <v>103</v>
      </c>
      <c r="G12994" t="s">
        <v>103</v>
      </c>
      <c r="H12994" t="s">
        <v>103</v>
      </c>
      <c r="I12994" t="s">
        <v>103</v>
      </c>
      <c r="J12994" t="s">
        <v>103</v>
      </c>
      <c r="K12994" t="s">
        <v>103</v>
      </c>
      <c r="L12994" t="s">
        <v>103</v>
      </c>
      <c r="M12994" t="s">
        <v>103</v>
      </c>
      <c r="N12994" t="s">
        <v>275</v>
      </c>
      <c r="O12994" t="s">
        <v>103</v>
      </c>
    </row>
    <row r="12995" spans="1:15" x14ac:dyDescent="0.3">
      <c r="A12995" t="s">
        <v>28</v>
      </c>
      <c r="B12995" t="s">
        <v>311</v>
      </c>
      <c r="C12995">
        <v>223</v>
      </c>
      <c r="D12995" t="s">
        <v>65</v>
      </c>
      <c r="E12995" t="s">
        <v>103</v>
      </c>
      <c r="F12995" t="s">
        <v>103</v>
      </c>
      <c r="G12995" t="s">
        <v>103</v>
      </c>
      <c r="H12995" t="s">
        <v>103</v>
      </c>
      <c r="I12995" t="s">
        <v>95</v>
      </c>
      <c r="J12995" t="s">
        <v>103</v>
      </c>
      <c r="K12995" t="s">
        <v>103</v>
      </c>
      <c r="L12995" t="s">
        <v>103</v>
      </c>
      <c r="M12995" t="s">
        <v>103</v>
      </c>
      <c r="N12995" t="s">
        <v>329</v>
      </c>
      <c r="O12995" t="s">
        <v>103</v>
      </c>
    </row>
    <row r="12996" spans="1:15" x14ac:dyDescent="0.3">
      <c r="A12996" t="s">
        <v>28</v>
      </c>
      <c r="B12996" t="s">
        <v>312</v>
      </c>
      <c r="C12996">
        <v>93</v>
      </c>
      <c r="D12996" t="s">
        <v>192</v>
      </c>
      <c r="E12996" t="s">
        <v>103</v>
      </c>
      <c r="F12996" t="s">
        <v>103</v>
      </c>
      <c r="G12996" t="s">
        <v>103</v>
      </c>
      <c r="H12996" t="s">
        <v>103</v>
      </c>
      <c r="I12996" t="s">
        <v>103</v>
      </c>
      <c r="J12996" t="s">
        <v>103</v>
      </c>
      <c r="K12996" t="s">
        <v>103</v>
      </c>
      <c r="L12996" t="s">
        <v>103</v>
      </c>
      <c r="M12996" t="s">
        <v>103</v>
      </c>
      <c r="N12996" t="s">
        <v>103</v>
      </c>
      <c r="O12996" t="s">
        <v>103</v>
      </c>
    </row>
    <row r="12997" spans="1:15" x14ac:dyDescent="0.3">
      <c r="A12997" t="s">
        <v>28</v>
      </c>
      <c r="B12997" t="s">
        <v>308</v>
      </c>
      <c r="C12997">
        <v>1</v>
      </c>
      <c r="D12997" t="s">
        <v>192</v>
      </c>
      <c r="E12997" t="s">
        <v>103</v>
      </c>
      <c r="F12997" t="s">
        <v>103</v>
      </c>
      <c r="G12997" t="s">
        <v>103</v>
      </c>
      <c r="H12997" t="s">
        <v>103</v>
      </c>
      <c r="I12997" t="s">
        <v>103</v>
      </c>
      <c r="J12997" t="s">
        <v>103</v>
      </c>
      <c r="K12997" t="s">
        <v>103</v>
      </c>
      <c r="L12997" t="s">
        <v>103</v>
      </c>
      <c r="M12997" t="s">
        <v>103</v>
      </c>
      <c r="N12997" t="s">
        <v>103</v>
      </c>
      <c r="O12997" t="s">
        <v>103</v>
      </c>
    </row>
    <row r="12998" spans="1:15" x14ac:dyDescent="0.3">
      <c r="A12998" t="s">
        <v>27</v>
      </c>
      <c r="B12998" t="s">
        <v>311</v>
      </c>
      <c r="C12998">
        <v>237</v>
      </c>
      <c r="D12998" t="s">
        <v>870</v>
      </c>
      <c r="E12998" t="s">
        <v>282</v>
      </c>
      <c r="F12998" t="s">
        <v>116</v>
      </c>
      <c r="G12998" t="s">
        <v>468</v>
      </c>
      <c r="H12998" t="s">
        <v>110</v>
      </c>
      <c r="I12998" t="s">
        <v>118</v>
      </c>
      <c r="J12998" t="s">
        <v>103</v>
      </c>
      <c r="K12998" t="s">
        <v>245</v>
      </c>
      <c r="L12998" t="s">
        <v>103</v>
      </c>
      <c r="M12998" t="s">
        <v>103</v>
      </c>
      <c r="N12998" t="s">
        <v>571</v>
      </c>
      <c r="O12998" t="s">
        <v>122</v>
      </c>
    </row>
    <row r="12999" spans="1:15" x14ac:dyDescent="0.3">
      <c r="A12999" t="s">
        <v>27</v>
      </c>
      <c r="B12999" t="s">
        <v>312</v>
      </c>
      <c r="C12999">
        <v>60</v>
      </c>
      <c r="D12999" t="s">
        <v>149</v>
      </c>
      <c r="E12999" t="s">
        <v>208</v>
      </c>
      <c r="F12999" t="s">
        <v>208</v>
      </c>
      <c r="G12999" t="s">
        <v>103</v>
      </c>
      <c r="H12999" t="s">
        <v>103</v>
      </c>
      <c r="I12999" t="s">
        <v>103</v>
      </c>
      <c r="J12999" t="s">
        <v>103</v>
      </c>
      <c r="K12999" t="s">
        <v>103</v>
      </c>
      <c r="L12999" t="s">
        <v>103</v>
      </c>
      <c r="M12999" t="s">
        <v>103</v>
      </c>
      <c r="N12999" t="s">
        <v>136</v>
      </c>
      <c r="O12999" t="s">
        <v>103</v>
      </c>
    </row>
    <row r="13000" spans="1:15" x14ac:dyDescent="0.3">
      <c r="A13000" t="s">
        <v>27</v>
      </c>
      <c r="B13000" t="s">
        <v>308</v>
      </c>
      <c r="C13000">
        <v>3</v>
      </c>
      <c r="D13000" t="s">
        <v>192</v>
      </c>
      <c r="E13000" t="s">
        <v>103</v>
      </c>
      <c r="F13000" t="s">
        <v>103</v>
      </c>
      <c r="G13000" t="s">
        <v>103</v>
      </c>
      <c r="H13000" t="s">
        <v>103</v>
      </c>
      <c r="I13000" t="s">
        <v>103</v>
      </c>
      <c r="J13000" t="s">
        <v>103</v>
      </c>
      <c r="K13000" t="s">
        <v>103</v>
      </c>
      <c r="L13000" t="s">
        <v>103</v>
      </c>
      <c r="M13000" t="s">
        <v>103</v>
      </c>
      <c r="N13000" t="s">
        <v>103</v>
      </c>
      <c r="O13000" t="s">
        <v>103</v>
      </c>
    </row>
    <row r="13001" spans="1:15" x14ac:dyDescent="0.3">
      <c r="A13001" t="s">
        <v>41</v>
      </c>
      <c r="B13001" t="s">
        <v>311</v>
      </c>
      <c r="C13001">
        <v>1541</v>
      </c>
      <c r="D13001" t="s">
        <v>625</v>
      </c>
      <c r="E13001" t="s">
        <v>345</v>
      </c>
      <c r="F13001" t="s">
        <v>97</v>
      </c>
      <c r="G13001" t="s">
        <v>116</v>
      </c>
      <c r="H13001" t="s">
        <v>116</v>
      </c>
      <c r="I13001" t="s">
        <v>98</v>
      </c>
      <c r="J13001" t="s">
        <v>66</v>
      </c>
      <c r="K13001" t="s">
        <v>345</v>
      </c>
      <c r="L13001" t="s">
        <v>122</v>
      </c>
      <c r="M13001" t="s">
        <v>91</v>
      </c>
      <c r="N13001" t="s">
        <v>113</v>
      </c>
      <c r="O13001" t="s">
        <v>91</v>
      </c>
    </row>
    <row r="13002" spans="1:15" x14ac:dyDescent="0.3">
      <c r="A13002" t="s">
        <v>41</v>
      </c>
      <c r="B13002" t="s">
        <v>312</v>
      </c>
      <c r="C13002">
        <v>432</v>
      </c>
      <c r="D13002" t="s">
        <v>616</v>
      </c>
      <c r="E13002" t="s">
        <v>91</v>
      </c>
      <c r="F13002" t="s">
        <v>120</v>
      </c>
      <c r="G13002" t="s">
        <v>97</v>
      </c>
      <c r="H13002" t="s">
        <v>103</v>
      </c>
      <c r="I13002" t="s">
        <v>103</v>
      </c>
      <c r="J13002" t="s">
        <v>103</v>
      </c>
      <c r="K13002" t="s">
        <v>103</v>
      </c>
      <c r="L13002" t="s">
        <v>97</v>
      </c>
      <c r="M13002" t="s">
        <v>103</v>
      </c>
      <c r="N13002" t="s">
        <v>99</v>
      </c>
      <c r="O13002" t="s">
        <v>95</v>
      </c>
    </row>
    <row r="13003" spans="1:15" x14ac:dyDescent="0.3">
      <c r="A13003" t="s">
        <v>41</v>
      </c>
      <c r="B13003" t="s">
        <v>308</v>
      </c>
      <c r="C13003">
        <v>65</v>
      </c>
      <c r="D13003" t="s">
        <v>752</v>
      </c>
      <c r="E13003" t="s">
        <v>103</v>
      </c>
      <c r="F13003" t="s">
        <v>103</v>
      </c>
      <c r="G13003" t="s">
        <v>103</v>
      </c>
      <c r="H13003" t="s">
        <v>103</v>
      </c>
      <c r="I13003" t="s">
        <v>103</v>
      </c>
      <c r="J13003" t="s">
        <v>103</v>
      </c>
      <c r="K13003" t="s">
        <v>103</v>
      </c>
      <c r="L13003" t="s">
        <v>103</v>
      </c>
      <c r="M13003" t="s">
        <v>103</v>
      </c>
      <c r="N13003" t="s">
        <v>558</v>
      </c>
      <c r="O13003" t="s">
        <v>103</v>
      </c>
    </row>
    <row r="13005" spans="1:15" x14ac:dyDescent="0.3">
      <c r="A13005" t="s">
        <v>2900</v>
      </c>
    </row>
    <row r="13006" spans="1:15" x14ac:dyDescent="0.3">
      <c r="A13006" t="s">
        <v>36</v>
      </c>
      <c r="B13006" t="s">
        <v>1233</v>
      </c>
      <c r="C13006" t="s">
        <v>24</v>
      </c>
      <c r="D13006" t="s">
        <v>2886</v>
      </c>
      <c r="E13006" t="s">
        <v>2887</v>
      </c>
      <c r="F13006" t="s">
        <v>2888</v>
      </c>
      <c r="G13006" t="s">
        <v>2889</v>
      </c>
      <c r="H13006" t="s">
        <v>2890</v>
      </c>
      <c r="I13006" t="s">
        <v>2891</v>
      </c>
      <c r="J13006" t="s">
        <v>2892</v>
      </c>
      <c r="K13006" t="s">
        <v>2893</v>
      </c>
      <c r="L13006" t="s">
        <v>2894</v>
      </c>
      <c r="M13006" t="s">
        <v>183</v>
      </c>
      <c r="N13006" t="s">
        <v>87</v>
      </c>
      <c r="O13006" t="s">
        <v>181</v>
      </c>
    </row>
    <row r="13007" spans="1:15" x14ac:dyDescent="0.3">
      <c r="A13007" t="s">
        <v>25</v>
      </c>
      <c r="B13007" t="s">
        <v>1234</v>
      </c>
      <c r="C13007">
        <v>257</v>
      </c>
      <c r="D13007" t="s">
        <v>862</v>
      </c>
      <c r="E13007" t="s">
        <v>103</v>
      </c>
      <c r="F13007" t="s">
        <v>103</v>
      </c>
      <c r="G13007" t="s">
        <v>103</v>
      </c>
      <c r="H13007" t="s">
        <v>103</v>
      </c>
      <c r="I13007" t="s">
        <v>103</v>
      </c>
      <c r="J13007" t="s">
        <v>97</v>
      </c>
      <c r="K13007" t="s">
        <v>103</v>
      </c>
      <c r="L13007" t="s">
        <v>103</v>
      </c>
      <c r="M13007" t="s">
        <v>103</v>
      </c>
      <c r="N13007" t="s">
        <v>662</v>
      </c>
      <c r="O13007" t="s">
        <v>103</v>
      </c>
    </row>
    <row r="13008" spans="1:15" s="3" customFormat="1" x14ac:dyDescent="0.3">
      <c r="A13008" s="3" t="s">
        <v>25</v>
      </c>
      <c r="B13008" s="3" t="s">
        <v>1235</v>
      </c>
      <c r="C13008" s="3">
        <v>25</v>
      </c>
      <c r="D13008" s="3" t="s">
        <v>192</v>
      </c>
      <c r="E13008" s="3" t="s">
        <v>103</v>
      </c>
      <c r="F13008" s="3" t="s">
        <v>103</v>
      </c>
      <c r="G13008" s="3" t="s">
        <v>103</v>
      </c>
      <c r="H13008" s="3" t="s">
        <v>103</v>
      </c>
      <c r="I13008" s="3" t="s">
        <v>103</v>
      </c>
      <c r="J13008" s="3" t="s">
        <v>103</v>
      </c>
      <c r="K13008" s="3" t="s">
        <v>103</v>
      </c>
      <c r="L13008" s="3" t="s">
        <v>103</v>
      </c>
      <c r="M13008" s="3" t="s">
        <v>103</v>
      </c>
      <c r="N13008" s="3" t="s">
        <v>103</v>
      </c>
      <c r="O13008" s="3" t="s">
        <v>103</v>
      </c>
    </row>
    <row r="13009" spans="1:15" x14ac:dyDescent="0.3">
      <c r="A13009" t="s">
        <v>25</v>
      </c>
      <c r="B13009" t="s">
        <v>1237</v>
      </c>
      <c r="C13009">
        <v>132</v>
      </c>
      <c r="D13009" t="s">
        <v>841</v>
      </c>
      <c r="E13009" t="s">
        <v>103</v>
      </c>
      <c r="F13009" t="s">
        <v>103</v>
      </c>
      <c r="G13009" t="s">
        <v>103</v>
      </c>
      <c r="H13009" t="s">
        <v>103</v>
      </c>
      <c r="I13009" t="s">
        <v>103</v>
      </c>
      <c r="J13009" t="s">
        <v>103</v>
      </c>
      <c r="K13009" t="s">
        <v>103</v>
      </c>
      <c r="L13009" t="s">
        <v>103</v>
      </c>
      <c r="M13009" t="s">
        <v>103</v>
      </c>
      <c r="N13009" t="s">
        <v>615</v>
      </c>
      <c r="O13009" t="s">
        <v>103</v>
      </c>
    </row>
    <row r="13010" spans="1:15" x14ac:dyDescent="0.3">
      <c r="A13010" t="s">
        <v>26</v>
      </c>
      <c r="B13010" t="s">
        <v>1234</v>
      </c>
      <c r="C13010">
        <v>296</v>
      </c>
      <c r="D13010" t="s">
        <v>840</v>
      </c>
      <c r="E13010" t="s">
        <v>103</v>
      </c>
      <c r="F13010" t="s">
        <v>103</v>
      </c>
      <c r="G13010" t="s">
        <v>66</v>
      </c>
      <c r="H13010" t="s">
        <v>103</v>
      </c>
      <c r="I13010" t="s">
        <v>95</v>
      </c>
      <c r="J13010" t="s">
        <v>103</v>
      </c>
      <c r="K13010" t="s">
        <v>95</v>
      </c>
      <c r="L13010" t="s">
        <v>103</v>
      </c>
      <c r="M13010" t="s">
        <v>103</v>
      </c>
      <c r="N13010" t="s">
        <v>105</v>
      </c>
      <c r="O13010" t="s">
        <v>122</v>
      </c>
    </row>
    <row r="13011" spans="1:15" x14ac:dyDescent="0.3">
      <c r="A13011" t="s">
        <v>26</v>
      </c>
      <c r="B13011" t="s">
        <v>1235</v>
      </c>
      <c r="C13011">
        <v>37</v>
      </c>
      <c r="D13011" t="s">
        <v>280</v>
      </c>
      <c r="E13011" t="s">
        <v>103</v>
      </c>
      <c r="F13011" t="s">
        <v>103</v>
      </c>
      <c r="G13011" t="s">
        <v>103</v>
      </c>
      <c r="H13011" t="s">
        <v>103</v>
      </c>
      <c r="I13011" t="s">
        <v>128</v>
      </c>
      <c r="J13011" t="s">
        <v>103</v>
      </c>
      <c r="K13011" t="s">
        <v>107</v>
      </c>
      <c r="L13011" t="s">
        <v>103</v>
      </c>
      <c r="M13011" t="s">
        <v>103</v>
      </c>
      <c r="N13011" t="s">
        <v>118</v>
      </c>
      <c r="O13011" t="s">
        <v>103</v>
      </c>
    </row>
    <row r="13012" spans="1:15" x14ac:dyDescent="0.3">
      <c r="A13012" t="s">
        <v>26</v>
      </c>
      <c r="B13012" t="s">
        <v>1237</v>
      </c>
      <c r="C13012">
        <v>144</v>
      </c>
      <c r="D13012" t="s">
        <v>185</v>
      </c>
      <c r="E13012" t="s">
        <v>103</v>
      </c>
      <c r="F13012" t="s">
        <v>103</v>
      </c>
      <c r="G13012" t="s">
        <v>103</v>
      </c>
      <c r="H13012" t="s">
        <v>103</v>
      </c>
      <c r="I13012" t="s">
        <v>103</v>
      </c>
      <c r="J13012" t="s">
        <v>103</v>
      </c>
      <c r="K13012" t="s">
        <v>139</v>
      </c>
      <c r="L13012" t="s">
        <v>103</v>
      </c>
      <c r="M13012" t="s">
        <v>98</v>
      </c>
      <c r="N13012" t="s">
        <v>118</v>
      </c>
      <c r="O13012" t="s">
        <v>103</v>
      </c>
    </row>
    <row r="13013" spans="1:15" x14ac:dyDescent="0.3">
      <c r="A13013" t="s">
        <v>29</v>
      </c>
      <c r="B13013" t="s">
        <v>1234</v>
      </c>
      <c r="C13013">
        <v>372</v>
      </c>
      <c r="D13013" t="s">
        <v>145</v>
      </c>
      <c r="E13013" t="s">
        <v>245</v>
      </c>
      <c r="F13013" t="s">
        <v>239</v>
      </c>
      <c r="G13013" t="s">
        <v>120</v>
      </c>
      <c r="H13013" t="s">
        <v>97</v>
      </c>
      <c r="I13013" t="s">
        <v>95</v>
      </c>
      <c r="J13013" t="s">
        <v>91</v>
      </c>
      <c r="K13013" t="s">
        <v>239</v>
      </c>
      <c r="L13013" t="s">
        <v>345</v>
      </c>
      <c r="M13013" t="s">
        <v>103</v>
      </c>
      <c r="N13013" t="s">
        <v>460</v>
      </c>
      <c r="O13013" t="s">
        <v>97</v>
      </c>
    </row>
    <row r="13014" spans="1:15" x14ac:dyDescent="0.3">
      <c r="A13014" t="s">
        <v>29</v>
      </c>
      <c r="B13014" t="s">
        <v>1235</v>
      </c>
      <c r="C13014">
        <v>38</v>
      </c>
      <c r="D13014" t="s">
        <v>1509</v>
      </c>
      <c r="E13014" t="s">
        <v>531</v>
      </c>
      <c r="F13014" t="s">
        <v>103</v>
      </c>
      <c r="G13014" t="s">
        <v>64</v>
      </c>
      <c r="H13014" t="s">
        <v>103</v>
      </c>
      <c r="I13014" t="s">
        <v>103</v>
      </c>
      <c r="J13014" t="s">
        <v>64</v>
      </c>
      <c r="K13014" t="s">
        <v>103</v>
      </c>
      <c r="L13014" t="s">
        <v>103</v>
      </c>
      <c r="M13014" t="s">
        <v>103</v>
      </c>
      <c r="N13014" t="s">
        <v>208</v>
      </c>
      <c r="O13014" t="s">
        <v>103</v>
      </c>
    </row>
    <row r="13015" spans="1:15" x14ac:dyDescent="0.3">
      <c r="A13015" t="s">
        <v>29</v>
      </c>
      <c r="B13015" t="s">
        <v>1237</v>
      </c>
      <c r="C13015">
        <v>120</v>
      </c>
      <c r="D13015" t="s">
        <v>159</v>
      </c>
      <c r="E13015" t="s">
        <v>103</v>
      </c>
      <c r="F13015" t="s">
        <v>103</v>
      </c>
      <c r="G13015" t="s">
        <v>103</v>
      </c>
      <c r="H13015" t="s">
        <v>103</v>
      </c>
      <c r="I13015" t="s">
        <v>245</v>
      </c>
      <c r="J13015" t="s">
        <v>103</v>
      </c>
      <c r="K13015" t="s">
        <v>103</v>
      </c>
      <c r="L13015" t="s">
        <v>103</v>
      </c>
      <c r="M13015" t="s">
        <v>103</v>
      </c>
      <c r="N13015" t="s">
        <v>254</v>
      </c>
      <c r="O13015" t="s">
        <v>91</v>
      </c>
    </row>
    <row r="13016" spans="1:15" x14ac:dyDescent="0.3">
      <c r="A13016" t="s">
        <v>28</v>
      </c>
      <c r="B13016" t="s">
        <v>1234</v>
      </c>
      <c r="C13016">
        <v>126</v>
      </c>
      <c r="D13016" t="s">
        <v>879</v>
      </c>
      <c r="E13016" t="s">
        <v>103</v>
      </c>
      <c r="F13016" t="s">
        <v>103</v>
      </c>
      <c r="G13016" t="s">
        <v>103</v>
      </c>
      <c r="H13016" t="s">
        <v>103</v>
      </c>
      <c r="I13016" t="s">
        <v>110</v>
      </c>
      <c r="J13016" t="s">
        <v>103</v>
      </c>
      <c r="K13016" t="s">
        <v>103</v>
      </c>
      <c r="L13016" t="s">
        <v>103</v>
      </c>
      <c r="M13016" t="s">
        <v>103</v>
      </c>
      <c r="N13016" t="s">
        <v>110</v>
      </c>
      <c r="O13016" t="s">
        <v>103</v>
      </c>
    </row>
    <row r="13017" spans="1:15" s="3" customFormat="1" x14ac:dyDescent="0.3">
      <c r="A13017" s="3" t="s">
        <v>28</v>
      </c>
      <c r="B13017" s="3" t="s">
        <v>1235</v>
      </c>
      <c r="C13017" s="3">
        <v>17</v>
      </c>
      <c r="D13017" s="3" t="s">
        <v>192</v>
      </c>
      <c r="E13017" s="3" t="s">
        <v>103</v>
      </c>
      <c r="F13017" s="3" t="s">
        <v>103</v>
      </c>
      <c r="G13017" s="3" t="s">
        <v>103</v>
      </c>
      <c r="H13017" s="3" t="s">
        <v>103</v>
      </c>
      <c r="I13017" s="3" t="s">
        <v>103</v>
      </c>
      <c r="J13017" s="3" t="s">
        <v>103</v>
      </c>
      <c r="K13017" s="3" t="s">
        <v>103</v>
      </c>
      <c r="L13017" s="3" t="s">
        <v>103</v>
      </c>
      <c r="M13017" s="3" t="s">
        <v>103</v>
      </c>
      <c r="N13017" s="3" t="s">
        <v>103</v>
      </c>
      <c r="O13017" s="3" t="s">
        <v>103</v>
      </c>
    </row>
    <row r="13018" spans="1:15" x14ac:dyDescent="0.3">
      <c r="A13018" t="s">
        <v>28</v>
      </c>
      <c r="B13018" t="s">
        <v>1237</v>
      </c>
      <c r="C13018">
        <v>174</v>
      </c>
      <c r="D13018" t="s">
        <v>322</v>
      </c>
      <c r="E13018" t="s">
        <v>103</v>
      </c>
      <c r="F13018" t="s">
        <v>103</v>
      </c>
      <c r="G13018" t="s">
        <v>103</v>
      </c>
      <c r="H13018" t="s">
        <v>103</v>
      </c>
      <c r="I13018" t="s">
        <v>103</v>
      </c>
      <c r="J13018" t="s">
        <v>103</v>
      </c>
      <c r="K13018" t="s">
        <v>103</v>
      </c>
      <c r="L13018" t="s">
        <v>103</v>
      </c>
      <c r="M13018" t="s">
        <v>103</v>
      </c>
      <c r="N13018" t="s">
        <v>105</v>
      </c>
      <c r="O13018" t="s">
        <v>103</v>
      </c>
    </row>
    <row r="13019" spans="1:15" x14ac:dyDescent="0.3">
      <c r="A13019" t="s">
        <v>27</v>
      </c>
      <c r="B13019" t="s">
        <v>1234</v>
      </c>
      <c r="C13019">
        <v>149</v>
      </c>
      <c r="D13019" t="s">
        <v>238</v>
      </c>
      <c r="E13019" t="s">
        <v>345</v>
      </c>
      <c r="F13019" t="s">
        <v>345</v>
      </c>
      <c r="G13019" t="s">
        <v>105</v>
      </c>
      <c r="H13019" t="s">
        <v>345</v>
      </c>
      <c r="I13019" t="s">
        <v>468</v>
      </c>
      <c r="J13019" t="s">
        <v>103</v>
      </c>
      <c r="K13019" t="s">
        <v>208</v>
      </c>
      <c r="L13019" t="s">
        <v>103</v>
      </c>
      <c r="M13019" t="s">
        <v>103</v>
      </c>
      <c r="N13019" t="s">
        <v>629</v>
      </c>
      <c r="O13019" t="s">
        <v>95</v>
      </c>
    </row>
    <row r="13020" spans="1:15" s="3" customFormat="1" x14ac:dyDescent="0.3">
      <c r="A13020" s="3" t="s">
        <v>27</v>
      </c>
      <c r="B13020" s="3" t="s">
        <v>1235</v>
      </c>
      <c r="C13020" s="3">
        <v>10</v>
      </c>
      <c r="D13020" s="3" t="s">
        <v>739</v>
      </c>
      <c r="E13020" s="3" t="s">
        <v>103</v>
      </c>
      <c r="F13020" s="3" t="s">
        <v>103</v>
      </c>
      <c r="G13020" s="3" t="s">
        <v>103</v>
      </c>
      <c r="H13020" s="3" t="s">
        <v>103</v>
      </c>
      <c r="I13020" s="3" t="s">
        <v>205</v>
      </c>
      <c r="J13020" s="3" t="s">
        <v>103</v>
      </c>
      <c r="K13020" s="3" t="s">
        <v>205</v>
      </c>
      <c r="L13020" s="3" t="s">
        <v>103</v>
      </c>
      <c r="M13020" s="3" t="s">
        <v>103</v>
      </c>
      <c r="N13020" s="3" t="s">
        <v>99</v>
      </c>
      <c r="O13020" s="3" t="s">
        <v>103</v>
      </c>
    </row>
    <row r="13021" spans="1:15" x14ac:dyDescent="0.3">
      <c r="A13021" t="s">
        <v>27</v>
      </c>
      <c r="B13021" t="s">
        <v>1237</v>
      </c>
      <c r="C13021">
        <v>141</v>
      </c>
      <c r="D13021" t="s">
        <v>712</v>
      </c>
      <c r="E13021" t="s">
        <v>468</v>
      </c>
      <c r="F13021" t="s">
        <v>103</v>
      </c>
      <c r="G13021" t="s">
        <v>103</v>
      </c>
      <c r="H13021" t="s">
        <v>110</v>
      </c>
      <c r="I13021" t="s">
        <v>118</v>
      </c>
      <c r="J13021" t="s">
        <v>103</v>
      </c>
      <c r="K13021" t="s">
        <v>103</v>
      </c>
      <c r="L13021" t="s">
        <v>103</v>
      </c>
      <c r="M13021" t="s">
        <v>103</v>
      </c>
      <c r="N13021" t="s">
        <v>205</v>
      </c>
      <c r="O13021" t="s">
        <v>103</v>
      </c>
    </row>
    <row r="13022" spans="1:15" x14ac:dyDescent="0.3">
      <c r="A13022" t="s">
        <v>41</v>
      </c>
      <c r="B13022" t="s">
        <v>1234</v>
      </c>
      <c r="C13022">
        <v>1200</v>
      </c>
      <c r="D13022" t="s">
        <v>280</v>
      </c>
      <c r="E13022" t="s">
        <v>98</v>
      </c>
      <c r="F13022" t="s">
        <v>139</v>
      </c>
      <c r="G13022" t="s">
        <v>122</v>
      </c>
      <c r="H13022" t="s">
        <v>116</v>
      </c>
      <c r="I13022" t="s">
        <v>120</v>
      </c>
      <c r="J13022" t="s">
        <v>91</v>
      </c>
      <c r="K13022" t="s">
        <v>282</v>
      </c>
      <c r="L13022" t="s">
        <v>120</v>
      </c>
      <c r="M13022" t="s">
        <v>103</v>
      </c>
      <c r="N13022" t="s">
        <v>662</v>
      </c>
      <c r="O13022" t="s">
        <v>122</v>
      </c>
    </row>
    <row r="13023" spans="1:15" x14ac:dyDescent="0.3">
      <c r="A13023" t="s">
        <v>41</v>
      </c>
      <c r="B13023" t="s">
        <v>1235</v>
      </c>
      <c r="C13023">
        <v>127</v>
      </c>
      <c r="D13023" t="s">
        <v>1484</v>
      </c>
      <c r="E13023" t="s">
        <v>64</v>
      </c>
      <c r="F13023" t="s">
        <v>103</v>
      </c>
      <c r="G13023" t="s">
        <v>194</v>
      </c>
      <c r="H13023" t="s">
        <v>103</v>
      </c>
      <c r="I13023" t="s">
        <v>98</v>
      </c>
      <c r="J13023" t="s">
        <v>194</v>
      </c>
      <c r="K13023" t="s">
        <v>239</v>
      </c>
      <c r="L13023" t="s">
        <v>103</v>
      </c>
      <c r="M13023" t="s">
        <v>103</v>
      </c>
      <c r="N13023" t="s">
        <v>341</v>
      </c>
      <c r="O13023" t="s">
        <v>103</v>
      </c>
    </row>
    <row r="13024" spans="1:15" x14ac:dyDescent="0.3">
      <c r="A13024" t="s">
        <v>41</v>
      </c>
      <c r="B13024" t="s">
        <v>1237</v>
      </c>
      <c r="C13024">
        <v>711</v>
      </c>
      <c r="D13024" t="s">
        <v>1484</v>
      </c>
      <c r="E13024" t="s">
        <v>91</v>
      </c>
      <c r="F13024" t="s">
        <v>103</v>
      </c>
      <c r="G13024" t="s">
        <v>103</v>
      </c>
      <c r="H13024" t="s">
        <v>91</v>
      </c>
      <c r="I13024" t="s">
        <v>139</v>
      </c>
      <c r="J13024" t="s">
        <v>103</v>
      </c>
      <c r="K13024" t="s">
        <v>66</v>
      </c>
      <c r="L13024" t="s">
        <v>103</v>
      </c>
      <c r="M13024" t="s">
        <v>66</v>
      </c>
      <c r="N13024" t="s">
        <v>662</v>
      </c>
      <c r="O13024" t="s">
        <v>103</v>
      </c>
    </row>
    <row r="13026" spans="1:15" x14ac:dyDescent="0.3">
      <c r="A13026" t="s">
        <v>2901</v>
      </c>
    </row>
    <row r="13027" spans="1:15" x14ac:dyDescent="0.3">
      <c r="A13027" t="s">
        <v>36</v>
      </c>
      <c r="B13027" t="s">
        <v>2764</v>
      </c>
      <c r="C13027" t="s">
        <v>24</v>
      </c>
      <c r="D13027" t="s">
        <v>2886</v>
      </c>
      <c r="E13027" t="s">
        <v>2887</v>
      </c>
      <c r="F13027" t="s">
        <v>2888</v>
      </c>
      <c r="G13027" t="s">
        <v>2889</v>
      </c>
      <c r="H13027" t="s">
        <v>2890</v>
      </c>
      <c r="I13027" t="s">
        <v>2891</v>
      </c>
      <c r="J13027" t="s">
        <v>2892</v>
      </c>
      <c r="K13027" t="s">
        <v>2893</v>
      </c>
      <c r="L13027" t="s">
        <v>2894</v>
      </c>
      <c r="M13027" t="s">
        <v>183</v>
      </c>
      <c r="N13027" t="s">
        <v>87</v>
      </c>
      <c r="O13027" t="s">
        <v>181</v>
      </c>
    </row>
    <row r="13028" spans="1:15" s="3" customFormat="1" x14ac:dyDescent="0.3">
      <c r="A13028" s="3" t="s">
        <v>25</v>
      </c>
      <c r="B13028" s="3" t="s">
        <v>2765</v>
      </c>
      <c r="C13028" s="3">
        <v>16</v>
      </c>
      <c r="D13028" s="3" t="s">
        <v>991</v>
      </c>
      <c r="E13028" s="3" t="s">
        <v>103</v>
      </c>
      <c r="F13028" s="3" t="s">
        <v>103</v>
      </c>
      <c r="G13028" s="3" t="s">
        <v>103</v>
      </c>
      <c r="H13028" s="3" t="s">
        <v>103</v>
      </c>
      <c r="I13028" s="3" t="s">
        <v>103</v>
      </c>
      <c r="J13028" s="3" t="s">
        <v>103</v>
      </c>
      <c r="K13028" s="3" t="s">
        <v>103</v>
      </c>
      <c r="L13028" s="3" t="s">
        <v>103</v>
      </c>
      <c r="M13028" s="3" t="s">
        <v>103</v>
      </c>
      <c r="N13028" s="3" t="s">
        <v>251</v>
      </c>
      <c r="O13028" s="3" t="s">
        <v>103</v>
      </c>
    </row>
    <row r="13029" spans="1:15" s="3" customFormat="1" x14ac:dyDescent="0.3">
      <c r="A13029" s="3" t="s">
        <v>25</v>
      </c>
      <c r="B13029" s="3" t="s">
        <v>585</v>
      </c>
      <c r="C13029" s="3">
        <v>5</v>
      </c>
      <c r="D13029" s="3" t="s">
        <v>192</v>
      </c>
      <c r="E13029" s="3" t="s">
        <v>103</v>
      </c>
      <c r="F13029" s="3" t="s">
        <v>103</v>
      </c>
      <c r="G13029" s="3" t="s">
        <v>103</v>
      </c>
      <c r="H13029" s="3" t="s">
        <v>103</v>
      </c>
      <c r="I13029" s="3" t="s">
        <v>103</v>
      </c>
      <c r="J13029" s="3" t="s">
        <v>103</v>
      </c>
      <c r="K13029" s="3" t="s">
        <v>103</v>
      </c>
      <c r="L13029" s="3" t="s">
        <v>103</v>
      </c>
      <c r="M13029" s="3" t="s">
        <v>103</v>
      </c>
      <c r="N13029" s="3" t="s">
        <v>103</v>
      </c>
      <c r="O13029" s="3" t="s">
        <v>103</v>
      </c>
    </row>
    <row r="13030" spans="1:15" s="3" customFormat="1" x14ac:dyDescent="0.3">
      <c r="A13030" s="3" t="s">
        <v>25</v>
      </c>
      <c r="B13030" s="3" t="s">
        <v>586</v>
      </c>
      <c r="C13030" s="3">
        <v>17</v>
      </c>
      <c r="D13030" s="3" t="s">
        <v>192</v>
      </c>
      <c r="E13030" s="3" t="s">
        <v>103</v>
      </c>
      <c r="F13030" s="3" t="s">
        <v>103</v>
      </c>
      <c r="G13030" s="3" t="s">
        <v>103</v>
      </c>
      <c r="H13030" s="3" t="s">
        <v>103</v>
      </c>
      <c r="I13030" s="3" t="s">
        <v>103</v>
      </c>
      <c r="J13030" s="3" t="s">
        <v>103</v>
      </c>
      <c r="K13030" s="3" t="s">
        <v>103</v>
      </c>
      <c r="L13030" s="3" t="s">
        <v>103</v>
      </c>
      <c r="M13030" s="3" t="s">
        <v>103</v>
      </c>
      <c r="N13030" s="3" t="s">
        <v>103</v>
      </c>
      <c r="O13030" s="3" t="s">
        <v>103</v>
      </c>
    </row>
    <row r="13031" spans="1:15" s="3" customFormat="1" x14ac:dyDescent="0.3">
      <c r="A13031" s="3" t="s">
        <v>25</v>
      </c>
      <c r="B13031" s="3" t="s">
        <v>587</v>
      </c>
      <c r="C13031" s="3">
        <v>2</v>
      </c>
      <c r="D13031" s="3" t="s">
        <v>192</v>
      </c>
      <c r="E13031" s="3" t="s">
        <v>103</v>
      </c>
      <c r="F13031" s="3" t="s">
        <v>103</v>
      </c>
      <c r="G13031" s="3" t="s">
        <v>103</v>
      </c>
      <c r="H13031" s="3" t="s">
        <v>103</v>
      </c>
      <c r="I13031" s="3" t="s">
        <v>103</v>
      </c>
      <c r="J13031" s="3" t="s">
        <v>103</v>
      </c>
      <c r="K13031" s="3" t="s">
        <v>103</v>
      </c>
      <c r="L13031" s="3" t="s">
        <v>103</v>
      </c>
      <c r="M13031" s="3" t="s">
        <v>103</v>
      </c>
      <c r="N13031" s="3" t="s">
        <v>103</v>
      </c>
      <c r="O13031" s="3" t="s">
        <v>103</v>
      </c>
    </row>
    <row r="13032" spans="1:15" s="3" customFormat="1" x14ac:dyDescent="0.3">
      <c r="A13032" s="3" t="s">
        <v>25</v>
      </c>
      <c r="B13032" s="3" t="s">
        <v>588</v>
      </c>
      <c r="C13032" s="3">
        <v>20</v>
      </c>
      <c r="D13032" s="3" t="s">
        <v>611</v>
      </c>
      <c r="E13032" s="3" t="s">
        <v>103</v>
      </c>
      <c r="F13032" s="3" t="s">
        <v>103</v>
      </c>
      <c r="G13032" s="3" t="s">
        <v>103</v>
      </c>
      <c r="H13032" s="3" t="s">
        <v>103</v>
      </c>
      <c r="I13032" s="3" t="s">
        <v>103</v>
      </c>
      <c r="J13032" s="3" t="s">
        <v>103</v>
      </c>
      <c r="K13032" s="3" t="s">
        <v>103</v>
      </c>
      <c r="L13032" s="3" t="s">
        <v>103</v>
      </c>
      <c r="M13032" s="3" t="s">
        <v>103</v>
      </c>
      <c r="N13032" s="3" t="s">
        <v>662</v>
      </c>
      <c r="O13032" s="3" t="s">
        <v>103</v>
      </c>
    </row>
    <row r="13033" spans="1:15" x14ac:dyDescent="0.3">
      <c r="A13033" t="s">
        <v>25</v>
      </c>
      <c r="B13033" t="s">
        <v>2766</v>
      </c>
      <c r="C13033">
        <v>354</v>
      </c>
      <c r="D13033" t="s">
        <v>896</v>
      </c>
      <c r="E13033" t="s">
        <v>103</v>
      </c>
      <c r="F13033" t="s">
        <v>103</v>
      </c>
      <c r="G13033" t="s">
        <v>103</v>
      </c>
      <c r="H13033" t="s">
        <v>103</v>
      </c>
      <c r="I13033" t="s">
        <v>103</v>
      </c>
      <c r="J13033" t="s">
        <v>122</v>
      </c>
      <c r="K13033" t="s">
        <v>103</v>
      </c>
      <c r="L13033" t="s">
        <v>103</v>
      </c>
      <c r="M13033" t="s">
        <v>103</v>
      </c>
      <c r="N13033" t="s">
        <v>278</v>
      </c>
      <c r="O13033" t="s">
        <v>103</v>
      </c>
    </row>
    <row r="13034" spans="1:15" s="3" customFormat="1" x14ac:dyDescent="0.3">
      <c r="A13034" s="3" t="s">
        <v>26</v>
      </c>
      <c r="B13034" s="3" t="s">
        <v>2765</v>
      </c>
      <c r="C13034" s="3">
        <v>26</v>
      </c>
      <c r="D13034" s="3" t="s">
        <v>192</v>
      </c>
      <c r="E13034" s="3" t="s">
        <v>103</v>
      </c>
      <c r="F13034" s="3" t="s">
        <v>103</v>
      </c>
      <c r="G13034" s="3" t="s">
        <v>103</v>
      </c>
      <c r="H13034" s="3" t="s">
        <v>103</v>
      </c>
      <c r="I13034" s="3" t="s">
        <v>103</v>
      </c>
      <c r="J13034" s="3" t="s">
        <v>103</v>
      </c>
      <c r="K13034" s="3" t="s">
        <v>103</v>
      </c>
      <c r="L13034" s="3" t="s">
        <v>103</v>
      </c>
      <c r="M13034" s="3" t="s">
        <v>103</v>
      </c>
      <c r="N13034" s="3" t="s">
        <v>103</v>
      </c>
      <c r="O13034" s="3" t="s">
        <v>103</v>
      </c>
    </row>
    <row r="13035" spans="1:15" s="3" customFormat="1" x14ac:dyDescent="0.3">
      <c r="A13035" s="3" t="s">
        <v>26</v>
      </c>
      <c r="B13035" s="3" t="s">
        <v>586</v>
      </c>
      <c r="C13035" s="3">
        <v>4</v>
      </c>
      <c r="D13035" s="3" t="s">
        <v>192</v>
      </c>
      <c r="E13035" s="3" t="s">
        <v>103</v>
      </c>
      <c r="F13035" s="3" t="s">
        <v>103</v>
      </c>
      <c r="G13035" s="3" t="s">
        <v>103</v>
      </c>
      <c r="H13035" s="3" t="s">
        <v>103</v>
      </c>
      <c r="I13035" s="3" t="s">
        <v>103</v>
      </c>
      <c r="J13035" s="3" t="s">
        <v>103</v>
      </c>
      <c r="K13035" s="3" t="s">
        <v>103</v>
      </c>
      <c r="L13035" s="3" t="s">
        <v>103</v>
      </c>
      <c r="M13035" s="3" t="s">
        <v>103</v>
      </c>
      <c r="N13035" s="3" t="s">
        <v>103</v>
      </c>
      <c r="O13035" s="3" t="s">
        <v>103</v>
      </c>
    </row>
    <row r="13036" spans="1:15" s="3" customFormat="1" x14ac:dyDescent="0.3">
      <c r="A13036" s="3" t="s">
        <v>26</v>
      </c>
      <c r="B13036" s="3" t="s">
        <v>587</v>
      </c>
      <c r="C13036" s="3">
        <v>8</v>
      </c>
      <c r="D13036" s="3" t="s">
        <v>758</v>
      </c>
      <c r="E13036" s="3" t="s">
        <v>103</v>
      </c>
      <c r="F13036" s="3" t="s">
        <v>103</v>
      </c>
      <c r="G13036" s="3" t="s">
        <v>103</v>
      </c>
      <c r="H13036" s="3" t="s">
        <v>103</v>
      </c>
      <c r="I13036" s="3" t="s">
        <v>103</v>
      </c>
      <c r="J13036" s="3" t="s">
        <v>103</v>
      </c>
      <c r="K13036" s="3" t="s">
        <v>475</v>
      </c>
      <c r="L13036" s="3" t="s">
        <v>103</v>
      </c>
      <c r="M13036" s="3" t="s">
        <v>103</v>
      </c>
      <c r="N13036" s="3" t="s">
        <v>217</v>
      </c>
      <c r="O13036" s="3" t="s">
        <v>103</v>
      </c>
    </row>
    <row r="13037" spans="1:15" s="3" customFormat="1" x14ac:dyDescent="0.3">
      <c r="A13037" s="3" t="s">
        <v>26</v>
      </c>
      <c r="B13037" s="3" t="s">
        <v>588</v>
      </c>
      <c r="C13037" s="3">
        <v>4</v>
      </c>
      <c r="D13037" s="3" t="s">
        <v>192</v>
      </c>
      <c r="E13037" s="3" t="s">
        <v>103</v>
      </c>
      <c r="F13037" s="3" t="s">
        <v>103</v>
      </c>
      <c r="G13037" s="3" t="s">
        <v>103</v>
      </c>
      <c r="H13037" s="3" t="s">
        <v>103</v>
      </c>
      <c r="I13037" s="3" t="s">
        <v>103</v>
      </c>
      <c r="J13037" s="3" t="s">
        <v>103</v>
      </c>
      <c r="K13037" s="3" t="s">
        <v>103</v>
      </c>
      <c r="L13037" s="3" t="s">
        <v>103</v>
      </c>
      <c r="M13037" s="3" t="s">
        <v>103</v>
      </c>
      <c r="N13037" s="3" t="s">
        <v>103</v>
      </c>
      <c r="O13037" s="3" t="s">
        <v>103</v>
      </c>
    </row>
    <row r="13038" spans="1:15" x14ac:dyDescent="0.3">
      <c r="A13038" t="s">
        <v>26</v>
      </c>
      <c r="B13038" t="s">
        <v>2766</v>
      </c>
      <c r="C13038">
        <v>435</v>
      </c>
      <c r="D13038" t="s">
        <v>185</v>
      </c>
      <c r="E13038" t="s">
        <v>103</v>
      </c>
      <c r="F13038" t="s">
        <v>103</v>
      </c>
      <c r="G13038" t="s">
        <v>91</v>
      </c>
      <c r="H13038" t="s">
        <v>103</v>
      </c>
      <c r="I13038" t="s">
        <v>95</v>
      </c>
      <c r="J13038" t="s">
        <v>103</v>
      </c>
      <c r="K13038" t="s">
        <v>98</v>
      </c>
      <c r="L13038" t="s">
        <v>103</v>
      </c>
      <c r="M13038" t="s">
        <v>116</v>
      </c>
      <c r="N13038" t="s">
        <v>93</v>
      </c>
      <c r="O13038" t="s">
        <v>116</v>
      </c>
    </row>
    <row r="13039" spans="1:15" s="3" customFormat="1" x14ac:dyDescent="0.3">
      <c r="A13039" s="3" t="s">
        <v>29</v>
      </c>
      <c r="B13039" s="3" t="s">
        <v>2765</v>
      </c>
      <c r="C13039" s="3">
        <v>30</v>
      </c>
      <c r="D13039" s="3" t="s">
        <v>884</v>
      </c>
      <c r="E13039" s="3" t="s">
        <v>188</v>
      </c>
      <c r="F13039" s="3" t="s">
        <v>103</v>
      </c>
      <c r="G13039" s="3" t="s">
        <v>188</v>
      </c>
      <c r="H13039" s="3" t="s">
        <v>103</v>
      </c>
      <c r="I13039" s="3" t="s">
        <v>103</v>
      </c>
      <c r="J13039" s="3" t="s">
        <v>188</v>
      </c>
      <c r="K13039" s="3" t="s">
        <v>103</v>
      </c>
      <c r="L13039" s="3" t="s">
        <v>103</v>
      </c>
      <c r="M13039" s="3" t="s">
        <v>103</v>
      </c>
      <c r="N13039" s="3" t="s">
        <v>578</v>
      </c>
      <c r="O13039" s="3" t="s">
        <v>97</v>
      </c>
    </row>
    <row r="13040" spans="1:15" s="3" customFormat="1" x14ac:dyDescent="0.3">
      <c r="A13040" s="3" t="s">
        <v>29</v>
      </c>
      <c r="B13040" s="3" t="s">
        <v>585</v>
      </c>
      <c r="C13040" s="3">
        <v>6</v>
      </c>
      <c r="D13040" s="3" t="s">
        <v>276</v>
      </c>
      <c r="E13040" s="3" t="s">
        <v>103</v>
      </c>
      <c r="F13040" s="3" t="s">
        <v>103</v>
      </c>
      <c r="G13040" s="3" t="s">
        <v>103</v>
      </c>
      <c r="H13040" s="3" t="s">
        <v>103</v>
      </c>
      <c r="I13040" s="3" t="s">
        <v>103</v>
      </c>
      <c r="J13040" s="3" t="s">
        <v>103</v>
      </c>
      <c r="K13040" s="3" t="s">
        <v>103</v>
      </c>
      <c r="L13040" s="3" t="s">
        <v>103</v>
      </c>
      <c r="M13040" s="3" t="s">
        <v>103</v>
      </c>
      <c r="N13040" s="3" t="s">
        <v>682</v>
      </c>
      <c r="O13040" s="3" t="s">
        <v>103</v>
      </c>
    </row>
    <row r="13041" spans="1:15" s="3" customFormat="1" x14ac:dyDescent="0.3">
      <c r="A13041" s="3" t="s">
        <v>29</v>
      </c>
      <c r="B13041" s="3" t="s">
        <v>586</v>
      </c>
      <c r="C13041" s="3">
        <v>12</v>
      </c>
      <c r="D13041" s="3" t="s">
        <v>897</v>
      </c>
      <c r="E13041" s="3" t="s">
        <v>103</v>
      </c>
      <c r="F13041" s="3" t="s">
        <v>103</v>
      </c>
      <c r="G13041" s="3" t="s">
        <v>103</v>
      </c>
      <c r="H13041" s="3" t="s">
        <v>103</v>
      </c>
      <c r="I13041" s="3" t="s">
        <v>103</v>
      </c>
      <c r="J13041" s="3" t="s">
        <v>103</v>
      </c>
      <c r="K13041" s="3" t="s">
        <v>103</v>
      </c>
      <c r="L13041" s="3" t="s">
        <v>103</v>
      </c>
      <c r="M13041" s="3" t="s">
        <v>103</v>
      </c>
      <c r="N13041" s="3" t="s">
        <v>519</v>
      </c>
      <c r="O13041" s="3" t="s">
        <v>103</v>
      </c>
    </row>
    <row r="13042" spans="1:15" s="3" customFormat="1" x14ac:dyDescent="0.3">
      <c r="A13042" s="3" t="s">
        <v>29</v>
      </c>
      <c r="B13042" s="3" t="s">
        <v>587</v>
      </c>
      <c r="C13042" s="3">
        <v>3</v>
      </c>
      <c r="D13042" s="3" t="s">
        <v>889</v>
      </c>
      <c r="E13042" s="3" t="s">
        <v>103</v>
      </c>
      <c r="F13042" s="3" t="s">
        <v>103</v>
      </c>
      <c r="G13042" s="3" t="s">
        <v>103</v>
      </c>
      <c r="H13042" s="3" t="s">
        <v>103</v>
      </c>
      <c r="I13042" s="3" t="s">
        <v>103</v>
      </c>
      <c r="J13042" s="3" t="s">
        <v>103</v>
      </c>
      <c r="K13042" s="3" t="s">
        <v>103</v>
      </c>
      <c r="L13042" s="3" t="s">
        <v>103</v>
      </c>
      <c r="M13042" s="3" t="s">
        <v>103</v>
      </c>
      <c r="N13042" s="3" t="s">
        <v>890</v>
      </c>
      <c r="O13042" s="3" t="s">
        <v>103</v>
      </c>
    </row>
    <row r="13043" spans="1:15" s="3" customFormat="1" x14ac:dyDescent="0.3">
      <c r="A13043" s="3" t="s">
        <v>29</v>
      </c>
      <c r="B13043" s="3" t="s">
        <v>588</v>
      </c>
      <c r="C13043" s="3">
        <v>15</v>
      </c>
      <c r="D13043" s="3" t="s">
        <v>775</v>
      </c>
      <c r="E13043" s="3" t="s">
        <v>103</v>
      </c>
      <c r="F13043" s="3" t="s">
        <v>103</v>
      </c>
      <c r="G13043" s="3" t="s">
        <v>103</v>
      </c>
      <c r="H13043" s="3" t="s">
        <v>110</v>
      </c>
      <c r="I13043" s="3" t="s">
        <v>103</v>
      </c>
      <c r="J13043" s="3" t="s">
        <v>103</v>
      </c>
      <c r="K13043" s="3" t="s">
        <v>103</v>
      </c>
      <c r="L13043" s="3" t="s">
        <v>103</v>
      </c>
      <c r="M13043" s="3" t="s">
        <v>103</v>
      </c>
      <c r="N13043" s="3" t="s">
        <v>273</v>
      </c>
      <c r="O13043" s="3" t="s">
        <v>103</v>
      </c>
    </row>
    <row r="13044" spans="1:15" x14ac:dyDescent="0.3">
      <c r="A13044" t="s">
        <v>29</v>
      </c>
      <c r="B13044" t="s">
        <v>2766</v>
      </c>
      <c r="C13044">
        <v>464</v>
      </c>
      <c r="D13044" t="s">
        <v>616</v>
      </c>
      <c r="E13044" t="s">
        <v>216</v>
      </c>
      <c r="F13044" t="s">
        <v>468</v>
      </c>
      <c r="G13044" t="s">
        <v>97</v>
      </c>
      <c r="H13044" t="s">
        <v>122</v>
      </c>
      <c r="I13044" t="s">
        <v>98</v>
      </c>
      <c r="J13044" t="s">
        <v>91</v>
      </c>
      <c r="K13044" t="s">
        <v>468</v>
      </c>
      <c r="L13044" t="s">
        <v>98</v>
      </c>
      <c r="M13044" t="s">
        <v>103</v>
      </c>
      <c r="N13044" t="s">
        <v>466</v>
      </c>
      <c r="O13044" t="s">
        <v>122</v>
      </c>
    </row>
    <row r="13045" spans="1:15" s="3" customFormat="1" x14ac:dyDescent="0.3">
      <c r="A13045" s="3" t="s">
        <v>28</v>
      </c>
      <c r="B13045" s="3" t="s">
        <v>2765</v>
      </c>
      <c r="C13045" s="3">
        <v>6</v>
      </c>
      <c r="D13045" s="3" t="s">
        <v>192</v>
      </c>
      <c r="E13045" s="3" t="s">
        <v>103</v>
      </c>
      <c r="F13045" s="3" t="s">
        <v>103</v>
      </c>
      <c r="G13045" s="3" t="s">
        <v>103</v>
      </c>
      <c r="H13045" s="3" t="s">
        <v>103</v>
      </c>
      <c r="I13045" s="3" t="s">
        <v>103</v>
      </c>
      <c r="J13045" s="3" t="s">
        <v>103</v>
      </c>
      <c r="K13045" s="3" t="s">
        <v>103</v>
      </c>
      <c r="L13045" s="3" t="s">
        <v>103</v>
      </c>
      <c r="M13045" s="3" t="s">
        <v>103</v>
      </c>
      <c r="N13045" s="3" t="s">
        <v>103</v>
      </c>
      <c r="O13045" s="3" t="s">
        <v>103</v>
      </c>
    </row>
    <row r="13046" spans="1:15" s="3" customFormat="1" x14ac:dyDescent="0.3">
      <c r="A13046" s="3" t="s">
        <v>28</v>
      </c>
      <c r="B13046" s="3" t="s">
        <v>585</v>
      </c>
      <c r="C13046" s="3">
        <v>8</v>
      </c>
      <c r="D13046" s="3" t="s">
        <v>192</v>
      </c>
      <c r="E13046" s="3" t="s">
        <v>103</v>
      </c>
      <c r="F13046" s="3" t="s">
        <v>103</v>
      </c>
      <c r="G13046" s="3" t="s">
        <v>103</v>
      </c>
      <c r="H13046" s="3" t="s">
        <v>103</v>
      </c>
      <c r="I13046" s="3" t="s">
        <v>103</v>
      </c>
      <c r="J13046" s="3" t="s">
        <v>103</v>
      </c>
      <c r="K13046" s="3" t="s">
        <v>103</v>
      </c>
      <c r="L13046" s="3" t="s">
        <v>103</v>
      </c>
      <c r="M13046" s="3" t="s">
        <v>103</v>
      </c>
      <c r="N13046" s="3" t="s">
        <v>103</v>
      </c>
      <c r="O13046" s="3" t="s">
        <v>103</v>
      </c>
    </row>
    <row r="13047" spans="1:15" s="3" customFormat="1" x14ac:dyDescent="0.3">
      <c r="A13047" s="3" t="s">
        <v>28</v>
      </c>
      <c r="B13047" s="3" t="s">
        <v>586</v>
      </c>
      <c r="C13047" s="3">
        <v>6</v>
      </c>
      <c r="D13047" s="3" t="s">
        <v>192</v>
      </c>
      <c r="E13047" s="3" t="s">
        <v>103</v>
      </c>
      <c r="F13047" s="3" t="s">
        <v>103</v>
      </c>
      <c r="G13047" s="3" t="s">
        <v>103</v>
      </c>
      <c r="H13047" s="3" t="s">
        <v>103</v>
      </c>
      <c r="I13047" s="3" t="s">
        <v>103</v>
      </c>
      <c r="J13047" s="3" t="s">
        <v>103</v>
      </c>
      <c r="K13047" s="3" t="s">
        <v>103</v>
      </c>
      <c r="L13047" s="3" t="s">
        <v>103</v>
      </c>
      <c r="M13047" s="3" t="s">
        <v>103</v>
      </c>
      <c r="N13047" s="3" t="s">
        <v>103</v>
      </c>
      <c r="O13047" s="3" t="s">
        <v>103</v>
      </c>
    </row>
    <row r="13048" spans="1:15" s="3" customFormat="1" x14ac:dyDescent="0.3">
      <c r="A13048" s="3" t="s">
        <v>28</v>
      </c>
      <c r="B13048" s="3" t="s">
        <v>587</v>
      </c>
      <c r="C13048" s="3">
        <v>11</v>
      </c>
      <c r="D13048" s="3" t="s">
        <v>192</v>
      </c>
      <c r="E13048" s="3" t="s">
        <v>103</v>
      </c>
      <c r="F13048" s="3" t="s">
        <v>103</v>
      </c>
      <c r="G13048" s="3" t="s">
        <v>103</v>
      </c>
      <c r="H13048" s="3" t="s">
        <v>103</v>
      </c>
      <c r="I13048" s="3" t="s">
        <v>103</v>
      </c>
      <c r="J13048" s="3" t="s">
        <v>103</v>
      </c>
      <c r="K13048" s="3" t="s">
        <v>103</v>
      </c>
      <c r="L13048" s="3" t="s">
        <v>103</v>
      </c>
      <c r="M13048" s="3" t="s">
        <v>103</v>
      </c>
      <c r="N13048" s="3" t="s">
        <v>103</v>
      </c>
      <c r="O13048" s="3" t="s">
        <v>103</v>
      </c>
    </row>
    <row r="13049" spans="1:15" x14ac:dyDescent="0.3">
      <c r="A13049" t="s">
        <v>28</v>
      </c>
      <c r="B13049" t="s">
        <v>588</v>
      </c>
      <c r="C13049">
        <v>33</v>
      </c>
      <c r="D13049" t="s">
        <v>192</v>
      </c>
      <c r="E13049" t="s">
        <v>103</v>
      </c>
      <c r="F13049" t="s">
        <v>103</v>
      </c>
      <c r="G13049" t="s">
        <v>103</v>
      </c>
      <c r="H13049" t="s">
        <v>103</v>
      </c>
      <c r="I13049" t="s">
        <v>103</v>
      </c>
      <c r="J13049" t="s">
        <v>103</v>
      </c>
      <c r="K13049" t="s">
        <v>103</v>
      </c>
      <c r="L13049" t="s">
        <v>103</v>
      </c>
      <c r="M13049" t="s">
        <v>103</v>
      </c>
      <c r="N13049" t="s">
        <v>103</v>
      </c>
      <c r="O13049" t="s">
        <v>103</v>
      </c>
    </row>
    <row r="13050" spans="1:15" x14ac:dyDescent="0.3">
      <c r="A13050" t="s">
        <v>28</v>
      </c>
      <c r="B13050" t="s">
        <v>2766</v>
      </c>
      <c r="C13050">
        <v>253</v>
      </c>
      <c r="D13050" t="s">
        <v>880</v>
      </c>
      <c r="E13050" t="s">
        <v>103</v>
      </c>
      <c r="F13050" t="s">
        <v>103</v>
      </c>
      <c r="G13050" t="s">
        <v>103</v>
      </c>
      <c r="H13050" t="s">
        <v>103</v>
      </c>
      <c r="I13050" t="s">
        <v>120</v>
      </c>
      <c r="J13050" t="s">
        <v>103</v>
      </c>
      <c r="K13050" t="s">
        <v>103</v>
      </c>
      <c r="L13050" t="s">
        <v>103</v>
      </c>
      <c r="M13050" t="s">
        <v>103</v>
      </c>
      <c r="N13050" t="s">
        <v>341</v>
      </c>
      <c r="O13050" t="s">
        <v>103</v>
      </c>
    </row>
    <row r="13051" spans="1:15" x14ac:dyDescent="0.3">
      <c r="A13051" t="s">
        <v>27</v>
      </c>
      <c r="B13051" t="s">
        <v>2765</v>
      </c>
      <c r="C13051">
        <v>92</v>
      </c>
      <c r="D13051" t="s">
        <v>712</v>
      </c>
      <c r="E13051" t="s">
        <v>93</v>
      </c>
      <c r="F13051" t="s">
        <v>95</v>
      </c>
      <c r="G13051" t="s">
        <v>266</v>
      </c>
      <c r="H13051" t="s">
        <v>467</v>
      </c>
      <c r="I13051" t="s">
        <v>341</v>
      </c>
      <c r="J13051" t="s">
        <v>103</v>
      </c>
      <c r="K13051" t="s">
        <v>103</v>
      </c>
      <c r="L13051" t="s">
        <v>103</v>
      </c>
      <c r="M13051" t="s">
        <v>103</v>
      </c>
      <c r="N13051" t="s">
        <v>33</v>
      </c>
      <c r="O13051" t="s">
        <v>103</v>
      </c>
    </row>
    <row r="13052" spans="1:15" s="3" customFormat="1" x14ac:dyDescent="0.3">
      <c r="A13052" s="3" t="s">
        <v>27</v>
      </c>
      <c r="B13052" s="3" t="s">
        <v>585</v>
      </c>
      <c r="C13052" s="3">
        <v>1</v>
      </c>
      <c r="D13052" s="3" t="s">
        <v>192</v>
      </c>
      <c r="E13052" s="3" t="s">
        <v>103</v>
      </c>
      <c r="F13052" s="3" t="s">
        <v>103</v>
      </c>
      <c r="G13052" s="3" t="s">
        <v>103</v>
      </c>
      <c r="H13052" s="3" t="s">
        <v>103</v>
      </c>
      <c r="I13052" s="3" t="s">
        <v>103</v>
      </c>
      <c r="J13052" s="3" t="s">
        <v>103</v>
      </c>
      <c r="K13052" s="3" t="s">
        <v>103</v>
      </c>
      <c r="L13052" s="3" t="s">
        <v>103</v>
      </c>
      <c r="M13052" s="3" t="s">
        <v>103</v>
      </c>
      <c r="N13052" s="3" t="s">
        <v>103</v>
      </c>
      <c r="O13052" s="3" t="s">
        <v>103</v>
      </c>
    </row>
    <row r="13053" spans="1:15" s="3" customFormat="1" x14ac:dyDescent="0.3">
      <c r="A13053" s="3" t="s">
        <v>27</v>
      </c>
      <c r="B13053" s="3" t="s">
        <v>586</v>
      </c>
      <c r="C13053" s="3">
        <v>1</v>
      </c>
      <c r="D13053" s="3" t="s">
        <v>192</v>
      </c>
      <c r="E13053" s="3" t="s">
        <v>103</v>
      </c>
      <c r="F13053" s="3" t="s">
        <v>103</v>
      </c>
      <c r="G13053" s="3" t="s">
        <v>103</v>
      </c>
      <c r="H13053" s="3" t="s">
        <v>103</v>
      </c>
      <c r="I13053" s="3" t="s">
        <v>103</v>
      </c>
      <c r="J13053" s="3" t="s">
        <v>103</v>
      </c>
      <c r="K13053" s="3" t="s">
        <v>103</v>
      </c>
      <c r="L13053" s="3" t="s">
        <v>103</v>
      </c>
      <c r="M13053" s="3" t="s">
        <v>103</v>
      </c>
      <c r="N13053" s="3" t="s">
        <v>103</v>
      </c>
      <c r="O13053" s="3" t="s">
        <v>103</v>
      </c>
    </row>
    <row r="13054" spans="1:15" s="3" customFormat="1" x14ac:dyDescent="0.3">
      <c r="A13054" s="3" t="s">
        <v>27</v>
      </c>
      <c r="B13054" s="3" t="s">
        <v>588</v>
      </c>
      <c r="C13054" s="3">
        <v>3</v>
      </c>
      <c r="D13054" s="3" t="s">
        <v>192</v>
      </c>
      <c r="E13054" s="3" t="s">
        <v>103</v>
      </c>
      <c r="F13054" s="3" t="s">
        <v>103</v>
      </c>
      <c r="G13054" s="3" t="s">
        <v>103</v>
      </c>
      <c r="H13054" s="3" t="s">
        <v>103</v>
      </c>
      <c r="I13054" s="3" t="s">
        <v>103</v>
      </c>
      <c r="J13054" s="3" t="s">
        <v>103</v>
      </c>
      <c r="K13054" s="3" t="s">
        <v>103</v>
      </c>
      <c r="L13054" s="3" t="s">
        <v>103</v>
      </c>
      <c r="M13054" s="3" t="s">
        <v>103</v>
      </c>
      <c r="N13054" s="3" t="s">
        <v>103</v>
      </c>
      <c r="O13054" s="3" t="s">
        <v>103</v>
      </c>
    </row>
    <row r="13055" spans="1:15" x14ac:dyDescent="0.3">
      <c r="A13055" t="s">
        <v>27</v>
      </c>
      <c r="B13055" t="s">
        <v>2766</v>
      </c>
      <c r="C13055">
        <v>203</v>
      </c>
      <c r="D13055" t="s">
        <v>903</v>
      </c>
      <c r="E13055" t="s">
        <v>97</v>
      </c>
      <c r="F13055" t="s">
        <v>97</v>
      </c>
      <c r="G13055" t="s">
        <v>103</v>
      </c>
      <c r="H13055" t="s">
        <v>103</v>
      </c>
      <c r="I13055" t="s">
        <v>329</v>
      </c>
      <c r="J13055" t="s">
        <v>103</v>
      </c>
      <c r="K13055" t="s">
        <v>93</v>
      </c>
      <c r="L13055" t="s">
        <v>103</v>
      </c>
      <c r="M13055" t="s">
        <v>103</v>
      </c>
      <c r="N13055" t="s">
        <v>104</v>
      </c>
      <c r="O13055" t="s">
        <v>120</v>
      </c>
    </row>
    <row r="13056" spans="1:15" x14ac:dyDescent="0.3">
      <c r="A13056" t="s">
        <v>41</v>
      </c>
      <c r="B13056" t="s">
        <v>2765</v>
      </c>
      <c r="C13056">
        <v>170</v>
      </c>
      <c r="D13056" t="s">
        <v>599</v>
      </c>
      <c r="E13056" t="s">
        <v>329</v>
      </c>
      <c r="F13056" t="s">
        <v>66</v>
      </c>
      <c r="G13056" t="s">
        <v>93</v>
      </c>
      <c r="H13056" t="s">
        <v>98</v>
      </c>
      <c r="I13056" t="s">
        <v>97</v>
      </c>
      <c r="J13056" t="s">
        <v>239</v>
      </c>
      <c r="K13056" t="s">
        <v>103</v>
      </c>
      <c r="L13056" t="s">
        <v>103</v>
      </c>
      <c r="M13056" t="s">
        <v>103</v>
      </c>
      <c r="N13056" t="s">
        <v>601</v>
      </c>
      <c r="O13056" t="s">
        <v>66</v>
      </c>
    </row>
    <row r="13057" spans="1:15" s="3" customFormat="1" x14ac:dyDescent="0.3">
      <c r="A13057" s="3" t="s">
        <v>41</v>
      </c>
      <c r="B13057" s="3" t="s">
        <v>585</v>
      </c>
      <c r="C13057" s="3">
        <v>20</v>
      </c>
      <c r="D13057" s="3" t="s">
        <v>240</v>
      </c>
      <c r="E13057" s="3" t="s">
        <v>103</v>
      </c>
      <c r="F13057" s="3" t="s">
        <v>103</v>
      </c>
      <c r="G13057" s="3" t="s">
        <v>103</v>
      </c>
      <c r="H13057" s="3" t="s">
        <v>103</v>
      </c>
      <c r="I13057" s="3" t="s">
        <v>103</v>
      </c>
      <c r="J13057" s="3" t="s">
        <v>103</v>
      </c>
      <c r="K13057" s="3" t="s">
        <v>103</v>
      </c>
      <c r="L13057" s="3" t="s">
        <v>103</v>
      </c>
      <c r="M13057" s="3" t="s">
        <v>103</v>
      </c>
      <c r="N13057" s="3" t="s">
        <v>693</v>
      </c>
      <c r="O13057" s="3" t="s">
        <v>103</v>
      </c>
    </row>
    <row r="13058" spans="1:15" x14ac:dyDescent="0.3">
      <c r="A13058" t="s">
        <v>41</v>
      </c>
      <c r="B13058" t="s">
        <v>586</v>
      </c>
      <c r="C13058">
        <v>40</v>
      </c>
      <c r="D13058" t="s">
        <v>288</v>
      </c>
      <c r="E13058" t="s">
        <v>103</v>
      </c>
      <c r="F13058" t="s">
        <v>103</v>
      </c>
      <c r="G13058" t="s">
        <v>103</v>
      </c>
      <c r="H13058" t="s">
        <v>103</v>
      </c>
      <c r="I13058" t="s">
        <v>103</v>
      </c>
      <c r="J13058" t="s">
        <v>103</v>
      </c>
      <c r="K13058" t="s">
        <v>103</v>
      </c>
      <c r="L13058" t="s">
        <v>103</v>
      </c>
      <c r="M13058" t="s">
        <v>103</v>
      </c>
      <c r="N13058" t="s">
        <v>452</v>
      </c>
      <c r="O13058" t="s">
        <v>103</v>
      </c>
    </row>
    <row r="13059" spans="1:15" s="3" customFormat="1" x14ac:dyDescent="0.3">
      <c r="A13059" s="3" t="s">
        <v>41</v>
      </c>
      <c r="B13059" s="3" t="s">
        <v>587</v>
      </c>
      <c r="C13059" s="3">
        <v>24</v>
      </c>
      <c r="D13059" s="3" t="s">
        <v>147</v>
      </c>
      <c r="E13059" s="3" t="s">
        <v>103</v>
      </c>
      <c r="F13059" s="3" t="s">
        <v>103</v>
      </c>
      <c r="G13059" s="3" t="s">
        <v>103</v>
      </c>
      <c r="H13059" s="3" t="s">
        <v>103</v>
      </c>
      <c r="I13059" s="3" t="s">
        <v>103</v>
      </c>
      <c r="J13059" s="3" t="s">
        <v>103</v>
      </c>
      <c r="K13059" s="3" t="s">
        <v>607</v>
      </c>
      <c r="L13059" s="3" t="s">
        <v>103</v>
      </c>
      <c r="M13059" s="3" t="s">
        <v>103</v>
      </c>
      <c r="N13059" s="3" t="s">
        <v>467</v>
      </c>
      <c r="O13059" s="3" t="s">
        <v>103</v>
      </c>
    </row>
    <row r="13060" spans="1:15" x14ac:dyDescent="0.3">
      <c r="A13060" t="s">
        <v>41</v>
      </c>
      <c r="B13060" t="s">
        <v>588</v>
      </c>
      <c r="C13060">
        <v>75</v>
      </c>
      <c r="D13060" t="s">
        <v>240</v>
      </c>
      <c r="E13060" t="s">
        <v>103</v>
      </c>
      <c r="F13060" t="s">
        <v>103</v>
      </c>
      <c r="G13060" t="s">
        <v>103</v>
      </c>
      <c r="H13060" t="s">
        <v>120</v>
      </c>
      <c r="I13060" t="s">
        <v>103</v>
      </c>
      <c r="J13060" t="s">
        <v>103</v>
      </c>
      <c r="K13060" t="s">
        <v>103</v>
      </c>
      <c r="L13060" t="s">
        <v>103</v>
      </c>
      <c r="M13060" t="s">
        <v>103</v>
      </c>
      <c r="N13060" t="s">
        <v>254</v>
      </c>
      <c r="O13060" t="s">
        <v>103</v>
      </c>
    </row>
    <row r="13061" spans="1:15" x14ac:dyDescent="0.3">
      <c r="A13061" t="s">
        <v>41</v>
      </c>
      <c r="B13061" t="s">
        <v>2766</v>
      </c>
      <c r="C13061">
        <v>1709</v>
      </c>
      <c r="D13061" t="s">
        <v>283</v>
      </c>
      <c r="E13061" t="s">
        <v>139</v>
      </c>
      <c r="F13061" t="s">
        <v>120</v>
      </c>
      <c r="G13061" t="s">
        <v>116</v>
      </c>
      <c r="H13061" t="s">
        <v>66</v>
      </c>
      <c r="I13061" t="s">
        <v>95</v>
      </c>
      <c r="J13061" t="s">
        <v>91</v>
      </c>
      <c r="K13061" t="s">
        <v>98</v>
      </c>
      <c r="L13061" t="s">
        <v>122</v>
      </c>
      <c r="M13061" t="s">
        <v>91</v>
      </c>
      <c r="N13061" t="s">
        <v>33</v>
      </c>
      <c r="O13061" t="s">
        <v>116</v>
      </c>
    </row>
    <row r="13063" spans="1:15" x14ac:dyDescent="0.3">
      <c r="A13063" t="s">
        <v>2902</v>
      </c>
    </row>
    <row r="13064" spans="1:15" x14ac:dyDescent="0.3">
      <c r="A13064" t="s">
        <v>36</v>
      </c>
      <c r="B13064" t="s">
        <v>2768</v>
      </c>
      <c r="C13064" t="s">
        <v>24</v>
      </c>
      <c r="D13064" t="s">
        <v>2886</v>
      </c>
      <c r="E13064" t="s">
        <v>2887</v>
      </c>
      <c r="F13064" t="s">
        <v>2888</v>
      </c>
      <c r="G13064" t="s">
        <v>2889</v>
      </c>
      <c r="H13064" t="s">
        <v>2890</v>
      </c>
      <c r="I13064" t="s">
        <v>2891</v>
      </c>
      <c r="J13064" t="s">
        <v>2892</v>
      </c>
      <c r="K13064" t="s">
        <v>2893</v>
      </c>
      <c r="L13064" t="s">
        <v>2894</v>
      </c>
      <c r="M13064" t="s">
        <v>183</v>
      </c>
      <c r="N13064" t="s">
        <v>87</v>
      </c>
      <c r="O13064" t="s">
        <v>181</v>
      </c>
    </row>
    <row r="13065" spans="1:15" s="3" customFormat="1" x14ac:dyDescent="0.3">
      <c r="A13065" s="3" t="s">
        <v>25</v>
      </c>
      <c r="B13065" s="3" t="s">
        <v>638</v>
      </c>
      <c r="C13065" s="3">
        <v>5</v>
      </c>
      <c r="D13065" s="3" t="s">
        <v>192</v>
      </c>
      <c r="E13065" s="3" t="s">
        <v>103</v>
      </c>
      <c r="F13065" s="3" t="s">
        <v>103</v>
      </c>
      <c r="G13065" s="3" t="s">
        <v>103</v>
      </c>
      <c r="H13065" s="3" t="s">
        <v>103</v>
      </c>
      <c r="I13065" s="3" t="s">
        <v>103</v>
      </c>
      <c r="J13065" s="3" t="s">
        <v>103</v>
      </c>
      <c r="K13065" s="3" t="s">
        <v>103</v>
      </c>
      <c r="L13065" s="3" t="s">
        <v>103</v>
      </c>
      <c r="M13065" s="3" t="s">
        <v>103</v>
      </c>
      <c r="N13065" s="3" t="s">
        <v>103</v>
      </c>
      <c r="O13065" s="3" t="s">
        <v>103</v>
      </c>
    </row>
    <row r="13066" spans="1:15" s="3" customFormat="1" x14ac:dyDescent="0.3">
      <c r="A13066" s="3" t="s">
        <v>25</v>
      </c>
      <c r="B13066" s="3" t="s">
        <v>639</v>
      </c>
      <c r="C13066" s="3">
        <v>13</v>
      </c>
      <c r="D13066" s="3" t="s">
        <v>738</v>
      </c>
      <c r="E13066" s="3" t="s">
        <v>103</v>
      </c>
      <c r="F13066" s="3" t="s">
        <v>103</v>
      </c>
      <c r="G13066" s="3" t="s">
        <v>103</v>
      </c>
      <c r="H13066" s="3" t="s">
        <v>103</v>
      </c>
      <c r="I13066" s="3" t="s">
        <v>103</v>
      </c>
      <c r="J13066" s="3" t="s">
        <v>103</v>
      </c>
      <c r="K13066" s="3" t="s">
        <v>103</v>
      </c>
      <c r="L13066" s="3" t="s">
        <v>103</v>
      </c>
      <c r="M13066" s="3" t="s">
        <v>103</v>
      </c>
      <c r="N13066" s="3" t="s">
        <v>737</v>
      </c>
      <c r="O13066" s="3" t="s">
        <v>103</v>
      </c>
    </row>
    <row r="13067" spans="1:15" s="3" customFormat="1" x14ac:dyDescent="0.3">
      <c r="A13067" s="3" t="s">
        <v>25</v>
      </c>
      <c r="B13067" s="3" t="s">
        <v>640</v>
      </c>
      <c r="C13067" s="3">
        <v>11</v>
      </c>
      <c r="D13067" s="3" t="s">
        <v>192</v>
      </c>
      <c r="E13067" s="3" t="s">
        <v>103</v>
      </c>
      <c r="F13067" s="3" t="s">
        <v>103</v>
      </c>
      <c r="G13067" s="3" t="s">
        <v>103</v>
      </c>
      <c r="H13067" s="3" t="s">
        <v>103</v>
      </c>
      <c r="I13067" s="3" t="s">
        <v>103</v>
      </c>
      <c r="J13067" s="3" t="s">
        <v>103</v>
      </c>
      <c r="K13067" s="3" t="s">
        <v>103</v>
      </c>
      <c r="L13067" s="3" t="s">
        <v>103</v>
      </c>
      <c r="M13067" s="3" t="s">
        <v>103</v>
      </c>
      <c r="N13067" s="3" t="s">
        <v>103</v>
      </c>
      <c r="O13067" s="3" t="s">
        <v>103</v>
      </c>
    </row>
    <row r="13068" spans="1:15" s="3" customFormat="1" x14ac:dyDescent="0.3">
      <c r="A13068" s="3" t="s">
        <v>25</v>
      </c>
      <c r="B13068" s="3" t="s">
        <v>2765</v>
      </c>
      <c r="C13068" s="3">
        <v>2</v>
      </c>
      <c r="D13068" s="3" t="s">
        <v>192</v>
      </c>
      <c r="E13068" s="3" t="s">
        <v>103</v>
      </c>
      <c r="F13068" s="3" t="s">
        <v>103</v>
      </c>
      <c r="G13068" s="3" t="s">
        <v>103</v>
      </c>
      <c r="H13068" s="3" t="s">
        <v>103</v>
      </c>
      <c r="I13068" s="3" t="s">
        <v>103</v>
      </c>
      <c r="J13068" s="3" t="s">
        <v>103</v>
      </c>
      <c r="K13068" s="3" t="s">
        <v>103</v>
      </c>
      <c r="L13068" s="3" t="s">
        <v>103</v>
      </c>
      <c r="M13068" s="3" t="s">
        <v>103</v>
      </c>
      <c r="N13068" s="3" t="s">
        <v>103</v>
      </c>
      <c r="O13068" s="3" t="s">
        <v>103</v>
      </c>
    </row>
    <row r="13069" spans="1:15" s="3" customFormat="1" x14ac:dyDescent="0.3">
      <c r="A13069" s="3" t="s">
        <v>25</v>
      </c>
      <c r="B13069" s="3" t="s">
        <v>641</v>
      </c>
      <c r="C13069" s="3">
        <v>8</v>
      </c>
      <c r="D13069" s="3" t="s">
        <v>192</v>
      </c>
      <c r="E13069" s="3" t="s">
        <v>103</v>
      </c>
      <c r="F13069" s="3" t="s">
        <v>103</v>
      </c>
      <c r="G13069" s="3" t="s">
        <v>103</v>
      </c>
      <c r="H13069" s="3" t="s">
        <v>103</v>
      </c>
      <c r="I13069" s="3" t="s">
        <v>103</v>
      </c>
      <c r="J13069" s="3" t="s">
        <v>103</v>
      </c>
      <c r="K13069" s="3" t="s">
        <v>103</v>
      </c>
      <c r="L13069" s="3" t="s">
        <v>103</v>
      </c>
      <c r="M13069" s="3" t="s">
        <v>103</v>
      </c>
      <c r="N13069" s="3" t="s">
        <v>103</v>
      </c>
      <c r="O13069" s="3" t="s">
        <v>103</v>
      </c>
    </row>
    <row r="13070" spans="1:15" s="3" customFormat="1" x14ac:dyDescent="0.3">
      <c r="A13070" s="3" t="s">
        <v>25</v>
      </c>
      <c r="B13070" s="3" t="s">
        <v>2769</v>
      </c>
      <c r="C13070" s="3">
        <v>5</v>
      </c>
      <c r="D13070" s="3" t="s">
        <v>192</v>
      </c>
      <c r="E13070" s="3" t="s">
        <v>103</v>
      </c>
      <c r="F13070" s="3" t="s">
        <v>103</v>
      </c>
      <c r="G13070" s="3" t="s">
        <v>103</v>
      </c>
      <c r="H13070" s="3" t="s">
        <v>103</v>
      </c>
      <c r="I13070" s="3" t="s">
        <v>103</v>
      </c>
      <c r="J13070" s="3" t="s">
        <v>103</v>
      </c>
      <c r="K13070" s="3" t="s">
        <v>103</v>
      </c>
      <c r="L13070" s="3" t="s">
        <v>103</v>
      </c>
      <c r="M13070" s="3" t="s">
        <v>103</v>
      </c>
      <c r="N13070" s="3" t="s">
        <v>103</v>
      </c>
      <c r="O13070" s="3" t="s">
        <v>103</v>
      </c>
    </row>
    <row r="13071" spans="1:15" x14ac:dyDescent="0.3">
      <c r="A13071" t="s">
        <v>25</v>
      </c>
      <c r="B13071" t="s">
        <v>308</v>
      </c>
      <c r="C13071">
        <v>370</v>
      </c>
      <c r="D13071" t="s">
        <v>859</v>
      </c>
      <c r="E13071" t="s">
        <v>103</v>
      </c>
      <c r="F13071" t="s">
        <v>103</v>
      </c>
      <c r="G13071" t="s">
        <v>103</v>
      </c>
      <c r="H13071" t="s">
        <v>103</v>
      </c>
      <c r="I13071" t="s">
        <v>103</v>
      </c>
      <c r="J13071" t="s">
        <v>116</v>
      </c>
      <c r="K13071" t="s">
        <v>103</v>
      </c>
      <c r="L13071" t="s">
        <v>103</v>
      </c>
      <c r="M13071" t="s">
        <v>103</v>
      </c>
      <c r="N13071" t="s">
        <v>278</v>
      </c>
      <c r="O13071" t="s">
        <v>103</v>
      </c>
    </row>
    <row r="13072" spans="1:15" s="3" customFormat="1" x14ac:dyDescent="0.3">
      <c r="A13072" s="3" t="s">
        <v>26</v>
      </c>
      <c r="B13072" s="3" t="s">
        <v>639</v>
      </c>
      <c r="C13072" s="3">
        <v>7</v>
      </c>
      <c r="D13072" s="3" t="s">
        <v>1381</v>
      </c>
      <c r="E13072" s="3" t="s">
        <v>103</v>
      </c>
      <c r="F13072" s="3" t="s">
        <v>103</v>
      </c>
      <c r="G13072" s="3" t="s">
        <v>103</v>
      </c>
      <c r="H13072" s="3" t="s">
        <v>103</v>
      </c>
      <c r="I13072" s="3" t="s">
        <v>103</v>
      </c>
      <c r="J13072" s="3" t="s">
        <v>103</v>
      </c>
      <c r="K13072" s="3" t="s">
        <v>578</v>
      </c>
      <c r="L13072" s="3" t="s">
        <v>103</v>
      </c>
      <c r="M13072" s="3" t="s">
        <v>103</v>
      </c>
      <c r="N13072" s="3" t="s">
        <v>270</v>
      </c>
      <c r="O13072" s="3" t="s">
        <v>103</v>
      </c>
    </row>
    <row r="13073" spans="1:15" s="3" customFormat="1" x14ac:dyDescent="0.3">
      <c r="A13073" s="3" t="s">
        <v>26</v>
      </c>
      <c r="B13073" s="3" t="s">
        <v>640</v>
      </c>
      <c r="C13073" s="3">
        <v>2</v>
      </c>
      <c r="D13073" s="3" t="s">
        <v>192</v>
      </c>
      <c r="E13073" s="3" t="s">
        <v>103</v>
      </c>
      <c r="F13073" s="3" t="s">
        <v>103</v>
      </c>
      <c r="G13073" s="3" t="s">
        <v>103</v>
      </c>
      <c r="H13073" s="3" t="s">
        <v>103</v>
      </c>
      <c r="I13073" s="3" t="s">
        <v>103</v>
      </c>
      <c r="J13073" s="3" t="s">
        <v>103</v>
      </c>
      <c r="K13073" s="3" t="s">
        <v>103</v>
      </c>
      <c r="L13073" s="3" t="s">
        <v>103</v>
      </c>
      <c r="M13073" s="3" t="s">
        <v>103</v>
      </c>
      <c r="N13073" s="3" t="s">
        <v>103</v>
      </c>
      <c r="O13073" s="3" t="s">
        <v>103</v>
      </c>
    </row>
    <row r="13074" spans="1:15" s="3" customFormat="1" x14ac:dyDescent="0.3">
      <c r="A13074" s="3" t="s">
        <v>26</v>
      </c>
      <c r="B13074" s="3" t="s">
        <v>641</v>
      </c>
      <c r="C13074" s="3">
        <v>5</v>
      </c>
      <c r="D13074" s="3" t="s">
        <v>192</v>
      </c>
      <c r="E13074" s="3" t="s">
        <v>103</v>
      </c>
      <c r="F13074" s="3" t="s">
        <v>103</v>
      </c>
      <c r="G13074" s="3" t="s">
        <v>103</v>
      </c>
      <c r="H13074" s="3" t="s">
        <v>103</v>
      </c>
      <c r="I13074" s="3" t="s">
        <v>103</v>
      </c>
      <c r="J13074" s="3" t="s">
        <v>103</v>
      </c>
      <c r="K13074" s="3" t="s">
        <v>103</v>
      </c>
      <c r="L13074" s="3" t="s">
        <v>103</v>
      </c>
      <c r="M13074" s="3" t="s">
        <v>103</v>
      </c>
      <c r="N13074" s="3" t="s">
        <v>103</v>
      </c>
      <c r="O13074" s="3" t="s">
        <v>103</v>
      </c>
    </row>
    <row r="13075" spans="1:15" s="3" customFormat="1" x14ac:dyDescent="0.3">
      <c r="A13075" s="3" t="s">
        <v>26</v>
      </c>
      <c r="B13075" s="3" t="s">
        <v>2769</v>
      </c>
      <c r="C13075" s="3">
        <v>2</v>
      </c>
      <c r="D13075" s="3" t="s">
        <v>192</v>
      </c>
      <c r="E13075" s="3" t="s">
        <v>103</v>
      </c>
      <c r="F13075" s="3" t="s">
        <v>103</v>
      </c>
      <c r="G13075" s="3" t="s">
        <v>103</v>
      </c>
      <c r="H13075" s="3" t="s">
        <v>103</v>
      </c>
      <c r="I13075" s="3" t="s">
        <v>103</v>
      </c>
      <c r="J13075" s="3" t="s">
        <v>103</v>
      </c>
      <c r="K13075" s="3" t="s">
        <v>103</v>
      </c>
      <c r="L13075" s="3" t="s">
        <v>103</v>
      </c>
      <c r="M13075" s="3" t="s">
        <v>103</v>
      </c>
      <c r="N13075" s="3" t="s">
        <v>103</v>
      </c>
      <c r="O13075" s="3" t="s">
        <v>103</v>
      </c>
    </row>
    <row r="13076" spans="1:15" x14ac:dyDescent="0.3">
      <c r="A13076" t="s">
        <v>26</v>
      </c>
      <c r="B13076" t="s">
        <v>308</v>
      </c>
      <c r="C13076">
        <v>461</v>
      </c>
      <c r="D13076" t="s">
        <v>803</v>
      </c>
      <c r="E13076" t="s">
        <v>103</v>
      </c>
      <c r="F13076" t="s">
        <v>103</v>
      </c>
      <c r="G13076" t="s">
        <v>91</v>
      </c>
      <c r="H13076" t="s">
        <v>103</v>
      </c>
      <c r="I13076" t="s">
        <v>95</v>
      </c>
      <c r="J13076" t="s">
        <v>103</v>
      </c>
      <c r="K13076" t="s">
        <v>139</v>
      </c>
      <c r="L13076" t="s">
        <v>103</v>
      </c>
      <c r="M13076" t="s">
        <v>116</v>
      </c>
      <c r="N13076" t="s">
        <v>329</v>
      </c>
      <c r="O13076" t="s">
        <v>66</v>
      </c>
    </row>
    <row r="13077" spans="1:15" s="3" customFormat="1" x14ac:dyDescent="0.3">
      <c r="A13077" s="3" t="s">
        <v>29</v>
      </c>
      <c r="B13077" s="3" t="s">
        <v>638</v>
      </c>
      <c r="C13077" s="3">
        <v>5</v>
      </c>
      <c r="D13077" s="3" t="s">
        <v>614</v>
      </c>
      <c r="E13077" s="3" t="s">
        <v>103</v>
      </c>
      <c r="F13077" s="3" t="s">
        <v>103</v>
      </c>
      <c r="G13077" s="3" t="s">
        <v>103</v>
      </c>
      <c r="H13077" s="3" t="s">
        <v>103</v>
      </c>
      <c r="I13077" s="3" t="s">
        <v>103</v>
      </c>
      <c r="J13077" s="3" t="s">
        <v>103</v>
      </c>
      <c r="K13077" s="3" t="s">
        <v>103</v>
      </c>
      <c r="L13077" s="3" t="s">
        <v>103</v>
      </c>
      <c r="M13077" s="3" t="s">
        <v>103</v>
      </c>
      <c r="N13077" s="3" t="s">
        <v>269</v>
      </c>
      <c r="O13077" s="3" t="s">
        <v>103</v>
      </c>
    </row>
    <row r="13078" spans="1:15" s="3" customFormat="1" x14ac:dyDescent="0.3">
      <c r="A13078" s="3" t="s">
        <v>29</v>
      </c>
      <c r="B13078" s="3" t="s">
        <v>639</v>
      </c>
      <c r="C13078" s="3">
        <v>4</v>
      </c>
      <c r="D13078" s="3" t="s">
        <v>426</v>
      </c>
      <c r="E13078" s="3" t="s">
        <v>103</v>
      </c>
      <c r="F13078" s="3" t="s">
        <v>103</v>
      </c>
      <c r="G13078" s="3" t="s">
        <v>103</v>
      </c>
      <c r="H13078" s="3" t="s">
        <v>511</v>
      </c>
      <c r="I13078" s="3" t="s">
        <v>103</v>
      </c>
      <c r="J13078" s="3" t="s">
        <v>103</v>
      </c>
      <c r="K13078" s="3" t="s">
        <v>103</v>
      </c>
      <c r="L13078" s="3" t="s">
        <v>103</v>
      </c>
      <c r="M13078" s="3" t="s">
        <v>103</v>
      </c>
      <c r="N13078" s="3" t="s">
        <v>1224</v>
      </c>
      <c r="O13078" s="3" t="s">
        <v>103</v>
      </c>
    </row>
    <row r="13079" spans="1:15" s="3" customFormat="1" x14ac:dyDescent="0.3">
      <c r="A13079" s="3" t="s">
        <v>29</v>
      </c>
      <c r="B13079" s="3" t="s">
        <v>640</v>
      </c>
      <c r="C13079" s="3">
        <v>10</v>
      </c>
      <c r="D13079" s="3" t="s">
        <v>828</v>
      </c>
      <c r="E13079" s="3" t="s">
        <v>103</v>
      </c>
      <c r="F13079" s="3" t="s">
        <v>103</v>
      </c>
      <c r="G13079" s="3" t="s">
        <v>103</v>
      </c>
      <c r="H13079" s="3" t="s">
        <v>103</v>
      </c>
      <c r="I13079" s="3" t="s">
        <v>103</v>
      </c>
      <c r="J13079" s="3" t="s">
        <v>103</v>
      </c>
      <c r="K13079" s="3" t="s">
        <v>103</v>
      </c>
      <c r="L13079" s="3" t="s">
        <v>103</v>
      </c>
      <c r="M13079" s="3" t="s">
        <v>103</v>
      </c>
      <c r="N13079" s="3" t="s">
        <v>649</v>
      </c>
      <c r="O13079" s="3" t="s">
        <v>103</v>
      </c>
    </row>
    <row r="13080" spans="1:15" s="3" customFormat="1" x14ac:dyDescent="0.3">
      <c r="A13080" s="3" t="s">
        <v>29</v>
      </c>
      <c r="B13080" s="3" t="s">
        <v>2765</v>
      </c>
      <c r="C13080" s="3">
        <v>8</v>
      </c>
      <c r="D13080" s="3" t="s">
        <v>53</v>
      </c>
      <c r="E13080" s="3" t="s">
        <v>103</v>
      </c>
      <c r="F13080" s="3" t="s">
        <v>103</v>
      </c>
      <c r="G13080" s="3" t="s">
        <v>103</v>
      </c>
      <c r="H13080" s="3" t="s">
        <v>103</v>
      </c>
      <c r="I13080" s="3" t="s">
        <v>103</v>
      </c>
      <c r="J13080" s="3" t="s">
        <v>103</v>
      </c>
      <c r="K13080" s="3" t="s">
        <v>103</v>
      </c>
      <c r="L13080" s="3" t="s">
        <v>103</v>
      </c>
      <c r="M13080" s="3" t="s">
        <v>103</v>
      </c>
      <c r="N13080" s="3" t="s">
        <v>54</v>
      </c>
      <c r="O13080" s="3" t="s">
        <v>103</v>
      </c>
    </row>
    <row r="13081" spans="1:15" s="3" customFormat="1" x14ac:dyDescent="0.3">
      <c r="A13081" s="3" t="s">
        <v>29</v>
      </c>
      <c r="B13081" s="3" t="s">
        <v>641</v>
      </c>
      <c r="C13081" s="3">
        <v>7</v>
      </c>
      <c r="D13081" s="3" t="s">
        <v>806</v>
      </c>
      <c r="E13081" s="3" t="s">
        <v>103</v>
      </c>
      <c r="F13081" s="3" t="s">
        <v>103</v>
      </c>
      <c r="G13081" s="3" t="s">
        <v>103</v>
      </c>
      <c r="H13081" s="3" t="s">
        <v>103</v>
      </c>
      <c r="I13081" s="3" t="s">
        <v>103</v>
      </c>
      <c r="J13081" s="3" t="s">
        <v>103</v>
      </c>
      <c r="K13081" s="3" t="s">
        <v>103</v>
      </c>
      <c r="L13081" s="3" t="s">
        <v>103</v>
      </c>
      <c r="M13081" s="3" t="s">
        <v>103</v>
      </c>
      <c r="N13081" s="3" t="s">
        <v>548</v>
      </c>
      <c r="O13081" s="3" t="s">
        <v>103</v>
      </c>
    </row>
    <row r="13082" spans="1:15" s="3" customFormat="1" x14ac:dyDescent="0.3">
      <c r="A13082" s="3" t="s">
        <v>29</v>
      </c>
      <c r="B13082" s="3" t="s">
        <v>2769</v>
      </c>
      <c r="C13082" s="3">
        <v>2</v>
      </c>
      <c r="D13082" s="3" t="s">
        <v>192</v>
      </c>
      <c r="E13082" s="3" t="s">
        <v>103</v>
      </c>
      <c r="F13082" s="3" t="s">
        <v>103</v>
      </c>
      <c r="G13082" s="3" t="s">
        <v>103</v>
      </c>
      <c r="H13082" s="3" t="s">
        <v>103</v>
      </c>
      <c r="I13082" s="3" t="s">
        <v>103</v>
      </c>
      <c r="J13082" s="3" t="s">
        <v>103</v>
      </c>
      <c r="K13082" s="3" t="s">
        <v>103</v>
      </c>
      <c r="L13082" s="3" t="s">
        <v>103</v>
      </c>
      <c r="M13082" s="3" t="s">
        <v>103</v>
      </c>
      <c r="N13082" s="3" t="s">
        <v>103</v>
      </c>
      <c r="O13082" s="3" t="s">
        <v>103</v>
      </c>
    </row>
    <row r="13083" spans="1:15" x14ac:dyDescent="0.3">
      <c r="A13083" t="s">
        <v>29</v>
      </c>
      <c r="B13083" t="s">
        <v>308</v>
      </c>
      <c r="C13083">
        <v>494</v>
      </c>
      <c r="D13083" t="s">
        <v>742</v>
      </c>
      <c r="E13083" t="s">
        <v>105</v>
      </c>
      <c r="F13083" t="s">
        <v>345</v>
      </c>
      <c r="G13083" t="s">
        <v>120</v>
      </c>
      <c r="H13083" t="s">
        <v>122</v>
      </c>
      <c r="I13083" t="s">
        <v>98</v>
      </c>
      <c r="J13083" t="s">
        <v>116</v>
      </c>
      <c r="K13083" t="s">
        <v>468</v>
      </c>
      <c r="L13083" t="s">
        <v>98</v>
      </c>
      <c r="M13083" t="s">
        <v>103</v>
      </c>
      <c r="N13083" t="s">
        <v>607</v>
      </c>
      <c r="O13083" t="s">
        <v>122</v>
      </c>
    </row>
    <row r="13084" spans="1:15" s="3" customFormat="1" x14ac:dyDescent="0.3">
      <c r="A13084" s="3" t="s">
        <v>28</v>
      </c>
      <c r="B13084" s="3" t="s">
        <v>638</v>
      </c>
      <c r="C13084" s="3">
        <v>9</v>
      </c>
      <c r="D13084" s="3" t="s">
        <v>192</v>
      </c>
      <c r="E13084" s="3" t="s">
        <v>103</v>
      </c>
      <c r="F13084" s="3" t="s">
        <v>103</v>
      </c>
      <c r="G13084" s="3" t="s">
        <v>103</v>
      </c>
      <c r="H13084" s="3" t="s">
        <v>103</v>
      </c>
      <c r="I13084" s="3" t="s">
        <v>103</v>
      </c>
      <c r="J13084" s="3" t="s">
        <v>103</v>
      </c>
      <c r="K13084" s="3" t="s">
        <v>103</v>
      </c>
      <c r="L13084" s="3" t="s">
        <v>103</v>
      </c>
      <c r="M13084" s="3" t="s">
        <v>103</v>
      </c>
      <c r="N13084" s="3" t="s">
        <v>103</v>
      </c>
      <c r="O13084" s="3" t="s">
        <v>103</v>
      </c>
    </row>
    <row r="13085" spans="1:15" s="3" customFormat="1" x14ac:dyDescent="0.3">
      <c r="A13085" s="3" t="s">
        <v>28</v>
      </c>
      <c r="B13085" s="3" t="s">
        <v>639</v>
      </c>
      <c r="C13085" s="3">
        <v>17</v>
      </c>
      <c r="D13085" s="3" t="s">
        <v>192</v>
      </c>
      <c r="E13085" s="3" t="s">
        <v>103</v>
      </c>
      <c r="F13085" s="3" t="s">
        <v>103</v>
      </c>
      <c r="G13085" s="3" t="s">
        <v>103</v>
      </c>
      <c r="H13085" s="3" t="s">
        <v>103</v>
      </c>
      <c r="I13085" s="3" t="s">
        <v>103</v>
      </c>
      <c r="J13085" s="3" t="s">
        <v>103</v>
      </c>
      <c r="K13085" s="3" t="s">
        <v>103</v>
      </c>
      <c r="L13085" s="3" t="s">
        <v>103</v>
      </c>
      <c r="M13085" s="3" t="s">
        <v>103</v>
      </c>
      <c r="N13085" s="3" t="s">
        <v>103</v>
      </c>
      <c r="O13085" s="3" t="s">
        <v>103</v>
      </c>
    </row>
    <row r="13086" spans="1:15" s="3" customFormat="1" x14ac:dyDescent="0.3">
      <c r="A13086" s="3" t="s">
        <v>28</v>
      </c>
      <c r="B13086" s="3" t="s">
        <v>640</v>
      </c>
      <c r="C13086" s="3">
        <v>20</v>
      </c>
      <c r="D13086" s="3" t="s">
        <v>192</v>
      </c>
      <c r="E13086" s="3" t="s">
        <v>103</v>
      </c>
      <c r="F13086" s="3" t="s">
        <v>103</v>
      </c>
      <c r="G13086" s="3" t="s">
        <v>103</v>
      </c>
      <c r="H13086" s="3" t="s">
        <v>103</v>
      </c>
      <c r="I13086" s="3" t="s">
        <v>103</v>
      </c>
      <c r="J13086" s="3" t="s">
        <v>103</v>
      </c>
      <c r="K13086" s="3" t="s">
        <v>103</v>
      </c>
      <c r="L13086" s="3" t="s">
        <v>103</v>
      </c>
      <c r="M13086" s="3" t="s">
        <v>103</v>
      </c>
      <c r="N13086" s="3" t="s">
        <v>103</v>
      </c>
      <c r="O13086" s="3" t="s">
        <v>103</v>
      </c>
    </row>
    <row r="13087" spans="1:15" s="3" customFormat="1" x14ac:dyDescent="0.3">
      <c r="A13087" s="3" t="s">
        <v>28</v>
      </c>
      <c r="B13087" s="3" t="s">
        <v>2765</v>
      </c>
      <c r="C13087" s="3">
        <v>2</v>
      </c>
      <c r="D13087" s="3" t="s">
        <v>192</v>
      </c>
      <c r="E13087" s="3" t="s">
        <v>103</v>
      </c>
      <c r="F13087" s="3" t="s">
        <v>103</v>
      </c>
      <c r="G13087" s="3" t="s">
        <v>103</v>
      </c>
      <c r="H13087" s="3" t="s">
        <v>103</v>
      </c>
      <c r="I13087" s="3" t="s">
        <v>103</v>
      </c>
      <c r="J13087" s="3" t="s">
        <v>103</v>
      </c>
      <c r="K13087" s="3" t="s">
        <v>103</v>
      </c>
      <c r="L13087" s="3" t="s">
        <v>103</v>
      </c>
      <c r="M13087" s="3" t="s">
        <v>103</v>
      </c>
      <c r="N13087" s="3" t="s">
        <v>103</v>
      </c>
      <c r="O13087" s="3" t="s">
        <v>103</v>
      </c>
    </row>
    <row r="13088" spans="1:15" s="3" customFormat="1" x14ac:dyDescent="0.3">
      <c r="A13088" s="3" t="s">
        <v>28</v>
      </c>
      <c r="B13088" s="3" t="s">
        <v>641</v>
      </c>
      <c r="C13088" s="3">
        <v>7</v>
      </c>
      <c r="D13088" s="3" t="s">
        <v>192</v>
      </c>
      <c r="E13088" s="3" t="s">
        <v>103</v>
      </c>
      <c r="F13088" s="3" t="s">
        <v>103</v>
      </c>
      <c r="G13088" s="3" t="s">
        <v>103</v>
      </c>
      <c r="H13088" s="3" t="s">
        <v>103</v>
      </c>
      <c r="I13088" s="3" t="s">
        <v>103</v>
      </c>
      <c r="J13088" s="3" t="s">
        <v>103</v>
      </c>
      <c r="K13088" s="3" t="s">
        <v>103</v>
      </c>
      <c r="L13088" s="3" t="s">
        <v>103</v>
      </c>
      <c r="M13088" s="3" t="s">
        <v>103</v>
      </c>
      <c r="N13088" s="3" t="s">
        <v>103</v>
      </c>
      <c r="O13088" s="3" t="s">
        <v>103</v>
      </c>
    </row>
    <row r="13089" spans="1:15" s="3" customFormat="1" x14ac:dyDescent="0.3">
      <c r="A13089" s="3" t="s">
        <v>28</v>
      </c>
      <c r="B13089" s="3" t="s">
        <v>2769</v>
      </c>
      <c r="C13089" s="3">
        <v>3</v>
      </c>
      <c r="D13089" s="3" t="s">
        <v>192</v>
      </c>
      <c r="E13089" s="3" t="s">
        <v>103</v>
      </c>
      <c r="F13089" s="3" t="s">
        <v>103</v>
      </c>
      <c r="G13089" s="3" t="s">
        <v>103</v>
      </c>
      <c r="H13089" s="3" t="s">
        <v>103</v>
      </c>
      <c r="I13089" s="3" t="s">
        <v>103</v>
      </c>
      <c r="J13089" s="3" t="s">
        <v>103</v>
      </c>
      <c r="K13089" s="3" t="s">
        <v>103</v>
      </c>
      <c r="L13089" s="3" t="s">
        <v>103</v>
      </c>
      <c r="M13089" s="3" t="s">
        <v>103</v>
      </c>
      <c r="N13089" s="3" t="s">
        <v>103</v>
      </c>
      <c r="O13089" s="3" t="s">
        <v>103</v>
      </c>
    </row>
    <row r="13090" spans="1:15" x14ac:dyDescent="0.3">
      <c r="A13090" t="s">
        <v>28</v>
      </c>
      <c r="B13090" t="s">
        <v>308</v>
      </c>
      <c r="C13090">
        <v>259</v>
      </c>
      <c r="D13090" t="s">
        <v>880</v>
      </c>
      <c r="E13090" t="s">
        <v>103</v>
      </c>
      <c r="F13090" t="s">
        <v>103</v>
      </c>
      <c r="G13090" t="s">
        <v>103</v>
      </c>
      <c r="H13090" t="s">
        <v>103</v>
      </c>
      <c r="I13090" t="s">
        <v>120</v>
      </c>
      <c r="J13090" t="s">
        <v>103</v>
      </c>
      <c r="K13090" t="s">
        <v>103</v>
      </c>
      <c r="L13090" t="s">
        <v>103</v>
      </c>
      <c r="M13090" t="s">
        <v>103</v>
      </c>
      <c r="N13090" t="s">
        <v>341</v>
      </c>
      <c r="O13090" t="s">
        <v>103</v>
      </c>
    </row>
    <row r="13091" spans="1:15" s="3" customFormat="1" x14ac:dyDescent="0.3">
      <c r="A13091" s="3" t="s">
        <v>27</v>
      </c>
      <c r="B13091" s="3" t="s">
        <v>638</v>
      </c>
      <c r="C13091" s="3">
        <v>1</v>
      </c>
      <c r="D13091" s="3" t="s">
        <v>192</v>
      </c>
      <c r="E13091" s="3" t="s">
        <v>103</v>
      </c>
      <c r="F13091" s="3" t="s">
        <v>103</v>
      </c>
      <c r="G13091" s="3" t="s">
        <v>103</v>
      </c>
      <c r="H13091" s="3" t="s">
        <v>103</v>
      </c>
      <c r="I13091" s="3" t="s">
        <v>103</v>
      </c>
      <c r="J13091" s="3" t="s">
        <v>103</v>
      </c>
      <c r="K13091" s="3" t="s">
        <v>103</v>
      </c>
      <c r="L13091" s="3" t="s">
        <v>103</v>
      </c>
      <c r="M13091" s="3" t="s">
        <v>103</v>
      </c>
      <c r="N13091" s="3" t="s">
        <v>103</v>
      </c>
      <c r="O13091" s="3" t="s">
        <v>103</v>
      </c>
    </row>
    <row r="13092" spans="1:15" s="3" customFormat="1" x14ac:dyDescent="0.3">
      <c r="A13092" s="3" t="s">
        <v>27</v>
      </c>
      <c r="B13092" s="3" t="s">
        <v>639</v>
      </c>
      <c r="C13092" s="3">
        <v>1</v>
      </c>
      <c r="D13092" s="3" t="s">
        <v>192</v>
      </c>
      <c r="E13092" s="3" t="s">
        <v>103</v>
      </c>
      <c r="F13092" s="3" t="s">
        <v>103</v>
      </c>
      <c r="G13092" s="3" t="s">
        <v>103</v>
      </c>
      <c r="H13092" s="3" t="s">
        <v>103</v>
      </c>
      <c r="I13092" s="3" t="s">
        <v>103</v>
      </c>
      <c r="J13092" s="3" t="s">
        <v>103</v>
      </c>
      <c r="K13092" s="3" t="s">
        <v>103</v>
      </c>
      <c r="L13092" s="3" t="s">
        <v>103</v>
      </c>
      <c r="M13092" s="3" t="s">
        <v>103</v>
      </c>
      <c r="N13092" s="3" t="s">
        <v>103</v>
      </c>
      <c r="O13092" s="3" t="s">
        <v>103</v>
      </c>
    </row>
    <row r="13093" spans="1:15" s="3" customFormat="1" x14ac:dyDescent="0.3">
      <c r="A13093" s="3" t="s">
        <v>27</v>
      </c>
      <c r="B13093" s="3" t="s">
        <v>640</v>
      </c>
      <c r="C13093" s="3">
        <v>1</v>
      </c>
      <c r="D13093" s="3" t="s">
        <v>192</v>
      </c>
      <c r="E13093" s="3" t="s">
        <v>103</v>
      </c>
      <c r="F13093" s="3" t="s">
        <v>103</v>
      </c>
      <c r="G13093" s="3" t="s">
        <v>103</v>
      </c>
      <c r="H13093" s="3" t="s">
        <v>103</v>
      </c>
      <c r="I13093" s="3" t="s">
        <v>103</v>
      </c>
      <c r="J13093" s="3" t="s">
        <v>103</v>
      </c>
      <c r="K13093" s="3" t="s">
        <v>103</v>
      </c>
      <c r="L13093" s="3" t="s">
        <v>103</v>
      </c>
      <c r="M13093" s="3" t="s">
        <v>103</v>
      </c>
      <c r="N13093" s="3" t="s">
        <v>103</v>
      </c>
      <c r="O13093" s="3" t="s">
        <v>103</v>
      </c>
    </row>
    <row r="13094" spans="1:15" s="3" customFormat="1" x14ac:dyDescent="0.3">
      <c r="A13094" s="3" t="s">
        <v>27</v>
      </c>
      <c r="B13094" s="3" t="s">
        <v>2765</v>
      </c>
      <c r="C13094" s="3">
        <v>1</v>
      </c>
      <c r="D13094" s="3" t="s">
        <v>192</v>
      </c>
      <c r="E13094" s="3" t="s">
        <v>103</v>
      </c>
      <c r="F13094" s="3" t="s">
        <v>103</v>
      </c>
      <c r="G13094" s="3" t="s">
        <v>103</v>
      </c>
      <c r="H13094" s="3" t="s">
        <v>103</v>
      </c>
      <c r="I13094" s="3" t="s">
        <v>103</v>
      </c>
      <c r="J13094" s="3" t="s">
        <v>103</v>
      </c>
      <c r="K13094" s="3" t="s">
        <v>103</v>
      </c>
      <c r="L13094" s="3" t="s">
        <v>103</v>
      </c>
      <c r="M13094" s="3" t="s">
        <v>103</v>
      </c>
      <c r="N13094" s="3" t="s">
        <v>103</v>
      </c>
      <c r="O13094" s="3" t="s">
        <v>103</v>
      </c>
    </row>
    <row r="13095" spans="1:15" s="3" customFormat="1" x14ac:dyDescent="0.3">
      <c r="A13095" s="3" t="s">
        <v>27</v>
      </c>
      <c r="B13095" s="3" t="s">
        <v>641</v>
      </c>
      <c r="C13095" s="3">
        <v>1</v>
      </c>
      <c r="D13095" s="3" t="s">
        <v>192</v>
      </c>
      <c r="E13095" s="3" t="s">
        <v>103</v>
      </c>
      <c r="F13095" s="3" t="s">
        <v>103</v>
      </c>
      <c r="G13095" s="3" t="s">
        <v>103</v>
      </c>
      <c r="H13095" s="3" t="s">
        <v>103</v>
      </c>
      <c r="I13095" s="3" t="s">
        <v>103</v>
      </c>
      <c r="J13095" s="3" t="s">
        <v>103</v>
      </c>
      <c r="K13095" s="3" t="s">
        <v>103</v>
      </c>
      <c r="L13095" s="3" t="s">
        <v>103</v>
      </c>
      <c r="M13095" s="3" t="s">
        <v>103</v>
      </c>
      <c r="N13095" s="3" t="s">
        <v>103</v>
      </c>
      <c r="O13095" s="3" t="s">
        <v>103</v>
      </c>
    </row>
    <row r="13096" spans="1:15" x14ac:dyDescent="0.3">
      <c r="A13096" t="s">
        <v>27</v>
      </c>
      <c r="B13096" t="s">
        <v>308</v>
      </c>
      <c r="C13096">
        <v>295</v>
      </c>
      <c r="D13096" t="s">
        <v>174</v>
      </c>
      <c r="E13096" t="s">
        <v>345</v>
      </c>
      <c r="F13096" t="s">
        <v>120</v>
      </c>
      <c r="G13096" t="s">
        <v>282</v>
      </c>
      <c r="H13096" t="s">
        <v>468</v>
      </c>
      <c r="I13096" t="s">
        <v>208</v>
      </c>
      <c r="J13096" t="s">
        <v>103</v>
      </c>
      <c r="K13096" t="s">
        <v>110</v>
      </c>
      <c r="L13096" t="s">
        <v>103</v>
      </c>
      <c r="M13096" t="s">
        <v>103</v>
      </c>
      <c r="N13096" t="s">
        <v>601</v>
      </c>
      <c r="O13096" t="s">
        <v>122</v>
      </c>
    </row>
    <row r="13097" spans="1:15" s="3" customFormat="1" x14ac:dyDescent="0.3">
      <c r="A13097" s="3" t="s">
        <v>41</v>
      </c>
      <c r="B13097" s="3" t="s">
        <v>638</v>
      </c>
      <c r="C13097" s="3">
        <v>20</v>
      </c>
      <c r="D13097" s="3" t="s">
        <v>289</v>
      </c>
      <c r="E13097" s="3" t="s">
        <v>103</v>
      </c>
      <c r="F13097" s="3" t="s">
        <v>103</v>
      </c>
      <c r="G13097" s="3" t="s">
        <v>103</v>
      </c>
      <c r="H13097" s="3" t="s">
        <v>103</v>
      </c>
      <c r="I13097" s="3" t="s">
        <v>103</v>
      </c>
      <c r="J13097" s="3" t="s">
        <v>103</v>
      </c>
      <c r="K13097" s="3" t="s">
        <v>103</v>
      </c>
      <c r="L13097" s="3" t="s">
        <v>103</v>
      </c>
      <c r="M13097" s="3" t="s">
        <v>103</v>
      </c>
      <c r="N13097" s="3" t="s">
        <v>281</v>
      </c>
      <c r="O13097" s="3" t="s">
        <v>103</v>
      </c>
    </row>
    <row r="13098" spans="1:15" x14ac:dyDescent="0.3">
      <c r="A13098" t="s">
        <v>41</v>
      </c>
      <c r="B13098" t="s">
        <v>639</v>
      </c>
      <c r="C13098">
        <v>42</v>
      </c>
      <c r="D13098" t="s">
        <v>870</v>
      </c>
      <c r="E13098" t="s">
        <v>103</v>
      </c>
      <c r="F13098" t="s">
        <v>103</v>
      </c>
      <c r="G13098" t="s">
        <v>103</v>
      </c>
      <c r="H13098" t="s">
        <v>468</v>
      </c>
      <c r="I13098" t="s">
        <v>103</v>
      </c>
      <c r="J13098" t="s">
        <v>103</v>
      </c>
      <c r="K13098" t="s">
        <v>125</v>
      </c>
      <c r="L13098" t="s">
        <v>103</v>
      </c>
      <c r="M13098" t="s">
        <v>103</v>
      </c>
      <c r="N13098" t="s">
        <v>652</v>
      </c>
      <c r="O13098" t="s">
        <v>103</v>
      </c>
    </row>
    <row r="13099" spans="1:15" x14ac:dyDescent="0.3">
      <c r="A13099" t="s">
        <v>41</v>
      </c>
      <c r="B13099" t="s">
        <v>640</v>
      </c>
      <c r="C13099">
        <v>44</v>
      </c>
      <c r="D13099" t="s">
        <v>213</v>
      </c>
      <c r="E13099" t="s">
        <v>103</v>
      </c>
      <c r="F13099" t="s">
        <v>103</v>
      </c>
      <c r="G13099" t="s">
        <v>103</v>
      </c>
      <c r="H13099" t="s">
        <v>103</v>
      </c>
      <c r="I13099" t="s">
        <v>103</v>
      </c>
      <c r="J13099" t="s">
        <v>103</v>
      </c>
      <c r="K13099" t="s">
        <v>103</v>
      </c>
      <c r="L13099" t="s">
        <v>103</v>
      </c>
      <c r="M13099" t="s">
        <v>103</v>
      </c>
      <c r="N13099" t="s">
        <v>214</v>
      </c>
      <c r="O13099" t="s">
        <v>103</v>
      </c>
    </row>
    <row r="13100" spans="1:15" s="3" customFormat="1" x14ac:dyDescent="0.3">
      <c r="A13100" s="3" t="s">
        <v>41</v>
      </c>
      <c r="B13100" s="3" t="s">
        <v>2765</v>
      </c>
      <c r="C13100" s="3">
        <v>13</v>
      </c>
      <c r="D13100" s="3" t="s">
        <v>1019</v>
      </c>
      <c r="E13100" s="3" t="s">
        <v>103</v>
      </c>
      <c r="F13100" s="3" t="s">
        <v>103</v>
      </c>
      <c r="G13100" s="3" t="s">
        <v>103</v>
      </c>
      <c r="H13100" s="3" t="s">
        <v>103</v>
      </c>
      <c r="I13100" s="3" t="s">
        <v>103</v>
      </c>
      <c r="J13100" s="3" t="s">
        <v>103</v>
      </c>
      <c r="K13100" s="3" t="s">
        <v>103</v>
      </c>
      <c r="L13100" s="3" t="s">
        <v>103</v>
      </c>
      <c r="M13100" s="3" t="s">
        <v>103</v>
      </c>
      <c r="N13100" s="3" t="s">
        <v>813</v>
      </c>
      <c r="O13100" s="3" t="s">
        <v>103</v>
      </c>
    </row>
    <row r="13101" spans="1:15" s="3" customFormat="1" x14ac:dyDescent="0.3">
      <c r="A13101" s="3" t="s">
        <v>41</v>
      </c>
      <c r="B13101" s="3" t="s">
        <v>641</v>
      </c>
      <c r="C13101" s="3">
        <v>28</v>
      </c>
      <c r="D13101" s="3" t="s">
        <v>240</v>
      </c>
      <c r="E13101" s="3" t="s">
        <v>103</v>
      </c>
      <c r="F13101" s="3" t="s">
        <v>103</v>
      </c>
      <c r="G13101" s="3" t="s">
        <v>103</v>
      </c>
      <c r="H13101" s="3" t="s">
        <v>103</v>
      </c>
      <c r="I13101" s="3" t="s">
        <v>103</v>
      </c>
      <c r="J13101" s="3" t="s">
        <v>103</v>
      </c>
      <c r="K13101" s="3" t="s">
        <v>103</v>
      </c>
      <c r="L13101" s="3" t="s">
        <v>103</v>
      </c>
      <c r="M13101" s="3" t="s">
        <v>103</v>
      </c>
      <c r="N13101" s="3" t="s">
        <v>693</v>
      </c>
      <c r="O13101" s="3" t="s">
        <v>103</v>
      </c>
    </row>
    <row r="13102" spans="1:15" s="3" customFormat="1" x14ac:dyDescent="0.3">
      <c r="A13102" s="3" t="s">
        <v>41</v>
      </c>
      <c r="B13102" s="3" t="s">
        <v>2769</v>
      </c>
      <c r="C13102" s="3">
        <v>12</v>
      </c>
      <c r="D13102" s="3" t="s">
        <v>192</v>
      </c>
      <c r="E13102" s="3" t="s">
        <v>103</v>
      </c>
      <c r="F13102" s="3" t="s">
        <v>103</v>
      </c>
      <c r="G13102" s="3" t="s">
        <v>103</v>
      </c>
      <c r="H13102" s="3" t="s">
        <v>103</v>
      </c>
      <c r="I13102" s="3" t="s">
        <v>103</v>
      </c>
      <c r="J13102" s="3" t="s">
        <v>103</v>
      </c>
      <c r="K13102" s="3" t="s">
        <v>103</v>
      </c>
      <c r="L13102" s="3" t="s">
        <v>103</v>
      </c>
      <c r="M13102" s="3" t="s">
        <v>103</v>
      </c>
      <c r="N13102" s="3" t="s">
        <v>103</v>
      </c>
      <c r="O13102" s="3" t="s">
        <v>103</v>
      </c>
    </row>
    <row r="13103" spans="1:15" x14ac:dyDescent="0.3">
      <c r="A13103" t="s">
        <v>41</v>
      </c>
      <c r="B13103" t="s">
        <v>308</v>
      </c>
      <c r="C13103">
        <v>1879</v>
      </c>
      <c r="D13103" t="s">
        <v>1177</v>
      </c>
      <c r="E13103" t="s">
        <v>98</v>
      </c>
      <c r="F13103" t="s">
        <v>120</v>
      </c>
      <c r="G13103" t="s">
        <v>122</v>
      </c>
      <c r="H13103" t="s">
        <v>66</v>
      </c>
      <c r="I13103" t="s">
        <v>95</v>
      </c>
      <c r="J13103" t="s">
        <v>66</v>
      </c>
      <c r="K13103" t="s">
        <v>139</v>
      </c>
      <c r="L13103" t="s">
        <v>122</v>
      </c>
      <c r="M13103" t="s">
        <v>91</v>
      </c>
      <c r="N13103" t="s">
        <v>281</v>
      </c>
      <c r="O13103" t="s">
        <v>116</v>
      </c>
    </row>
    <row r="13105" spans="1:15" x14ac:dyDescent="0.3">
      <c r="A13105" t="s">
        <v>2903</v>
      </c>
    </row>
    <row r="13106" spans="1:15" x14ac:dyDescent="0.3">
      <c r="A13106" t="s">
        <v>36</v>
      </c>
      <c r="B13106" t="s">
        <v>2771</v>
      </c>
      <c r="C13106" t="s">
        <v>24</v>
      </c>
      <c r="D13106" t="s">
        <v>2886</v>
      </c>
      <c r="E13106" t="s">
        <v>2887</v>
      </c>
      <c r="F13106" t="s">
        <v>2888</v>
      </c>
      <c r="G13106" t="s">
        <v>2889</v>
      </c>
      <c r="H13106" t="s">
        <v>2890</v>
      </c>
      <c r="I13106" t="s">
        <v>2891</v>
      </c>
      <c r="J13106" t="s">
        <v>2892</v>
      </c>
      <c r="K13106" t="s">
        <v>2893</v>
      </c>
      <c r="L13106" t="s">
        <v>2894</v>
      </c>
      <c r="M13106" t="s">
        <v>183</v>
      </c>
      <c r="N13106" t="s">
        <v>87</v>
      </c>
      <c r="O13106" t="s">
        <v>181</v>
      </c>
    </row>
    <row r="13107" spans="1:15" s="3" customFormat="1" x14ac:dyDescent="0.3">
      <c r="A13107" s="3" t="s">
        <v>25</v>
      </c>
      <c r="B13107" s="3" t="s">
        <v>2772</v>
      </c>
      <c r="C13107" s="3">
        <v>1</v>
      </c>
      <c r="D13107" s="3" t="s">
        <v>192</v>
      </c>
      <c r="E13107" s="3" t="s">
        <v>103</v>
      </c>
      <c r="F13107" s="3" t="s">
        <v>103</v>
      </c>
      <c r="G13107" s="3" t="s">
        <v>103</v>
      </c>
      <c r="H13107" s="3" t="s">
        <v>103</v>
      </c>
      <c r="I13107" s="3" t="s">
        <v>103</v>
      </c>
      <c r="J13107" s="3" t="s">
        <v>103</v>
      </c>
      <c r="K13107" s="3" t="s">
        <v>103</v>
      </c>
      <c r="L13107" s="3" t="s">
        <v>103</v>
      </c>
      <c r="M13107" s="3" t="s">
        <v>103</v>
      </c>
      <c r="N13107" s="3" t="s">
        <v>103</v>
      </c>
      <c r="O13107" s="3" t="s">
        <v>103</v>
      </c>
    </row>
    <row r="13108" spans="1:15" s="3" customFormat="1" x14ac:dyDescent="0.3">
      <c r="A13108" s="3" t="s">
        <v>25</v>
      </c>
      <c r="B13108" s="3" t="s">
        <v>2773</v>
      </c>
      <c r="C13108" s="3">
        <v>3</v>
      </c>
      <c r="D13108" s="3" t="s">
        <v>192</v>
      </c>
      <c r="E13108" s="3" t="s">
        <v>103</v>
      </c>
      <c r="F13108" s="3" t="s">
        <v>103</v>
      </c>
      <c r="G13108" s="3" t="s">
        <v>103</v>
      </c>
      <c r="H13108" s="3" t="s">
        <v>103</v>
      </c>
      <c r="I13108" s="3" t="s">
        <v>103</v>
      </c>
      <c r="J13108" s="3" t="s">
        <v>103</v>
      </c>
      <c r="K13108" s="3" t="s">
        <v>103</v>
      </c>
      <c r="L13108" s="3" t="s">
        <v>103</v>
      </c>
      <c r="M13108" s="3" t="s">
        <v>103</v>
      </c>
      <c r="N13108" s="3" t="s">
        <v>103</v>
      </c>
      <c r="O13108" s="3" t="s">
        <v>103</v>
      </c>
    </row>
    <row r="13109" spans="1:15" s="3" customFormat="1" x14ac:dyDescent="0.3">
      <c r="A13109" s="3" t="s">
        <v>25</v>
      </c>
      <c r="B13109" s="3" t="s">
        <v>2774</v>
      </c>
      <c r="C13109" s="3">
        <v>9</v>
      </c>
      <c r="D13109" s="3" t="s">
        <v>192</v>
      </c>
      <c r="E13109" s="3" t="s">
        <v>103</v>
      </c>
      <c r="F13109" s="3" t="s">
        <v>103</v>
      </c>
      <c r="G13109" s="3" t="s">
        <v>103</v>
      </c>
      <c r="H13109" s="3" t="s">
        <v>103</v>
      </c>
      <c r="I13109" s="3" t="s">
        <v>103</v>
      </c>
      <c r="J13109" s="3" t="s">
        <v>103</v>
      </c>
      <c r="K13109" s="3" t="s">
        <v>103</v>
      </c>
      <c r="L13109" s="3" t="s">
        <v>103</v>
      </c>
      <c r="M13109" s="3" t="s">
        <v>103</v>
      </c>
      <c r="N13109" s="3" t="s">
        <v>103</v>
      </c>
      <c r="O13109" s="3" t="s">
        <v>103</v>
      </c>
    </row>
    <row r="13110" spans="1:15" s="3" customFormat="1" x14ac:dyDescent="0.3">
      <c r="A13110" s="3" t="s">
        <v>25</v>
      </c>
      <c r="B13110" s="3" t="s">
        <v>2775</v>
      </c>
      <c r="C13110" s="3">
        <v>21</v>
      </c>
      <c r="D13110" s="3" t="s">
        <v>53</v>
      </c>
      <c r="E13110" s="3" t="s">
        <v>103</v>
      </c>
      <c r="F13110" s="3" t="s">
        <v>103</v>
      </c>
      <c r="G13110" s="3" t="s">
        <v>103</v>
      </c>
      <c r="H13110" s="3" t="s">
        <v>103</v>
      </c>
      <c r="I13110" s="3" t="s">
        <v>103</v>
      </c>
      <c r="J13110" s="3" t="s">
        <v>103</v>
      </c>
      <c r="K13110" s="3" t="s">
        <v>103</v>
      </c>
      <c r="L13110" s="3" t="s">
        <v>103</v>
      </c>
      <c r="M13110" s="3" t="s">
        <v>103</v>
      </c>
      <c r="N13110" s="3" t="s">
        <v>54</v>
      </c>
      <c r="O13110" s="3" t="s">
        <v>103</v>
      </c>
    </row>
    <row r="13111" spans="1:15" x14ac:dyDescent="0.3">
      <c r="A13111" t="s">
        <v>25</v>
      </c>
      <c r="B13111" t="s">
        <v>2776</v>
      </c>
      <c r="C13111">
        <v>51</v>
      </c>
      <c r="D13111" t="s">
        <v>988</v>
      </c>
      <c r="E13111" t="s">
        <v>103</v>
      </c>
      <c r="F13111" t="s">
        <v>103</v>
      </c>
      <c r="G13111" t="s">
        <v>103</v>
      </c>
      <c r="H13111" t="s">
        <v>103</v>
      </c>
      <c r="I13111" t="s">
        <v>103</v>
      </c>
      <c r="J13111" t="s">
        <v>103</v>
      </c>
      <c r="K13111" t="s">
        <v>103</v>
      </c>
      <c r="L13111" t="s">
        <v>103</v>
      </c>
      <c r="M13111" t="s">
        <v>103</v>
      </c>
      <c r="N13111" t="s">
        <v>467</v>
      </c>
      <c r="O13111" t="s">
        <v>103</v>
      </c>
    </row>
    <row r="13112" spans="1:15" x14ac:dyDescent="0.3">
      <c r="A13112" t="s">
        <v>25</v>
      </c>
      <c r="B13112" t="s">
        <v>2777</v>
      </c>
      <c r="C13112">
        <v>151</v>
      </c>
      <c r="D13112" t="s">
        <v>850</v>
      </c>
      <c r="E13112" t="s">
        <v>103</v>
      </c>
      <c r="F13112" t="s">
        <v>103</v>
      </c>
      <c r="G13112" t="s">
        <v>103</v>
      </c>
      <c r="H13112" t="s">
        <v>103</v>
      </c>
      <c r="I13112" t="s">
        <v>103</v>
      </c>
      <c r="J13112" t="s">
        <v>103</v>
      </c>
      <c r="K13112" t="s">
        <v>103</v>
      </c>
      <c r="L13112" t="s">
        <v>103</v>
      </c>
      <c r="M13112" t="s">
        <v>103</v>
      </c>
      <c r="N13112" t="s">
        <v>33</v>
      </c>
      <c r="O13112" t="s">
        <v>103</v>
      </c>
    </row>
    <row r="13113" spans="1:15" x14ac:dyDescent="0.3">
      <c r="A13113" t="s">
        <v>25</v>
      </c>
      <c r="B13113" t="s">
        <v>2778</v>
      </c>
      <c r="C13113">
        <v>174</v>
      </c>
      <c r="D13113" t="s">
        <v>859</v>
      </c>
      <c r="E13113" t="s">
        <v>103</v>
      </c>
      <c r="F13113" t="s">
        <v>103</v>
      </c>
      <c r="G13113" t="s">
        <v>103</v>
      </c>
      <c r="H13113" t="s">
        <v>103</v>
      </c>
      <c r="I13113" t="s">
        <v>103</v>
      </c>
      <c r="J13113" t="s">
        <v>95</v>
      </c>
      <c r="K13113" t="s">
        <v>103</v>
      </c>
      <c r="L13113" t="s">
        <v>103</v>
      </c>
      <c r="M13113" t="s">
        <v>103</v>
      </c>
      <c r="N13113" t="s">
        <v>32</v>
      </c>
      <c r="O13113" t="s">
        <v>103</v>
      </c>
    </row>
    <row r="13114" spans="1:15" s="3" customFormat="1" x14ac:dyDescent="0.3">
      <c r="A13114" s="3" t="s">
        <v>25</v>
      </c>
      <c r="B13114" s="3" t="s">
        <v>223</v>
      </c>
      <c r="C13114" s="3">
        <v>2</v>
      </c>
      <c r="D13114" s="3" t="s">
        <v>192</v>
      </c>
      <c r="E13114" s="3" t="s">
        <v>103</v>
      </c>
      <c r="F13114" s="3" t="s">
        <v>103</v>
      </c>
      <c r="G13114" s="3" t="s">
        <v>103</v>
      </c>
      <c r="H13114" s="3" t="s">
        <v>103</v>
      </c>
      <c r="I13114" s="3" t="s">
        <v>103</v>
      </c>
      <c r="J13114" s="3" t="s">
        <v>103</v>
      </c>
      <c r="K13114" s="3" t="s">
        <v>103</v>
      </c>
      <c r="L13114" s="3" t="s">
        <v>103</v>
      </c>
      <c r="M13114" s="3" t="s">
        <v>103</v>
      </c>
      <c r="N13114" s="3" t="s">
        <v>103</v>
      </c>
      <c r="O13114" s="3" t="s">
        <v>103</v>
      </c>
    </row>
    <row r="13115" spans="1:15" x14ac:dyDescent="0.3">
      <c r="A13115" t="s">
        <v>25</v>
      </c>
      <c r="B13115" t="s">
        <v>308</v>
      </c>
      <c r="C13115">
        <v>2</v>
      </c>
      <c r="D13115" t="s">
        <v>192</v>
      </c>
      <c r="E13115" t="s">
        <v>103</v>
      </c>
      <c r="F13115" t="s">
        <v>103</v>
      </c>
      <c r="G13115" t="s">
        <v>103</v>
      </c>
      <c r="H13115" t="s">
        <v>103</v>
      </c>
      <c r="I13115" t="s">
        <v>103</v>
      </c>
      <c r="J13115" t="s">
        <v>103</v>
      </c>
      <c r="K13115" t="s">
        <v>103</v>
      </c>
      <c r="L13115" t="s">
        <v>103</v>
      </c>
      <c r="M13115" t="s">
        <v>103</v>
      </c>
      <c r="N13115" t="s">
        <v>103</v>
      </c>
      <c r="O13115" t="s">
        <v>103</v>
      </c>
    </row>
    <row r="13116" spans="1:15" s="3" customFormat="1" x14ac:dyDescent="0.3">
      <c r="A13116" s="3" t="s">
        <v>26</v>
      </c>
      <c r="B13116" s="3" t="s">
        <v>2772</v>
      </c>
      <c r="C13116" s="3">
        <v>3</v>
      </c>
      <c r="D13116" s="3" t="s">
        <v>192</v>
      </c>
      <c r="E13116" s="3" t="s">
        <v>103</v>
      </c>
      <c r="F13116" s="3" t="s">
        <v>103</v>
      </c>
      <c r="G13116" s="3" t="s">
        <v>103</v>
      </c>
      <c r="H13116" s="3" t="s">
        <v>103</v>
      </c>
      <c r="I13116" s="3" t="s">
        <v>103</v>
      </c>
      <c r="J13116" s="3" t="s">
        <v>103</v>
      </c>
      <c r="K13116" s="3" t="s">
        <v>103</v>
      </c>
      <c r="L13116" s="3" t="s">
        <v>103</v>
      </c>
      <c r="M13116" s="3" t="s">
        <v>103</v>
      </c>
      <c r="N13116" s="3" t="s">
        <v>103</v>
      </c>
      <c r="O13116" s="3" t="s">
        <v>103</v>
      </c>
    </row>
    <row r="13117" spans="1:15" s="3" customFormat="1" x14ac:dyDescent="0.3">
      <c r="A13117" s="3" t="s">
        <v>26</v>
      </c>
      <c r="B13117" s="3" t="s">
        <v>2773</v>
      </c>
      <c r="C13117" s="3">
        <v>8</v>
      </c>
      <c r="D13117" s="3" t="s">
        <v>192</v>
      </c>
      <c r="E13117" s="3" t="s">
        <v>103</v>
      </c>
      <c r="F13117" s="3" t="s">
        <v>103</v>
      </c>
      <c r="G13117" s="3" t="s">
        <v>103</v>
      </c>
      <c r="H13117" s="3" t="s">
        <v>103</v>
      </c>
      <c r="I13117" s="3" t="s">
        <v>103</v>
      </c>
      <c r="J13117" s="3" t="s">
        <v>103</v>
      </c>
      <c r="K13117" s="3" t="s">
        <v>103</v>
      </c>
      <c r="L13117" s="3" t="s">
        <v>103</v>
      </c>
      <c r="M13117" s="3" t="s">
        <v>103</v>
      </c>
      <c r="N13117" s="3" t="s">
        <v>103</v>
      </c>
      <c r="O13117" s="3" t="s">
        <v>103</v>
      </c>
    </row>
    <row r="13118" spans="1:15" s="3" customFormat="1" x14ac:dyDescent="0.3">
      <c r="A13118" s="3" t="s">
        <v>26</v>
      </c>
      <c r="B13118" s="3" t="s">
        <v>2774</v>
      </c>
      <c r="C13118" s="3">
        <v>22</v>
      </c>
      <c r="D13118" s="3" t="s">
        <v>192</v>
      </c>
      <c r="E13118" s="3" t="s">
        <v>103</v>
      </c>
      <c r="F13118" s="3" t="s">
        <v>103</v>
      </c>
      <c r="G13118" s="3" t="s">
        <v>103</v>
      </c>
      <c r="H13118" s="3" t="s">
        <v>103</v>
      </c>
      <c r="I13118" s="3" t="s">
        <v>103</v>
      </c>
      <c r="J13118" s="3" t="s">
        <v>103</v>
      </c>
      <c r="K13118" s="3" t="s">
        <v>103</v>
      </c>
      <c r="L13118" s="3" t="s">
        <v>103</v>
      </c>
      <c r="M13118" s="3" t="s">
        <v>103</v>
      </c>
      <c r="N13118" s="3" t="s">
        <v>103</v>
      </c>
      <c r="O13118" s="3" t="s">
        <v>103</v>
      </c>
    </row>
    <row r="13119" spans="1:15" x14ac:dyDescent="0.3">
      <c r="A13119" t="s">
        <v>26</v>
      </c>
      <c r="B13119" t="s">
        <v>2775</v>
      </c>
      <c r="C13119">
        <v>33</v>
      </c>
      <c r="D13119" t="s">
        <v>207</v>
      </c>
      <c r="E13119" t="s">
        <v>103</v>
      </c>
      <c r="F13119" t="s">
        <v>103</v>
      </c>
      <c r="G13119" t="s">
        <v>103</v>
      </c>
      <c r="H13119" t="s">
        <v>103</v>
      </c>
      <c r="I13119" t="s">
        <v>103</v>
      </c>
      <c r="J13119" t="s">
        <v>103</v>
      </c>
      <c r="K13119" t="s">
        <v>103</v>
      </c>
      <c r="L13119" t="s">
        <v>103</v>
      </c>
      <c r="M13119" t="s">
        <v>103</v>
      </c>
      <c r="N13119" t="s">
        <v>124</v>
      </c>
      <c r="O13119" t="s">
        <v>103</v>
      </c>
    </row>
    <row r="13120" spans="1:15" x14ac:dyDescent="0.3">
      <c r="A13120" t="s">
        <v>26</v>
      </c>
      <c r="B13120" t="s">
        <v>2776</v>
      </c>
      <c r="C13120">
        <v>86</v>
      </c>
      <c r="D13120" t="s">
        <v>712</v>
      </c>
      <c r="E13120" t="s">
        <v>103</v>
      </c>
      <c r="F13120" t="s">
        <v>103</v>
      </c>
      <c r="G13120" t="s">
        <v>95</v>
      </c>
      <c r="H13120" t="s">
        <v>103</v>
      </c>
      <c r="I13120" t="s">
        <v>329</v>
      </c>
      <c r="J13120" t="s">
        <v>103</v>
      </c>
      <c r="K13120" t="s">
        <v>438</v>
      </c>
      <c r="L13120" t="s">
        <v>103</v>
      </c>
      <c r="M13120" t="s">
        <v>194</v>
      </c>
      <c r="N13120" t="s">
        <v>113</v>
      </c>
      <c r="O13120" t="s">
        <v>103</v>
      </c>
    </row>
    <row r="13121" spans="1:15" x14ac:dyDescent="0.3">
      <c r="A13121" t="s">
        <v>26</v>
      </c>
      <c r="B13121" t="s">
        <v>2777</v>
      </c>
      <c r="C13121">
        <v>192</v>
      </c>
      <c r="D13121" t="s">
        <v>1471</v>
      </c>
      <c r="E13121" t="s">
        <v>103</v>
      </c>
      <c r="F13121" t="s">
        <v>103</v>
      </c>
      <c r="G13121" t="s">
        <v>103</v>
      </c>
      <c r="H13121" t="s">
        <v>103</v>
      </c>
      <c r="I13121" t="s">
        <v>120</v>
      </c>
      <c r="J13121" t="s">
        <v>103</v>
      </c>
      <c r="K13121" t="s">
        <v>120</v>
      </c>
      <c r="L13121" t="s">
        <v>103</v>
      </c>
      <c r="M13121" t="s">
        <v>103</v>
      </c>
      <c r="N13121" t="s">
        <v>97</v>
      </c>
      <c r="O13121" t="s">
        <v>120</v>
      </c>
    </row>
    <row r="13122" spans="1:15" x14ac:dyDescent="0.3">
      <c r="A13122" t="s">
        <v>26</v>
      </c>
      <c r="B13122" t="s">
        <v>2778</v>
      </c>
      <c r="C13122">
        <v>126</v>
      </c>
      <c r="D13122" t="s">
        <v>837</v>
      </c>
      <c r="E13122" t="s">
        <v>103</v>
      </c>
      <c r="F13122" t="s">
        <v>103</v>
      </c>
      <c r="G13122" t="s">
        <v>103</v>
      </c>
      <c r="H13122" t="s">
        <v>103</v>
      </c>
      <c r="I13122" t="s">
        <v>103</v>
      </c>
      <c r="J13122" t="s">
        <v>103</v>
      </c>
      <c r="K13122" t="s">
        <v>95</v>
      </c>
      <c r="L13122" t="s">
        <v>103</v>
      </c>
      <c r="M13122" t="s">
        <v>103</v>
      </c>
      <c r="N13122" t="s">
        <v>118</v>
      </c>
      <c r="O13122" t="s">
        <v>103</v>
      </c>
    </row>
    <row r="13123" spans="1:15" x14ac:dyDescent="0.3">
      <c r="A13123" t="s">
        <v>26</v>
      </c>
      <c r="B13123" t="s">
        <v>308</v>
      </c>
      <c r="C13123">
        <v>7</v>
      </c>
      <c r="D13123" t="s">
        <v>192</v>
      </c>
      <c r="E13123" t="s">
        <v>103</v>
      </c>
      <c r="F13123" t="s">
        <v>103</v>
      </c>
      <c r="G13123" t="s">
        <v>103</v>
      </c>
      <c r="H13123" t="s">
        <v>103</v>
      </c>
      <c r="I13123" t="s">
        <v>103</v>
      </c>
      <c r="J13123" t="s">
        <v>103</v>
      </c>
      <c r="K13123" t="s">
        <v>103</v>
      </c>
      <c r="L13123" t="s">
        <v>103</v>
      </c>
      <c r="M13123" t="s">
        <v>103</v>
      </c>
      <c r="N13123" t="s">
        <v>103</v>
      </c>
      <c r="O13123" t="s">
        <v>103</v>
      </c>
    </row>
    <row r="13124" spans="1:15" s="3" customFormat="1" x14ac:dyDescent="0.3">
      <c r="A13124" s="3" t="s">
        <v>29</v>
      </c>
      <c r="B13124" s="3" t="s">
        <v>2772</v>
      </c>
      <c r="C13124" s="3">
        <v>2</v>
      </c>
      <c r="D13124" s="3" t="s">
        <v>192</v>
      </c>
      <c r="E13124" s="3" t="s">
        <v>103</v>
      </c>
      <c r="F13124" s="3" t="s">
        <v>103</v>
      </c>
      <c r="G13124" s="3" t="s">
        <v>103</v>
      </c>
      <c r="H13124" s="3" t="s">
        <v>103</v>
      </c>
      <c r="I13124" s="3" t="s">
        <v>103</v>
      </c>
      <c r="J13124" s="3" t="s">
        <v>103</v>
      </c>
      <c r="K13124" s="3" t="s">
        <v>103</v>
      </c>
      <c r="L13124" s="3" t="s">
        <v>103</v>
      </c>
      <c r="M13124" s="3" t="s">
        <v>103</v>
      </c>
      <c r="N13124" s="3" t="s">
        <v>103</v>
      </c>
      <c r="O13124" s="3" t="s">
        <v>103</v>
      </c>
    </row>
    <row r="13125" spans="1:15" s="3" customFormat="1" x14ac:dyDescent="0.3">
      <c r="A13125" s="3" t="s">
        <v>29</v>
      </c>
      <c r="B13125" s="3" t="s">
        <v>2773</v>
      </c>
      <c r="C13125" s="3">
        <v>8</v>
      </c>
      <c r="D13125" s="3" t="s">
        <v>227</v>
      </c>
      <c r="E13125" s="3" t="s">
        <v>56</v>
      </c>
      <c r="F13125" s="3" t="s">
        <v>103</v>
      </c>
      <c r="G13125" s="3" t="s">
        <v>56</v>
      </c>
      <c r="H13125" s="3" t="s">
        <v>103</v>
      </c>
      <c r="I13125" s="3" t="s">
        <v>103</v>
      </c>
      <c r="J13125" s="3" t="s">
        <v>56</v>
      </c>
      <c r="K13125" s="3" t="s">
        <v>103</v>
      </c>
      <c r="L13125" s="3" t="s">
        <v>103</v>
      </c>
      <c r="M13125" s="3" t="s">
        <v>103</v>
      </c>
      <c r="N13125" s="3" t="s">
        <v>118</v>
      </c>
      <c r="O13125" s="3" t="s">
        <v>103</v>
      </c>
    </row>
    <row r="13126" spans="1:15" s="3" customFormat="1" x14ac:dyDescent="0.3">
      <c r="A13126" s="3" t="s">
        <v>29</v>
      </c>
      <c r="B13126" s="3" t="s">
        <v>2774</v>
      </c>
      <c r="C13126" s="3">
        <v>21</v>
      </c>
      <c r="D13126" s="3" t="s">
        <v>781</v>
      </c>
      <c r="E13126" s="3" t="s">
        <v>103</v>
      </c>
      <c r="F13126" s="3" t="s">
        <v>103</v>
      </c>
      <c r="G13126" s="3" t="s">
        <v>103</v>
      </c>
      <c r="H13126" s="3" t="s">
        <v>284</v>
      </c>
      <c r="I13126" s="3" t="s">
        <v>103</v>
      </c>
      <c r="J13126" s="3" t="s">
        <v>103</v>
      </c>
      <c r="K13126" s="3" t="s">
        <v>103</v>
      </c>
      <c r="L13126" s="3" t="s">
        <v>103</v>
      </c>
      <c r="M13126" s="3" t="s">
        <v>103</v>
      </c>
      <c r="N13126" s="3" t="s">
        <v>103</v>
      </c>
      <c r="O13126" s="3" t="s">
        <v>103</v>
      </c>
    </row>
    <row r="13127" spans="1:15" x14ac:dyDescent="0.3">
      <c r="A13127" t="s">
        <v>29</v>
      </c>
      <c r="B13127" t="s">
        <v>2775</v>
      </c>
      <c r="C13127">
        <v>31</v>
      </c>
      <c r="D13127" t="s">
        <v>740</v>
      </c>
      <c r="E13127" t="s">
        <v>103</v>
      </c>
      <c r="F13127" t="s">
        <v>103</v>
      </c>
      <c r="G13127" t="s">
        <v>103</v>
      </c>
      <c r="H13127" t="s">
        <v>95</v>
      </c>
      <c r="I13127" t="s">
        <v>103</v>
      </c>
      <c r="J13127" t="s">
        <v>103</v>
      </c>
      <c r="K13127" t="s">
        <v>103</v>
      </c>
      <c r="L13127" t="s">
        <v>103</v>
      </c>
      <c r="M13127" t="s">
        <v>103</v>
      </c>
      <c r="N13127" t="s">
        <v>544</v>
      </c>
      <c r="O13127" t="s">
        <v>103</v>
      </c>
    </row>
    <row r="13128" spans="1:15" x14ac:dyDescent="0.3">
      <c r="A13128" t="s">
        <v>29</v>
      </c>
      <c r="B13128" t="s">
        <v>2776</v>
      </c>
      <c r="C13128">
        <v>65</v>
      </c>
      <c r="D13128" t="s">
        <v>149</v>
      </c>
      <c r="E13128" t="s">
        <v>239</v>
      </c>
      <c r="F13128" t="s">
        <v>239</v>
      </c>
      <c r="G13128" t="s">
        <v>103</v>
      </c>
      <c r="H13128" t="s">
        <v>103</v>
      </c>
      <c r="I13128" t="s">
        <v>239</v>
      </c>
      <c r="J13128" t="s">
        <v>103</v>
      </c>
      <c r="K13128" t="s">
        <v>103</v>
      </c>
      <c r="L13128" t="s">
        <v>103</v>
      </c>
      <c r="M13128" t="s">
        <v>103</v>
      </c>
      <c r="N13128" t="s">
        <v>549</v>
      </c>
      <c r="O13128" t="s">
        <v>468</v>
      </c>
    </row>
    <row r="13129" spans="1:15" x14ac:dyDescent="0.3">
      <c r="A13129" t="s">
        <v>29</v>
      </c>
      <c r="B13129" t="s">
        <v>2777</v>
      </c>
      <c r="C13129">
        <v>219</v>
      </c>
      <c r="D13129" t="s">
        <v>145</v>
      </c>
      <c r="E13129" t="s">
        <v>257</v>
      </c>
      <c r="F13129" t="s">
        <v>282</v>
      </c>
      <c r="G13129" t="s">
        <v>97</v>
      </c>
      <c r="H13129" t="s">
        <v>103</v>
      </c>
      <c r="I13129" t="s">
        <v>95</v>
      </c>
      <c r="J13129" t="s">
        <v>66</v>
      </c>
      <c r="K13129" t="s">
        <v>95</v>
      </c>
      <c r="L13129" t="s">
        <v>239</v>
      </c>
      <c r="M13129" t="s">
        <v>103</v>
      </c>
      <c r="N13129" t="s">
        <v>90</v>
      </c>
      <c r="O13129" t="s">
        <v>91</v>
      </c>
    </row>
    <row r="13130" spans="1:15" x14ac:dyDescent="0.3">
      <c r="A13130" t="s">
        <v>29</v>
      </c>
      <c r="B13130" t="s">
        <v>2778</v>
      </c>
      <c r="C13130">
        <v>183</v>
      </c>
      <c r="D13130" t="s">
        <v>771</v>
      </c>
      <c r="E13130" t="s">
        <v>95</v>
      </c>
      <c r="F13130" t="s">
        <v>194</v>
      </c>
      <c r="G13130" t="s">
        <v>120</v>
      </c>
      <c r="H13130" t="s">
        <v>97</v>
      </c>
      <c r="I13130" t="s">
        <v>282</v>
      </c>
      <c r="J13130" t="s">
        <v>103</v>
      </c>
      <c r="K13130" t="s">
        <v>128</v>
      </c>
      <c r="L13130" t="s">
        <v>120</v>
      </c>
      <c r="M13130" t="s">
        <v>103</v>
      </c>
      <c r="N13130" t="s">
        <v>232</v>
      </c>
      <c r="O13130" t="s">
        <v>122</v>
      </c>
    </row>
    <row r="13131" spans="1:15" x14ac:dyDescent="0.3">
      <c r="A13131" t="s">
        <v>29</v>
      </c>
      <c r="B13131" t="s">
        <v>308</v>
      </c>
      <c r="C13131">
        <v>1</v>
      </c>
      <c r="D13131" t="s">
        <v>192</v>
      </c>
      <c r="E13131" t="s">
        <v>103</v>
      </c>
      <c r="F13131" t="s">
        <v>103</v>
      </c>
      <c r="G13131" t="s">
        <v>103</v>
      </c>
      <c r="H13131" t="s">
        <v>103</v>
      </c>
      <c r="I13131" t="s">
        <v>103</v>
      </c>
      <c r="J13131" t="s">
        <v>103</v>
      </c>
      <c r="K13131" t="s">
        <v>103</v>
      </c>
      <c r="L13131" t="s">
        <v>103</v>
      </c>
      <c r="M13131" t="s">
        <v>103</v>
      </c>
      <c r="N13131" t="s">
        <v>103</v>
      </c>
      <c r="O13131" t="s">
        <v>103</v>
      </c>
    </row>
    <row r="13132" spans="1:15" x14ac:dyDescent="0.3">
      <c r="A13132" t="s">
        <v>28</v>
      </c>
      <c r="B13132" t="s">
        <v>2772</v>
      </c>
      <c r="C13132">
        <v>39</v>
      </c>
      <c r="D13132" t="s">
        <v>192</v>
      </c>
      <c r="E13132" t="s">
        <v>103</v>
      </c>
      <c r="F13132" t="s">
        <v>103</v>
      </c>
      <c r="G13132" t="s">
        <v>103</v>
      </c>
      <c r="H13132" t="s">
        <v>103</v>
      </c>
      <c r="I13132" t="s">
        <v>103</v>
      </c>
      <c r="J13132" t="s">
        <v>103</v>
      </c>
      <c r="K13132" t="s">
        <v>103</v>
      </c>
      <c r="L13132" t="s">
        <v>103</v>
      </c>
      <c r="M13132" t="s">
        <v>103</v>
      </c>
      <c r="N13132" t="s">
        <v>103</v>
      </c>
      <c r="O13132" t="s">
        <v>103</v>
      </c>
    </row>
    <row r="13133" spans="1:15" x14ac:dyDescent="0.3">
      <c r="A13133" t="s">
        <v>28</v>
      </c>
      <c r="B13133" t="s">
        <v>2773</v>
      </c>
      <c r="C13133">
        <v>57</v>
      </c>
      <c r="D13133" t="s">
        <v>867</v>
      </c>
      <c r="E13133" t="s">
        <v>103</v>
      </c>
      <c r="F13133" t="s">
        <v>103</v>
      </c>
      <c r="G13133" t="s">
        <v>103</v>
      </c>
      <c r="H13133" t="s">
        <v>103</v>
      </c>
      <c r="I13133" t="s">
        <v>103</v>
      </c>
      <c r="J13133" t="s">
        <v>103</v>
      </c>
      <c r="K13133" t="s">
        <v>103</v>
      </c>
      <c r="L13133" t="s">
        <v>103</v>
      </c>
      <c r="M13133" t="s">
        <v>103</v>
      </c>
      <c r="N13133" t="s">
        <v>102</v>
      </c>
      <c r="O13133" t="s">
        <v>103</v>
      </c>
    </row>
    <row r="13134" spans="1:15" s="3" customFormat="1" x14ac:dyDescent="0.3">
      <c r="A13134" s="3" t="s">
        <v>28</v>
      </c>
      <c r="B13134" s="3" t="s">
        <v>2774</v>
      </c>
      <c r="C13134" s="3">
        <v>30</v>
      </c>
      <c r="D13134" s="3" t="s">
        <v>192</v>
      </c>
      <c r="E13134" s="3" t="s">
        <v>103</v>
      </c>
      <c r="F13134" s="3" t="s">
        <v>103</v>
      </c>
      <c r="G13134" s="3" t="s">
        <v>103</v>
      </c>
      <c r="H13134" s="3" t="s">
        <v>103</v>
      </c>
      <c r="I13134" s="3" t="s">
        <v>103</v>
      </c>
      <c r="J13134" s="3" t="s">
        <v>103</v>
      </c>
      <c r="K13134" s="3" t="s">
        <v>103</v>
      </c>
      <c r="L13134" s="3" t="s">
        <v>103</v>
      </c>
      <c r="M13134" s="3" t="s">
        <v>103</v>
      </c>
      <c r="N13134" s="3" t="s">
        <v>103</v>
      </c>
      <c r="O13134" s="3" t="s">
        <v>103</v>
      </c>
    </row>
    <row r="13135" spans="1:15" x14ac:dyDescent="0.3">
      <c r="A13135" t="s">
        <v>28</v>
      </c>
      <c r="B13135" t="s">
        <v>2775</v>
      </c>
      <c r="C13135">
        <v>41</v>
      </c>
      <c r="D13135" t="s">
        <v>861</v>
      </c>
      <c r="E13135" t="s">
        <v>103</v>
      </c>
      <c r="F13135" t="s">
        <v>103</v>
      </c>
      <c r="G13135" t="s">
        <v>103</v>
      </c>
      <c r="H13135" t="s">
        <v>103</v>
      </c>
      <c r="I13135" t="s">
        <v>113</v>
      </c>
      <c r="J13135" t="s">
        <v>103</v>
      </c>
      <c r="K13135" t="s">
        <v>103</v>
      </c>
      <c r="L13135" t="s">
        <v>103</v>
      </c>
      <c r="M13135" t="s">
        <v>103</v>
      </c>
      <c r="N13135" t="s">
        <v>103</v>
      </c>
      <c r="O13135" t="s">
        <v>103</v>
      </c>
    </row>
    <row r="13136" spans="1:15" x14ac:dyDescent="0.3">
      <c r="A13136" t="s">
        <v>28</v>
      </c>
      <c r="B13136" t="s">
        <v>2776</v>
      </c>
      <c r="C13136">
        <v>45</v>
      </c>
      <c r="D13136" t="s">
        <v>69</v>
      </c>
      <c r="E13136" t="s">
        <v>103</v>
      </c>
      <c r="F13136" t="s">
        <v>103</v>
      </c>
      <c r="G13136" t="s">
        <v>103</v>
      </c>
      <c r="H13136" t="s">
        <v>103</v>
      </c>
      <c r="I13136" t="s">
        <v>103</v>
      </c>
      <c r="J13136" t="s">
        <v>103</v>
      </c>
      <c r="K13136" t="s">
        <v>103</v>
      </c>
      <c r="L13136" t="s">
        <v>103</v>
      </c>
      <c r="M13136" t="s">
        <v>103</v>
      </c>
      <c r="N13136" t="s">
        <v>68</v>
      </c>
      <c r="O13136" t="s">
        <v>103</v>
      </c>
    </row>
    <row r="13137" spans="1:15" x14ac:dyDescent="0.3">
      <c r="A13137" t="s">
        <v>28</v>
      </c>
      <c r="B13137" t="s">
        <v>2777</v>
      </c>
      <c r="C13137">
        <v>55</v>
      </c>
      <c r="D13137" t="s">
        <v>332</v>
      </c>
      <c r="E13137" t="s">
        <v>103</v>
      </c>
      <c r="F13137" t="s">
        <v>103</v>
      </c>
      <c r="G13137" t="s">
        <v>103</v>
      </c>
      <c r="H13137" t="s">
        <v>103</v>
      </c>
      <c r="I13137" t="s">
        <v>103</v>
      </c>
      <c r="J13137" t="s">
        <v>103</v>
      </c>
      <c r="K13137" t="s">
        <v>103</v>
      </c>
      <c r="L13137" t="s">
        <v>103</v>
      </c>
      <c r="M13137" t="s">
        <v>103</v>
      </c>
      <c r="N13137" t="s">
        <v>270</v>
      </c>
      <c r="O13137" t="s">
        <v>103</v>
      </c>
    </row>
    <row r="13138" spans="1:15" x14ac:dyDescent="0.3">
      <c r="A13138" t="s">
        <v>28</v>
      </c>
      <c r="B13138" t="s">
        <v>2778</v>
      </c>
      <c r="C13138">
        <v>44</v>
      </c>
      <c r="D13138" t="s">
        <v>192</v>
      </c>
      <c r="E13138" t="s">
        <v>103</v>
      </c>
      <c r="F13138" t="s">
        <v>103</v>
      </c>
      <c r="G13138" t="s">
        <v>103</v>
      </c>
      <c r="H13138" t="s">
        <v>103</v>
      </c>
      <c r="I13138" t="s">
        <v>103</v>
      </c>
      <c r="J13138" t="s">
        <v>103</v>
      </c>
      <c r="K13138" t="s">
        <v>103</v>
      </c>
      <c r="L13138" t="s">
        <v>103</v>
      </c>
      <c r="M13138" t="s">
        <v>103</v>
      </c>
      <c r="N13138" t="s">
        <v>103</v>
      </c>
      <c r="O13138" t="s">
        <v>103</v>
      </c>
    </row>
    <row r="13139" spans="1:15" x14ac:dyDescent="0.3">
      <c r="A13139" t="s">
        <v>28</v>
      </c>
      <c r="B13139" t="s">
        <v>308</v>
      </c>
      <c r="C13139">
        <v>6</v>
      </c>
      <c r="D13139" t="s">
        <v>192</v>
      </c>
      <c r="E13139" t="s">
        <v>103</v>
      </c>
      <c r="F13139" t="s">
        <v>103</v>
      </c>
      <c r="G13139" t="s">
        <v>103</v>
      </c>
      <c r="H13139" t="s">
        <v>103</v>
      </c>
      <c r="I13139" t="s">
        <v>103</v>
      </c>
      <c r="J13139" t="s">
        <v>103</v>
      </c>
      <c r="K13139" t="s">
        <v>103</v>
      </c>
      <c r="L13139" t="s">
        <v>103</v>
      </c>
      <c r="M13139" t="s">
        <v>103</v>
      </c>
      <c r="N13139" t="s">
        <v>103</v>
      </c>
      <c r="O13139" t="s">
        <v>103</v>
      </c>
    </row>
    <row r="13140" spans="1:15" s="3" customFormat="1" x14ac:dyDescent="0.3">
      <c r="A13140" s="3" t="s">
        <v>27</v>
      </c>
      <c r="B13140" s="3" t="s">
        <v>2772</v>
      </c>
      <c r="C13140" s="3">
        <v>10</v>
      </c>
      <c r="D13140" s="3" t="s">
        <v>744</v>
      </c>
      <c r="E13140" s="3" t="s">
        <v>103</v>
      </c>
      <c r="F13140" s="3" t="s">
        <v>103</v>
      </c>
      <c r="G13140" s="3" t="s">
        <v>103</v>
      </c>
      <c r="H13140" s="3" t="s">
        <v>103</v>
      </c>
      <c r="I13140" s="3" t="s">
        <v>103</v>
      </c>
      <c r="J13140" s="3" t="s">
        <v>103</v>
      </c>
      <c r="K13140" s="3" t="s">
        <v>103</v>
      </c>
      <c r="L13140" s="3" t="s">
        <v>103</v>
      </c>
      <c r="M13140" s="3" t="s">
        <v>103</v>
      </c>
      <c r="N13140" s="3" t="s">
        <v>743</v>
      </c>
      <c r="O13140" s="3" t="s">
        <v>103</v>
      </c>
    </row>
    <row r="13141" spans="1:15" s="3" customFormat="1" x14ac:dyDescent="0.3">
      <c r="A13141" s="3" t="s">
        <v>27</v>
      </c>
      <c r="B13141" s="3" t="s">
        <v>2773</v>
      </c>
      <c r="C13141" s="3">
        <v>9</v>
      </c>
      <c r="D13141" s="3" t="s">
        <v>811</v>
      </c>
      <c r="E13141" s="3" t="s">
        <v>103</v>
      </c>
      <c r="F13141" s="3" t="s">
        <v>103</v>
      </c>
      <c r="G13141" s="3" t="s">
        <v>103</v>
      </c>
      <c r="H13141" s="3" t="s">
        <v>103</v>
      </c>
      <c r="I13141" s="3" t="s">
        <v>103</v>
      </c>
      <c r="J13141" s="3" t="s">
        <v>103</v>
      </c>
      <c r="K13141" s="3" t="s">
        <v>173</v>
      </c>
      <c r="L13141" s="3" t="s">
        <v>103</v>
      </c>
      <c r="M13141" s="3" t="s">
        <v>103</v>
      </c>
      <c r="N13141" s="3" t="s">
        <v>700</v>
      </c>
      <c r="O13141" s="3" t="s">
        <v>103</v>
      </c>
    </row>
    <row r="13142" spans="1:15" s="3" customFormat="1" x14ac:dyDescent="0.3">
      <c r="A13142" s="3" t="s">
        <v>27</v>
      </c>
      <c r="B13142" s="3" t="s">
        <v>2774</v>
      </c>
      <c r="C13142" s="3">
        <v>18</v>
      </c>
      <c r="D13142" s="3" t="s">
        <v>1357</v>
      </c>
      <c r="E13142" s="3" t="s">
        <v>103</v>
      </c>
      <c r="F13142" s="3" t="s">
        <v>103</v>
      </c>
      <c r="G13142" s="3" t="s">
        <v>103</v>
      </c>
      <c r="H13142" s="3" t="s">
        <v>103</v>
      </c>
      <c r="I13142" s="3" t="s">
        <v>103</v>
      </c>
      <c r="J13142" s="3" t="s">
        <v>103</v>
      </c>
      <c r="K13142" s="3" t="s">
        <v>103</v>
      </c>
      <c r="L13142" s="3" t="s">
        <v>103</v>
      </c>
      <c r="M13142" s="3" t="s">
        <v>103</v>
      </c>
      <c r="N13142" s="3" t="s">
        <v>809</v>
      </c>
      <c r="O13142" s="3" t="s">
        <v>103</v>
      </c>
    </row>
    <row r="13143" spans="1:15" x14ac:dyDescent="0.3">
      <c r="A13143" t="s">
        <v>27</v>
      </c>
      <c r="B13143" t="s">
        <v>2775</v>
      </c>
      <c r="C13143">
        <v>33</v>
      </c>
      <c r="D13143" t="s">
        <v>742</v>
      </c>
      <c r="E13143" t="s">
        <v>103</v>
      </c>
      <c r="F13143" t="s">
        <v>103</v>
      </c>
      <c r="G13143" t="s">
        <v>103</v>
      </c>
      <c r="H13143" t="s">
        <v>103</v>
      </c>
      <c r="I13143" t="s">
        <v>532</v>
      </c>
      <c r="J13143" t="s">
        <v>103</v>
      </c>
      <c r="K13143" t="s">
        <v>128</v>
      </c>
      <c r="L13143" t="s">
        <v>103</v>
      </c>
      <c r="M13143" t="s">
        <v>103</v>
      </c>
      <c r="N13143" t="s">
        <v>511</v>
      </c>
      <c r="O13143" t="s">
        <v>103</v>
      </c>
    </row>
    <row r="13144" spans="1:15" x14ac:dyDescent="0.3">
      <c r="A13144" t="s">
        <v>27</v>
      </c>
      <c r="B13144" t="s">
        <v>2776</v>
      </c>
      <c r="C13144">
        <v>65</v>
      </c>
      <c r="D13144" t="s">
        <v>149</v>
      </c>
      <c r="E13144" t="s">
        <v>103</v>
      </c>
      <c r="F13144" t="s">
        <v>103</v>
      </c>
      <c r="G13144" t="s">
        <v>103</v>
      </c>
      <c r="H13144" t="s">
        <v>103</v>
      </c>
      <c r="I13144" t="s">
        <v>103</v>
      </c>
      <c r="J13144" t="s">
        <v>103</v>
      </c>
      <c r="K13144" t="s">
        <v>103</v>
      </c>
      <c r="L13144" t="s">
        <v>103</v>
      </c>
      <c r="M13144" t="s">
        <v>103</v>
      </c>
      <c r="N13144" t="s">
        <v>148</v>
      </c>
      <c r="O13144" t="s">
        <v>103</v>
      </c>
    </row>
    <row r="13145" spans="1:15" x14ac:dyDescent="0.3">
      <c r="A13145" t="s">
        <v>27</v>
      </c>
      <c r="B13145" t="s">
        <v>2777</v>
      </c>
      <c r="C13145">
        <v>78</v>
      </c>
      <c r="D13145" t="s">
        <v>1019</v>
      </c>
      <c r="E13145" t="s">
        <v>329</v>
      </c>
      <c r="F13145" t="s">
        <v>282</v>
      </c>
      <c r="G13145" t="s">
        <v>493</v>
      </c>
      <c r="H13145" t="s">
        <v>532</v>
      </c>
      <c r="I13145" t="s">
        <v>217</v>
      </c>
      <c r="J13145" t="s">
        <v>103</v>
      </c>
      <c r="K13145" t="s">
        <v>103</v>
      </c>
      <c r="L13145" t="s">
        <v>103</v>
      </c>
      <c r="M13145" t="s">
        <v>103</v>
      </c>
      <c r="N13145" t="s">
        <v>201</v>
      </c>
      <c r="O13145" t="s">
        <v>103</v>
      </c>
    </row>
    <row r="13146" spans="1:15" x14ac:dyDescent="0.3">
      <c r="A13146" t="s">
        <v>27</v>
      </c>
      <c r="B13146" t="s">
        <v>2778</v>
      </c>
      <c r="C13146">
        <v>70</v>
      </c>
      <c r="D13146" t="s">
        <v>1456</v>
      </c>
      <c r="E13146" t="s">
        <v>468</v>
      </c>
      <c r="F13146" t="s">
        <v>103</v>
      </c>
      <c r="G13146" t="s">
        <v>103</v>
      </c>
      <c r="H13146" t="s">
        <v>103</v>
      </c>
      <c r="I13146" t="s">
        <v>68</v>
      </c>
      <c r="J13146" t="s">
        <v>103</v>
      </c>
      <c r="K13146" t="s">
        <v>216</v>
      </c>
      <c r="L13146" t="s">
        <v>103</v>
      </c>
      <c r="M13146" t="s">
        <v>103</v>
      </c>
      <c r="N13146" t="s">
        <v>536</v>
      </c>
      <c r="O13146" t="s">
        <v>216</v>
      </c>
    </row>
    <row r="13147" spans="1:15" s="3" customFormat="1" x14ac:dyDescent="0.3">
      <c r="A13147" s="3" t="s">
        <v>27</v>
      </c>
      <c r="B13147" s="3" t="s">
        <v>223</v>
      </c>
      <c r="C13147" s="3">
        <v>2</v>
      </c>
      <c r="D13147" s="3" t="s">
        <v>192</v>
      </c>
      <c r="E13147" s="3" t="s">
        <v>103</v>
      </c>
      <c r="F13147" s="3" t="s">
        <v>103</v>
      </c>
      <c r="G13147" s="3" t="s">
        <v>103</v>
      </c>
      <c r="H13147" s="3" t="s">
        <v>103</v>
      </c>
      <c r="I13147" s="3" t="s">
        <v>103</v>
      </c>
      <c r="J13147" s="3" t="s">
        <v>103</v>
      </c>
      <c r="K13147" s="3" t="s">
        <v>103</v>
      </c>
      <c r="L13147" s="3" t="s">
        <v>103</v>
      </c>
      <c r="M13147" s="3" t="s">
        <v>103</v>
      </c>
      <c r="N13147" s="3" t="s">
        <v>103</v>
      </c>
      <c r="O13147" s="3" t="s">
        <v>103</v>
      </c>
    </row>
    <row r="13148" spans="1:15" x14ac:dyDescent="0.3">
      <c r="A13148" t="s">
        <v>27</v>
      </c>
      <c r="B13148" t="s">
        <v>308</v>
      </c>
      <c r="C13148">
        <v>15</v>
      </c>
      <c r="D13148" t="s">
        <v>151</v>
      </c>
      <c r="E13148" t="s">
        <v>466</v>
      </c>
      <c r="F13148" t="s">
        <v>466</v>
      </c>
      <c r="G13148" t="s">
        <v>103</v>
      </c>
      <c r="H13148" t="s">
        <v>103</v>
      </c>
      <c r="I13148" t="s">
        <v>103</v>
      </c>
      <c r="J13148" t="s">
        <v>103</v>
      </c>
      <c r="K13148" t="s">
        <v>60</v>
      </c>
      <c r="L13148" t="s">
        <v>103</v>
      </c>
      <c r="M13148" t="s">
        <v>103</v>
      </c>
      <c r="N13148" t="s">
        <v>103</v>
      </c>
      <c r="O13148" t="s">
        <v>103</v>
      </c>
    </row>
    <row r="13149" spans="1:15" x14ac:dyDescent="0.3">
      <c r="A13149" t="s">
        <v>41</v>
      </c>
      <c r="B13149" t="s">
        <v>2772</v>
      </c>
      <c r="C13149">
        <v>55</v>
      </c>
      <c r="D13149" t="s">
        <v>954</v>
      </c>
      <c r="E13149" t="s">
        <v>103</v>
      </c>
      <c r="F13149" t="s">
        <v>103</v>
      </c>
      <c r="G13149" t="s">
        <v>103</v>
      </c>
      <c r="H13149" t="s">
        <v>103</v>
      </c>
      <c r="I13149" t="s">
        <v>103</v>
      </c>
      <c r="J13149" t="s">
        <v>103</v>
      </c>
      <c r="K13149" t="s">
        <v>103</v>
      </c>
      <c r="L13149" t="s">
        <v>103</v>
      </c>
      <c r="M13149" t="s">
        <v>103</v>
      </c>
      <c r="N13149" t="s">
        <v>468</v>
      </c>
      <c r="O13149" t="s">
        <v>103</v>
      </c>
    </row>
    <row r="13150" spans="1:15" x14ac:dyDescent="0.3">
      <c r="A13150" t="s">
        <v>41</v>
      </c>
      <c r="B13150" t="s">
        <v>2773</v>
      </c>
      <c r="C13150">
        <v>85</v>
      </c>
      <c r="D13150" t="s">
        <v>1307</v>
      </c>
      <c r="E13150" t="s">
        <v>284</v>
      </c>
      <c r="F13150" t="s">
        <v>103</v>
      </c>
      <c r="G13150" t="s">
        <v>284</v>
      </c>
      <c r="H13150" t="s">
        <v>103</v>
      </c>
      <c r="I13150" t="s">
        <v>103</v>
      </c>
      <c r="J13150" t="s">
        <v>284</v>
      </c>
      <c r="K13150" t="s">
        <v>98</v>
      </c>
      <c r="L13150" t="s">
        <v>103</v>
      </c>
      <c r="M13150" t="s">
        <v>103</v>
      </c>
      <c r="N13150" t="s">
        <v>266</v>
      </c>
      <c r="O13150" t="s">
        <v>103</v>
      </c>
    </row>
    <row r="13151" spans="1:15" x14ac:dyDescent="0.3">
      <c r="A13151" t="s">
        <v>41</v>
      </c>
      <c r="B13151" t="s">
        <v>2774</v>
      </c>
      <c r="C13151">
        <v>100</v>
      </c>
      <c r="D13151" t="s">
        <v>988</v>
      </c>
      <c r="E13151" t="s">
        <v>103</v>
      </c>
      <c r="F13151" t="s">
        <v>103</v>
      </c>
      <c r="G13151" t="s">
        <v>103</v>
      </c>
      <c r="H13151" t="s">
        <v>329</v>
      </c>
      <c r="I13151" t="s">
        <v>103</v>
      </c>
      <c r="J13151" t="s">
        <v>103</v>
      </c>
      <c r="K13151" t="s">
        <v>103</v>
      </c>
      <c r="L13151" t="s">
        <v>103</v>
      </c>
      <c r="M13151" t="s">
        <v>103</v>
      </c>
      <c r="N13151" t="s">
        <v>468</v>
      </c>
      <c r="O13151" t="s">
        <v>103</v>
      </c>
    </row>
    <row r="13152" spans="1:15" x14ac:dyDescent="0.3">
      <c r="A13152" t="s">
        <v>41</v>
      </c>
      <c r="B13152" t="s">
        <v>2775</v>
      </c>
      <c r="C13152">
        <v>159</v>
      </c>
      <c r="D13152" t="s">
        <v>616</v>
      </c>
      <c r="E13152" t="s">
        <v>103</v>
      </c>
      <c r="F13152" t="s">
        <v>103</v>
      </c>
      <c r="G13152" t="s">
        <v>103</v>
      </c>
      <c r="H13152" t="s">
        <v>116</v>
      </c>
      <c r="I13152" t="s">
        <v>98</v>
      </c>
      <c r="J13152" t="s">
        <v>103</v>
      </c>
      <c r="K13152" t="s">
        <v>116</v>
      </c>
      <c r="L13152" t="s">
        <v>103</v>
      </c>
      <c r="M13152" t="s">
        <v>103</v>
      </c>
      <c r="N13152" t="s">
        <v>649</v>
      </c>
      <c r="O13152" t="s">
        <v>103</v>
      </c>
    </row>
    <row r="13153" spans="1:15" x14ac:dyDescent="0.3">
      <c r="A13153" t="s">
        <v>41</v>
      </c>
      <c r="B13153" t="s">
        <v>2776</v>
      </c>
      <c r="C13153">
        <v>312</v>
      </c>
      <c r="D13153" t="s">
        <v>889</v>
      </c>
      <c r="E13153" t="s">
        <v>95</v>
      </c>
      <c r="F13153" t="s">
        <v>120</v>
      </c>
      <c r="G13153" t="s">
        <v>66</v>
      </c>
      <c r="H13153" t="s">
        <v>103</v>
      </c>
      <c r="I13153" t="s">
        <v>468</v>
      </c>
      <c r="J13153" t="s">
        <v>103</v>
      </c>
      <c r="K13153" t="s">
        <v>282</v>
      </c>
      <c r="L13153" t="s">
        <v>103</v>
      </c>
      <c r="M13153" t="s">
        <v>122</v>
      </c>
      <c r="N13153" t="s">
        <v>94</v>
      </c>
      <c r="O13153" t="s">
        <v>97</v>
      </c>
    </row>
    <row r="13154" spans="1:15" x14ac:dyDescent="0.3">
      <c r="A13154" t="s">
        <v>41</v>
      </c>
      <c r="B13154" t="s">
        <v>2777</v>
      </c>
      <c r="C13154">
        <v>695</v>
      </c>
      <c r="D13154" t="s">
        <v>590</v>
      </c>
      <c r="E13154" t="s">
        <v>194</v>
      </c>
      <c r="F13154" t="s">
        <v>97</v>
      </c>
      <c r="G13154" t="s">
        <v>122</v>
      </c>
      <c r="H13154" t="s">
        <v>91</v>
      </c>
      <c r="I13154" t="s">
        <v>120</v>
      </c>
      <c r="J13154" t="s">
        <v>91</v>
      </c>
      <c r="K13154" t="s">
        <v>97</v>
      </c>
      <c r="L13154" t="s">
        <v>95</v>
      </c>
      <c r="M13154" t="s">
        <v>103</v>
      </c>
      <c r="N13154" t="s">
        <v>70</v>
      </c>
      <c r="O13154" t="s">
        <v>66</v>
      </c>
    </row>
    <row r="13155" spans="1:15" x14ac:dyDescent="0.3">
      <c r="A13155" t="s">
        <v>41</v>
      </c>
      <c r="B13155" t="s">
        <v>2778</v>
      </c>
      <c r="C13155">
        <v>597</v>
      </c>
      <c r="D13155" t="s">
        <v>1509</v>
      </c>
      <c r="E13155" t="s">
        <v>122</v>
      </c>
      <c r="F13155" t="s">
        <v>95</v>
      </c>
      <c r="G13155" t="s">
        <v>116</v>
      </c>
      <c r="H13155" t="s">
        <v>66</v>
      </c>
      <c r="I13155" t="s">
        <v>120</v>
      </c>
      <c r="J13155" t="s">
        <v>66</v>
      </c>
      <c r="K13155" t="s">
        <v>110</v>
      </c>
      <c r="L13155" t="s">
        <v>116</v>
      </c>
      <c r="M13155" t="s">
        <v>103</v>
      </c>
      <c r="N13155" t="s">
        <v>284</v>
      </c>
      <c r="O13155" t="s">
        <v>116</v>
      </c>
    </row>
    <row r="13156" spans="1:15" s="3" customFormat="1" x14ac:dyDescent="0.3">
      <c r="A13156" s="3" t="s">
        <v>41</v>
      </c>
      <c r="B13156" s="3" t="s">
        <v>223</v>
      </c>
      <c r="C13156" s="3">
        <v>4</v>
      </c>
      <c r="D13156" s="3" t="s">
        <v>192</v>
      </c>
      <c r="E13156" s="3" t="s">
        <v>103</v>
      </c>
      <c r="F13156" s="3" t="s">
        <v>103</v>
      </c>
      <c r="G13156" s="3" t="s">
        <v>103</v>
      </c>
      <c r="H13156" s="3" t="s">
        <v>103</v>
      </c>
      <c r="I13156" s="3" t="s">
        <v>103</v>
      </c>
      <c r="J13156" s="3" t="s">
        <v>103</v>
      </c>
      <c r="K13156" s="3" t="s">
        <v>103</v>
      </c>
      <c r="L13156" s="3" t="s">
        <v>103</v>
      </c>
      <c r="M13156" s="3" t="s">
        <v>103</v>
      </c>
      <c r="N13156" s="3" t="s">
        <v>103</v>
      </c>
      <c r="O13156" s="3" t="s">
        <v>103</v>
      </c>
    </row>
    <row r="13157" spans="1:15" x14ac:dyDescent="0.3">
      <c r="A13157" t="s">
        <v>41</v>
      </c>
      <c r="B13157" t="s">
        <v>308</v>
      </c>
      <c r="C13157">
        <v>31</v>
      </c>
      <c r="D13157" t="s">
        <v>833</v>
      </c>
      <c r="E13157" t="s">
        <v>105</v>
      </c>
      <c r="F13157" t="s">
        <v>105</v>
      </c>
      <c r="G13157" t="s">
        <v>103</v>
      </c>
      <c r="H13157" t="s">
        <v>103</v>
      </c>
      <c r="I13157" t="s">
        <v>103</v>
      </c>
      <c r="J13157" t="s">
        <v>103</v>
      </c>
      <c r="K13157" t="s">
        <v>208</v>
      </c>
      <c r="L13157" t="s">
        <v>103</v>
      </c>
      <c r="M13157" t="s">
        <v>103</v>
      </c>
      <c r="N13157" t="s">
        <v>103</v>
      </c>
      <c r="O13157" t="s">
        <v>103</v>
      </c>
    </row>
    <row r="13159" spans="1:15" x14ac:dyDescent="0.3">
      <c r="A13159" t="s">
        <v>2904</v>
      </c>
    </row>
    <row r="13160" spans="1:15" x14ac:dyDescent="0.3">
      <c r="A13160" t="s">
        <v>36</v>
      </c>
      <c r="B13160" t="s">
        <v>197</v>
      </c>
      <c r="C13160" t="s">
        <v>24</v>
      </c>
      <c r="D13160" t="s">
        <v>2886</v>
      </c>
      <c r="E13160" t="s">
        <v>2887</v>
      </c>
      <c r="F13160" t="s">
        <v>2888</v>
      </c>
      <c r="G13160" t="s">
        <v>2889</v>
      </c>
      <c r="H13160" t="s">
        <v>2890</v>
      </c>
      <c r="I13160" t="s">
        <v>2891</v>
      </c>
      <c r="J13160" t="s">
        <v>2892</v>
      </c>
      <c r="K13160" t="s">
        <v>2893</v>
      </c>
      <c r="L13160" t="s">
        <v>2894</v>
      </c>
      <c r="M13160" t="s">
        <v>183</v>
      </c>
      <c r="N13160" t="s">
        <v>87</v>
      </c>
      <c r="O13160" t="s">
        <v>181</v>
      </c>
    </row>
    <row r="13161" spans="1:15" x14ac:dyDescent="0.3">
      <c r="A13161" t="s">
        <v>25</v>
      </c>
      <c r="B13161" t="s">
        <v>198</v>
      </c>
      <c r="C13161">
        <v>104</v>
      </c>
      <c r="D13161" t="s">
        <v>192</v>
      </c>
      <c r="E13161" t="s">
        <v>103</v>
      </c>
      <c r="F13161" t="s">
        <v>103</v>
      </c>
      <c r="G13161" t="s">
        <v>103</v>
      </c>
      <c r="H13161" t="s">
        <v>103</v>
      </c>
      <c r="I13161" t="s">
        <v>103</v>
      </c>
      <c r="J13161" t="s">
        <v>103</v>
      </c>
      <c r="K13161" t="s">
        <v>103</v>
      </c>
      <c r="L13161" t="s">
        <v>103</v>
      </c>
      <c r="M13161" t="s">
        <v>103</v>
      </c>
      <c r="N13161" t="s">
        <v>103</v>
      </c>
      <c r="O13161" t="s">
        <v>103</v>
      </c>
    </row>
    <row r="13162" spans="1:15" x14ac:dyDescent="0.3">
      <c r="A13162" t="s">
        <v>25</v>
      </c>
      <c r="B13162" t="s">
        <v>199</v>
      </c>
      <c r="C13162">
        <v>310</v>
      </c>
      <c r="D13162" t="s">
        <v>1167</v>
      </c>
      <c r="E13162" t="s">
        <v>103</v>
      </c>
      <c r="F13162" t="s">
        <v>103</v>
      </c>
      <c r="G13162" t="s">
        <v>103</v>
      </c>
      <c r="H13162" t="s">
        <v>103</v>
      </c>
      <c r="I13162" t="s">
        <v>103</v>
      </c>
      <c r="J13162" t="s">
        <v>122</v>
      </c>
      <c r="K13162" t="s">
        <v>103</v>
      </c>
      <c r="L13162" t="s">
        <v>103</v>
      </c>
      <c r="M13162" t="s">
        <v>103</v>
      </c>
      <c r="N13162" t="s">
        <v>594</v>
      </c>
      <c r="O13162" t="s">
        <v>103</v>
      </c>
    </row>
    <row r="13163" spans="1:15" x14ac:dyDescent="0.3">
      <c r="A13163" t="s">
        <v>26</v>
      </c>
      <c r="B13163" t="s">
        <v>198</v>
      </c>
      <c r="C13163">
        <v>41</v>
      </c>
      <c r="D13163" t="s">
        <v>818</v>
      </c>
      <c r="E13163" t="s">
        <v>103</v>
      </c>
      <c r="F13163" t="s">
        <v>103</v>
      </c>
      <c r="G13163" t="s">
        <v>118</v>
      </c>
      <c r="H13163" t="s">
        <v>103</v>
      </c>
      <c r="I13163" t="s">
        <v>438</v>
      </c>
      <c r="J13163" t="s">
        <v>103</v>
      </c>
      <c r="K13163" t="s">
        <v>103</v>
      </c>
      <c r="L13163" t="s">
        <v>103</v>
      </c>
      <c r="M13163" t="s">
        <v>103</v>
      </c>
      <c r="N13163" t="s">
        <v>107</v>
      </c>
      <c r="O13163" t="s">
        <v>103</v>
      </c>
    </row>
    <row r="13164" spans="1:15" x14ac:dyDescent="0.3">
      <c r="A13164" t="s">
        <v>26</v>
      </c>
      <c r="B13164" t="s">
        <v>199</v>
      </c>
      <c r="C13164">
        <v>436</v>
      </c>
      <c r="D13164" t="s">
        <v>286</v>
      </c>
      <c r="E13164" t="s">
        <v>103</v>
      </c>
      <c r="F13164" t="s">
        <v>103</v>
      </c>
      <c r="G13164" t="s">
        <v>103</v>
      </c>
      <c r="H13164" t="s">
        <v>103</v>
      </c>
      <c r="I13164" t="s">
        <v>97</v>
      </c>
      <c r="J13164" t="s">
        <v>103</v>
      </c>
      <c r="K13164" t="s">
        <v>345</v>
      </c>
      <c r="L13164" t="s">
        <v>103</v>
      </c>
      <c r="M13164" t="s">
        <v>116</v>
      </c>
      <c r="N13164" t="s">
        <v>341</v>
      </c>
      <c r="O13164" t="s">
        <v>116</v>
      </c>
    </row>
    <row r="13165" spans="1:15" x14ac:dyDescent="0.3">
      <c r="A13165" t="s">
        <v>29</v>
      </c>
      <c r="B13165" t="s">
        <v>198</v>
      </c>
      <c r="C13165">
        <v>170</v>
      </c>
      <c r="D13165" t="s">
        <v>632</v>
      </c>
      <c r="E13165" t="s">
        <v>245</v>
      </c>
      <c r="F13165" t="s">
        <v>194</v>
      </c>
      <c r="G13165" t="s">
        <v>103</v>
      </c>
      <c r="H13165" t="s">
        <v>103</v>
      </c>
      <c r="I13165" t="s">
        <v>257</v>
      </c>
      <c r="J13165" t="s">
        <v>103</v>
      </c>
      <c r="K13165" t="s">
        <v>98</v>
      </c>
      <c r="L13165" t="s">
        <v>95</v>
      </c>
      <c r="M13165" t="s">
        <v>103</v>
      </c>
      <c r="N13165" t="s">
        <v>532</v>
      </c>
      <c r="O13165" t="s">
        <v>97</v>
      </c>
    </row>
    <row r="13166" spans="1:15" x14ac:dyDescent="0.3">
      <c r="A13166" t="s">
        <v>29</v>
      </c>
      <c r="B13166" t="s">
        <v>199</v>
      </c>
      <c r="C13166">
        <v>360</v>
      </c>
      <c r="D13166" t="s">
        <v>153</v>
      </c>
      <c r="E13166" t="s">
        <v>216</v>
      </c>
      <c r="F13166" t="s">
        <v>282</v>
      </c>
      <c r="G13166" t="s">
        <v>98</v>
      </c>
      <c r="H13166" t="s">
        <v>120</v>
      </c>
      <c r="I13166" t="s">
        <v>91</v>
      </c>
      <c r="J13166" t="s">
        <v>122</v>
      </c>
      <c r="K13166" t="s">
        <v>468</v>
      </c>
      <c r="L13166" t="s">
        <v>98</v>
      </c>
      <c r="M13166" t="s">
        <v>103</v>
      </c>
      <c r="N13166" t="s">
        <v>571</v>
      </c>
      <c r="O13166" t="s">
        <v>116</v>
      </c>
    </row>
    <row r="13167" spans="1:15" x14ac:dyDescent="0.3">
      <c r="A13167" t="s">
        <v>28</v>
      </c>
      <c r="B13167" t="s">
        <v>198</v>
      </c>
      <c r="C13167">
        <v>70</v>
      </c>
      <c r="D13167" t="s">
        <v>851</v>
      </c>
      <c r="E13167" t="s">
        <v>103</v>
      </c>
      <c r="F13167" t="s">
        <v>103</v>
      </c>
      <c r="G13167" t="s">
        <v>103</v>
      </c>
      <c r="H13167" t="s">
        <v>103</v>
      </c>
      <c r="I13167" t="s">
        <v>329</v>
      </c>
      <c r="J13167" t="s">
        <v>103</v>
      </c>
      <c r="K13167" t="s">
        <v>103</v>
      </c>
      <c r="L13167" t="s">
        <v>103</v>
      </c>
      <c r="M13167" t="s">
        <v>103</v>
      </c>
      <c r="N13167" t="s">
        <v>594</v>
      </c>
      <c r="O13167" t="s">
        <v>103</v>
      </c>
    </row>
    <row r="13168" spans="1:15" x14ac:dyDescent="0.3">
      <c r="A13168" t="s">
        <v>28</v>
      </c>
      <c r="B13168" t="s">
        <v>199</v>
      </c>
      <c r="C13168">
        <v>247</v>
      </c>
      <c r="D13168" t="s">
        <v>192</v>
      </c>
      <c r="E13168" t="s">
        <v>103</v>
      </c>
      <c r="F13168" t="s">
        <v>103</v>
      </c>
      <c r="G13168" t="s">
        <v>103</v>
      </c>
      <c r="H13168" t="s">
        <v>103</v>
      </c>
      <c r="I13168" t="s">
        <v>103</v>
      </c>
      <c r="J13168" t="s">
        <v>103</v>
      </c>
      <c r="K13168" t="s">
        <v>103</v>
      </c>
      <c r="L13168" t="s">
        <v>103</v>
      </c>
      <c r="M13168" t="s">
        <v>103</v>
      </c>
      <c r="N13168" t="s">
        <v>103</v>
      </c>
      <c r="O13168" t="s">
        <v>103</v>
      </c>
    </row>
    <row r="13169" spans="1:15" x14ac:dyDescent="0.3">
      <c r="A13169" t="s">
        <v>27</v>
      </c>
      <c r="B13169" t="s">
        <v>198</v>
      </c>
      <c r="C13169">
        <v>136</v>
      </c>
      <c r="D13169" t="s">
        <v>709</v>
      </c>
      <c r="E13169" t="s">
        <v>128</v>
      </c>
      <c r="F13169" t="s">
        <v>468</v>
      </c>
      <c r="G13169" t="s">
        <v>97</v>
      </c>
      <c r="H13169" t="s">
        <v>118</v>
      </c>
      <c r="I13169" t="s">
        <v>438</v>
      </c>
      <c r="J13169" t="s">
        <v>103</v>
      </c>
      <c r="K13169" t="s">
        <v>239</v>
      </c>
      <c r="L13169" t="s">
        <v>103</v>
      </c>
      <c r="M13169" t="s">
        <v>103</v>
      </c>
      <c r="N13169" t="s">
        <v>62</v>
      </c>
      <c r="O13169" t="s">
        <v>103</v>
      </c>
    </row>
    <row r="13170" spans="1:15" x14ac:dyDescent="0.3">
      <c r="A13170" t="s">
        <v>27</v>
      </c>
      <c r="B13170" t="s">
        <v>199</v>
      </c>
      <c r="C13170">
        <v>164</v>
      </c>
      <c r="D13170" t="s">
        <v>158</v>
      </c>
      <c r="E13170" t="s">
        <v>103</v>
      </c>
      <c r="F13170" t="s">
        <v>103</v>
      </c>
      <c r="G13170" t="s">
        <v>194</v>
      </c>
      <c r="H13170" t="s">
        <v>103</v>
      </c>
      <c r="I13170" t="s">
        <v>95</v>
      </c>
      <c r="J13170" t="s">
        <v>103</v>
      </c>
      <c r="K13170" t="s">
        <v>194</v>
      </c>
      <c r="L13170" t="s">
        <v>103</v>
      </c>
      <c r="M13170" t="s">
        <v>103</v>
      </c>
      <c r="N13170" t="s">
        <v>100</v>
      </c>
      <c r="O13170" t="s">
        <v>95</v>
      </c>
    </row>
    <row r="13171" spans="1:15" x14ac:dyDescent="0.3">
      <c r="A13171" t="s">
        <v>41</v>
      </c>
      <c r="B13171" t="s">
        <v>198</v>
      </c>
      <c r="C13171">
        <v>521</v>
      </c>
      <c r="D13171" t="s">
        <v>1307</v>
      </c>
      <c r="E13171" t="s">
        <v>194</v>
      </c>
      <c r="F13171" t="s">
        <v>98</v>
      </c>
      <c r="G13171" t="s">
        <v>66</v>
      </c>
      <c r="H13171" t="s">
        <v>66</v>
      </c>
      <c r="I13171" t="s">
        <v>93</v>
      </c>
      <c r="J13171" t="s">
        <v>103</v>
      </c>
      <c r="K13171" t="s">
        <v>95</v>
      </c>
      <c r="L13171" t="s">
        <v>122</v>
      </c>
      <c r="M13171" t="s">
        <v>103</v>
      </c>
      <c r="N13171" t="s">
        <v>201</v>
      </c>
      <c r="O13171" t="s">
        <v>116</v>
      </c>
    </row>
    <row r="13172" spans="1:15" x14ac:dyDescent="0.3">
      <c r="A13172" t="s">
        <v>41</v>
      </c>
      <c r="B13172" t="s">
        <v>199</v>
      </c>
      <c r="C13172">
        <v>1517</v>
      </c>
      <c r="D13172" t="s">
        <v>1509</v>
      </c>
      <c r="E13172" t="s">
        <v>95</v>
      </c>
      <c r="F13172" t="s">
        <v>122</v>
      </c>
      <c r="G13172" t="s">
        <v>122</v>
      </c>
      <c r="H13172" t="s">
        <v>66</v>
      </c>
      <c r="I13172" t="s">
        <v>66</v>
      </c>
      <c r="J13172" t="s">
        <v>66</v>
      </c>
      <c r="K13172" t="s">
        <v>98</v>
      </c>
      <c r="L13172" t="s">
        <v>122</v>
      </c>
      <c r="M13172" t="s">
        <v>91</v>
      </c>
      <c r="N13172" t="s">
        <v>662</v>
      </c>
      <c r="O13172" t="s">
        <v>66</v>
      </c>
    </row>
    <row r="13174" spans="1:15" x14ac:dyDescent="0.3">
      <c r="A13174" t="s">
        <v>2905</v>
      </c>
    </row>
    <row r="13175" spans="1:15" x14ac:dyDescent="0.3">
      <c r="A13175" t="s">
        <v>36</v>
      </c>
      <c r="B13175" t="s">
        <v>24</v>
      </c>
      <c r="C13175" t="s">
        <v>2906</v>
      </c>
      <c r="D13175" t="s">
        <v>2907</v>
      </c>
      <c r="E13175" t="s">
        <v>2908</v>
      </c>
      <c r="F13175" t="s">
        <v>2909</v>
      </c>
      <c r="G13175" t="s">
        <v>2910</v>
      </c>
      <c r="H13175" t="s">
        <v>2911</v>
      </c>
      <c r="I13175" t="s">
        <v>2912</v>
      </c>
      <c r="J13175" t="s">
        <v>2913</v>
      </c>
      <c r="K13175" t="s">
        <v>2914</v>
      </c>
      <c r="L13175" t="s">
        <v>2915</v>
      </c>
      <c r="M13175" t="s">
        <v>2916</v>
      </c>
      <c r="N13175" t="s">
        <v>2917</v>
      </c>
    </row>
    <row r="13176" spans="1:15" x14ac:dyDescent="0.3">
      <c r="A13176" t="s">
        <v>25</v>
      </c>
      <c r="B13176">
        <v>414</v>
      </c>
      <c r="C13176" t="s">
        <v>487</v>
      </c>
      <c r="D13176" t="s">
        <v>994</v>
      </c>
      <c r="E13176" t="s">
        <v>1439</v>
      </c>
      <c r="F13176" t="s">
        <v>1170</v>
      </c>
      <c r="G13176" t="s">
        <v>351</v>
      </c>
      <c r="H13176" t="s">
        <v>1064</v>
      </c>
      <c r="I13176" t="s">
        <v>1325</v>
      </c>
      <c r="J13176" t="s">
        <v>1032</v>
      </c>
      <c r="K13176" t="s">
        <v>379</v>
      </c>
      <c r="L13176" t="s">
        <v>423</v>
      </c>
      <c r="M13176" t="s">
        <v>229</v>
      </c>
      <c r="N13176" t="s">
        <v>206</v>
      </c>
    </row>
    <row r="13177" spans="1:15" x14ac:dyDescent="0.3">
      <c r="A13177" t="s">
        <v>26</v>
      </c>
      <c r="B13177">
        <v>477</v>
      </c>
      <c r="C13177" t="s">
        <v>476</v>
      </c>
      <c r="D13177" t="s">
        <v>1044</v>
      </c>
      <c r="E13177" t="s">
        <v>2010</v>
      </c>
      <c r="F13177" t="s">
        <v>669</v>
      </c>
      <c r="G13177" t="s">
        <v>464</v>
      </c>
      <c r="H13177" t="s">
        <v>1070</v>
      </c>
      <c r="I13177" t="s">
        <v>1243</v>
      </c>
      <c r="J13177" t="s">
        <v>492</v>
      </c>
      <c r="K13177" t="s">
        <v>371</v>
      </c>
      <c r="L13177" t="s">
        <v>900</v>
      </c>
      <c r="M13177" t="s">
        <v>1034</v>
      </c>
      <c r="N13177" t="s">
        <v>62</v>
      </c>
    </row>
    <row r="13178" spans="1:15" x14ac:dyDescent="0.3">
      <c r="A13178" t="s">
        <v>29</v>
      </c>
      <c r="B13178">
        <v>530</v>
      </c>
      <c r="C13178" t="s">
        <v>427</v>
      </c>
      <c r="D13178" t="s">
        <v>1175</v>
      </c>
      <c r="E13178" t="s">
        <v>1230</v>
      </c>
      <c r="F13178" t="s">
        <v>431</v>
      </c>
      <c r="G13178" t="s">
        <v>387</v>
      </c>
      <c r="H13178" t="s">
        <v>1067</v>
      </c>
      <c r="I13178" t="s">
        <v>1018</v>
      </c>
      <c r="J13178" t="s">
        <v>1081</v>
      </c>
      <c r="K13178" t="s">
        <v>1081</v>
      </c>
      <c r="L13178" t="s">
        <v>938</v>
      </c>
      <c r="M13178" t="s">
        <v>643</v>
      </c>
      <c r="N13178" t="s">
        <v>813</v>
      </c>
    </row>
    <row r="13179" spans="1:15" x14ac:dyDescent="0.3">
      <c r="A13179" t="s">
        <v>28</v>
      </c>
      <c r="B13179">
        <v>317</v>
      </c>
      <c r="C13179" t="s">
        <v>1025</v>
      </c>
      <c r="D13179" t="s">
        <v>976</v>
      </c>
      <c r="E13179" t="s">
        <v>895</v>
      </c>
      <c r="F13179" t="s">
        <v>942</v>
      </c>
      <c r="G13179" t="s">
        <v>993</v>
      </c>
      <c r="H13179" t="s">
        <v>2106</v>
      </c>
      <c r="I13179" t="s">
        <v>1244</v>
      </c>
      <c r="J13179" t="s">
        <v>1030</v>
      </c>
      <c r="K13179" t="s">
        <v>1321</v>
      </c>
      <c r="L13179" t="s">
        <v>1043</v>
      </c>
      <c r="M13179" t="s">
        <v>1240</v>
      </c>
      <c r="N13179" t="s">
        <v>90</v>
      </c>
    </row>
    <row r="13180" spans="1:15" x14ac:dyDescent="0.3">
      <c r="A13180" t="s">
        <v>27</v>
      </c>
      <c r="B13180">
        <v>300</v>
      </c>
      <c r="C13180" t="s">
        <v>144</v>
      </c>
      <c r="D13180" t="s">
        <v>993</v>
      </c>
      <c r="E13180" t="s">
        <v>1097</v>
      </c>
      <c r="F13180" t="s">
        <v>938</v>
      </c>
      <c r="G13180" t="s">
        <v>705</v>
      </c>
      <c r="H13180" t="s">
        <v>1206</v>
      </c>
      <c r="I13180" t="s">
        <v>357</v>
      </c>
      <c r="J13180" t="s">
        <v>115</v>
      </c>
      <c r="K13180" t="s">
        <v>456</v>
      </c>
      <c r="L13180" t="s">
        <v>549</v>
      </c>
      <c r="M13180" t="s">
        <v>1009</v>
      </c>
      <c r="N13180" t="s">
        <v>575</v>
      </c>
    </row>
    <row r="13181" spans="1:15" x14ac:dyDescent="0.3">
      <c r="A13181" t="s">
        <v>41</v>
      </c>
      <c r="B13181">
        <v>2038</v>
      </c>
      <c r="C13181" t="s">
        <v>655</v>
      </c>
      <c r="D13181" t="s">
        <v>1037</v>
      </c>
      <c r="E13181" t="s">
        <v>1009</v>
      </c>
      <c r="F13181" t="s">
        <v>657</v>
      </c>
      <c r="G13181" t="s">
        <v>943</v>
      </c>
      <c r="H13181" t="s">
        <v>386</v>
      </c>
      <c r="I13181" t="s">
        <v>690</v>
      </c>
      <c r="J13181" t="s">
        <v>411</v>
      </c>
      <c r="K13181" t="s">
        <v>1295</v>
      </c>
      <c r="L13181" t="s">
        <v>489</v>
      </c>
      <c r="M13181" t="s">
        <v>1461</v>
      </c>
      <c r="N13181" t="s">
        <v>890</v>
      </c>
    </row>
    <row r="13183" spans="1:15" x14ac:dyDescent="0.3">
      <c r="A13183" t="s">
        <v>2918</v>
      </c>
    </row>
    <row r="13184" spans="1:15" x14ac:dyDescent="0.3">
      <c r="A13184" t="s">
        <v>36</v>
      </c>
      <c r="B13184" t="s">
        <v>307</v>
      </c>
      <c r="C13184" t="s">
        <v>24</v>
      </c>
      <c r="D13184" t="s">
        <v>2906</v>
      </c>
      <c r="E13184" t="s">
        <v>2907</v>
      </c>
      <c r="F13184" t="s">
        <v>2908</v>
      </c>
      <c r="G13184" t="s">
        <v>2909</v>
      </c>
      <c r="H13184" t="s">
        <v>2910</v>
      </c>
      <c r="I13184" t="s">
        <v>2911</v>
      </c>
      <c r="J13184" t="s">
        <v>2912</v>
      </c>
      <c r="K13184" t="s">
        <v>2913</v>
      </c>
      <c r="L13184" t="s">
        <v>2914</v>
      </c>
      <c r="M13184" t="s">
        <v>2915</v>
      </c>
      <c r="N13184" t="s">
        <v>2916</v>
      </c>
      <c r="O13184" t="s">
        <v>2917</v>
      </c>
    </row>
    <row r="13185" spans="1:15" x14ac:dyDescent="0.3">
      <c r="A13185" t="s">
        <v>25</v>
      </c>
      <c r="B13185" t="s">
        <v>291</v>
      </c>
      <c r="C13185">
        <v>156</v>
      </c>
      <c r="D13185" t="s">
        <v>1461</v>
      </c>
      <c r="E13185" t="s">
        <v>617</v>
      </c>
      <c r="F13185" t="s">
        <v>1291</v>
      </c>
      <c r="G13185" t="s">
        <v>1222</v>
      </c>
      <c r="H13185" t="s">
        <v>1209</v>
      </c>
      <c r="I13185" t="s">
        <v>831</v>
      </c>
      <c r="J13185" t="s">
        <v>1016</v>
      </c>
      <c r="K13185" t="s">
        <v>1577</v>
      </c>
      <c r="L13185" t="s">
        <v>830</v>
      </c>
      <c r="M13185" t="s">
        <v>1002</v>
      </c>
      <c r="N13185" t="s">
        <v>1420</v>
      </c>
      <c r="O13185" t="s">
        <v>591</v>
      </c>
    </row>
    <row r="13186" spans="1:15" x14ac:dyDescent="0.3">
      <c r="A13186" t="s">
        <v>25</v>
      </c>
      <c r="B13186" t="s">
        <v>292</v>
      </c>
      <c r="C13186">
        <v>254</v>
      </c>
      <c r="D13186" t="s">
        <v>425</v>
      </c>
      <c r="E13186" t="s">
        <v>172</v>
      </c>
      <c r="F13186" t="s">
        <v>255</v>
      </c>
      <c r="G13186" t="s">
        <v>1328</v>
      </c>
      <c r="H13186" t="s">
        <v>835</v>
      </c>
      <c r="I13186" t="s">
        <v>942</v>
      </c>
      <c r="J13186" t="s">
        <v>944</v>
      </c>
      <c r="K13186" t="s">
        <v>1030</v>
      </c>
      <c r="L13186" t="s">
        <v>294</v>
      </c>
      <c r="M13186" t="s">
        <v>929</v>
      </c>
      <c r="N13186" t="s">
        <v>1252</v>
      </c>
      <c r="O13186" t="s">
        <v>460</v>
      </c>
    </row>
    <row r="13187" spans="1:15" x14ac:dyDescent="0.3">
      <c r="A13187" t="s">
        <v>25</v>
      </c>
      <c r="B13187" t="s">
        <v>308</v>
      </c>
      <c r="C13187">
        <v>4</v>
      </c>
      <c r="D13187" t="s">
        <v>240</v>
      </c>
      <c r="E13187" t="s">
        <v>192</v>
      </c>
      <c r="F13187" t="s">
        <v>192</v>
      </c>
      <c r="G13187" t="s">
        <v>192</v>
      </c>
      <c r="H13187" t="s">
        <v>192</v>
      </c>
      <c r="I13187" t="s">
        <v>1438</v>
      </c>
      <c r="J13187" t="s">
        <v>192</v>
      </c>
      <c r="K13187" t="s">
        <v>1438</v>
      </c>
      <c r="L13187" t="s">
        <v>192</v>
      </c>
      <c r="M13187" t="s">
        <v>192</v>
      </c>
      <c r="N13187" t="s">
        <v>351</v>
      </c>
      <c r="O13187" t="s">
        <v>103</v>
      </c>
    </row>
    <row r="13188" spans="1:15" x14ac:dyDescent="0.3">
      <c r="A13188" t="s">
        <v>26</v>
      </c>
      <c r="B13188" t="s">
        <v>291</v>
      </c>
      <c r="C13188">
        <v>122</v>
      </c>
      <c r="D13188" t="s">
        <v>707</v>
      </c>
      <c r="E13188" t="s">
        <v>857</v>
      </c>
      <c r="F13188" t="s">
        <v>1328</v>
      </c>
      <c r="G13188" t="s">
        <v>361</v>
      </c>
      <c r="H13188" t="s">
        <v>530</v>
      </c>
      <c r="I13188" t="s">
        <v>432</v>
      </c>
      <c r="J13188" t="s">
        <v>2033</v>
      </c>
      <c r="K13188" t="s">
        <v>1218</v>
      </c>
      <c r="L13188" t="s">
        <v>387</v>
      </c>
      <c r="M13188" t="s">
        <v>555</v>
      </c>
      <c r="N13188" t="s">
        <v>1295</v>
      </c>
      <c r="O13188" t="s">
        <v>162</v>
      </c>
    </row>
    <row r="13189" spans="1:15" x14ac:dyDescent="0.3">
      <c r="A13189" t="s">
        <v>26</v>
      </c>
      <c r="B13189" t="s">
        <v>292</v>
      </c>
      <c r="C13189">
        <v>352</v>
      </c>
      <c r="D13189" t="s">
        <v>506</v>
      </c>
      <c r="E13189" t="s">
        <v>1328</v>
      </c>
      <c r="F13189" t="s">
        <v>1396</v>
      </c>
      <c r="G13189" t="s">
        <v>512</v>
      </c>
      <c r="H13189" t="s">
        <v>1057</v>
      </c>
      <c r="I13189" t="s">
        <v>1050</v>
      </c>
      <c r="J13189" t="s">
        <v>690</v>
      </c>
      <c r="K13189" t="s">
        <v>96</v>
      </c>
      <c r="L13189" t="s">
        <v>1058</v>
      </c>
      <c r="M13189" t="s">
        <v>505</v>
      </c>
      <c r="N13189" t="s">
        <v>1462</v>
      </c>
      <c r="O13189" t="s">
        <v>137</v>
      </c>
    </row>
    <row r="13190" spans="1:15" x14ac:dyDescent="0.3">
      <c r="A13190" t="s">
        <v>26</v>
      </c>
      <c r="B13190" t="s">
        <v>308</v>
      </c>
      <c r="C13190">
        <v>3</v>
      </c>
      <c r="D13190" t="s">
        <v>103</v>
      </c>
      <c r="E13190" t="s">
        <v>784</v>
      </c>
      <c r="F13190" t="s">
        <v>103</v>
      </c>
      <c r="G13190" t="s">
        <v>103</v>
      </c>
      <c r="H13190" t="s">
        <v>1202</v>
      </c>
      <c r="I13190" t="s">
        <v>103</v>
      </c>
      <c r="J13190" t="s">
        <v>784</v>
      </c>
      <c r="K13190" t="s">
        <v>103</v>
      </c>
      <c r="L13190" t="s">
        <v>1202</v>
      </c>
      <c r="M13190" t="s">
        <v>103</v>
      </c>
      <c r="N13190" t="s">
        <v>699</v>
      </c>
      <c r="O13190" t="s">
        <v>103</v>
      </c>
    </row>
    <row r="13191" spans="1:15" x14ac:dyDescent="0.3">
      <c r="A13191" t="s">
        <v>29</v>
      </c>
      <c r="B13191" t="s">
        <v>291</v>
      </c>
      <c r="C13191">
        <v>205</v>
      </c>
      <c r="D13191" t="s">
        <v>573</v>
      </c>
      <c r="E13191" t="s">
        <v>300</v>
      </c>
      <c r="F13191" t="s">
        <v>810</v>
      </c>
      <c r="G13191" t="s">
        <v>839</v>
      </c>
      <c r="H13191" t="s">
        <v>436</v>
      </c>
      <c r="I13191" t="s">
        <v>225</v>
      </c>
      <c r="J13191" t="s">
        <v>354</v>
      </c>
      <c r="K13191" t="s">
        <v>1422</v>
      </c>
      <c r="L13191" t="s">
        <v>396</v>
      </c>
      <c r="M13191" t="s">
        <v>109</v>
      </c>
      <c r="N13191" t="s">
        <v>1097</v>
      </c>
      <c r="O13191" t="s">
        <v>475</v>
      </c>
    </row>
    <row r="13192" spans="1:15" x14ac:dyDescent="0.3">
      <c r="A13192" t="s">
        <v>29</v>
      </c>
      <c r="B13192" t="s">
        <v>292</v>
      </c>
      <c r="C13192">
        <v>325</v>
      </c>
      <c r="D13192" t="s">
        <v>1205</v>
      </c>
      <c r="E13192" t="s">
        <v>830</v>
      </c>
      <c r="F13192" t="s">
        <v>356</v>
      </c>
      <c r="G13192" t="s">
        <v>1401</v>
      </c>
      <c r="H13192" t="s">
        <v>810</v>
      </c>
      <c r="I13192" t="s">
        <v>810</v>
      </c>
      <c r="J13192" t="s">
        <v>372</v>
      </c>
      <c r="K13192" t="s">
        <v>390</v>
      </c>
      <c r="L13192" t="s">
        <v>355</v>
      </c>
      <c r="M13192" t="s">
        <v>619</v>
      </c>
      <c r="N13192" t="s">
        <v>352</v>
      </c>
      <c r="O13192" t="s">
        <v>536</v>
      </c>
    </row>
    <row r="13193" spans="1:15" x14ac:dyDescent="0.3">
      <c r="A13193" t="s">
        <v>28</v>
      </c>
      <c r="B13193" t="s">
        <v>291</v>
      </c>
      <c r="C13193">
        <v>114</v>
      </c>
      <c r="D13193" t="s">
        <v>1021</v>
      </c>
      <c r="E13193" t="s">
        <v>1420</v>
      </c>
      <c r="F13193" t="s">
        <v>1136</v>
      </c>
      <c r="G13193" t="s">
        <v>368</v>
      </c>
      <c r="H13193" t="s">
        <v>416</v>
      </c>
      <c r="I13193" t="s">
        <v>1390</v>
      </c>
      <c r="J13193" t="s">
        <v>817</v>
      </c>
      <c r="K13193" t="s">
        <v>562</v>
      </c>
      <c r="L13193" t="s">
        <v>487</v>
      </c>
      <c r="M13193" t="s">
        <v>367</v>
      </c>
      <c r="N13193" t="s">
        <v>1250</v>
      </c>
      <c r="O13193" t="s">
        <v>463</v>
      </c>
    </row>
    <row r="13194" spans="1:15" x14ac:dyDescent="0.3">
      <c r="A13194" t="s">
        <v>28</v>
      </c>
      <c r="B13194" t="s">
        <v>292</v>
      </c>
      <c r="C13194">
        <v>191</v>
      </c>
      <c r="D13194" t="s">
        <v>1676</v>
      </c>
      <c r="E13194" t="s">
        <v>1022</v>
      </c>
      <c r="F13194" t="s">
        <v>610</v>
      </c>
      <c r="G13194" t="s">
        <v>426</v>
      </c>
      <c r="H13194" t="s">
        <v>1089</v>
      </c>
      <c r="I13194" t="s">
        <v>235</v>
      </c>
      <c r="J13194" t="s">
        <v>1012</v>
      </c>
      <c r="K13194" t="s">
        <v>795</v>
      </c>
      <c r="L13194" t="s">
        <v>1013</v>
      </c>
      <c r="M13194" t="s">
        <v>496</v>
      </c>
      <c r="N13194" t="s">
        <v>1170</v>
      </c>
      <c r="O13194" t="s">
        <v>94</v>
      </c>
    </row>
    <row r="13195" spans="1:15" x14ac:dyDescent="0.3">
      <c r="A13195" t="s">
        <v>28</v>
      </c>
      <c r="B13195" t="s">
        <v>308</v>
      </c>
      <c r="C13195">
        <v>12</v>
      </c>
      <c r="D13195" t="s">
        <v>1209</v>
      </c>
      <c r="E13195" t="s">
        <v>1062</v>
      </c>
      <c r="F13195" t="s">
        <v>616</v>
      </c>
      <c r="G13195" t="s">
        <v>356</v>
      </c>
      <c r="H13195" t="s">
        <v>1209</v>
      </c>
      <c r="I13195" t="s">
        <v>356</v>
      </c>
      <c r="J13195" t="s">
        <v>71</v>
      </c>
      <c r="K13195" t="s">
        <v>616</v>
      </c>
      <c r="L13195" t="s">
        <v>397</v>
      </c>
      <c r="M13195" t="s">
        <v>1209</v>
      </c>
      <c r="N13195" t="s">
        <v>1209</v>
      </c>
      <c r="O13195" t="s">
        <v>70</v>
      </c>
    </row>
    <row r="13196" spans="1:15" x14ac:dyDescent="0.3">
      <c r="A13196" t="s">
        <v>27</v>
      </c>
      <c r="B13196" t="s">
        <v>291</v>
      </c>
      <c r="C13196">
        <v>95</v>
      </c>
      <c r="D13196" t="s">
        <v>519</v>
      </c>
      <c r="E13196" t="s">
        <v>423</v>
      </c>
      <c r="F13196" t="s">
        <v>542</v>
      </c>
      <c r="G13196" t="s">
        <v>1050</v>
      </c>
      <c r="H13196" t="s">
        <v>234</v>
      </c>
      <c r="I13196" t="s">
        <v>1090</v>
      </c>
      <c r="J13196" t="s">
        <v>1038</v>
      </c>
      <c r="K13196" t="s">
        <v>206</v>
      </c>
      <c r="L13196" t="s">
        <v>48</v>
      </c>
      <c r="M13196" t="s">
        <v>127</v>
      </c>
      <c r="N13196" t="s">
        <v>784</v>
      </c>
      <c r="O13196" t="s">
        <v>205</v>
      </c>
    </row>
    <row r="13197" spans="1:15" x14ac:dyDescent="0.3">
      <c r="A13197" t="s">
        <v>27</v>
      </c>
      <c r="B13197" t="s">
        <v>292</v>
      </c>
      <c r="C13197">
        <v>198</v>
      </c>
      <c r="D13197" t="s">
        <v>536</v>
      </c>
      <c r="E13197" t="s">
        <v>1461</v>
      </c>
      <c r="F13197" t="s">
        <v>1218</v>
      </c>
      <c r="G13197" t="s">
        <v>455</v>
      </c>
      <c r="H13197" t="s">
        <v>1207</v>
      </c>
      <c r="I13197" t="s">
        <v>542</v>
      </c>
      <c r="J13197" t="s">
        <v>1070</v>
      </c>
      <c r="K13197" t="s">
        <v>516</v>
      </c>
      <c r="L13197" t="s">
        <v>938</v>
      </c>
      <c r="M13197" t="s">
        <v>254</v>
      </c>
      <c r="N13197" t="s">
        <v>1294</v>
      </c>
      <c r="O13197" t="s">
        <v>126</v>
      </c>
    </row>
    <row r="13198" spans="1:15" x14ac:dyDescent="0.3">
      <c r="A13198" t="s">
        <v>27</v>
      </c>
      <c r="B13198" t="s">
        <v>308</v>
      </c>
      <c r="C13198">
        <v>7</v>
      </c>
      <c r="D13198" t="s">
        <v>103</v>
      </c>
      <c r="E13198" t="s">
        <v>1018</v>
      </c>
      <c r="F13198" t="s">
        <v>823</v>
      </c>
      <c r="G13198" t="s">
        <v>823</v>
      </c>
      <c r="H13198" t="s">
        <v>1394</v>
      </c>
      <c r="I13198" t="s">
        <v>1362</v>
      </c>
      <c r="J13198" t="s">
        <v>669</v>
      </c>
      <c r="K13198" t="s">
        <v>390</v>
      </c>
      <c r="L13198" t="s">
        <v>131</v>
      </c>
      <c r="M13198" t="s">
        <v>54</v>
      </c>
      <c r="N13198" t="s">
        <v>426</v>
      </c>
      <c r="O13198" t="s">
        <v>103</v>
      </c>
    </row>
    <row r="13199" spans="1:15" x14ac:dyDescent="0.3">
      <c r="A13199" t="s">
        <v>41</v>
      </c>
      <c r="B13199" t="s">
        <v>291</v>
      </c>
      <c r="C13199">
        <v>692</v>
      </c>
      <c r="D13199" t="s">
        <v>421</v>
      </c>
      <c r="E13199" t="s">
        <v>1283</v>
      </c>
      <c r="F13199" t="s">
        <v>948</v>
      </c>
      <c r="G13199" t="s">
        <v>1067</v>
      </c>
      <c r="H13199" t="s">
        <v>1208</v>
      </c>
      <c r="I13199" t="s">
        <v>1067</v>
      </c>
      <c r="J13199" t="s">
        <v>1462</v>
      </c>
      <c r="K13199" t="s">
        <v>1637</v>
      </c>
      <c r="L13199" t="s">
        <v>930</v>
      </c>
      <c r="M13199" t="s">
        <v>816</v>
      </c>
      <c r="N13199" t="s">
        <v>1425</v>
      </c>
      <c r="O13199" t="s">
        <v>544</v>
      </c>
    </row>
    <row r="13200" spans="1:15" x14ac:dyDescent="0.3">
      <c r="A13200" t="s">
        <v>41</v>
      </c>
      <c r="B13200" t="s">
        <v>292</v>
      </c>
      <c r="C13200">
        <v>1320</v>
      </c>
      <c r="D13200" t="s">
        <v>465</v>
      </c>
      <c r="E13200" t="s">
        <v>434</v>
      </c>
      <c r="F13200" t="s">
        <v>1009</v>
      </c>
      <c r="G13200" t="s">
        <v>349</v>
      </c>
      <c r="H13200" t="s">
        <v>386</v>
      </c>
      <c r="I13200" t="s">
        <v>930</v>
      </c>
      <c r="J13200" t="s">
        <v>2103</v>
      </c>
      <c r="K13200" t="s">
        <v>1098</v>
      </c>
      <c r="L13200" t="s">
        <v>657</v>
      </c>
      <c r="M13200" t="s">
        <v>1196</v>
      </c>
      <c r="N13200" t="s">
        <v>1242</v>
      </c>
      <c r="O13200" t="s">
        <v>649</v>
      </c>
    </row>
    <row r="13201" spans="1:15" x14ac:dyDescent="0.3">
      <c r="A13201" t="s">
        <v>41</v>
      </c>
      <c r="B13201" t="s">
        <v>308</v>
      </c>
      <c r="C13201">
        <v>26</v>
      </c>
      <c r="D13201" t="s">
        <v>1043</v>
      </c>
      <c r="E13201" t="s">
        <v>397</v>
      </c>
      <c r="F13201" t="s">
        <v>233</v>
      </c>
      <c r="G13201" t="s">
        <v>395</v>
      </c>
      <c r="H13201" t="s">
        <v>726</v>
      </c>
      <c r="I13201" t="s">
        <v>665</v>
      </c>
      <c r="J13201" t="s">
        <v>884</v>
      </c>
      <c r="K13201" t="s">
        <v>1257</v>
      </c>
      <c r="L13201" t="s">
        <v>294</v>
      </c>
      <c r="M13201" t="s">
        <v>1356</v>
      </c>
      <c r="N13201" t="s">
        <v>1257</v>
      </c>
      <c r="O13201" t="s">
        <v>239</v>
      </c>
    </row>
    <row r="13203" spans="1:15" x14ac:dyDescent="0.3">
      <c r="A13203" t="s">
        <v>2919</v>
      </c>
    </row>
    <row r="13204" spans="1:15" x14ac:dyDescent="0.3">
      <c r="A13204" t="s">
        <v>36</v>
      </c>
      <c r="B13204" t="s">
        <v>763</v>
      </c>
      <c r="C13204" t="s">
        <v>24</v>
      </c>
      <c r="D13204" t="s">
        <v>2906</v>
      </c>
      <c r="E13204" t="s">
        <v>2907</v>
      </c>
      <c r="F13204" t="s">
        <v>2908</v>
      </c>
      <c r="G13204" t="s">
        <v>2909</v>
      </c>
      <c r="H13204" t="s">
        <v>2910</v>
      </c>
      <c r="I13204" t="s">
        <v>2911</v>
      </c>
      <c r="J13204" t="s">
        <v>2912</v>
      </c>
      <c r="K13204" t="s">
        <v>2913</v>
      </c>
      <c r="L13204" t="s">
        <v>2914</v>
      </c>
      <c r="M13204" t="s">
        <v>2915</v>
      </c>
      <c r="N13204" t="s">
        <v>2916</v>
      </c>
      <c r="O13204" t="s">
        <v>2917</v>
      </c>
    </row>
    <row r="13205" spans="1:15" x14ac:dyDescent="0.3">
      <c r="A13205" t="s">
        <v>25</v>
      </c>
      <c r="B13205" t="s">
        <v>764</v>
      </c>
      <c r="C13205">
        <v>31</v>
      </c>
      <c r="D13205" t="s">
        <v>2111</v>
      </c>
      <c r="E13205" t="s">
        <v>882</v>
      </c>
      <c r="F13205" t="s">
        <v>1398</v>
      </c>
      <c r="G13205" t="s">
        <v>1089</v>
      </c>
      <c r="H13205" t="s">
        <v>1362</v>
      </c>
      <c r="I13205" t="s">
        <v>930</v>
      </c>
      <c r="J13205" t="s">
        <v>620</v>
      </c>
      <c r="K13205" t="s">
        <v>391</v>
      </c>
      <c r="L13205" t="s">
        <v>2106</v>
      </c>
      <c r="M13205" t="s">
        <v>1197</v>
      </c>
      <c r="N13205" t="s">
        <v>431</v>
      </c>
      <c r="O13205" t="s">
        <v>493</v>
      </c>
    </row>
    <row r="13206" spans="1:15" x14ac:dyDescent="0.3">
      <c r="A13206" t="s">
        <v>25</v>
      </c>
      <c r="B13206" t="s">
        <v>765</v>
      </c>
      <c r="C13206">
        <v>280</v>
      </c>
      <c r="D13206" t="s">
        <v>1250</v>
      </c>
      <c r="E13206" t="s">
        <v>740</v>
      </c>
      <c r="F13206" t="s">
        <v>785</v>
      </c>
      <c r="G13206" t="s">
        <v>822</v>
      </c>
      <c r="H13206" t="s">
        <v>394</v>
      </c>
      <c r="I13206" t="s">
        <v>1170</v>
      </c>
      <c r="J13206" t="s">
        <v>1063</v>
      </c>
      <c r="K13206" t="s">
        <v>1358</v>
      </c>
      <c r="L13206" t="s">
        <v>814</v>
      </c>
      <c r="M13206" t="s">
        <v>423</v>
      </c>
      <c r="N13206" t="s">
        <v>502</v>
      </c>
      <c r="O13206" t="s">
        <v>206</v>
      </c>
    </row>
    <row r="13207" spans="1:15" x14ac:dyDescent="0.3">
      <c r="A13207" t="s">
        <v>25</v>
      </c>
      <c r="B13207" t="s">
        <v>767</v>
      </c>
      <c r="C13207">
        <v>103</v>
      </c>
      <c r="D13207" t="s">
        <v>1231</v>
      </c>
      <c r="E13207" t="s">
        <v>739</v>
      </c>
      <c r="F13207" t="s">
        <v>1012</v>
      </c>
      <c r="G13207" t="s">
        <v>628</v>
      </c>
      <c r="H13207" t="s">
        <v>426</v>
      </c>
      <c r="I13207" t="s">
        <v>527</v>
      </c>
      <c r="J13207" t="s">
        <v>1325</v>
      </c>
      <c r="K13207" t="s">
        <v>410</v>
      </c>
      <c r="L13207" t="s">
        <v>1221</v>
      </c>
      <c r="M13207" t="s">
        <v>1032</v>
      </c>
      <c r="N13207" t="s">
        <v>235</v>
      </c>
      <c r="O13207" t="s">
        <v>607</v>
      </c>
    </row>
    <row r="13208" spans="1:15" x14ac:dyDescent="0.3">
      <c r="A13208" t="s">
        <v>26</v>
      </c>
      <c r="B13208" t="s">
        <v>764</v>
      </c>
      <c r="C13208">
        <v>58</v>
      </c>
      <c r="D13208" t="s">
        <v>131</v>
      </c>
      <c r="E13208" t="s">
        <v>1220</v>
      </c>
      <c r="F13208" t="s">
        <v>542</v>
      </c>
      <c r="G13208" t="s">
        <v>729</v>
      </c>
      <c r="H13208" t="s">
        <v>1043</v>
      </c>
      <c r="I13208" t="s">
        <v>1008</v>
      </c>
      <c r="J13208" t="s">
        <v>939</v>
      </c>
      <c r="K13208" t="s">
        <v>1202</v>
      </c>
      <c r="L13208" t="s">
        <v>1439</v>
      </c>
      <c r="M13208" t="s">
        <v>256</v>
      </c>
      <c r="N13208" t="s">
        <v>1241</v>
      </c>
      <c r="O13208" t="s">
        <v>652</v>
      </c>
    </row>
    <row r="13209" spans="1:15" x14ac:dyDescent="0.3">
      <c r="A13209" t="s">
        <v>26</v>
      </c>
      <c r="B13209" t="s">
        <v>765</v>
      </c>
      <c r="C13209">
        <v>278</v>
      </c>
      <c r="D13209" t="s">
        <v>473</v>
      </c>
      <c r="E13209" t="s">
        <v>866</v>
      </c>
      <c r="F13209" t="s">
        <v>225</v>
      </c>
      <c r="G13209" t="s">
        <v>643</v>
      </c>
      <c r="H13209" t="s">
        <v>1213</v>
      </c>
      <c r="I13209" t="s">
        <v>729</v>
      </c>
      <c r="J13209" t="s">
        <v>502</v>
      </c>
      <c r="K13209" t="s">
        <v>402</v>
      </c>
      <c r="L13209" t="s">
        <v>1329</v>
      </c>
      <c r="M13209" t="s">
        <v>557</v>
      </c>
      <c r="N13209" t="s">
        <v>415</v>
      </c>
      <c r="O13209" t="s">
        <v>700</v>
      </c>
    </row>
    <row r="13210" spans="1:15" x14ac:dyDescent="0.3">
      <c r="A13210" t="s">
        <v>26</v>
      </c>
      <c r="B13210" t="s">
        <v>767</v>
      </c>
      <c r="C13210">
        <v>141</v>
      </c>
      <c r="D13210" t="s">
        <v>906</v>
      </c>
      <c r="E13210" t="s">
        <v>263</v>
      </c>
      <c r="F13210" t="s">
        <v>431</v>
      </c>
      <c r="G13210" t="s">
        <v>1558</v>
      </c>
      <c r="H13210" t="s">
        <v>362</v>
      </c>
      <c r="I13210" t="s">
        <v>659</v>
      </c>
      <c r="J13210" t="s">
        <v>926</v>
      </c>
      <c r="K13210" t="s">
        <v>1215</v>
      </c>
      <c r="L13210" t="s">
        <v>1252</v>
      </c>
      <c r="M13210" t="s">
        <v>522</v>
      </c>
      <c r="N13210" t="s">
        <v>1243</v>
      </c>
      <c r="O13210" t="s">
        <v>531</v>
      </c>
    </row>
    <row r="13211" spans="1:15" s="3" customFormat="1" x14ac:dyDescent="0.3">
      <c r="A13211" s="3" t="s">
        <v>29</v>
      </c>
      <c r="B13211" s="3" t="s">
        <v>764</v>
      </c>
      <c r="C13211" s="3">
        <v>11</v>
      </c>
      <c r="D13211" s="3" t="s">
        <v>1032</v>
      </c>
      <c r="E13211" s="3" t="s">
        <v>63</v>
      </c>
      <c r="F13211" s="3" t="s">
        <v>1278</v>
      </c>
      <c r="G13211" s="3" t="s">
        <v>1393</v>
      </c>
      <c r="H13211" s="3" t="s">
        <v>1327</v>
      </c>
      <c r="I13211" s="3" t="s">
        <v>1549</v>
      </c>
      <c r="J13211" s="3" t="s">
        <v>793</v>
      </c>
      <c r="K13211" s="3" t="s">
        <v>671</v>
      </c>
      <c r="L13211" s="3" t="s">
        <v>692</v>
      </c>
      <c r="M13211" s="3" t="s">
        <v>464</v>
      </c>
      <c r="N13211" s="3" t="s">
        <v>692</v>
      </c>
      <c r="O13211" s="3" t="s">
        <v>62</v>
      </c>
    </row>
    <row r="13212" spans="1:15" x14ac:dyDescent="0.3">
      <c r="A13212" t="s">
        <v>29</v>
      </c>
      <c r="B13212" t="s">
        <v>765</v>
      </c>
      <c r="C13212">
        <v>365</v>
      </c>
      <c r="D13212" t="s">
        <v>407</v>
      </c>
      <c r="E13212" t="s">
        <v>1172</v>
      </c>
      <c r="F13212" t="s">
        <v>1039</v>
      </c>
      <c r="G13212" t="s">
        <v>810</v>
      </c>
      <c r="H13212" t="s">
        <v>873</v>
      </c>
      <c r="I13212" t="s">
        <v>527</v>
      </c>
      <c r="J13212" t="s">
        <v>1426</v>
      </c>
      <c r="K13212" t="s">
        <v>361</v>
      </c>
      <c r="L13212" t="s">
        <v>299</v>
      </c>
      <c r="M13212" t="s">
        <v>906</v>
      </c>
      <c r="N13212" t="s">
        <v>541</v>
      </c>
      <c r="O13212" t="s">
        <v>54</v>
      </c>
    </row>
    <row r="13213" spans="1:15" x14ac:dyDescent="0.3">
      <c r="A13213" t="s">
        <v>29</v>
      </c>
      <c r="B13213" t="s">
        <v>767</v>
      </c>
      <c r="C13213">
        <v>154</v>
      </c>
      <c r="D13213" t="s">
        <v>386</v>
      </c>
      <c r="E13213" t="s">
        <v>1136</v>
      </c>
      <c r="F13213" t="s">
        <v>1037</v>
      </c>
      <c r="G13213" t="s">
        <v>1029</v>
      </c>
      <c r="H13213" t="s">
        <v>1401</v>
      </c>
      <c r="I13213" t="s">
        <v>1556</v>
      </c>
      <c r="J13213" t="s">
        <v>394</v>
      </c>
      <c r="K13213" t="s">
        <v>387</v>
      </c>
      <c r="L13213" t="s">
        <v>1065</v>
      </c>
      <c r="M13213" t="s">
        <v>509</v>
      </c>
      <c r="N13213" t="s">
        <v>1210</v>
      </c>
      <c r="O13213" t="s">
        <v>205</v>
      </c>
    </row>
    <row r="13214" spans="1:15" s="3" customFormat="1" x14ac:dyDescent="0.3">
      <c r="A13214" s="3" t="s">
        <v>28</v>
      </c>
      <c r="B13214" s="3" t="s">
        <v>764</v>
      </c>
      <c r="C13214" s="3">
        <v>20</v>
      </c>
      <c r="D13214" s="3" t="s">
        <v>387</v>
      </c>
      <c r="E13214" s="3" t="s">
        <v>817</v>
      </c>
      <c r="F13214" s="3" t="s">
        <v>1039</v>
      </c>
      <c r="G13214" s="3" t="s">
        <v>1000</v>
      </c>
      <c r="H13214" s="3" t="s">
        <v>389</v>
      </c>
      <c r="I13214" s="3" t="s">
        <v>1579</v>
      </c>
      <c r="J13214" s="3" t="s">
        <v>1000</v>
      </c>
      <c r="K13214" s="3" t="s">
        <v>939</v>
      </c>
      <c r="L13214" s="3" t="s">
        <v>294</v>
      </c>
      <c r="M13214" s="3" t="s">
        <v>1055</v>
      </c>
      <c r="N13214" s="3" t="s">
        <v>1245</v>
      </c>
      <c r="O13214" s="3" t="s">
        <v>52</v>
      </c>
    </row>
    <row r="13215" spans="1:15" x14ac:dyDescent="0.3">
      <c r="A13215" t="s">
        <v>28</v>
      </c>
      <c r="B13215" t="s">
        <v>765</v>
      </c>
      <c r="C13215">
        <v>260</v>
      </c>
      <c r="D13215" t="s">
        <v>1556</v>
      </c>
      <c r="E13215" t="s">
        <v>1348</v>
      </c>
      <c r="F13215" t="s">
        <v>204</v>
      </c>
      <c r="G13215" t="s">
        <v>400</v>
      </c>
      <c r="H13215" t="s">
        <v>369</v>
      </c>
      <c r="I13215" t="s">
        <v>924</v>
      </c>
      <c r="J13215" t="s">
        <v>821</v>
      </c>
      <c r="K13215" t="s">
        <v>1231</v>
      </c>
      <c r="L13215" t="s">
        <v>364</v>
      </c>
      <c r="M13215" t="s">
        <v>396</v>
      </c>
      <c r="N13215" t="s">
        <v>1401</v>
      </c>
      <c r="O13215" t="s">
        <v>206</v>
      </c>
    </row>
    <row r="13216" spans="1:15" x14ac:dyDescent="0.3">
      <c r="A13216" t="s">
        <v>28</v>
      </c>
      <c r="B13216" t="s">
        <v>767</v>
      </c>
      <c r="C13216">
        <v>37</v>
      </c>
      <c r="D13216" t="s">
        <v>1679</v>
      </c>
      <c r="E13216" t="s">
        <v>992</v>
      </c>
      <c r="F13216" t="s">
        <v>992</v>
      </c>
      <c r="G13216" t="s">
        <v>608</v>
      </c>
      <c r="H13216" t="s">
        <v>2108</v>
      </c>
      <c r="I13216" t="s">
        <v>926</v>
      </c>
      <c r="J13216" t="s">
        <v>711</v>
      </c>
      <c r="K13216" t="s">
        <v>610</v>
      </c>
      <c r="L13216" t="s">
        <v>1316</v>
      </c>
      <c r="M13216" t="s">
        <v>804</v>
      </c>
      <c r="N13216" t="s">
        <v>1044</v>
      </c>
      <c r="O13216" t="s">
        <v>918</v>
      </c>
    </row>
    <row r="13217" spans="1:15" s="3" customFormat="1" x14ac:dyDescent="0.3">
      <c r="A13217" s="3" t="s">
        <v>27</v>
      </c>
      <c r="B13217" s="3" t="s">
        <v>764</v>
      </c>
      <c r="C13217" s="3">
        <v>29</v>
      </c>
      <c r="D13217" s="3" t="s">
        <v>68</v>
      </c>
      <c r="E13217" s="3" t="s">
        <v>389</v>
      </c>
      <c r="F13217" s="3" t="s">
        <v>1293</v>
      </c>
      <c r="G13217" s="3" t="s">
        <v>352</v>
      </c>
      <c r="H13217" s="3" t="s">
        <v>1014</v>
      </c>
      <c r="I13217" s="3" t="s">
        <v>581</v>
      </c>
      <c r="J13217" s="3" t="s">
        <v>1084</v>
      </c>
      <c r="K13217" s="3" t="s">
        <v>272</v>
      </c>
      <c r="L13217" s="3" t="s">
        <v>746</v>
      </c>
      <c r="M13217" s="3" t="s">
        <v>191</v>
      </c>
      <c r="N13217" s="3" t="s">
        <v>1240</v>
      </c>
      <c r="O13217" s="3" t="s">
        <v>607</v>
      </c>
    </row>
    <row r="13218" spans="1:15" x14ac:dyDescent="0.3">
      <c r="A13218" t="s">
        <v>27</v>
      </c>
      <c r="B13218" t="s">
        <v>765</v>
      </c>
      <c r="C13218">
        <v>209</v>
      </c>
      <c r="D13218" t="s">
        <v>117</v>
      </c>
      <c r="E13218" t="s">
        <v>386</v>
      </c>
      <c r="F13218" t="s">
        <v>523</v>
      </c>
      <c r="G13218" t="s">
        <v>382</v>
      </c>
      <c r="H13218" t="s">
        <v>1090</v>
      </c>
      <c r="I13218" t="s">
        <v>1224</v>
      </c>
      <c r="J13218" t="s">
        <v>541</v>
      </c>
      <c r="K13218" t="s">
        <v>164</v>
      </c>
      <c r="L13218" t="s">
        <v>503</v>
      </c>
      <c r="M13218" t="s">
        <v>494</v>
      </c>
      <c r="N13218" t="s">
        <v>1240</v>
      </c>
      <c r="O13218" t="s">
        <v>190</v>
      </c>
    </row>
    <row r="13219" spans="1:15" x14ac:dyDescent="0.3">
      <c r="A13219" t="s">
        <v>27</v>
      </c>
      <c r="B13219" t="s">
        <v>767</v>
      </c>
      <c r="C13219">
        <v>62</v>
      </c>
      <c r="D13219" t="s">
        <v>568</v>
      </c>
      <c r="E13219" t="s">
        <v>692</v>
      </c>
      <c r="F13219" t="s">
        <v>1065</v>
      </c>
      <c r="G13219" t="s">
        <v>545</v>
      </c>
      <c r="H13219" t="s">
        <v>816</v>
      </c>
      <c r="I13219" t="s">
        <v>553</v>
      </c>
      <c r="J13219" t="s">
        <v>375</v>
      </c>
      <c r="K13219" t="s">
        <v>682</v>
      </c>
      <c r="L13219" t="s">
        <v>1057</v>
      </c>
      <c r="M13219" t="s">
        <v>481</v>
      </c>
      <c r="N13219" t="s">
        <v>1462</v>
      </c>
      <c r="O13219" t="s">
        <v>169</v>
      </c>
    </row>
    <row r="13220" spans="1:15" x14ac:dyDescent="0.3">
      <c r="A13220" t="s">
        <v>41</v>
      </c>
      <c r="B13220" t="s">
        <v>764</v>
      </c>
      <c r="C13220">
        <v>149</v>
      </c>
      <c r="D13220" t="s">
        <v>1196</v>
      </c>
      <c r="E13220" t="s">
        <v>439</v>
      </c>
      <c r="F13220" t="s">
        <v>1579</v>
      </c>
      <c r="G13220" t="s">
        <v>369</v>
      </c>
      <c r="H13220" t="s">
        <v>387</v>
      </c>
      <c r="I13220" t="s">
        <v>729</v>
      </c>
      <c r="J13220" t="s">
        <v>931</v>
      </c>
      <c r="K13220" t="s">
        <v>655</v>
      </c>
      <c r="L13220" t="s">
        <v>351</v>
      </c>
      <c r="M13220" t="s">
        <v>648</v>
      </c>
      <c r="N13220" t="s">
        <v>1039</v>
      </c>
      <c r="O13220" t="s">
        <v>693</v>
      </c>
    </row>
    <row r="13221" spans="1:15" x14ac:dyDescent="0.3">
      <c r="A13221" t="s">
        <v>41</v>
      </c>
      <c r="B13221" t="s">
        <v>765</v>
      </c>
      <c r="C13221">
        <v>1392</v>
      </c>
      <c r="D13221" t="s">
        <v>303</v>
      </c>
      <c r="E13221" t="s">
        <v>937</v>
      </c>
      <c r="F13221" t="s">
        <v>1401</v>
      </c>
      <c r="G13221" t="s">
        <v>1067</v>
      </c>
      <c r="H13221" t="s">
        <v>770</v>
      </c>
      <c r="I13221" t="s">
        <v>1295</v>
      </c>
      <c r="J13221" t="s">
        <v>1172</v>
      </c>
      <c r="K13221" t="s">
        <v>299</v>
      </c>
      <c r="L13221" t="s">
        <v>838</v>
      </c>
      <c r="M13221" t="s">
        <v>583</v>
      </c>
      <c r="N13221" t="s">
        <v>934</v>
      </c>
      <c r="O13221" t="s">
        <v>536</v>
      </c>
    </row>
    <row r="13222" spans="1:15" x14ac:dyDescent="0.3">
      <c r="A13222" t="s">
        <v>41</v>
      </c>
      <c r="B13222" t="s">
        <v>767</v>
      </c>
      <c r="C13222">
        <v>497</v>
      </c>
      <c r="D13222" t="s">
        <v>1055</v>
      </c>
      <c r="E13222" t="s">
        <v>1282</v>
      </c>
      <c r="F13222" t="s">
        <v>439</v>
      </c>
      <c r="G13222" t="s">
        <v>1426</v>
      </c>
      <c r="H13222" t="s">
        <v>1025</v>
      </c>
      <c r="I13222" t="s">
        <v>1250</v>
      </c>
      <c r="J13222" t="s">
        <v>1375</v>
      </c>
      <c r="K13222" t="s">
        <v>385</v>
      </c>
      <c r="L13222" t="s">
        <v>1096</v>
      </c>
      <c r="M13222" t="s">
        <v>635</v>
      </c>
      <c r="N13222" t="s">
        <v>1558</v>
      </c>
      <c r="O13222" t="s">
        <v>100</v>
      </c>
    </row>
    <row r="13224" spans="1:15" x14ac:dyDescent="0.3">
      <c r="A13224" t="s">
        <v>2920</v>
      </c>
    </row>
    <row r="13225" spans="1:15" x14ac:dyDescent="0.3">
      <c r="A13225" t="s">
        <v>36</v>
      </c>
      <c r="B13225" t="s">
        <v>1647</v>
      </c>
      <c r="C13225" t="s">
        <v>24</v>
      </c>
      <c r="D13225" t="s">
        <v>2906</v>
      </c>
      <c r="E13225" t="s">
        <v>2907</v>
      </c>
      <c r="F13225" t="s">
        <v>2908</v>
      </c>
      <c r="G13225" t="s">
        <v>2909</v>
      </c>
      <c r="H13225" t="s">
        <v>2910</v>
      </c>
      <c r="I13225" t="s">
        <v>2911</v>
      </c>
      <c r="J13225" t="s">
        <v>2912</v>
      </c>
      <c r="K13225" t="s">
        <v>2913</v>
      </c>
      <c r="L13225" t="s">
        <v>2914</v>
      </c>
      <c r="M13225" t="s">
        <v>2915</v>
      </c>
      <c r="N13225" t="s">
        <v>2916</v>
      </c>
      <c r="O13225" t="s">
        <v>2917</v>
      </c>
    </row>
    <row r="13226" spans="1:15" x14ac:dyDescent="0.3">
      <c r="A13226" t="s">
        <v>25</v>
      </c>
      <c r="B13226" t="s">
        <v>1648</v>
      </c>
      <c r="C13226">
        <v>143</v>
      </c>
      <c r="D13226" t="s">
        <v>416</v>
      </c>
      <c r="E13226" t="s">
        <v>163</v>
      </c>
      <c r="F13226" t="s">
        <v>831</v>
      </c>
      <c r="G13226" t="s">
        <v>2106</v>
      </c>
      <c r="H13226" t="s">
        <v>372</v>
      </c>
      <c r="I13226" t="s">
        <v>1555</v>
      </c>
      <c r="J13226" t="s">
        <v>1398</v>
      </c>
      <c r="K13226" t="s">
        <v>948</v>
      </c>
      <c r="L13226" t="s">
        <v>1009</v>
      </c>
      <c r="M13226" t="s">
        <v>993</v>
      </c>
      <c r="N13226" t="s">
        <v>785</v>
      </c>
      <c r="O13226" t="s">
        <v>615</v>
      </c>
    </row>
    <row r="13227" spans="1:15" x14ac:dyDescent="0.3">
      <c r="A13227" t="s">
        <v>25</v>
      </c>
      <c r="B13227" t="s">
        <v>1649</v>
      </c>
      <c r="C13227">
        <v>271</v>
      </c>
      <c r="D13227" t="s">
        <v>933</v>
      </c>
      <c r="E13227" t="s">
        <v>151</v>
      </c>
      <c r="F13227" t="s">
        <v>1142</v>
      </c>
      <c r="G13227" t="s">
        <v>2263</v>
      </c>
      <c r="H13227" t="s">
        <v>835</v>
      </c>
      <c r="I13227" t="s">
        <v>377</v>
      </c>
      <c r="J13227" t="s">
        <v>1017</v>
      </c>
      <c r="K13227" t="s">
        <v>1555</v>
      </c>
      <c r="L13227" t="s">
        <v>403</v>
      </c>
      <c r="M13227" t="s">
        <v>1087</v>
      </c>
      <c r="N13227" t="s">
        <v>351</v>
      </c>
      <c r="O13227" t="s">
        <v>190</v>
      </c>
    </row>
    <row r="13228" spans="1:15" x14ac:dyDescent="0.3">
      <c r="A13228" t="s">
        <v>26</v>
      </c>
      <c r="B13228" t="s">
        <v>1648</v>
      </c>
      <c r="C13228">
        <v>153</v>
      </c>
      <c r="D13228" t="s">
        <v>688</v>
      </c>
      <c r="E13228" t="s">
        <v>1094</v>
      </c>
      <c r="F13228" t="s">
        <v>1558</v>
      </c>
      <c r="G13228" t="s">
        <v>1295</v>
      </c>
      <c r="H13228" t="s">
        <v>1215</v>
      </c>
      <c r="I13228" t="s">
        <v>643</v>
      </c>
      <c r="J13228" t="s">
        <v>831</v>
      </c>
      <c r="K13228" t="s">
        <v>804</v>
      </c>
      <c r="L13228" t="s">
        <v>621</v>
      </c>
      <c r="M13228" t="s">
        <v>539</v>
      </c>
      <c r="N13228" t="s">
        <v>1252</v>
      </c>
      <c r="O13228" t="s">
        <v>543</v>
      </c>
    </row>
    <row r="13229" spans="1:15" x14ac:dyDescent="0.3">
      <c r="A13229" t="s">
        <v>26</v>
      </c>
      <c r="B13229" t="s">
        <v>1649</v>
      </c>
      <c r="C13229">
        <v>324</v>
      </c>
      <c r="D13229" t="s">
        <v>142</v>
      </c>
      <c r="E13229" t="s">
        <v>508</v>
      </c>
      <c r="F13229" t="s">
        <v>929</v>
      </c>
      <c r="G13229" t="s">
        <v>643</v>
      </c>
      <c r="H13229" t="s">
        <v>788</v>
      </c>
      <c r="I13229" t="s">
        <v>530</v>
      </c>
      <c r="J13229" t="s">
        <v>406</v>
      </c>
      <c r="K13229" t="s">
        <v>129</v>
      </c>
      <c r="L13229" t="s">
        <v>1327</v>
      </c>
      <c r="M13229" t="s">
        <v>1198</v>
      </c>
      <c r="N13229" t="s">
        <v>1053</v>
      </c>
      <c r="O13229" t="s">
        <v>62</v>
      </c>
    </row>
    <row r="13230" spans="1:15" x14ac:dyDescent="0.3">
      <c r="A13230" t="s">
        <v>29</v>
      </c>
      <c r="B13230" t="s">
        <v>1648</v>
      </c>
      <c r="C13230">
        <v>252</v>
      </c>
      <c r="D13230" t="s">
        <v>399</v>
      </c>
      <c r="E13230" t="s">
        <v>1258</v>
      </c>
      <c r="F13230" t="s">
        <v>439</v>
      </c>
      <c r="G13230" t="s">
        <v>417</v>
      </c>
      <c r="H13230" t="s">
        <v>426</v>
      </c>
      <c r="I13230" t="s">
        <v>665</v>
      </c>
      <c r="J13230" t="s">
        <v>982</v>
      </c>
      <c r="K13230" t="s">
        <v>621</v>
      </c>
      <c r="L13230" t="s">
        <v>1402</v>
      </c>
      <c r="M13230" t="s">
        <v>1197</v>
      </c>
      <c r="N13230" t="s">
        <v>1576</v>
      </c>
      <c r="O13230" t="s">
        <v>269</v>
      </c>
    </row>
    <row r="13231" spans="1:15" x14ac:dyDescent="0.3">
      <c r="A13231" t="s">
        <v>29</v>
      </c>
      <c r="B13231" t="s">
        <v>1649</v>
      </c>
      <c r="C13231">
        <v>278</v>
      </c>
      <c r="D13231" t="s">
        <v>655</v>
      </c>
      <c r="E13231" t="s">
        <v>406</v>
      </c>
      <c r="F13231" t="s">
        <v>1426</v>
      </c>
      <c r="G13231" t="s">
        <v>930</v>
      </c>
      <c r="H13231" t="s">
        <v>496</v>
      </c>
      <c r="I13231" t="s">
        <v>791</v>
      </c>
      <c r="J13231" t="s">
        <v>1556</v>
      </c>
      <c r="K13231" t="s">
        <v>577</v>
      </c>
      <c r="L13231" t="s">
        <v>545</v>
      </c>
      <c r="M13231" t="s">
        <v>683</v>
      </c>
      <c r="N13231" t="s">
        <v>1218</v>
      </c>
      <c r="O13231" t="s">
        <v>106</v>
      </c>
    </row>
    <row r="13232" spans="1:15" x14ac:dyDescent="0.3">
      <c r="A13232" t="s">
        <v>28</v>
      </c>
      <c r="B13232" t="s">
        <v>1648</v>
      </c>
      <c r="C13232">
        <v>77</v>
      </c>
      <c r="D13232" t="s">
        <v>1133</v>
      </c>
      <c r="E13232" t="s">
        <v>740</v>
      </c>
      <c r="F13232" t="s">
        <v>903</v>
      </c>
      <c r="G13232" t="s">
        <v>229</v>
      </c>
      <c r="H13232" t="s">
        <v>400</v>
      </c>
      <c r="I13232" t="s">
        <v>831</v>
      </c>
      <c r="J13232" t="s">
        <v>1046</v>
      </c>
      <c r="K13232" t="s">
        <v>1013</v>
      </c>
      <c r="L13232" t="s">
        <v>785</v>
      </c>
      <c r="M13232" t="s">
        <v>873</v>
      </c>
      <c r="N13232" t="s">
        <v>233</v>
      </c>
      <c r="O13232" t="s">
        <v>607</v>
      </c>
    </row>
    <row r="13233" spans="1:15" x14ac:dyDescent="0.3">
      <c r="A13233" t="s">
        <v>28</v>
      </c>
      <c r="B13233" t="s">
        <v>1649</v>
      </c>
      <c r="C13233">
        <v>240</v>
      </c>
      <c r="D13233" t="s">
        <v>1260</v>
      </c>
      <c r="E13233" t="s">
        <v>834</v>
      </c>
      <c r="F13233" t="s">
        <v>1046</v>
      </c>
      <c r="G13233" t="s">
        <v>1329</v>
      </c>
      <c r="H13233" t="s">
        <v>2010</v>
      </c>
      <c r="I13233" t="s">
        <v>2103</v>
      </c>
      <c r="J13233" t="s">
        <v>428</v>
      </c>
      <c r="K13233" t="s">
        <v>1425</v>
      </c>
      <c r="L13233" t="s">
        <v>892</v>
      </c>
      <c r="M13233" t="s">
        <v>1028</v>
      </c>
      <c r="N13233" t="s">
        <v>1059</v>
      </c>
      <c r="O13233" t="s">
        <v>549</v>
      </c>
    </row>
    <row r="13234" spans="1:15" x14ac:dyDescent="0.3">
      <c r="A13234" t="s">
        <v>27</v>
      </c>
      <c r="B13234" t="s">
        <v>1648</v>
      </c>
      <c r="C13234">
        <v>64</v>
      </c>
      <c r="D13234" t="s">
        <v>261</v>
      </c>
      <c r="E13234" t="s">
        <v>1002</v>
      </c>
      <c r="F13234" t="s">
        <v>421</v>
      </c>
      <c r="G13234" t="s">
        <v>626</v>
      </c>
      <c r="H13234" t="s">
        <v>465</v>
      </c>
      <c r="I13234" t="s">
        <v>555</v>
      </c>
      <c r="J13234" t="s">
        <v>770</v>
      </c>
      <c r="K13234" t="s">
        <v>541</v>
      </c>
      <c r="L13234" t="s">
        <v>1196</v>
      </c>
      <c r="M13234" t="s">
        <v>750</v>
      </c>
      <c r="N13234" t="s">
        <v>400</v>
      </c>
      <c r="O13234" t="s">
        <v>104</v>
      </c>
    </row>
    <row r="13235" spans="1:15" x14ac:dyDescent="0.3">
      <c r="A13235" t="s">
        <v>27</v>
      </c>
      <c r="B13235" t="s">
        <v>1649</v>
      </c>
      <c r="C13235">
        <v>236</v>
      </c>
      <c r="D13235" t="s">
        <v>494</v>
      </c>
      <c r="E13235" t="s">
        <v>1066</v>
      </c>
      <c r="F13235" t="s">
        <v>529</v>
      </c>
      <c r="G13235" t="s">
        <v>1211</v>
      </c>
      <c r="H13235" t="s">
        <v>456</v>
      </c>
      <c r="I13235" t="s">
        <v>893</v>
      </c>
      <c r="J13235" t="s">
        <v>542</v>
      </c>
      <c r="K13235" t="s">
        <v>94</v>
      </c>
      <c r="L13235" t="s">
        <v>920</v>
      </c>
      <c r="M13235" t="s">
        <v>511</v>
      </c>
      <c r="N13235" t="s">
        <v>1230</v>
      </c>
      <c r="O13235" t="s">
        <v>140</v>
      </c>
    </row>
    <row r="13236" spans="1:15" x14ac:dyDescent="0.3">
      <c r="A13236" t="s">
        <v>41</v>
      </c>
      <c r="B13236" t="s">
        <v>1648</v>
      </c>
      <c r="C13236">
        <v>689</v>
      </c>
      <c r="D13236" t="s">
        <v>677</v>
      </c>
      <c r="E13236" t="s">
        <v>944</v>
      </c>
      <c r="F13236" t="s">
        <v>2106</v>
      </c>
      <c r="G13236" t="s">
        <v>1241</v>
      </c>
      <c r="H13236" t="s">
        <v>1426</v>
      </c>
      <c r="I13236" t="s">
        <v>1066</v>
      </c>
      <c r="J13236" t="s">
        <v>1375</v>
      </c>
      <c r="K13236" t="s">
        <v>1251</v>
      </c>
      <c r="L13236" t="s">
        <v>798</v>
      </c>
      <c r="M13236" t="s">
        <v>564</v>
      </c>
      <c r="N13236" t="s">
        <v>424</v>
      </c>
      <c r="O13236" t="s">
        <v>693</v>
      </c>
    </row>
    <row r="13237" spans="1:15" x14ac:dyDescent="0.3">
      <c r="A13237" t="s">
        <v>41</v>
      </c>
      <c r="B13237" t="s">
        <v>1649</v>
      </c>
      <c r="C13237">
        <v>1349</v>
      </c>
      <c r="D13237" t="s">
        <v>357</v>
      </c>
      <c r="E13237" t="s">
        <v>1047</v>
      </c>
      <c r="F13237" t="s">
        <v>1292</v>
      </c>
      <c r="G13237" t="s">
        <v>1250</v>
      </c>
      <c r="H13237" t="s">
        <v>1054</v>
      </c>
      <c r="I13237" t="s">
        <v>1220</v>
      </c>
      <c r="J13237" t="s">
        <v>430</v>
      </c>
      <c r="K13237" t="s">
        <v>455</v>
      </c>
      <c r="L13237" t="s">
        <v>385</v>
      </c>
      <c r="M13237" t="s">
        <v>542</v>
      </c>
      <c r="N13237" t="s">
        <v>1231</v>
      </c>
      <c r="O13237" t="s">
        <v>119</v>
      </c>
    </row>
    <row r="13239" spans="1:15" x14ac:dyDescent="0.3">
      <c r="A13239" t="s">
        <v>2921</v>
      </c>
    </row>
    <row r="13240" spans="1:15" x14ac:dyDescent="0.3">
      <c r="A13240" t="s">
        <v>36</v>
      </c>
      <c r="B13240" t="s">
        <v>2756</v>
      </c>
      <c r="C13240" t="s">
        <v>24</v>
      </c>
      <c r="D13240" t="s">
        <v>2906</v>
      </c>
      <c r="E13240" t="s">
        <v>2907</v>
      </c>
      <c r="F13240" t="s">
        <v>2908</v>
      </c>
      <c r="G13240" t="s">
        <v>2909</v>
      </c>
      <c r="H13240" t="s">
        <v>2910</v>
      </c>
      <c r="I13240" t="s">
        <v>2911</v>
      </c>
      <c r="J13240" t="s">
        <v>2912</v>
      </c>
      <c r="K13240" t="s">
        <v>2913</v>
      </c>
      <c r="L13240" t="s">
        <v>2914</v>
      </c>
      <c r="M13240" t="s">
        <v>2915</v>
      </c>
      <c r="N13240" t="s">
        <v>2916</v>
      </c>
      <c r="O13240" t="s">
        <v>2917</v>
      </c>
    </row>
    <row r="13241" spans="1:15" s="3" customFormat="1" x14ac:dyDescent="0.3">
      <c r="A13241" s="3" t="s">
        <v>25</v>
      </c>
      <c r="B13241" s="3" t="s">
        <v>2757</v>
      </c>
      <c r="C13241" s="3">
        <v>13</v>
      </c>
      <c r="D13241" s="3" t="s">
        <v>986</v>
      </c>
      <c r="E13241" s="3" t="s">
        <v>600</v>
      </c>
      <c r="F13241" s="3" t="s">
        <v>174</v>
      </c>
      <c r="G13241" s="3" t="s">
        <v>1321</v>
      </c>
      <c r="H13241" s="3" t="s">
        <v>545</v>
      </c>
      <c r="I13241" s="3" t="s">
        <v>545</v>
      </c>
      <c r="J13241" s="3" t="s">
        <v>1025</v>
      </c>
      <c r="K13241" s="3" t="s">
        <v>294</v>
      </c>
      <c r="L13241" s="3" t="s">
        <v>1236</v>
      </c>
      <c r="M13241" s="3" t="s">
        <v>411</v>
      </c>
      <c r="N13241" s="3" t="s">
        <v>381</v>
      </c>
      <c r="O13241" s="3" t="s">
        <v>571</v>
      </c>
    </row>
    <row r="13242" spans="1:15" x14ac:dyDescent="0.3">
      <c r="A13242" t="s">
        <v>25</v>
      </c>
      <c r="B13242" t="s">
        <v>2758</v>
      </c>
      <c r="C13242">
        <v>136</v>
      </c>
      <c r="D13242" t="s">
        <v>390</v>
      </c>
      <c r="E13242" t="s">
        <v>151</v>
      </c>
      <c r="F13242" t="s">
        <v>508</v>
      </c>
      <c r="G13242" t="s">
        <v>2103</v>
      </c>
      <c r="H13242" t="s">
        <v>229</v>
      </c>
      <c r="I13242" t="s">
        <v>401</v>
      </c>
      <c r="J13242" t="s">
        <v>821</v>
      </c>
      <c r="K13242" t="s">
        <v>410</v>
      </c>
      <c r="L13242" t="s">
        <v>508</v>
      </c>
      <c r="M13242" t="s">
        <v>1579</v>
      </c>
      <c r="N13242" t="s">
        <v>1283</v>
      </c>
      <c r="O13242" t="s">
        <v>114</v>
      </c>
    </row>
    <row r="13243" spans="1:15" x14ac:dyDescent="0.3">
      <c r="A13243" t="s">
        <v>25</v>
      </c>
      <c r="B13243" t="s">
        <v>2759</v>
      </c>
      <c r="C13243">
        <v>135</v>
      </c>
      <c r="D13243" t="s">
        <v>500</v>
      </c>
      <c r="E13243" t="s">
        <v>172</v>
      </c>
      <c r="F13243" t="s">
        <v>255</v>
      </c>
      <c r="G13243" t="s">
        <v>364</v>
      </c>
      <c r="H13243" t="s">
        <v>235</v>
      </c>
      <c r="I13243" t="s">
        <v>1175</v>
      </c>
      <c r="J13243" t="s">
        <v>1063</v>
      </c>
      <c r="K13243" t="s">
        <v>385</v>
      </c>
      <c r="L13243" t="s">
        <v>866</v>
      </c>
      <c r="M13243" t="s">
        <v>1242</v>
      </c>
      <c r="N13243" t="s">
        <v>1321</v>
      </c>
      <c r="O13243" t="s">
        <v>190</v>
      </c>
    </row>
    <row r="13244" spans="1:15" x14ac:dyDescent="0.3">
      <c r="A13244" t="s">
        <v>25</v>
      </c>
      <c r="B13244" t="s">
        <v>2760</v>
      </c>
      <c r="C13244">
        <v>122</v>
      </c>
      <c r="D13244" t="s">
        <v>1394</v>
      </c>
      <c r="E13244" t="s">
        <v>600</v>
      </c>
      <c r="F13244" t="s">
        <v>437</v>
      </c>
      <c r="G13244" t="s">
        <v>785</v>
      </c>
      <c r="H13244" t="s">
        <v>410</v>
      </c>
      <c r="I13244" t="s">
        <v>1133</v>
      </c>
      <c r="J13244" t="s">
        <v>1017</v>
      </c>
      <c r="K13244" t="s">
        <v>423</v>
      </c>
      <c r="L13244" t="s">
        <v>822</v>
      </c>
      <c r="M13244" t="s">
        <v>363</v>
      </c>
      <c r="N13244" t="s">
        <v>395</v>
      </c>
      <c r="O13244" t="s">
        <v>60</v>
      </c>
    </row>
    <row r="13245" spans="1:15" x14ac:dyDescent="0.3">
      <c r="A13245" t="s">
        <v>25</v>
      </c>
      <c r="B13245" t="s">
        <v>308</v>
      </c>
      <c r="C13245">
        <v>8</v>
      </c>
      <c r="D13245" t="s">
        <v>289</v>
      </c>
      <c r="E13245" t="s">
        <v>289</v>
      </c>
      <c r="F13245" t="s">
        <v>289</v>
      </c>
      <c r="G13245" t="s">
        <v>289</v>
      </c>
      <c r="H13245" t="s">
        <v>1141</v>
      </c>
      <c r="I13245" t="s">
        <v>289</v>
      </c>
      <c r="J13245" t="s">
        <v>289</v>
      </c>
      <c r="K13245" t="s">
        <v>289</v>
      </c>
      <c r="L13245" t="s">
        <v>289</v>
      </c>
      <c r="M13245" t="s">
        <v>289</v>
      </c>
      <c r="N13245" t="s">
        <v>730</v>
      </c>
      <c r="O13245" t="s">
        <v>281</v>
      </c>
    </row>
    <row r="13246" spans="1:15" s="3" customFormat="1" x14ac:dyDescent="0.3">
      <c r="A13246" s="3" t="s">
        <v>26</v>
      </c>
      <c r="B13246" s="3" t="s">
        <v>2757</v>
      </c>
      <c r="C13246" s="3">
        <v>17</v>
      </c>
      <c r="D13246" s="3" t="s">
        <v>494</v>
      </c>
      <c r="E13246" s="3" t="s">
        <v>569</v>
      </c>
      <c r="F13246" s="3" t="s">
        <v>875</v>
      </c>
      <c r="G13246" s="3" t="s">
        <v>1014</v>
      </c>
      <c r="H13246" s="3" t="s">
        <v>651</v>
      </c>
      <c r="I13246" s="3" t="s">
        <v>651</v>
      </c>
      <c r="J13246" s="3" t="s">
        <v>839</v>
      </c>
      <c r="K13246" s="3" t="s">
        <v>1057</v>
      </c>
      <c r="L13246" s="3" t="s">
        <v>839</v>
      </c>
      <c r="M13246" s="3" t="s">
        <v>472</v>
      </c>
      <c r="N13246" s="3" t="s">
        <v>538</v>
      </c>
      <c r="O13246" s="3" t="s">
        <v>411</v>
      </c>
    </row>
    <row r="13247" spans="1:15" x14ac:dyDescent="0.3">
      <c r="A13247" t="s">
        <v>26</v>
      </c>
      <c r="B13247" t="s">
        <v>2758</v>
      </c>
      <c r="C13247">
        <v>194</v>
      </c>
      <c r="D13247" t="s">
        <v>1083</v>
      </c>
      <c r="E13247" t="s">
        <v>1037</v>
      </c>
      <c r="F13247" t="s">
        <v>424</v>
      </c>
      <c r="G13247" t="s">
        <v>1425</v>
      </c>
      <c r="H13247" t="s">
        <v>1293</v>
      </c>
      <c r="I13247" t="s">
        <v>583</v>
      </c>
      <c r="J13247" t="s">
        <v>826</v>
      </c>
      <c r="K13247" t="s">
        <v>34</v>
      </c>
      <c r="L13247" t="s">
        <v>1048</v>
      </c>
      <c r="M13247" t="s">
        <v>805</v>
      </c>
      <c r="N13247" t="s">
        <v>593</v>
      </c>
      <c r="O13247" t="s">
        <v>137</v>
      </c>
    </row>
    <row r="13248" spans="1:15" x14ac:dyDescent="0.3">
      <c r="A13248" t="s">
        <v>26</v>
      </c>
      <c r="B13248" t="s">
        <v>2759</v>
      </c>
      <c r="C13248">
        <v>143</v>
      </c>
      <c r="D13248" t="s">
        <v>295</v>
      </c>
      <c r="E13248" t="s">
        <v>372</v>
      </c>
      <c r="F13248" t="s">
        <v>441</v>
      </c>
      <c r="G13248" t="s">
        <v>1212</v>
      </c>
      <c r="H13248" t="s">
        <v>545</v>
      </c>
      <c r="I13248" t="s">
        <v>677</v>
      </c>
      <c r="J13248" t="s">
        <v>502</v>
      </c>
      <c r="K13248" t="s">
        <v>138</v>
      </c>
      <c r="L13248" t="s">
        <v>1243</v>
      </c>
      <c r="M13248" t="s">
        <v>261</v>
      </c>
      <c r="N13248" t="s">
        <v>628</v>
      </c>
      <c r="O13248" t="s">
        <v>549</v>
      </c>
    </row>
    <row r="13249" spans="1:15" x14ac:dyDescent="0.3">
      <c r="A13249" t="s">
        <v>26</v>
      </c>
      <c r="B13249" t="s">
        <v>2760</v>
      </c>
      <c r="C13249">
        <v>112</v>
      </c>
      <c r="D13249" t="s">
        <v>475</v>
      </c>
      <c r="E13249" t="s">
        <v>1283</v>
      </c>
      <c r="F13249" t="s">
        <v>1231</v>
      </c>
      <c r="G13249" t="s">
        <v>440</v>
      </c>
      <c r="H13249" t="s">
        <v>900</v>
      </c>
      <c r="I13249" t="s">
        <v>490</v>
      </c>
      <c r="J13249" t="s">
        <v>378</v>
      </c>
      <c r="K13249" t="s">
        <v>477</v>
      </c>
      <c r="L13249" t="s">
        <v>1242</v>
      </c>
      <c r="M13249" t="s">
        <v>106</v>
      </c>
      <c r="N13249" t="s">
        <v>943</v>
      </c>
      <c r="O13249" t="s">
        <v>136</v>
      </c>
    </row>
    <row r="13250" spans="1:15" x14ac:dyDescent="0.3">
      <c r="A13250" t="s">
        <v>26</v>
      </c>
      <c r="B13250" t="s">
        <v>308</v>
      </c>
      <c r="C13250">
        <v>11</v>
      </c>
      <c r="D13250" t="s">
        <v>645</v>
      </c>
      <c r="E13250" t="s">
        <v>297</v>
      </c>
      <c r="F13250" t="s">
        <v>695</v>
      </c>
      <c r="G13250" t="s">
        <v>367</v>
      </c>
      <c r="H13250" t="s">
        <v>1028</v>
      </c>
      <c r="I13250" t="s">
        <v>645</v>
      </c>
      <c r="J13250" t="s">
        <v>354</v>
      </c>
      <c r="K13250" t="s">
        <v>655</v>
      </c>
      <c r="L13250" t="s">
        <v>782</v>
      </c>
      <c r="M13250" t="s">
        <v>545</v>
      </c>
      <c r="N13250" t="s">
        <v>1400</v>
      </c>
      <c r="O13250" t="s">
        <v>103</v>
      </c>
    </row>
    <row r="13251" spans="1:15" s="3" customFormat="1" x14ac:dyDescent="0.3">
      <c r="A13251" s="3" t="s">
        <v>29</v>
      </c>
      <c r="B13251" s="3" t="s">
        <v>2757</v>
      </c>
      <c r="C13251" s="3">
        <v>15</v>
      </c>
      <c r="D13251" s="3" t="s">
        <v>1057</v>
      </c>
      <c r="E13251" s="3" t="s">
        <v>1283</v>
      </c>
      <c r="F13251" s="3" t="s">
        <v>1425</v>
      </c>
      <c r="G13251" s="3" t="s">
        <v>1221</v>
      </c>
      <c r="H13251" s="3" t="s">
        <v>299</v>
      </c>
      <c r="I13251" s="3" t="s">
        <v>256</v>
      </c>
      <c r="J13251" s="3" t="s">
        <v>816</v>
      </c>
      <c r="K13251" s="3" t="s">
        <v>256</v>
      </c>
      <c r="L13251" s="3" t="s">
        <v>684</v>
      </c>
      <c r="M13251" s="3" t="s">
        <v>256</v>
      </c>
      <c r="N13251" s="3" t="s">
        <v>169</v>
      </c>
      <c r="O13251" s="3" t="s">
        <v>190</v>
      </c>
    </row>
    <row r="13252" spans="1:15" x14ac:dyDescent="0.3">
      <c r="A13252" t="s">
        <v>29</v>
      </c>
      <c r="B13252" t="s">
        <v>2758</v>
      </c>
      <c r="C13252">
        <v>245</v>
      </c>
      <c r="D13252" t="s">
        <v>1214</v>
      </c>
      <c r="E13252" t="s">
        <v>1062</v>
      </c>
      <c r="F13252" t="s">
        <v>1283</v>
      </c>
      <c r="G13252" t="s">
        <v>621</v>
      </c>
      <c r="H13252" t="s">
        <v>1292</v>
      </c>
      <c r="I13252" t="s">
        <v>673</v>
      </c>
      <c r="J13252" t="s">
        <v>364</v>
      </c>
      <c r="K13252" t="s">
        <v>1032</v>
      </c>
      <c r="L13252" t="s">
        <v>436</v>
      </c>
      <c r="M13252" t="s">
        <v>919</v>
      </c>
      <c r="N13252" t="s">
        <v>1212</v>
      </c>
      <c r="O13252" t="s">
        <v>117</v>
      </c>
    </row>
    <row r="13253" spans="1:15" x14ac:dyDescent="0.3">
      <c r="A13253" t="s">
        <v>29</v>
      </c>
      <c r="B13253" t="s">
        <v>2759</v>
      </c>
      <c r="C13253">
        <v>139</v>
      </c>
      <c r="D13253" t="s">
        <v>357</v>
      </c>
      <c r="E13253" t="s">
        <v>1047</v>
      </c>
      <c r="F13253" t="s">
        <v>231</v>
      </c>
      <c r="G13253" t="s">
        <v>1067</v>
      </c>
      <c r="H13253" t="s">
        <v>2010</v>
      </c>
      <c r="I13253" t="s">
        <v>1394</v>
      </c>
      <c r="J13253" t="s">
        <v>942</v>
      </c>
      <c r="K13253" t="s">
        <v>490</v>
      </c>
      <c r="L13253" t="s">
        <v>432</v>
      </c>
      <c r="M13253" t="s">
        <v>1200</v>
      </c>
      <c r="N13253" t="s">
        <v>1028</v>
      </c>
      <c r="O13253" t="s">
        <v>173</v>
      </c>
    </row>
    <row r="13254" spans="1:15" x14ac:dyDescent="0.3">
      <c r="A13254" t="s">
        <v>29</v>
      </c>
      <c r="B13254" t="s">
        <v>2760</v>
      </c>
      <c r="C13254">
        <v>122</v>
      </c>
      <c r="D13254" t="s">
        <v>562</v>
      </c>
      <c r="E13254" t="s">
        <v>1418</v>
      </c>
      <c r="F13254" t="s">
        <v>414</v>
      </c>
      <c r="G13254" t="s">
        <v>538</v>
      </c>
      <c r="H13254" t="s">
        <v>792</v>
      </c>
      <c r="I13254" t="s">
        <v>1295</v>
      </c>
      <c r="J13254" t="s">
        <v>359</v>
      </c>
      <c r="K13254" t="s">
        <v>554</v>
      </c>
      <c r="L13254" t="s">
        <v>938</v>
      </c>
      <c r="M13254" t="s">
        <v>477</v>
      </c>
      <c r="N13254" t="s">
        <v>569</v>
      </c>
      <c r="O13254" t="s">
        <v>485</v>
      </c>
    </row>
    <row r="13255" spans="1:15" x14ac:dyDescent="0.3">
      <c r="A13255" t="s">
        <v>29</v>
      </c>
      <c r="B13255" t="s">
        <v>308</v>
      </c>
      <c r="C13255">
        <v>9</v>
      </c>
      <c r="D13255" t="s">
        <v>423</v>
      </c>
      <c r="E13255" t="s">
        <v>1205</v>
      </c>
      <c r="F13255" t="s">
        <v>415</v>
      </c>
      <c r="G13255" t="s">
        <v>1368</v>
      </c>
      <c r="H13255" t="s">
        <v>389</v>
      </c>
      <c r="I13255" t="s">
        <v>356</v>
      </c>
      <c r="J13255" t="s">
        <v>608</v>
      </c>
      <c r="K13255" t="s">
        <v>826</v>
      </c>
      <c r="L13255" t="s">
        <v>665</v>
      </c>
      <c r="M13255" t="s">
        <v>1577</v>
      </c>
      <c r="N13255" t="s">
        <v>656</v>
      </c>
      <c r="O13255" t="s">
        <v>103</v>
      </c>
    </row>
    <row r="13256" spans="1:15" x14ac:dyDescent="0.3">
      <c r="A13256" t="s">
        <v>28</v>
      </c>
      <c r="B13256" t="s">
        <v>2757</v>
      </c>
      <c r="C13256">
        <v>31</v>
      </c>
      <c r="D13256" t="s">
        <v>1141</v>
      </c>
      <c r="E13256" t="s">
        <v>215</v>
      </c>
      <c r="F13256" t="s">
        <v>612</v>
      </c>
      <c r="G13256" t="s">
        <v>1361</v>
      </c>
      <c r="H13256" t="s">
        <v>753</v>
      </c>
      <c r="I13256" t="s">
        <v>753</v>
      </c>
      <c r="J13256" t="s">
        <v>215</v>
      </c>
      <c r="K13256" t="s">
        <v>600</v>
      </c>
      <c r="L13256" t="s">
        <v>634</v>
      </c>
      <c r="M13256" t="s">
        <v>363</v>
      </c>
      <c r="N13256" t="s">
        <v>1322</v>
      </c>
      <c r="O13256" t="s">
        <v>214</v>
      </c>
    </row>
    <row r="13257" spans="1:15" x14ac:dyDescent="0.3">
      <c r="A13257" t="s">
        <v>28</v>
      </c>
      <c r="B13257" t="s">
        <v>2758</v>
      </c>
      <c r="C13257">
        <v>100</v>
      </c>
      <c r="D13257" t="s">
        <v>1221</v>
      </c>
      <c r="E13257" t="s">
        <v>711</v>
      </c>
      <c r="F13257" t="s">
        <v>174</v>
      </c>
      <c r="G13257" t="s">
        <v>417</v>
      </c>
      <c r="H13257" t="s">
        <v>628</v>
      </c>
      <c r="I13257" t="s">
        <v>1578</v>
      </c>
      <c r="J13257" t="s">
        <v>1012</v>
      </c>
      <c r="K13257" t="s">
        <v>794</v>
      </c>
      <c r="L13257" t="s">
        <v>1004</v>
      </c>
      <c r="M13257" t="s">
        <v>1215</v>
      </c>
      <c r="N13257" t="s">
        <v>1317</v>
      </c>
      <c r="O13257" t="s">
        <v>140</v>
      </c>
    </row>
    <row r="13258" spans="1:15" x14ac:dyDescent="0.3">
      <c r="A13258" t="s">
        <v>28</v>
      </c>
      <c r="B13258" t="s">
        <v>2759</v>
      </c>
      <c r="C13258">
        <v>104</v>
      </c>
      <c r="D13258" t="s">
        <v>1039</v>
      </c>
      <c r="E13258" t="s">
        <v>753</v>
      </c>
      <c r="F13258" t="s">
        <v>926</v>
      </c>
      <c r="G13258" t="s">
        <v>410</v>
      </c>
      <c r="H13258" t="s">
        <v>1231</v>
      </c>
      <c r="I13258" t="s">
        <v>229</v>
      </c>
      <c r="J13258" t="s">
        <v>1317</v>
      </c>
      <c r="K13258" t="s">
        <v>1067</v>
      </c>
      <c r="L13258" t="s">
        <v>378</v>
      </c>
      <c r="M13258" t="s">
        <v>416</v>
      </c>
      <c r="N13258" t="s">
        <v>1068</v>
      </c>
      <c r="O13258" t="s">
        <v>571</v>
      </c>
    </row>
    <row r="13259" spans="1:15" x14ac:dyDescent="0.3">
      <c r="A13259" t="s">
        <v>28</v>
      </c>
      <c r="B13259" t="s">
        <v>2760</v>
      </c>
      <c r="C13259">
        <v>82</v>
      </c>
      <c r="D13259" t="s">
        <v>490</v>
      </c>
      <c r="E13259" t="s">
        <v>620</v>
      </c>
      <c r="F13259" t="s">
        <v>1239</v>
      </c>
      <c r="G13259" t="s">
        <v>1214</v>
      </c>
      <c r="H13259" t="s">
        <v>376</v>
      </c>
      <c r="I13259" t="s">
        <v>1252</v>
      </c>
      <c r="J13259" t="s">
        <v>924</v>
      </c>
      <c r="K13259" t="s">
        <v>1038</v>
      </c>
      <c r="L13259" t="s">
        <v>664</v>
      </c>
      <c r="M13259" t="s">
        <v>435</v>
      </c>
      <c r="N13259" t="s">
        <v>1293</v>
      </c>
      <c r="O13259" t="s">
        <v>269</v>
      </c>
    </row>
    <row r="13260" spans="1:15" s="3" customFormat="1" x14ac:dyDescent="0.3">
      <c r="A13260" s="3" t="s">
        <v>27</v>
      </c>
      <c r="B13260" s="3" t="s">
        <v>2757</v>
      </c>
      <c r="C13260" s="3">
        <v>2</v>
      </c>
      <c r="D13260" s="3" t="s">
        <v>103</v>
      </c>
      <c r="E13260" s="3" t="s">
        <v>103</v>
      </c>
      <c r="F13260" s="3" t="s">
        <v>654</v>
      </c>
      <c r="G13260" s="3" t="s">
        <v>103</v>
      </c>
      <c r="H13260" s="3" t="s">
        <v>103</v>
      </c>
      <c r="I13260" s="3" t="s">
        <v>103</v>
      </c>
      <c r="J13260" s="3" t="s">
        <v>654</v>
      </c>
      <c r="K13260" s="3" t="s">
        <v>654</v>
      </c>
      <c r="L13260" s="3" t="s">
        <v>103</v>
      </c>
      <c r="M13260" s="3" t="s">
        <v>103</v>
      </c>
      <c r="N13260" s="3" t="s">
        <v>103</v>
      </c>
      <c r="O13260" s="3" t="s">
        <v>437</v>
      </c>
    </row>
    <row r="13261" spans="1:15" x14ac:dyDescent="0.3">
      <c r="A13261" t="s">
        <v>27</v>
      </c>
      <c r="B13261" t="s">
        <v>2758</v>
      </c>
      <c r="C13261">
        <v>86</v>
      </c>
      <c r="D13261" t="s">
        <v>528</v>
      </c>
      <c r="E13261" t="s">
        <v>1030</v>
      </c>
      <c r="F13261" t="s">
        <v>1014</v>
      </c>
      <c r="G13261" t="s">
        <v>635</v>
      </c>
      <c r="H13261" t="s">
        <v>1576</v>
      </c>
      <c r="I13261" t="s">
        <v>644</v>
      </c>
      <c r="J13261" t="s">
        <v>465</v>
      </c>
      <c r="K13261" t="s">
        <v>456</v>
      </c>
      <c r="L13261" t="s">
        <v>655</v>
      </c>
      <c r="M13261" t="s">
        <v>463</v>
      </c>
      <c r="N13261" t="s">
        <v>392</v>
      </c>
      <c r="O13261" t="s">
        <v>191</v>
      </c>
    </row>
    <row r="13262" spans="1:15" x14ac:dyDescent="0.3">
      <c r="A13262" t="s">
        <v>27</v>
      </c>
      <c r="B13262" t="s">
        <v>2759</v>
      </c>
      <c r="C13262">
        <v>82</v>
      </c>
      <c r="D13262" t="s">
        <v>475</v>
      </c>
      <c r="E13262" t="s">
        <v>795</v>
      </c>
      <c r="F13262" t="s">
        <v>669</v>
      </c>
      <c r="G13262" t="s">
        <v>357</v>
      </c>
      <c r="H13262" t="s">
        <v>699</v>
      </c>
      <c r="I13262" t="s">
        <v>626</v>
      </c>
      <c r="J13262" t="s">
        <v>564</v>
      </c>
      <c r="K13262" t="s">
        <v>146</v>
      </c>
      <c r="L13262" t="s">
        <v>121</v>
      </c>
      <c r="M13262" t="s">
        <v>652</v>
      </c>
      <c r="N13262" t="s">
        <v>826</v>
      </c>
      <c r="O13262" t="s">
        <v>594</v>
      </c>
    </row>
    <row r="13263" spans="1:15" x14ac:dyDescent="0.3">
      <c r="A13263" t="s">
        <v>27</v>
      </c>
      <c r="B13263" t="s">
        <v>2760</v>
      </c>
      <c r="C13263">
        <v>128</v>
      </c>
      <c r="D13263" t="s">
        <v>511</v>
      </c>
      <c r="E13263" t="s">
        <v>1202</v>
      </c>
      <c r="F13263" t="s">
        <v>1008</v>
      </c>
      <c r="G13263" t="s">
        <v>1093</v>
      </c>
      <c r="H13263" t="s">
        <v>522</v>
      </c>
      <c r="I13263" t="s">
        <v>297</v>
      </c>
      <c r="J13263" t="s">
        <v>129</v>
      </c>
      <c r="K13263" t="s">
        <v>110</v>
      </c>
      <c r="L13263" t="s">
        <v>1198</v>
      </c>
      <c r="M13263" t="s">
        <v>133</v>
      </c>
      <c r="N13263" t="s">
        <v>426</v>
      </c>
      <c r="O13263" t="s">
        <v>607</v>
      </c>
    </row>
    <row r="13264" spans="1:15" x14ac:dyDescent="0.3">
      <c r="A13264" t="s">
        <v>27</v>
      </c>
      <c r="B13264" t="s">
        <v>308</v>
      </c>
      <c r="C13264">
        <v>2</v>
      </c>
      <c r="D13264" t="s">
        <v>1141</v>
      </c>
      <c r="E13264" t="s">
        <v>192</v>
      </c>
      <c r="F13264" t="s">
        <v>192</v>
      </c>
      <c r="G13264" t="s">
        <v>192</v>
      </c>
      <c r="H13264" t="s">
        <v>1141</v>
      </c>
      <c r="I13264" t="s">
        <v>1141</v>
      </c>
      <c r="J13264" t="s">
        <v>1141</v>
      </c>
      <c r="K13264" t="s">
        <v>103</v>
      </c>
      <c r="L13264" t="s">
        <v>472</v>
      </c>
      <c r="M13264" t="s">
        <v>103</v>
      </c>
      <c r="N13264" t="s">
        <v>1141</v>
      </c>
      <c r="O13264" t="s">
        <v>103</v>
      </c>
    </row>
    <row r="13265" spans="1:15" x14ac:dyDescent="0.3">
      <c r="A13265" t="s">
        <v>41</v>
      </c>
      <c r="B13265" t="s">
        <v>2757</v>
      </c>
      <c r="C13265">
        <v>78</v>
      </c>
      <c r="D13265" t="s">
        <v>1028</v>
      </c>
      <c r="E13265" t="s">
        <v>294</v>
      </c>
      <c r="F13265" t="s">
        <v>363</v>
      </c>
      <c r="G13265" t="s">
        <v>1292</v>
      </c>
      <c r="H13265" t="s">
        <v>1041</v>
      </c>
      <c r="I13265" t="s">
        <v>705</v>
      </c>
      <c r="J13265" t="s">
        <v>1215</v>
      </c>
      <c r="K13265" t="s">
        <v>498</v>
      </c>
      <c r="L13265" t="s">
        <v>535</v>
      </c>
      <c r="M13265" t="s">
        <v>582</v>
      </c>
      <c r="N13265" t="s">
        <v>499</v>
      </c>
      <c r="O13265" t="s">
        <v>734</v>
      </c>
    </row>
    <row r="13266" spans="1:15" x14ac:dyDescent="0.3">
      <c r="A13266" t="s">
        <v>41</v>
      </c>
      <c r="B13266" t="s">
        <v>2758</v>
      </c>
      <c r="C13266">
        <v>761</v>
      </c>
      <c r="D13266" t="s">
        <v>297</v>
      </c>
      <c r="E13266" t="s">
        <v>1244</v>
      </c>
      <c r="F13266" t="s">
        <v>1462</v>
      </c>
      <c r="G13266" t="s">
        <v>1426</v>
      </c>
      <c r="H13266" t="s">
        <v>1558</v>
      </c>
      <c r="I13266" t="s">
        <v>1545</v>
      </c>
      <c r="J13266" t="s">
        <v>379</v>
      </c>
      <c r="K13266" t="s">
        <v>363</v>
      </c>
      <c r="L13266" t="s">
        <v>363</v>
      </c>
      <c r="M13266" t="s">
        <v>440</v>
      </c>
      <c r="N13266" t="s">
        <v>1067</v>
      </c>
      <c r="O13266" t="s">
        <v>482</v>
      </c>
    </row>
    <row r="13267" spans="1:15" x14ac:dyDescent="0.3">
      <c r="A13267" t="s">
        <v>41</v>
      </c>
      <c r="B13267" t="s">
        <v>2759</v>
      </c>
      <c r="C13267">
        <v>603</v>
      </c>
      <c r="D13267" t="s">
        <v>303</v>
      </c>
      <c r="E13267" t="s">
        <v>703</v>
      </c>
      <c r="F13267" t="s">
        <v>1068</v>
      </c>
      <c r="G13267" t="s">
        <v>572</v>
      </c>
      <c r="H13267" t="s">
        <v>1250</v>
      </c>
      <c r="I13267" t="s">
        <v>1358</v>
      </c>
      <c r="J13267" t="s">
        <v>2103</v>
      </c>
      <c r="K13267" t="s">
        <v>361</v>
      </c>
      <c r="L13267" t="s">
        <v>354</v>
      </c>
      <c r="M13267" t="s">
        <v>1070</v>
      </c>
      <c r="N13267" t="s">
        <v>791</v>
      </c>
      <c r="O13267" t="s">
        <v>169</v>
      </c>
    </row>
    <row r="13268" spans="1:15" x14ac:dyDescent="0.3">
      <c r="A13268" t="s">
        <v>41</v>
      </c>
      <c r="B13268" t="s">
        <v>2760</v>
      </c>
      <c r="C13268">
        <v>566</v>
      </c>
      <c r="D13268" t="s">
        <v>530</v>
      </c>
      <c r="E13268" t="s">
        <v>1170</v>
      </c>
      <c r="F13268" t="s">
        <v>1034</v>
      </c>
      <c r="G13268" t="s">
        <v>359</v>
      </c>
      <c r="H13268" t="s">
        <v>373</v>
      </c>
      <c r="I13268" t="s">
        <v>1000</v>
      </c>
      <c r="J13268" t="s">
        <v>1401</v>
      </c>
      <c r="K13268" t="s">
        <v>1213</v>
      </c>
      <c r="L13268" t="s">
        <v>929</v>
      </c>
      <c r="M13268" t="s">
        <v>456</v>
      </c>
      <c r="N13268" t="s">
        <v>404</v>
      </c>
      <c r="O13268" t="s">
        <v>271</v>
      </c>
    </row>
    <row r="13269" spans="1:15" x14ac:dyDescent="0.3">
      <c r="A13269" t="s">
        <v>41</v>
      </c>
      <c r="B13269" t="s">
        <v>308</v>
      </c>
      <c r="C13269">
        <v>30</v>
      </c>
      <c r="D13269" t="s">
        <v>1404</v>
      </c>
      <c r="E13269" t="s">
        <v>931</v>
      </c>
      <c r="F13269" t="s">
        <v>1358</v>
      </c>
      <c r="G13269" t="s">
        <v>1369</v>
      </c>
      <c r="H13269" t="s">
        <v>782</v>
      </c>
      <c r="I13269" t="s">
        <v>1230</v>
      </c>
      <c r="J13269" t="s">
        <v>1181</v>
      </c>
      <c r="K13269" t="s">
        <v>690</v>
      </c>
      <c r="L13269" t="s">
        <v>730</v>
      </c>
      <c r="M13269" t="s">
        <v>426</v>
      </c>
      <c r="N13269" t="s">
        <v>368</v>
      </c>
      <c r="O13269" t="s">
        <v>194</v>
      </c>
    </row>
    <row r="13271" spans="1:15" x14ac:dyDescent="0.3">
      <c r="A13271" t="s">
        <v>2922</v>
      </c>
    </row>
    <row r="13272" spans="1:15" x14ac:dyDescent="0.3">
      <c r="A13272" t="s">
        <v>36</v>
      </c>
      <c r="B13272" t="s">
        <v>310</v>
      </c>
      <c r="C13272" t="s">
        <v>24</v>
      </c>
      <c r="D13272" t="s">
        <v>2906</v>
      </c>
      <c r="E13272" t="s">
        <v>2907</v>
      </c>
      <c r="F13272" t="s">
        <v>2908</v>
      </c>
      <c r="G13272" t="s">
        <v>2909</v>
      </c>
      <c r="H13272" t="s">
        <v>2910</v>
      </c>
      <c r="I13272" t="s">
        <v>2911</v>
      </c>
      <c r="J13272" t="s">
        <v>2912</v>
      </c>
      <c r="K13272" t="s">
        <v>2913</v>
      </c>
      <c r="L13272" t="s">
        <v>2914</v>
      </c>
      <c r="M13272" t="s">
        <v>2915</v>
      </c>
      <c r="N13272" t="s">
        <v>2916</v>
      </c>
      <c r="O13272" t="s">
        <v>2917</v>
      </c>
    </row>
    <row r="13273" spans="1:15" x14ac:dyDescent="0.3">
      <c r="A13273" t="s">
        <v>25</v>
      </c>
      <c r="B13273" t="s">
        <v>311</v>
      </c>
      <c r="C13273">
        <v>324</v>
      </c>
      <c r="D13273" t="s">
        <v>353</v>
      </c>
      <c r="E13273" t="s">
        <v>751</v>
      </c>
      <c r="F13273" t="s">
        <v>1369</v>
      </c>
      <c r="G13273" t="s">
        <v>1397</v>
      </c>
      <c r="H13273" t="s">
        <v>430</v>
      </c>
      <c r="I13273" t="s">
        <v>1034</v>
      </c>
      <c r="J13273" t="s">
        <v>1142</v>
      </c>
      <c r="K13273" t="s">
        <v>657</v>
      </c>
      <c r="L13273" t="s">
        <v>294</v>
      </c>
      <c r="M13273" t="s">
        <v>664</v>
      </c>
      <c r="N13273" t="s">
        <v>835</v>
      </c>
      <c r="O13273" t="s">
        <v>251</v>
      </c>
    </row>
    <row r="13274" spans="1:15" x14ac:dyDescent="0.3">
      <c r="A13274" t="s">
        <v>25</v>
      </c>
      <c r="B13274" t="s">
        <v>312</v>
      </c>
      <c r="C13274">
        <v>80</v>
      </c>
      <c r="D13274" t="s">
        <v>364</v>
      </c>
      <c r="E13274" t="s">
        <v>145</v>
      </c>
      <c r="F13274" t="s">
        <v>1239</v>
      </c>
      <c r="G13274" t="s">
        <v>1222</v>
      </c>
      <c r="H13274" t="s">
        <v>814</v>
      </c>
      <c r="I13274" t="s">
        <v>892</v>
      </c>
      <c r="J13274" t="s">
        <v>1046</v>
      </c>
      <c r="K13274" t="s">
        <v>1358</v>
      </c>
      <c r="L13274" t="s">
        <v>1013</v>
      </c>
      <c r="M13274" t="s">
        <v>1329</v>
      </c>
      <c r="N13274" t="s">
        <v>787</v>
      </c>
      <c r="O13274" t="s">
        <v>493</v>
      </c>
    </row>
    <row r="13275" spans="1:15" x14ac:dyDescent="0.3">
      <c r="A13275" t="s">
        <v>25</v>
      </c>
      <c r="B13275" t="s">
        <v>308</v>
      </c>
      <c r="C13275">
        <v>10</v>
      </c>
      <c r="D13275" t="s">
        <v>1141</v>
      </c>
      <c r="E13275" t="s">
        <v>287</v>
      </c>
      <c r="F13275" t="s">
        <v>287</v>
      </c>
      <c r="G13275" t="s">
        <v>287</v>
      </c>
      <c r="H13275" t="s">
        <v>596</v>
      </c>
      <c r="I13275" t="s">
        <v>287</v>
      </c>
      <c r="J13275" t="s">
        <v>287</v>
      </c>
      <c r="K13275" t="s">
        <v>605</v>
      </c>
      <c r="L13275" t="s">
        <v>287</v>
      </c>
      <c r="M13275" t="s">
        <v>605</v>
      </c>
      <c r="N13275" t="s">
        <v>2103</v>
      </c>
      <c r="O13275" t="s">
        <v>591</v>
      </c>
    </row>
    <row r="13276" spans="1:15" x14ac:dyDescent="0.3">
      <c r="A13276" t="s">
        <v>26</v>
      </c>
      <c r="B13276" t="s">
        <v>311</v>
      </c>
      <c r="C13276">
        <v>343</v>
      </c>
      <c r="D13276" t="s">
        <v>702</v>
      </c>
      <c r="E13276" t="s">
        <v>726</v>
      </c>
      <c r="F13276" t="s">
        <v>1000</v>
      </c>
      <c r="G13276" t="s">
        <v>627</v>
      </c>
      <c r="H13276" t="s">
        <v>1011</v>
      </c>
      <c r="I13276" t="s">
        <v>367</v>
      </c>
      <c r="J13276" t="s">
        <v>1321</v>
      </c>
      <c r="K13276" t="s">
        <v>299</v>
      </c>
      <c r="L13276" t="s">
        <v>1676</v>
      </c>
      <c r="M13276" t="s">
        <v>1023</v>
      </c>
      <c r="N13276" t="s">
        <v>722</v>
      </c>
      <c r="O13276" t="s">
        <v>123</v>
      </c>
    </row>
    <row r="13277" spans="1:15" x14ac:dyDescent="0.3">
      <c r="A13277" t="s">
        <v>26</v>
      </c>
      <c r="B13277" t="s">
        <v>312</v>
      </c>
      <c r="C13277">
        <v>96</v>
      </c>
      <c r="D13277" t="s">
        <v>687</v>
      </c>
      <c r="E13277" t="s">
        <v>866</v>
      </c>
      <c r="F13277" t="s">
        <v>1006</v>
      </c>
      <c r="G13277" t="s">
        <v>1021</v>
      </c>
      <c r="H13277" t="s">
        <v>816</v>
      </c>
      <c r="I13277" t="s">
        <v>906</v>
      </c>
      <c r="J13277" t="s">
        <v>1002</v>
      </c>
      <c r="K13277" t="s">
        <v>236</v>
      </c>
      <c r="L13277" t="s">
        <v>1240</v>
      </c>
      <c r="M13277" t="s">
        <v>672</v>
      </c>
      <c r="N13277" t="s">
        <v>929</v>
      </c>
      <c r="O13277" t="s">
        <v>62</v>
      </c>
    </row>
    <row r="13278" spans="1:15" x14ac:dyDescent="0.3">
      <c r="A13278" t="s">
        <v>26</v>
      </c>
      <c r="B13278" t="s">
        <v>308</v>
      </c>
      <c r="C13278">
        <v>38</v>
      </c>
      <c r="D13278" t="s">
        <v>244</v>
      </c>
      <c r="E13278" t="s">
        <v>424</v>
      </c>
      <c r="F13278" t="s">
        <v>686</v>
      </c>
      <c r="G13278" t="s">
        <v>416</v>
      </c>
      <c r="H13278" t="s">
        <v>512</v>
      </c>
      <c r="I13278" t="s">
        <v>534</v>
      </c>
      <c r="J13278" t="s">
        <v>1317</v>
      </c>
      <c r="K13278" t="s">
        <v>1205</v>
      </c>
      <c r="L13278" t="s">
        <v>1222</v>
      </c>
      <c r="M13278" t="s">
        <v>672</v>
      </c>
      <c r="N13278" t="s">
        <v>703</v>
      </c>
      <c r="O13278" t="s">
        <v>278</v>
      </c>
    </row>
    <row r="13279" spans="1:15" x14ac:dyDescent="0.3">
      <c r="A13279" t="s">
        <v>29</v>
      </c>
      <c r="B13279" t="s">
        <v>311</v>
      </c>
      <c r="C13279">
        <v>414</v>
      </c>
      <c r="D13279" t="s">
        <v>1637</v>
      </c>
      <c r="E13279" t="s">
        <v>1375</v>
      </c>
      <c r="F13279" t="s">
        <v>372</v>
      </c>
      <c r="G13279" t="s">
        <v>374</v>
      </c>
      <c r="H13279" t="s">
        <v>385</v>
      </c>
      <c r="I13279" t="s">
        <v>1295</v>
      </c>
      <c r="J13279" t="s">
        <v>1577</v>
      </c>
      <c r="K13279" t="s">
        <v>512</v>
      </c>
      <c r="L13279" t="s">
        <v>1043</v>
      </c>
      <c r="M13279" t="s">
        <v>138</v>
      </c>
      <c r="N13279" t="s">
        <v>643</v>
      </c>
      <c r="O13279" t="s">
        <v>488</v>
      </c>
    </row>
    <row r="13280" spans="1:15" x14ac:dyDescent="0.3">
      <c r="A13280" t="s">
        <v>29</v>
      </c>
      <c r="B13280" t="s">
        <v>312</v>
      </c>
      <c r="C13280">
        <v>103</v>
      </c>
      <c r="D13280" t="s">
        <v>226</v>
      </c>
      <c r="E13280" t="s">
        <v>822</v>
      </c>
      <c r="F13280" t="s">
        <v>2103</v>
      </c>
      <c r="G13280" t="s">
        <v>1025</v>
      </c>
      <c r="H13280" t="s">
        <v>1030</v>
      </c>
      <c r="I13280" t="s">
        <v>748</v>
      </c>
      <c r="J13280" t="s">
        <v>924</v>
      </c>
      <c r="K13280" t="s">
        <v>1576</v>
      </c>
      <c r="L13280" t="s">
        <v>399</v>
      </c>
      <c r="M13280" t="s">
        <v>1057</v>
      </c>
      <c r="N13280" t="s">
        <v>1229</v>
      </c>
      <c r="O13280" t="s">
        <v>269</v>
      </c>
    </row>
    <row r="13281" spans="1:15" x14ac:dyDescent="0.3">
      <c r="A13281" t="s">
        <v>29</v>
      </c>
      <c r="B13281" t="s">
        <v>308</v>
      </c>
      <c r="C13281">
        <v>13</v>
      </c>
      <c r="D13281" t="s">
        <v>1401</v>
      </c>
      <c r="E13281" t="s">
        <v>673</v>
      </c>
      <c r="F13281" t="s">
        <v>784</v>
      </c>
      <c r="G13281" t="s">
        <v>419</v>
      </c>
      <c r="H13281" t="s">
        <v>627</v>
      </c>
      <c r="I13281" t="s">
        <v>353</v>
      </c>
      <c r="J13281" t="s">
        <v>1071</v>
      </c>
      <c r="K13281" t="s">
        <v>1426</v>
      </c>
      <c r="L13281" t="s">
        <v>480</v>
      </c>
      <c r="M13281" t="s">
        <v>705</v>
      </c>
      <c r="N13281" t="s">
        <v>1090</v>
      </c>
      <c r="O13281" t="s">
        <v>575</v>
      </c>
    </row>
    <row r="13282" spans="1:15" x14ac:dyDescent="0.3">
      <c r="A13282" t="s">
        <v>28</v>
      </c>
      <c r="B13282" t="s">
        <v>311</v>
      </c>
      <c r="C13282">
        <v>223</v>
      </c>
      <c r="D13282" t="s">
        <v>1257</v>
      </c>
      <c r="E13282" t="s">
        <v>1169</v>
      </c>
      <c r="F13282" t="s">
        <v>608</v>
      </c>
      <c r="G13282" t="s">
        <v>1059</v>
      </c>
      <c r="H13282" t="s">
        <v>424</v>
      </c>
      <c r="I13282" t="s">
        <v>982</v>
      </c>
      <c r="J13282" t="s">
        <v>1317</v>
      </c>
      <c r="K13282" t="s">
        <v>673</v>
      </c>
      <c r="L13282" t="s">
        <v>260</v>
      </c>
      <c r="M13282" t="s">
        <v>1205</v>
      </c>
      <c r="N13282" t="s">
        <v>1059</v>
      </c>
      <c r="O13282" t="s">
        <v>127</v>
      </c>
    </row>
    <row r="13283" spans="1:15" x14ac:dyDescent="0.3">
      <c r="A13283" t="s">
        <v>28</v>
      </c>
      <c r="B13283" t="s">
        <v>312</v>
      </c>
      <c r="C13283">
        <v>93</v>
      </c>
      <c r="D13283" t="s">
        <v>1418</v>
      </c>
      <c r="E13283" t="s">
        <v>1393</v>
      </c>
      <c r="F13283" t="s">
        <v>1136</v>
      </c>
      <c r="G13283" t="s">
        <v>942</v>
      </c>
      <c r="H13283" t="s">
        <v>384</v>
      </c>
      <c r="I13283" t="s">
        <v>982</v>
      </c>
      <c r="J13283" t="s">
        <v>1282</v>
      </c>
      <c r="K13283" t="s">
        <v>1556</v>
      </c>
      <c r="L13283" t="s">
        <v>736</v>
      </c>
      <c r="M13283" t="s">
        <v>1637</v>
      </c>
      <c r="N13283" t="s">
        <v>229</v>
      </c>
      <c r="O13283" t="s">
        <v>146</v>
      </c>
    </row>
    <row r="13284" spans="1:15" x14ac:dyDescent="0.3">
      <c r="A13284" t="s">
        <v>28</v>
      </c>
      <c r="B13284" t="s">
        <v>308</v>
      </c>
      <c r="C13284">
        <v>1</v>
      </c>
      <c r="D13284" t="s">
        <v>192</v>
      </c>
      <c r="E13284" t="s">
        <v>192</v>
      </c>
      <c r="F13284" t="s">
        <v>192</v>
      </c>
      <c r="G13284" t="s">
        <v>192</v>
      </c>
      <c r="H13284" t="s">
        <v>192</v>
      </c>
      <c r="I13284" t="s">
        <v>192</v>
      </c>
      <c r="J13284" t="s">
        <v>192</v>
      </c>
      <c r="K13284" t="s">
        <v>192</v>
      </c>
      <c r="L13284" t="s">
        <v>192</v>
      </c>
      <c r="M13284" t="s">
        <v>192</v>
      </c>
      <c r="N13284" t="s">
        <v>192</v>
      </c>
      <c r="O13284" t="s">
        <v>103</v>
      </c>
    </row>
    <row r="13285" spans="1:15" x14ac:dyDescent="0.3">
      <c r="A13285" t="s">
        <v>27</v>
      </c>
      <c r="B13285" t="s">
        <v>311</v>
      </c>
      <c r="C13285">
        <v>237</v>
      </c>
      <c r="D13285" t="s">
        <v>152</v>
      </c>
      <c r="E13285" t="s">
        <v>692</v>
      </c>
      <c r="F13285" t="s">
        <v>1211</v>
      </c>
      <c r="G13285" t="s">
        <v>1196</v>
      </c>
      <c r="H13285" t="s">
        <v>1207</v>
      </c>
      <c r="I13285" t="s">
        <v>583</v>
      </c>
      <c r="J13285" t="s">
        <v>1218</v>
      </c>
      <c r="K13285" t="s">
        <v>271</v>
      </c>
      <c r="L13285" t="s">
        <v>577</v>
      </c>
      <c r="M13285" t="s">
        <v>108</v>
      </c>
      <c r="N13285" t="s">
        <v>1034</v>
      </c>
      <c r="O13285" t="s">
        <v>571</v>
      </c>
    </row>
    <row r="13286" spans="1:15" x14ac:dyDescent="0.3">
      <c r="A13286" t="s">
        <v>27</v>
      </c>
      <c r="B13286" t="s">
        <v>312</v>
      </c>
      <c r="C13286">
        <v>60</v>
      </c>
      <c r="D13286" t="s">
        <v>693</v>
      </c>
      <c r="E13286" t="s">
        <v>1257</v>
      </c>
      <c r="F13286" t="s">
        <v>858</v>
      </c>
      <c r="G13286" t="s">
        <v>567</v>
      </c>
      <c r="H13286" t="s">
        <v>504</v>
      </c>
      <c r="I13286" t="s">
        <v>429</v>
      </c>
      <c r="J13286" t="s">
        <v>1200</v>
      </c>
      <c r="K13286" t="s">
        <v>524</v>
      </c>
      <c r="L13286" t="s">
        <v>1055</v>
      </c>
      <c r="M13286" t="s">
        <v>169</v>
      </c>
      <c r="N13286" t="s">
        <v>294</v>
      </c>
      <c r="O13286" t="s">
        <v>201</v>
      </c>
    </row>
    <row r="13287" spans="1:15" x14ac:dyDescent="0.3">
      <c r="A13287" t="s">
        <v>27</v>
      </c>
      <c r="B13287" t="s">
        <v>308</v>
      </c>
      <c r="C13287">
        <v>3</v>
      </c>
      <c r="D13287" t="s">
        <v>527</v>
      </c>
      <c r="E13287" t="s">
        <v>192</v>
      </c>
      <c r="F13287" t="s">
        <v>406</v>
      </c>
      <c r="G13287" t="s">
        <v>192</v>
      </c>
      <c r="H13287" t="s">
        <v>974</v>
      </c>
      <c r="I13287" t="s">
        <v>103</v>
      </c>
      <c r="J13287" t="s">
        <v>974</v>
      </c>
      <c r="K13287" t="s">
        <v>103</v>
      </c>
      <c r="L13287" t="s">
        <v>943</v>
      </c>
      <c r="M13287" t="s">
        <v>527</v>
      </c>
      <c r="N13287" t="s">
        <v>974</v>
      </c>
      <c r="O13287" t="s">
        <v>103</v>
      </c>
    </row>
    <row r="13288" spans="1:15" x14ac:dyDescent="0.3">
      <c r="A13288" t="s">
        <v>41</v>
      </c>
      <c r="B13288" t="s">
        <v>311</v>
      </c>
      <c r="C13288">
        <v>1541</v>
      </c>
      <c r="D13288" t="s">
        <v>465</v>
      </c>
      <c r="E13288" t="s">
        <v>1037</v>
      </c>
      <c r="F13288" t="s">
        <v>395</v>
      </c>
      <c r="G13288" t="s">
        <v>673</v>
      </c>
      <c r="H13288" t="s">
        <v>930</v>
      </c>
      <c r="I13288" t="s">
        <v>422</v>
      </c>
      <c r="J13288" t="s">
        <v>1221</v>
      </c>
      <c r="K13288" t="s">
        <v>1216</v>
      </c>
      <c r="L13288" t="s">
        <v>384</v>
      </c>
      <c r="M13288" t="s">
        <v>699</v>
      </c>
      <c r="N13288" t="s">
        <v>838</v>
      </c>
      <c r="O13288" t="s">
        <v>517</v>
      </c>
    </row>
    <row r="13289" spans="1:15" x14ac:dyDescent="0.3">
      <c r="A13289" t="s">
        <v>41</v>
      </c>
      <c r="B13289" t="s">
        <v>312</v>
      </c>
      <c r="C13289">
        <v>432</v>
      </c>
      <c r="D13289" t="s">
        <v>453</v>
      </c>
      <c r="E13289" t="s">
        <v>428</v>
      </c>
      <c r="F13289" t="s">
        <v>1230</v>
      </c>
      <c r="G13289" t="s">
        <v>392</v>
      </c>
      <c r="H13289" t="s">
        <v>386</v>
      </c>
      <c r="I13289" t="s">
        <v>1260</v>
      </c>
      <c r="J13289" t="s">
        <v>364</v>
      </c>
      <c r="K13289" t="s">
        <v>361</v>
      </c>
      <c r="L13289" t="s">
        <v>414</v>
      </c>
      <c r="M13289" t="s">
        <v>380</v>
      </c>
      <c r="N13289" t="s">
        <v>1250</v>
      </c>
      <c r="O13289" t="s">
        <v>601</v>
      </c>
    </row>
    <row r="13290" spans="1:15" x14ac:dyDescent="0.3">
      <c r="A13290" t="s">
        <v>41</v>
      </c>
      <c r="B13290" t="s">
        <v>308</v>
      </c>
      <c r="C13290">
        <v>65</v>
      </c>
      <c r="D13290" t="s">
        <v>1070</v>
      </c>
      <c r="E13290" t="s">
        <v>802</v>
      </c>
      <c r="F13290" t="s">
        <v>1231</v>
      </c>
      <c r="G13290" t="s">
        <v>1676</v>
      </c>
      <c r="H13290" t="s">
        <v>1461</v>
      </c>
      <c r="I13290" t="s">
        <v>546</v>
      </c>
      <c r="J13290" t="s">
        <v>1035</v>
      </c>
      <c r="K13290" t="s">
        <v>1546</v>
      </c>
      <c r="L13290" t="s">
        <v>1379</v>
      </c>
      <c r="M13290" t="s">
        <v>376</v>
      </c>
      <c r="N13290" t="s">
        <v>1068</v>
      </c>
      <c r="O13290" t="s">
        <v>662</v>
      </c>
    </row>
    <row r="13292" spans="1:15" x14ac:dyDescent="0.3">
      <c r="A13292" t="s">
        <v>2923</v>
      </c>
    </row>
    <row r="13293" spans="1:15" x14ac:dyDescent="0.3">
      <c r="A13293" t="s">
        <v>36</v>
      </c>
      <c r="B13293" t="s">
        <v>1233</v>
      </c>
      <c r="C13293" t="s">
        <v>24</v>
      </c>
      <c r="D13293" t="s">
        <v>2906</v>
      </c>
      <c r="E13293" t="s">
        <v>2907</v>
      </c>
      <c r="F13293" t="s">
        <v>2908</v>
      </c>
      <c r="G13293" t="s">
        <v>2909</v>
      </c>
      <c r="H13293" t="s">
        <v>2910</v>
      </c>
      <c r="I13293" t="s">
        <v>2911</v>
      </c>
      <c r="J13293" t="s">
        <v>2912</v>
      </c>
      <c r="K13293" t="s">
        <v>2913</v>
      </c>
      <c r="L13293" t="s">
        <v>2914</v>
      </c>
      <c r="M13293" t="s">
        <v>2915</v>
      </c>
      <c r="N13293" t="s">
        <v>2916</v>
      </c>
      <c r="O13293" t="s">
        <v>2917</v>
      </c>
    </row>
    <row r="13294" spans="1:15" x14ac:dyDescent="0.3">
      <c r="A13294" t="s">
        <v>25</v>
      </c>
      <c r="B13294" t="s">
        <v>1234</v>
      </c>
      <c r="C13294">
        <v>257</v>
      </c>
      <c r="D13294" t="s">
        <v>369</v>
      </c>
      <c r="E13294" t="s">
        <v>176</v>
      </c>
      <c r="F13294" t="s">
        <v>703</v>
      </c>
      <c r="G13294" t="s">
        <v>378</v>
      </c>
      <c r="H13294" t="s">
        <v>502</v>
      </c>
      <c r="I13294" t="s">
        <v>948</v>
      </c>
      <c r="J13294" t="s">
        <v>989</v>
      </c>
      <c r="K13294" t="s">
        <v>1039</v>
      </c>
      <c r="L13294" t="s">
        <v>814</v>
      </c>
      <c r="M13294" t="s">
        <v>527</v>
      </c>
      <c r="N13294" t="s">
        <v>1369</v>
      </c>
      <c r="O13294" t="s">
        <v>493</v>
      </c>
    </row>
    <row r="13295" spans="1:15" s="3" customFormat="1" x14ac:dyDescent="0.3">
      <c r="A13295" s="3" t="s">
        <v>25</v>
      </c>
      <c r="B13295" s="3" t="s">
        <v>1235</v>
      </c>
      <c r="C13295" s="3">
        <v>25</v>
      </c>
      <c r="D13295" s="3" t="s">
        <v>1096</v>
      </c>
      <c r="E13295" s="3" t="s">
        <v>712</v>
      </c>
      <c r="F13295" s="3" t="s">
        <v>1017</v>
      </c>
      <c r="G13295" s="3" t="s">
        <v>717</v>
      </c>
      <c r="H13295" s="3" t="s">
        <v>634</v>
      </c>
      <c r="I13295" s="3" t="s">
        <v>1325</v>
      </c>
      <c r="J13295" s="3" t="s">
        <v>1138</v>
      </c>
      <c r="K13295" s="3" t="s">
        <v>790</v>
      </c>
      <c r="L13295" s="3" t="s">
        <v>1181</v>
      </c>
      <c r="M13295" s="3" t="s">
        <v>1178</v>
      </c>
      <c r="N13295" s="3" t="s">
        <v>1439</v>
      </c>
      <c r="O13295" s="3" t="s">
        <v>140</v>
      </c>
    </row>
    <row r="13296" spans="1:15" x14ac:dyDescent="0.3">
      <c r="A13296" t="s">
        <v>25</v>
      </c>
      <c r="B13296" t="s">
        <v>1237</v>
      </c>
      <c r="C13296">
        <v>132</v>
      </c>
      <c r="D13296" t="s">
        <v>1418</v>
      </c>
      <c r="E13296" t="s">
        <v>897</v>
      </c>
      <c r="F13296" t="s">
        <v>428</v>
      </c>
      <c r="G13296" t="s">
        <v>826</v>
      </c>
      <c r="H13296" t="s">
        <v>804</v>
      </c>
      <c r="I13296" t="s">
        <v>508</v>
      </c>
      <c r="J13296" t="s">
        <v>1258</v>
      </c>
      <c r="K13296" t="s">
        <v>443</v>
      </c>
      <c r="L13296" t="s">
        <v>621</v>
      </c>
      <c r="M13296" t="s">
        <v>1098</v>
      </c>
      <c r="N13296" t="s">
        <v>810</v>
      </c>
      <c r="O13296" t="s">
        <v>169</v>
      </c>
    </row>
    <row r="13297" spans="1:15" x14ac:dyDescent="0.3">
      <c r="A13297" t="s">
        <v>26</v>
      </c>
      <c r="B13297" t="s">
        <v>1234</v>
      </c>
      <c r="C13297">
        <v>296</v>
      </c>
      <c r="D13297" t="s">
        <v>522</v>
      </c>
      <c r="E13297" t="s">
        <v>796</v>
      </c>
      <c r="F13297" t="s">
        <v>798</v>
      </c>
      <c r="G13297" t="s">
        <v>1060</v>
      </c>
      <c r="H13297" t="s">
        <v>373</v>
      </c>
      <c r="I13297" t="s">
        <v>564</v>
      </c>
      <c r="J13297" t="s">
        <v>439</v>
      </c>
      <c r="K13297" t="s">
        <v>1028</v>
      </c>
      <c r="L13297" t="s">
        <v>426</v>
      </c>
      <c r="M13297" t="s">
        <v>1083</v>
      </c>
      <c r="N13297" t="s">
        <v>366</v>
      </c>
      <c r="O13297" t="s">
        <v>549</v>
      </c>
    </row>
    <row r="13298" spans="1:15" x14ac:dyDescent="0.3">
      <c r="A13298" t="s">
        <v>26</v>
      </c>
      <c r="B13298" t="s">
        <v>1235</v>
      </c>
      <c r="C13298">
        <v>37</v>
      </c>
      <c r="D13298" t="s">
        <v>577</v>
      </c>
      <c r="E13298" t="s">
        <v>1170</v>
      </c>
      <c r="F13298" t="s">
        <v>1029</v>
      </c>
      <c r="G13298" t="s">
        <v>736</v>
      </c>
      <c r="H13298" t="s">
        <v>426</v>
      </c>
      <c r="I13298" t="s">
        <v>1228</v>
      </c>
      <c r="J13298" t="s">
        <v>1031</v>
      </c>
      <c r="K13298" t="s">
        <v>804</v>
      </c>
      <c r="L13298" t="s">
        <v>1375</v>
      </c>
      <c r="M13298" t="s">
        <v>490</v>
      </c>
      <c r="N13298" t="s">
        <v>696</v>
      </c>
      <c r="O13298" t="s">
        <v>119</v>
      </c>
    </row>
    <row r="13299" spans="1:15" x14ac:dyDescent="0.3">
      <c r="A13299" t="s">
        <v>26</v>
      </c>
      <c r="B13299" t="s">
        <v>1237</v>
      </c>
      <c r="C13299">
        <v>144</v>
      </c>
      <c r="D13299" t="s">
        <v>275</v>
      </c>
      <c r="E13299" t="s">
        <v>1549</v>
      </c>
      <c r="F13299" t="s">
        <v>393</v>
      </c>
      <c r="G13299" t="s">
        <v>1090</v>
      </c>
      <c r="H13299" t="s">
        <v>825</v>
      </c>
      <c r="I13299" t="s">
        <v>670</v>
      </c>
      <c r="J13299" t="s">
        <v>410</v>
      </c>
      <c r="K13299" t="s">
        <v>236</v>
      </c>
      <c r="L13299" t="s">
        <v>1327</v>
      </c>
      <c r="M13299" t="s">
        <v>580</v>
      </c>
      <c r="N13299" t="s">
        <v>657</v>
      </c>
      <c r="O13299" t="s">
        <v>925</v>
      </c>
    </row>
    <row r="13300" spans="1:15" x14ac:dyDescent="0.3">
      <c r="A13300" t="s">
        <v>29</v>
      </c>
      <c r="B13300" t="s">
        <v>1234</v>
      </c>
      <c r="C13300">
        <v>372</v>
      </c>
      <c r="D13300" t="s">
        <v>361</v>
      </c>
      <c r="E13300" t="s">
        <v>1321</v>
      </c>
      <c r="F13300" t="s">
        <v>508</v>
      </c>
      <c r="G13300" t="s">
        <v>414</v>
      </c>
      <c r="H13300" t="s">
        <v>1260</v>
      </c>
      <c r="I13300" t="s">
        <v>1220</v>
      </c>
      <c r="J13300" t="s">
        <v>426</v>
      </c>
      <c r="K13300" t="s">
        <v>432</v>
      </c>
      <c r="L13300" t="s">
        <v>1054</v>
      </c>
      <c r="M13300" t="s">
        <v>604</v>
      </c>
      <c r="N13300" t="s">
        <v>1011</v>
      </c>
      <c r="O13300" t="s">
        <v>148</v>
      </c>
    </row>
    <row r="13301" spans="1:15" x14ac:dyDescent="0.3">
      <c r="A13301" t="s">
        <v>29</v>
      </c>
      <c r="B13301" t="s">
        <v>1235</v>
      </c>
      <c r="C13301">
        <v>38</v>
      </c>
      <c r="D13301" t="s">
        <v>1426</v>
      </c>
      <c r="E13301" t="s">
        <v>1047</v>
      </c>
      <c r="F13301" t="s">
        <v>1397</v>
      </c>
      <c r="G13301" t="s">
        <v>383</v>
      </c>
      <c r="H13301" t="s">
        <v>389</v>
      </c>
      <c r="I13301" t="s">
        <v>231</v>
      </c>
      <c r="J13301" t="s">
        <v>260</v>
      </c>
      <c r="K13301" t="s">
        <v>419</v>
      </c>
      <c r="L13301" t="s">
        <v>1214</v>
      </c>
      <c r="M13301" t="s">
        <v>535</v>
      </c>
      <c r="N13301" t="s">
        <v>1197</v>
      </c>
      <c r="O13301" t="s">
        <v>511</v>
      </c>
    </row>
    <row r="13302" spans="1:15" x14ac:dyDescent="0.3">
      <c r="A13302" t="s">
        <v>29</v>
      </c>
      <c r="B13302" t="s">
        <v>1237</v>
      </c>
      <c r="C13302">
        <v>120</v>
      </c>
      <c r="D13302" t="s">
        <v>496</v>
      </c>
      <c r="E13302" t="s">
        <v>1420</v>
      </c>
      <c r="F13302" t="s">
        <v>1240</v>
      </c>
      <c r="G13302" t="s">
        <v>1556</v>
      </c>
      <c r="H13302" t="s">
        <v>353</v>
      </c>
      <c r="I13302" t="s">
        <v>231</v>
      </c>
      <c r="J13302" t="s">
        <v>1025</v>
      </c>
      <c r="K13302" t="s">
        <v>503</v>
      </c>
      <c r="L13302" t="s">
        <v>352</v>
      </c>
      <c r="M13302" t="s">
        <v>559</v>
      </c>
      <c r="N13302" t="s">
        <v>499</v>
      </c>
      <c r="O13302" t="s">
        <v>469</v>
      </c>
    </row>
    <row r="13303" spans="1:15" x14ac:dyDescent="0.3">
      <c r="A13303" t="s">
        <v>28</v>
      </c>
      <c r="B13303" t="s">
        <v>1234</v>
      </c>
      <c r="C13303">
        <v>126</v>
      </c>
      <c r="D13303" t="s">
        <v>1048</v>
      </c>
      <c r="E13303" t="s">
        <v>1153</v>
      </c>
      <c r="F13303" t="s">
        <v>1013</v>
      </c>
      <c r="G13303" t="s">
        <v>817</v>
      </c>
      <c r="H13303" t="s">
        <v>1549</v>
      </c>
      <c r="I13303" t="s">
        <v>439</v>
      </c>
      <c r="J13303" t="s">
        <v>1142</v>
      </c>
      <c r="K13303" t="s">
        <v>351</v>
      </c>
      <c r="L13303" t="s">
        <v>801</v>
      </c>
      <c r="M13303" t="s">
        <v>405</v>
      </c>
      <c r="N13303" t="s">
        <v>1245</v>
      </c>
      <c r="O13303" t="s">
        <v>117</v>
      </c>
    </row>
    <row r="13304" spans="1:15" s="3" customFormat="1" x14ac:dyDescent="0.3">
      <c r="A13304" s="3" t="s">
        <v>28</v>
      </c>
      <c r="B13304" s="3" t="s">
        <v>1235</v>
      </c>
      <c r="C13304" s="3">
        <v>17</v>
      </c>
      <c r="D13304" s="3" t="s">
        <v>294</v>
      </c>
      <c r="E13304" s="3" t="s">
        <v>2104</v>
      </c>
      <c r="F13304" s="3" t="s">
        <v>1484</v>
      </c>
      <c r="G13304" s="3" t="s">
        <v>1679</v>
      </c>
      <c r="H13304" s="3" t="s">
        <v>1390</v>
      </c>
      <c r="I13304" s="3" t="s">
        <v>379</v>
      </c>
      <c r="J13304" s="3" t="s">
        <v>55</v>
      </c>
      <c r="K13304" s="3" t="s">
        <v>1348</v>
      </c>
      <c r="L13304" s="3" t="s">
        <v>717</v>
      </c>
      <c r="M13304" s="3" t="s">
        <v>1024</v>
      </c>
      <c r="N13304" s="3" t="s">
        <v>294</v>
      </c>
      <c r="O13304" s="3" t="s">
        <v>102</v>
      </c>
    </row>
    <row r="13305" spans="1:15" x14ac:dyDescent="0.3">
      <c r="A13305" t="s">
        <v>28</v>
      </c>
      <c r="B13305" t="s">
        <v>1237</v>
      </c>
      <c r="C13305">
        <v>174</v>
      </c>
      <c r="D13305" t="s">
        <v>384</v>
      </c>
      <c r="E13305" t="s">
        <v>834</v>
      </c>
      <c r="F13305" t="s">
        <v>895</v>
      </c>
      <c r="G13305" t="s">
        <v>1242</v>
      </c>
      <c r="H13305" t="s">
        <v>375</v>
      </c>
      <c r="I13305" t="s">
        <v>1462</v>
      </c>
      <c r="J13305" t="s">
        <v>2111</v>
      </c>
      <c r="K13305" t="s">
        <v>462</v>
      </c>
      <c r="L13305" t="s">
        <v>892</v>
      </c>
      <c r="M13305" t="s">
        <v>499</v>
      </c>
      <c r="N13305" t="s">
        <v>1549</v>
      </c>
      <c r="O13305" t="s">
        <v>101</v>
      </c>
    </row>
    <row r="13306" spans="1:15" x14ac:dyDescent="0.3">
      <c r="A13306" t="s">
        <v>27</v>
      </c>
      <c r="B13306" t="s">
        <v>1234</v>
      </c>
      <c r="C13306">
        <v>149</v>
      </c>
      <c r="D13306" t="s">
        <v>495</v>
      </c>
      <c r="E13306" t="s">
        <v>1461</v>
      </c>
      <c r="F13306" t="s">
        <v>541</v>
      </c>
      <c r="G13306" t="s">
        <v>357</v>
      </c>
      <c r="H13306" t="s">
        <v>604</v>
      </c>
      <c r="I13306" t="s">
        <v>398</v>
      </c>
      <c r="J13306" t="s">
        <v>138</v>
      </c>
      <c r="K13306" t="s">
        <v>162</v>
      </c>
      <c r="L13306" t="s">
        <v>559</v>
      </c>
      <c r="M13306" t="s">
        <v>601</v>
      </c>
      <c r="N13306" t="s">
        <v>1209</v>
      </c>
      <c r="O13306" t="s">
        <v>224</v>
      </c>
    </row>
    <row r="13307" spans="1:15" s="3" customFormat="1" x14ac:dyDescent="0.3">
      <c r="A13307" s="3" t="s">
        <v>27</v>
      </c>
      <c r="B13307" s="3" t="s">
        <v>1235</v>
      </c>
      <c r="C13307" s="3">
        <v>10</v>
      </c>
      <c r="D13307" s="3" t="s">
        <v>301</v>
      </c>
      <c r="E13307" s="3" t="s">
        <v>1377</v>
      </c>
      <c r="F13307" s="3" t="s">
        <v>1090</v>
      </c>
      <c r="G13307" s="3" t="s">
        <v>414</v>
      </c>
      <c r="H13307" s="3" t="s">
        <v>414</v>
      </c>
      <c r="I13307" s="3" t="s">
        <v>352</v>
      </c>
      <c r="J13307" s="3" t="s">
        <v>414</v>
      </c>
      <c r="K13307" s="3" t="s">
        <v>739</v>
      </c>
      <c r="L13307" s="3" t="s">
        <v>231</v>
      </c>
      <c r="M13307" s="3" t="s">
        <v>627</v>
      </c>
      <c r="N13307" s="3" t="s">
        <v>632</v>
      </c>
      <c r="O13307" s="3" t="s">
        <v>99</v>
      </c>
    </row>
    <row r="13308" spans="1:15" x14ac:dyDescent="0.3">
      <c r="A13308" t="s">
        <v>27</v>
      </c>
      <c r="B13308" t="s">
        <v>1237</v>
      </c>
      <c r="C13308">
        <v>141</v>
      </c>
      <c r="D13308" t="s">
        <v>575</v>
      </c>
      <c r="E13308" t="s">
        <v>1250</v>
      </c>
      <c r="F13308" t="s">
        <v>418</v>
      </c>
      <c r="G13308" t="s">
        <v>674</v>
      </c>
      <c r="H13308" t="s">
        <v>295</v>
      </c>
      <c r="I13308" t="s">
        <v>96</v>
      </c>
      <c r="J13308" t="s">
        <v>816</v>
      </c>
      <c r="K13308" t="s">
        <v>113</v>
      </c>
      <c r="L13308" t="s">
        <v>754</v>
      </c>
      <c r="M13308" t="s">
        <v>70</v>
      </c>
      <c r="N13308" t="s">
        <v>1279</v>
      </c>
      <c r="O13308" t="s">
        <v>94</v>
      </c>
    </row>
    <row r="13309" spans="1:15" x14ac:dyDescent="0.3">
      <c r="A13309" t="s">
        <v>41</v>
      </c>
      <c r="B13309" t="s">
        <v>1234</v>
      </c>
      <c r="C13309">
        <v>1200</v>
      </c>
      <c r="D13309" t="s">
        <v>464</v>
      </c>
      <c r="E13309" t="s">
        <v>1679</v>
      </c>
      <c r="F13309" t="s">
        <v>300</v>
      </c>
      <c r="G13309" t="s">
        <v>810</v>
      </c>
      <c r="H13309" t="s">
        <v>401</v>
      </c>
      <c r="I13309" t="s">
        <v>1250</v>
      </c>
      <c r="J13309" t="s">
        <v>406</v>
      </c>
      <c r="K13309" t="s">
        <v>1214</v>
      </c>
      <c r="L13309" t="s">
        <v>1260</v>
      </c>
      <c r="M13309" t="s">
        <v>604</v>
      </c>
      <c r="N13309" t="s">
        <v>1236</v>
      </c>
      <c r="O13309" t="s">
        <v>135</v>
      </c>
    </row>
    <row r="13310" spans="1:15" x14ac:dyDescent="0.3">
      <c r="A13310" t="s">
        <v>41</v>
      </c>
      <c r="B13310" t="s">
        <v>1235</v>
      </c>
      <c r="C13310">
        <v>127</v>
      </c>
      <c r="D13310" t="s">
        <v>369</v>
      </c>
      <c r="E13310" t="s">
        <v>302</v>
      </c>
      <c r="F13310" t="s">
        <v>730</v>
      </c>
      <c r="G13310" t="s">
        <v>1379</v>
      </c>
      <c r="H13310" t="s">
        <v>1390</v>
      </c>
      <c r="I13310" t="s">
        <v>1292</v>
      </c>
      <c r="J13310" t="s">
        <v>703</v>
      </c>
      <c r="K13310" t="s">
        <v>508</v>
      </c>
      <c r="L13310" t="s">
        <v>410</v>
      </c>
      <c r="M13310" t="s">
        <v>1065</v>
      </c>
      <c r="N13310" t="s">
        <v>1242</v>
      </c>
      <c r="O13310" t="s">
        <v>242</v>
      </c>
    </row>
    <row r="13311" spans="1:15" x14ac:dyDescent="0.3">
      <c r="A13311" t="s">
        <v>41</v>
      </c>
      <c r="B13311" t="s">
        <v>1237</v>
      </c>
      <c r="C13311">
        <v>711</v>
      </c>
      <c r="D13311" t="s">
        <v>655</v>
      </c>
      <c r="E13311" t="s">
        <v>926</v>
      </c>
      <c r="F13311" t="s">
        <v>1577</v>
      </c>
      <c r="G13311" t="s">
        <v>362</v>
      </c>
      <c r="H13311" t="s">
        <v>792</v>
      </c>
      <c r="I13311" t="s">
        <v>425</v>
      </c>
      <c r="J13311" t="s">
        <v>802</v>
      </c>
      <c r="K13311" t="s">
        <v>698</v>
      </c>
      <c r="L13311" t="s">
        <v>422</v>
      </c>
      <c r="M13311" t="s">
        <v>683</v>
      </c>
      <c r="N13311" t="s">
        <v>930</v>
      </c>
      <c r="O13311" t="s">
        <v>152</v>
      </c>
    </row>
    <row r="13313" spans="1:15" x14ac:dyDescent="0.3">
      <c r="A13313" t="s">
        <v>2924</v>
      </c>
    </row>
    <row r="13314" spans="1:15" x14ac:dyDescent="0.3">
      <c r="A13314" t="s">
        <v>36</v>
      </c>
      <c r="B13314" t="s">
        <v>2764</v>
      </c>
      <c r="C13314" t="s">
        <v>24</v>
      </c>
      <c r="D13314" t="s">
        <v>2906</v>
      </c>
      <c r="E13314" t="s">
        <v>2907</v>
      </c>
      <c r="F13314" t="s">
        <v>2908</v>
      </c>
      <c r="G13314" t="s">
        <v>2909</v>
      </c>
      <c r="H13314" t="s">
        <v>2910</v>
      </c>
      <c r="I13314" t="s">
        <v>2911</v>
      </c>
      <c r="J13314" t="s">
        <v>2912</v>
      </c>
      <c r="K13314" t="s">
        <v>2913</v>
      </c>
      <c r="L13314" t="s">
        <v>2914</v>
      </c>
      <c r="M13314" t="s">
        <v>2915</v>
      </c>
      <c r="N13314" t="s">
        <v>2916</v>
      </c>
      <c r="O13314" t="s">
        <v>2917</v>
      </c>
    </row>
    <row r="13315" spans="1:15" s="3" customFormat="1" x14ac:dyDescent="0.3">
      <c r="A13315" s="3" t="s">
        <v>25</v>
      </c>
      <c r="B13315" s="3" t="s">
        <v>2765</v>
      </c>
      <c r="C13315" s="3">
        <v>16</v>
      </c>
      <c r="D13315" s="3" t="s">
        <v>1293</v>
      </c>
      <c r="E13315" s="3" t="s">
        <v>276</v>
      </c>
      <c r="F13315" s="3" t="s">
        <v>1000</v>
      </c>
      <c r="G13315" s="3" t="s">
        <v>374</v>
      </c>
      <c r="H13315" s="3" t="s">
        <v>413</v>
      </c>
      <c r="I13315" s="3" t="s">
        <v>1379</v>
      </c>
      <c r="J13315" s="3" t="s">
        <v>593</v>
      </c>
      <c r="K13315" s="3" t="s">
        <v>1197</v>
      </c>
      <c r="L13315" s="3" t="s">
        <v>496</v>
      </c>
      <c r="M13315" s="3" t="s">
        <v>788</v>
      </c>
      <c r="N13315" s="3" t="s">
        <v>656</v>
      </c>
      <c r="O13315" s="3" t="s">
        <v>251</v>
      </c>
    </row>
    <row r="13316" spans="1:15" s="3" customFormat="1" x14ac:dyDescent="0.3">
      <c r="A13316" s="3" t="s">
        <v>25</v>
      </c>
      <c r="B13316" s="3" t="s">
        <v>585</v>
      </c>
      <c r="C13316" s="3">
        <v>5</v>
      </c>
      <c r="D13316" s="3" t="s">
        <v>871</v>
      </c>
      <c r="E13316" s="3" t="s">
        <v>192</v>
      </c>
      <c r="F13316" s="3" t="s">
        <v>192</v>
      </c>
      <c r="G13316" s="3" t="s">
        <v>1354</v>
      </c>
      <c r="H13316" s="3" t="s">
        <v>1354</v>
      </c>
      <c r="I13316" s="3" t="s">
        <v>1354</v>
      </c>
      <c r="J13316" s="3" t="s">
        <v>192</v>
      </c>
      <c r="K13316" s="3" t="s">
        <v>1354</v>
      </c>
      <c r="L13316" s="3" t="s">
        <v>1354</v>
      </c>
      <c r="M13316" s="3" t="s">
        <v>1354</v>
      </c>
      <c r="N13316" s="3" t="s">
        <v>861</v>
      </c>
      <c r="O13316" s="3" t="s">
        <v>103</v>
      </c>
    </row>
    <row r="13317" spans="1:15" s="3" customFormat="1" x14ac:dyDescent="0.3">
      <c r="A13317" s="3" t="s">
        <v>25</v>
      </c>
      <c r="B13317" s="3" t="s">
        <v>586</v>
      </c>
      <c r="C13317" s="3">
        <v>17</v>
      </c>
      <c r="D13317" s="3" t="s">
        <v>241</v>
      </c>
      <c r="E13317" s="3" t="s">
        <v>340</v>
      </c>
      <c r="F13317" s="3" t="s">
        <v>1172</v>
      </c>
      <c r="G13317" s="3" t="s">
        <v>776</v>
      </c>
      <c r="H13317" s="3" t="s">
        <v>1378</v>
      </c>
      <c r="I13317" s="3" t="s">
        <v>793</v>
      </c>
      <c r="J13317" s="3" t="s">
        <v>340</v>
      </c>
      <c r="K13317" s="3" t="s">
        <v>1067</v>
      </c>
      <c r="L13317" s="3" t="s">
        <v>861</v>
      </c>
      <c r="M13317" s="3" t="s">
        <v>385</v>
      </c>
      <c r="N13317" s="3" t="s">
        <v>1381</v>
      </c>
      <c r="O13317" s="3" t="s">
        <v>103</v>
      </c>
    </row>
    <row r="13318" spans="1:15" s="3" customFormat="1" x14ac:dyDescent="0.3">
      <c r="A13318" s="3" t="s">
        <v>25</v>
      </c>
      <c r="B13318" s="3" t="s">
        <v>587</v>
      </c>
      <c r="C13318" s="3">
        <v>2</v>
      </c>
      <c r="D13318" s="3" t="s">
        <v>192</v>
      </c>
      <c r="E13318" s="3" t="s">
        <v>192</v>
      </c>
      <c r="F13318" s="3" t="s">
        <v>250</v>
      </c>
      <c r="G13318" s="3" t="s">
        <v>250</v>
      </c>
      <c r="H13318" s="3" t="s">
        <v>250</v>
      </c>
      <c r="I13318" s="3" t="s">
        <v>250</v>
      </c>
      <c r="J13318" s="3" t="s">
        <v>250</v>
      </c>
      <c r="K13318" s="3" t="s">
        <v>250</v>
      </c>
      <c r="L13318" s="3" t="s">
        <v>250</v>
      </c>
      <c r="M13318" s="3" t="s">
        <v>250</v>
      </c>
      <c r="N13318" s="3" t="s">
        <v>103</v>
      </c>
      <c r="O13318" s="3" t="s">
        <v>103</v>
      </c>
    </row>
    <row r="13319" spans="1:15" s="3" customFormat="1" x14ac:dyDescent="0.3">
      <c r="A13319" s="3" t="s">
        <v>25</v>
      </c>
      <c r="B13319" s="3" t="s">
        <v>588</v>
      </c>
      <c r="C13319" s="3">
        <v>20</v>
      </c>
      <c r="D13319" s="3" t="s">
        <v>677</v>
      </c>
      <c r="E13319" s="3" t="s">
        <v>867</v>
      </c>
      <c r="F13319" s="3" t="s">
        <v>193</v>
      </c>
      <c r="G13319" s="3" t="s">
        <v>351</v>
      </c>
      <c r="H13319" s="3" t="s">
        <v>736</v>
      </c>
      <c r="I13319" s="3" t="s">
        <v>1068</v>
      </c>
      <c r="J13319" s="3" t="s">
        <v>610</v>
      </c>
      <c r="K13319" s="3" t="s">
        <v>593</v>
      </c>
      <c r="L13319" s="3" t="s">
        <v>1241</v>
      </c>
      <c r="M13319" s="3" t="s">
        <v>1025</v>
      </c>
      <c r="N13319" s="3" t="s">
        <v>399</v>
      </c>
      <c r="O13319" s="3" t="s">
        <v>103</v>
      </c>
    </row>
    <row r="13320" spans="1:15" x14ac:dyDescent="0.3">
      <c r="A13320" t="s">
        <v>25</v>
      </c>
      <c r="B13320" t="s">
        <v>2766</v>
      </c>
      <c r="C13320">
        <v>354</v>
      </c>
      <c r="D13320" t="s">
        <v>1284</v>
      </c>
      <c r="E13320" t="s">
        <v>174</v>
      </c>
      <c r="F13320" t="s">
        <v>2111</v>
      </c>
      <c r="G13320" t="s">
        <v>1170</v>
      </c>
      <c r="H13320" t="s">
        <v>419</v>
      </c>
      <c r="I13320" t="s">
        <v>249</v>
      </c>
      <c r="J13320" t="s">
        <v>1400</v>
      </c>
      <c r="K13320" t="s">
        <v>939</v>
      </c>
      <c r="L13320" t="s">
        <v>1375</v>
      </c>
      <c r="M13320" t="s">
        <v>572</v>
      </c>
      <c r="N13320" t="s">
        <v>1133</v>
      </c>
      <c r="O13320" t="s">
        <v>251</v>
      </c>
    </row>
    <row r="13321" spans="1:15" s="3" customFormat="1" x14ac:dyDescent="0.3">
      <c r="A13321" s="3" t="s">
        <v>26</v>
      </c>
      <c r="B13321" s="3" t="s">
        <v>2765</v>
      </c>
      <c r="C13321" s="3">
        <v>26</v>
      </c>
      <c r="D13321" s="3" t="s">
        <v>558</v>
      </c>
      <c r="E13321" s="3" t="s">
        <v>231</v>
      </c>
      <c r="F13321" s="3" t="s">
        <v>498</v>
      </c>
      <c r="G13321" s="3" t="s">
        <v>129</v>
      </c>
      <c r="H13321" s="3" t="s">
        <v>380</v>
      </c>
      <c r="I13321" s="3" t="s">
        <v>583</v>
      </c>
      <c r="J13321" s="3" t="s">
        <v>374</v>
      </c>
      <c r="K13321" s="3" t="s">
        <v>560</v>
      </c>
      <c r="L13321" s="3" t="s">
        <v>659</v>
      </c>
      <c r="M13321" s="3" t="s">
        <v>556</v>
      </c>
      <c r="N13321" s="3" t="s">
        <v>1356</v>
      </c>
      <c r="O13321" s="3" t="s">
        <v>117</v>
      </c>
    </row>
    <row r="13322" spans="1:15" s="3" customFormat="1" x14ac:dyDescent="0.3">
      <c r="A13322" s="3" t="s">
        <v>26</v>
      </c>
      <c r="B13322" s="3" t="s">
        <v>586</v>
      </c>
      <c r="C13322" s="3">
        <v>4</v>
      </c>
      <c r="D13322" s="3" t="s">
        <v>103</v>
      </c>
      <c r="E13322" s="3" t="s">
        <v>1048</v>
      </c>
      <c r="F13322" s="3" t="s">
        <v>1394</v>
      </c>
      <c r="G13322" s="3" t="s">
        <v>788</v>
      </c>
      <c r="H13322" s="3" t="s">
        <v>788</v>
      </c>
      <c r="I13322" s="3" t="s">
        <v>103</v>
      </c>
      <c r="J13322" s="3" t="s">
        <v>1048</v>
      </c>
      <c r="K13322" s="3" t="s">
        <v>788</v>
      </c>
      <c r="L13322" s="3" t="s">
        <v>1037</v>
      </c>
      <c r="M13322" s="3" t="s">
        <v>103</v>
      </c>
      <c r="N13322" s="3" t="s">
        <v>51</v>
      </c>
      <c r="O13322" s="3" t="s">
        <v>103</v>
      </c>
    </row>
    <row r="13323" spans="1:15" s="3" customFormat="1" x14ac:dyDescent="0.3">
      <c r="A13323" s="3" t="s">
        <v>26</v>
      </c>
      <c r="B13323" s="3" t="s">
        <v>587</v>
      </c>
      <c r="C13323" s="3">
        <v>8</v>
      </c>
      <c r="D13323" s="3" t="s">
        <v>978</v>
      </c>
      <c r="E13323" s="3" t="s">
        <v>189</v>
      </c>
      <c r="F13323" s="3" t="s">
        <v>189</v>
      </c>
      <c r="G13323" s="3" t="s">
        <v>978</v>
      </c>
      <c r="H13323" s="3" t="s">
        <v>978</v>
      </c>
      <c r="I13323" s="3" t="s">
        <v>379</v>
      </c>
      <c r="J13323" s="3" t="s">
        <v>61</v>
      </c>
      <c r="K13323" s="3" t="s">
        <v>1216</v>
      </c>
      <c r="L13323" s="3" t="s">
        <v>1135</v>
      </c>
      <c r="M13323" s="3" t="s">
        <v>475</v>
      </c>
      <c r="N13323" s="3" t="s">
        <v>302</v>
      </c>
      <c r="O13323" s="3" t="s">
        <v>103</v>
      </c>
    </row>
    <row r="13324" spans="1:15" s="3" customFormat="1" x14ac:dyDescent="0.3">
      <c r="A13324" s="3" t="s">
        <v>26</v>
      </c>
      <c r="B13324" s="3" t="s">
        <v>588</v>
      </c>
      <c r="C13324" s="3">
        <v>4</v>
      </c>
      <c r="D13324" s="3" t="s">
        <v>103</v>
      </c>
      <c r="E13324" s="3" t="s">
        <v>724</v>
      </c>
      <c r="F13324" s="3" t="s">
        <v>1066</v>
      </c>
      <c r="G13324" s="3" t="s">
        <v>301</v>
      </c>
      <c r="H13324" s="3" t="s">
        <v>1066</v>
      </c>
      <c r="I13324" s="3" t="s">
        <v>50</v>
      </c>
      <c r="J13324" s="3" t="s">
        <v>664</v>
      </c>
      <c r="K13324" s="3" t="s">
        <v>1066</v>
      </c>
      <c r="L13324" s="3" t="s">
        <v>724</v>
      </c>
      <c r="M13324" s="3" t="s">
        <v>103</v>
      </c>
      <c r="N13324" s="3" t="s">
        <v>2111</v>
      </c>
      <c r="O13324" s="3" t="s">
        <v>103</v>
      </c>
    </row>
    <row r="13325" spans="1:15" x14ac:dyDescent="0.3">
      <c r="A13325" t="s">
        <v>26</v>
      </c>
      <c r="B13325" t="s">
        <v>2766</v>
      </c>
      <c r="C13325">
        <v>435</v>
      </c>
      <c r="D13325" t="s">
        <v>1219</v>
      </c>
      <c r="E13325" t="s">
        <v>1044</v>
      </c>
      <c r="F13325" t="s">
        <v>1215</v>
      </c>
      <c r="G13325" t="s">
        <v>404</v>
      </c>
      <c r="H13325" t="s">
        <v>510</v>
      </c>
      <c r="I13325" t="s">
        <v>464</v>
      </c>
      <c r="J13325" t="s">
        <v>892</v>
      </c>
      <c r="K13325" t="s">
        <v>367</v>
      </c>
      <c r="L13325" t="s">
        <v>621</v>
      </c>
      <c r="M13325" t="s">
        <v>525</v>
      </c>
      <c r="N13325" t="s">
        <v>1240</v>
      </c>
      <c r="O13325" t="s">
        <v>269</v>
      </c>
    </row>
    <row r="13326" spans="1:15" s="3" customFormat="1" x14ac:dyDescent="0.3">
      <c r="A13326" s="3" t="s">
        <v>29</v>
      </c>
      <c r="B13326" s="3" t="s">
        <v>2765</v>
      </c>
      <c r="C13326" s="3">
        <v>30</v>
      </c>
      <c r="D13326" s="3" t="s">
        <v>932</v>
      </c>
      <c r="E13326" s="3" t="s">
        <v>1675</v>
      </c>
      <c r="F13326" s="3" t="s">
        <v>1325</v>
      </c>
      <c r="G13326" s="3" t="s">
        <v>1321</v>
      </c>
      <c r="H13326" s="3" t="s">
        <v>1549</v>
      </c>
      <c r="I13326" s="3" t="s">
        <v>696</v>
      </c>
      <c r="J13326" s="3" t="s">
        <v>1462</v>
      </c>
      <c r="K13326" s="3" t="s">
        <v>510</v>
      </c>
      <c r="L13326" s="3" t="s">
        <v>659</v>
      </c>
      <c r="M13326" s="3" t="s">
        <v>435</v>
      </c>
      <c r="N13326" s="3" t="s">
        <v>540</v>
      </c>
      <c r="O13326" s="3" t="s">
        <v>70</v>
      </c>
    </row>
    <row r="13327" spans="1:15" s="3" customFormat="1" x14ac:dyDescent="0.3">
      <c r="A13327" s="3" t="s">
        <v>29</v>
      </c>
      <c r="B13327" s="3" t="s">
        <v>585</v>
      </c>
      <c r="C13327" s="3">
        <v>6</v>
      </c>
      <c r="D13327" s="3" t="s">
        <v>813</v>
      </c>
      <c r="E13327" s="3" t="s">
        <v>813</v>
      </c>
      <c r="F13327" s="3" t="s">
        <v>791</v>
      </c>
      <c r="G13327" s="3" t="s">
        <v>226</v>
      </c>
      <c r="H13327" s="3" t="s">
        <v>103</v>
      </c>
      <c r="I13327" s="3" t="s">
        <v>526</v>
      </c>
      <c r="J13327" s="3" t="s">
        <v>299</v>
      </c>
      <c r="K13327" s="3" t="s">
        <v>103</v>
      </c>
      <c r="L13327" s="3" t="s">
        <v>654</v>
      </c>
      <c r="M13327" s="3" t="s">
        <v>103</v>
      </c>
      <c r="N13327" s="3" t="s">
        <v>103</v>
      </c>
      <c r="O13327" s="3" t="s">
        <v>565</v>
      </c>
    </row>
    <row r="13328" spans="1:15" s="3" customFormat="1" x14ac:dyDescent="0.3">
      <c r="A13328" s="3" t="s">
        <v>29</v>
      </c>
      <c r="B13328" s="3" t="s">
        <v>586</v>
      </c>
      <c r="C13328" s="3">
        <v>12</v>
      </c>
      <c r="D13328" s="3" t="s">
        <v>541</v>
      </c>
      <c r="E13328" s="3" t="s">
        <v>1058</v>
      </c>
      <c r="F13328" s="3" t="s">
        <v>509</v>
      </c>
      <c r="G13328" s="3" t="s">
        <v>416</v>
      </c>
      <c r="H13328" s="3" t="s">
        <v>1090</v>
      </c>
      <c r="I13328" s="3" t="s">
        <v>1090</v>
      </c>
      <c r="J13328" s="3" t="s">
        <v>933</v>
      </c>
      <c r="K13328" s="3" t="s">
        <v>256</v>
      </c>
      <c r="L13328" s="3" t="s">
        <v>541</v>
      </c>
      <c r="M13328" s="3" t="s">
        <v>136</v>
      </c>
      <c r="N13328" s="3" t="s">
        <v>136</v>
      </c>
      <c r="O13328" s="3" t="s">
        <v>155</v>
      </c>
    </row>
    <row r="13329" spans="1:15" s="3" customFormat="1" x14ac:dyDescent="0.3">
      <c r="A13329" s="3" t="s">
        <v>29</v>
      </c>
      <c r="B13329" s="3" t="s">
        <v>587</v>
      </c>
      <c r="C13329" s="3">
        <v>3</v>
      </c>
      <c r="D13329" s="3" t="s">
        <v>396</v>
      </c>
      <c r="E13329" s="3" t="s">
        <v>889</v>
      </c>
      <c r="F13329" s="3" t="s">
        <v>889</v>
      </c>
      <c r="G13329" s="3" t="s">
        <v>889</v>
      </c>
      <c r="H13329" s="3" t="s">
        <v>889</v>
      </c>
      <c r="I13329" s="3" t="s">
        <v>889</v>
      </c>
      <c r="J13329" s="3" t="s">
        <v>889</v>
      </c>
      <c r="K13329" s="3" t="s">
        <v>396</v>
      </c>
      <c r="L13329" s="3" t="s">
        <v>889</v>
      </c>
      <c r="M13329" s="3" t="s">
        <v>396</v>
      </c>
      <c r="N13329" s="3" t="s">
        <v>889</v>
      </c>
      <c r="O13329" s="3" t="s">
        <v>890</v>
      </c>
    </row>
    <row r="13330" spans="1:15" s="3" customFormat="1" x14ac:dyDescent="0.3">
      <c r="A13330" s="3" t="s">
        <v>29</v>
      </c>
      <c r="B13330" s="3" t="s">
        <v>588</v>
      </c>
      <c r="C13330" s="3">
        <v>15</v>
      </c>
      <c r="D13330" s="3" t="s">
        <v>736</v>
      </c>
      <c r="E13330" s="3" t="s">
        <v>704</v>
      </c>
      <c r="F13330" s="3" t="s">
        <v>678</v>
      </c>
      <c r="G13330" s="3" t="s">
        <v>1181</v>
      </c>
      <c r="H13330" s="3" t="s">
        <v>1181</v>
      </c>
      <c r="I13330" s="3" t="s">
        <v>1676</v>
      </c>
      <c r="J13330" s="3" t="s">
        <v>1199</v>
      </c>
      <c r="K13330" s="3" t="s">
        <v>793</v>
      </c>
      <c r="L13330" s="3" t="s">
        <v>401</v>
      </c>
      <c r="M13330" s="3" t="s">
        <v>401</v>
      </c>
      <c r="N13330" s="3" t="s">
        <v>480</v>
      </c>
      <c r="O13330" s="3" t="s">
        <v>578</v>
      </c>
    </row>
    <row r="13331" spans="1:15" x14ac:dyDescent="0.3">
      <c r="A13331" t="s">
        <v>29</v>
      </c>
      <c r="B13331" t="s">
        <v>2766</v>
      </c>
      <c r="C13331">
        <v>464</v>
      </c>
      <c r="D13331" t="s">
        <v>1007</v>
      </c>
      <c r="E13331" t="s">
        <v>1375</v>
      </c>
      <c r="F13331" t="s">
        <v>722</v>
      </c>
      <c r="G13331" t="s">
        <v>1558</v>
      </c>
      <c r="H13331" t="s">
        <v>425</v>
      </c>
      <c r="I13331" t="s">
        <v>1030</v>
      </c>
      <c r="J13331" t="s">
        <v>1068</v>
      </c>
      <c r="K13331" t="s">
        <v>535</v>
      </c>
      <c r="L13331" t="s">
        <v>694</v>
      </c>
      <c r="M13331" t="s">
        <v>1097</v>
      </c>
      <c r="N13331" t="s">
        <v>465</v>
      </c>
      <c r="O13331" t="s">
        <v>167</v>
      </c>
    </row>
    <row r="13332" spans="1:15" s="3" customFormat="1" x14ac:dyDescent="0.3">
      <c r="A13332" s="3" t="s">
        <v>28</v>
      </c>
      <c r="B13332" s="3" t="s">
        <v>2765</v>
      </c>
      <c r="C13332" s="3">
        <v>6</v>
      </c>
      <c r="D13332" s="3" t="s">
        <v>304</v>
      </c>
      <c r="E13332" s="3" t="s">
        <v>174</v>
      </c>
      <c r="F13332" s="3" t="s">
        <v>174</v>
      </c>
      <c r="G13332" s="3" t="s">
        <v>603</v>
      </c>
      <c r="H13332" s="3" t="s">
        <v>174</v>
      </c>
      <c r="I13332" s="3" t="s">
        <v>603</v>
      </c>
      <c r="J13332" s="3" t="s">
        <v>372</v>
      </c>
      <c r="K13332" s="3" t="s">
        <v>932</v>
      </c>
      <c r="L13332" s="3" t="s">
        <v>603</v>
      </c>
      <c r="M13332" s="3" t="s">
        <v>686</v>
      </c>
      <c r="N13332" s="3" t="s">
        <v>304</v>
      </c>
      <c r="O13332" s="3" t="s">
        <v>103</v>
      </c>
    </row>
    <row r="13333" spans="1:15" s="3" customFormat="1" x14ac:dyDescent="0.3">
      <c r="A13333" s="3" t="s">
        <v>28</v>
      </c>
      <c r="B13333" s="3" t="s">
        <v>585</v>
      </c>
      <c r="C13333" s="3">
        <v>8</v>
      </c>
      <c r="D13333" s="3" t="s">
        <v>156</v>
      </c>
      <c r="E13333" s="3" t="s">
        <v>156</v>
      </c>
      <c r="F13333" s="3" t="s">
        <v>1361</v>
      </c>
      <c r="G13333" s="3" t="s">
        <v>1509</v>
      </c>
      <c r="H13333" s="3" t="s">
        <v>821</v>
      </c>
      <c r="I13333" s="3" t="s">
        <v>156</v>
      </c>
      <c r="J13333" s="3" t="s">
        <v>598</v>
      </c>
      <c r="K13333" s="3" t="s">
        <v>821</v>
      </c>
      <c r="L13333" s="3" t="s">
        <v>156</v>
      </c>
      <c r="M13333" s="3" t="s">
        <v>419</v>
      </c>
      <c r="N13333" s="3" t="s">
        <v>1361</v>
      </c>
      <c r="O13333" s="3" t="s">
        <v>103</v>
      </c>
    </row>
    <row r="13334" spans="1:15" s="3" customFormat="1" x14ac:dyDescent="0.3">
      <c r="A13334" s="3" t="s">
        <v>28</v>
      </c>
      <c r="B13334" s="3" t="s">
        <v>586</v>
      </c>
      <c r="C13334" s="3">
        <v>6</v>
      </c>
      <c r="D13334" s="3" t="s">
        <v>1046</v>
      </c>
      <c r="E13334" s="3" t="s">
        <v>192</v>
      </c>
      <c r="F13334" s="3" t="s">
        <v>614</v>
      </c>
      <c r="G13334" s="3" t="s">
        <v>1011</v>
      </c>
      <c r="H13334" s="3" t="s">
        <v>1065</v>
      </c>
      <c r="I13334" s="3" t="s">
        <v>1425</v>
      </c>
      <c r="J13334" s="3" t="s">
        <v>654</v>
      </c>
      <c r="K13334" s="3" t="s">
        <v>111</v>
      </c>
      <c r="L13334" s="3" t="s">
        <v>1390</v>
      </c>
      <c r="M13334" s="3" t="s">
        <v>111</v>
      </c>
      <c r="N13334" s="3" t="s">
        <v>545</v>
      </c>
      <c r="O13334" s="3" t="s">
        <v>103</v>
      </c>
    </row>
    <row r="13335" spans="1:15" s="3" customFormat="1" x14ac:dyDescent="0.3">
      <c r="A13335" s="3" t="s">
        <v>28</v>
      </c>
      <c r="B13335" s="3" t="s">
        <v>587</v>
      </c>
      <c r="C13335" s="3">
        <v>11</v>
      </c>
      <c r="D13335" s="3" t="s">
        <v>151</v>
      </c>
      <c r="E13335" s="3" t="s">
        <v>864</v>
      </c>
      <c r="F13335" s="3" t="s">
        <v>864</v>
      </c>
      <c r="G13335" s="3" t="s">
        <v>869</v>
      </c>
      <c r="H13335" s="3" t="s">
        <v>151</v>
      </c>
      <c r="I13335" s="3" t="s">
        <v>1456</v>
      </c>
      <c r="J13335" s="3" t="s">
        <v>869</v>
      </c>
      <c r="K13335" s="3" t="s">
        <v>1456</v>
      </c>
      <c r="L13335" s="3" t="s">
        <v>151</v>
      </c>
      <c r="M13335" s="3" t="s">
        <v>1017</v>
      </c>
      <c r="N13335" s="3" t="s">
        <v>1456</v>
      </c>
      <c r="O13335" s="3" t="s">
        <v>103</v>
      </c>
    </row>
    <row r="13336" spans="1:15" x14ac:dyDescent="0.3">
      <c r="A13336" t="s">
        <v>28</v>
      </c>
      <c r="B13336" t="s">
        <v>588</v>
      </c>
      <c r="C13336">
        <v>33</v>
      </c>
      <c r="D13336" t="s">
        <v>51</v>
      </c>
      <c r="E13336" t="s">
        <v>837</v>
      </c>
      <c r="F13336" t="s">
        <v>1134</v>
      </c>
      <c r="G13336" t="s">
        <v>1142</v>
      </c>
      <c r="H13336" t="s">
        <v>434</v>
      </c>
      <c r="I13336" t="s">
        <v>905</v>
      </c>
      <c r="J13336" t="s">
        <v>1131</v>
      </c>
      <c r="K13336" t="s">
        <v>1037</v>
      </c>
      <c r="L13336" t="s">
        <v>757</v>
      </c>
      <c r="M13336" t="s">
        <v>1238</v>
      </c>
      <c r="N13336" t="s">
        <v>1133</v>
      </c>
      <c r="O13336" t="s">
        <v>103</v>
      </c>
    </row>
    <row r="13337" spans="1:15" x14ac:dyDescent="0.3">
      <c r="A13337" t="s">
        <v>28</v>
      </c>
      <c r="B13337" t="s">
        <v>2766</v>
      </c>
      <c r="C13337">
        <v>253</v>
      </c>
      <c r="D13337" t="s">
        <v>1461</v>
      </c>
      <c r="E13337" t="s">
        <v>821</v>
      </c>
      <c r="F13337" t="s">
        <v>1259</v>
      </c>
      <c r="G13337" t="s">
        <v>1030</v>
      </c>
      <c r="H13337" t="s">
        <v>432</v>
      </c>
      <c r="I13337" t="s">
        <v>298</v>
      </c>
      <c r="J13337" t="s">
        <v>823</v>
      </c>
      <c r="K13337" t="s">
        <v>1236</v>
      </c>
      <c r="L13337" t="s">
        <v>351</v>
      </c>
      <c r="M13337" t="s">
        <v>498</v>
      </c>
      <c r="N13337" t="s">
        <v>1292</v>
      </c>
      <c r="O13337" t="s">
        <v>146</v>
      </c>
    </row>
    <row r="13338" spans="1:15" x14ac:dyDescent="0.3">
      <c r="A13338" t="s">
        <v>27</v>
      </c>
      <c r="B13338" t="s">
        <v>2765</v>
      </c>
      <c r="C13338">
        <v>92</v>
      </c>
      <c r="D13338" t="s">
        <v>64</v>
      </c>
      <c r="E13338" t="s">
        <v>1356</v>
      </c>
      <c r="F13338" t="s">
        <v>369</v>
      </c>
      <c r="G13338" t="s">
        <v>407</v>
      </c>
      <c r="H13338" t="s">
        <v>572</v>
      </c>
      <c r="I13338" t="s">
        <v>541</v>
      </c>
      <c r="J13338" t="s">
        <v>544</v>
      </c>
      <c r="K13338" t="s">
        <v>266</v>
      </c>
      <c r="L13338" t="s">
        <v>516</v>
      </c>
      <c r="M13338" t="s">
        <v>272</v>
      </c>
      <c r="N13338" t="s">
        <v>1096</v>
      </c>
      <c r="O13338" t="s">
        <v>262</v>
      </c>
    </row>
    <row r="13339" spans="1:15" s="3" customFormat="1" x14ac:dyDescent="0.3">
      <c r="A13339" s="3" t="s">
        <v>27</v>
      </c>
      <c r="B13339" s="3" t="s">
        <v>585</v>
      </c>
      <c r="C13339" s="3">
        <v>1</v>
      </c>
      <c r="D13339" s="3" t="s">
        <v>103</v>
      </c>
      <c r="E13339" s="3" t="s">
        <v>192</v>
      </c>
      <c r="F13339" s="3" t="s">
        <v>103</v>
      </c>
      <c r="G13339" s="3" t="s">
        <v>192</v>
      </c>
      <c r="H13339" s="3" t="s">
        <v>103</v>
      </c>
      <c r="I13339" s="3" t="s">
        <v>103</v>
      </c>
      <c r="J13339" s="3" t="s">
        <v>103</v>
      </c>
      <c r="K13339" s="3" t="s">
        <v>103</v>
      </c>
      <c r="L13339" s="3" t="s">
        <v>103</v>
      </c>
      <c r="M13339" s="3" t="s">
        <v>103</v>
      </c>
      <c r="N13339" s="3" t="s">
        <v>103</v>
      </c>
      <c r="O13339" s="3" t="s">
        <v>103</v>
      </c>
    </row>
    <row r="13340" spans="1:15" s="3" customFormat="1" x14ac:dyDescent="0.3">
      <c r="A13340" s="3" t="s">
        <v>27</v>
      </c>
      <c r="B13340" s="3" t="s">
        <v>586</v>
      </c>
      <c r="C13340" s="3">
        <v>1</v>
      </c>
      <c r="D13340" s="3" t="s">
        <v>103</v>
      </c>
      <c r="E13340" s="3" t="s">
        <v>103</v>
      </c>
      <c r="F13340" s="3" t="s">
        <v>103</v>
      </c>
      <c r="G13340" s="3" t="s">
        <v>103</v>
      </c>
      <c r="H13340" s="3" t="s">
        <v>103</v>
      </c>
      <c r="I13340" s="3" t="s">
        <v>103</v>
      </c>
      <c r="J13340" s="3" t="s">
        <v>192</v>
      </c>
      <c r="K13340" s="3" t="s">
        <v>192</v>
      </c>
      <c r="L13340" s="3" t="s">
        <v>192</v>
      </c>
      <c r="M13340" s="3" t="s">
        <v>103</v>
      </c>
      <c r="N13340" s="3" t="s">
        <v>192</v>
      </c>
      <c r="O13340" s="3" t="s">
        <v>103</v>
      </c>
    </row>
    <row r="13341" spans="1:15" s="3" customFormat="1" x14ac:dyDescent="0.3">
      <c r="A13341" s="3" t="s">
        <v>27</v>
      </c>
      <c r="B13341" s="3" t="s">
        <v>588</v>
      </c>
      <c r="C13341" s="3">
        <v>3</v>
      </c>
      <c r="D13341" s="3" t="s">
        <v>103</v>
      </c>
      <c r="E13341" s="3" t="s">
        <v>192</v>
      </c>
      <c r="F13341" s="3" t="s">
        <v>658</v>
      </c>
      <c r="G13341" s="3" t="s">
        <v>204</v>
      </c>
      <c r="H13341" s="3" t="s">
        <v>192</v>
      </c>
      <c r="I13341" s="3" t="s">
        <v>1258</v>
      </c>
      <c r="J13341" s="3" t="s">
        <v>798</v>
      </c>
      <c r="K13341" s="3" t="s">
        <v>658</v>
      </c>
      <c r="L13341" s="3" t="s">
        <v>192</v>
      </c>
      <c r="M13341" s="3" t="s">
        <v>658</v>
      </c>
      <c r="N13341" s="3" t="s">
        <v>705</v>
      </c>
      <c r="O13341" s="3" t="s">
        <v>103</v>
      </c>
    </row>
    <row r="13342" spans="1:15" x14ac:dyDescent="0.3">
      <c r="A13342" t="s">
        <v>27</v>
      </c>
      <c r="B13342" t="s">
        <v>2766</v>
      </c>
      <c r="C13342">
        <v>203</v>
      </c>
      <c r="D13342" t="s">
        <v>819</v>
      </c>
      <c r="E13342" t="s">
        <v>1242</v>
      </c>
      <c r="F13342" t="s">
        <v>920</v>
      </c>
      <c r="G13342" t="s">
        <v>1207</v>
      </c>
      <c r="H13342" t="s">
        <v>471</v>
      </c>
      <c r="I13342" t="s">
        <v>1038</v>
      </c>
      <c r="J13342" t="s">
        <v>1065</v>
      </c>
      <c r="K13342" t="s">
        <v>819</v>
      </c>
      <c r="L13342" t="s">
        <v>1057</v>
      </c>
      <c r="M13342" t="s">
        <v>481</v>
      </c>
      <c r="N13342" t="s">
        <v>593</v>
      </c>
      <c r="O13342" t="s">
        <v>124</v>
      </c>
    </row>
    <row r="13343" spans="1:15" x14ac:dyDescent="0.3">
      <c r="A13343" t="s">
        <v>41</v>
      </c>
      <c r="B13343" t="s">
        <v>2765</v>
      </c>
      <c r="C13343">
        <v>170</v>
      </c>
      <c r="D13343" t="s">
        <v>648</v>
      </c>
      <c r="E13343" t="s">
        <v>814</v>
      </c>
      <c r="F13343" t="s">
        <v>748</v>
      </c>
      <c r="G13343" t="s">
        <v>424</v>
      </c>
      <c r="H13343" t="s">
        <v>386</v>
      </c>
      <c r="I13343" t="s">
        <v>538</v>
      </c>
      <c r="J13343" t="s">
        <v>1065</v>
      </c>
      <c r="K13343" t="s">
        <v>648</v>
      </c>
      <c r="L13343" t="s">
        <v>138</v>
      </c>
      <c r="M13343" t="s">
        <v>654</v>
      </c>
      <c r="N13343" t="s">
        <v>436</v>
      </c>
      <c r="O13343" t="s">
        <v>494</v>
      </c>
    </row>
    <row r="13344" spans="1:15" s="3" customFormat="1" x14ac:dyDescent="0.3">
      <c r="A13344" s="3" t="s">
        <v>41</v>
      </c>
      <c r="B13344" s="3" t="s">
        <v>585</v>
      </c>
      <c r="C13344" s="3">
        <v>20</v>
      </c>
      <c r="D13344" s="3" t="s">
        <v>797</v>
      </c>
      <c r="E13344" s="3" t="s">
        <v>432</v>
      </c>
      <c r="F13344" s="3" t="s">
        <v>794</v>
      </c>
      <c r="G13344" s="3" t="s">
        <v>426</v>
      </c>
      <c r="H13344" s="3" t="s">
        <v>236</v>
      </c>
      <c r="I13344" s="3" t="s">
        <v>1043</v>
      </c>
      <c r="J13344" s="3" t="s">
        <v>1462</v>
      </c>
      <c r="K13344" s="3" t="s">
        <v>236</v>
      </c>
      <c r="L13344" s="3" t="s">
        <v>1216</v>
      </c>
      <c r="M13344" s="3" t="s">
        <v>1226</v>
      </c>
      <c r="N13344" s="3" t="s">
        <v>1211</v>
      </c>
      <c r="O13344" s="3" t="s">
        <v>518</v>
      </c>
    </row>
    <row r="13345" spans="1:15" x14ac:dyDescent="0.3">
      <c r="A13345" t="s">
        <v>41</v>
      </c>
      <c r="B13345" t="s">
        <v>586</v>
      </c>
      <c r="C13345">
        <v>40</v>
      </c>
      <c r="D13345" t="s">
        <v>363</v>
      </c>
      <c r="E13345" t="s">
        <v>899</v>
      </c>
      <c r="F13345" t="s">
        <v>1096</v>
      </c>
      <c r="G13345" t="s">
        <v>1034</v>
      </c>
      <c r="H13345" t="s">
        <v>425</v>
      </c>
      <c r="I13345" t="s">
        <v>655</v>
      </c>
      <c r="J13345" t="s">
        <v>2033</v>
      </c>
      <c r="K13345" t="s">
        <v>938</v>
      </c>
      <c r="L13345" t="s">
        <v>892</v>
      </c>
      <c r="M13345" t="s">
        <v>671</v>
      </c>
      <c r="N13345" t="s">
        <v>1250</v>
      </c>
      <c r="O13345" t="s">
        <v>108</v>
      </c>
    </row>
    <row r="13346" spans="1:15" s="3" customFormat="1" x14ac:dyDescent="0.3">
      <c r="A13346" s="3" t="s">
        <v>41</v>
      </c>
      <c r="B13346" s="3" t="s">
        <v>587</v>
      </c>
      <c r="C13346" s="3">
        <v>24</v>
      </c>
      <c r="D13346" s="3" t="s">
        <v>1046</v>
      </c>
      <c r="E13346" s="3" t="s">
        <v>776</v>
      </c>
      <c r="F13346" s="3" t="s">
        <v>1144</v>
      </c>
      <c r="G13346" s="3" t="s">
        <v>757</v>
      </c>
      <c r="H13346" s="3" t="s">
        <v>204</v>
      </c>
      <c r="I13346" s="3" t="s">
        <v>823</v>
      </c>
      <c r="J13346" s="3" t="s">
        <v>163</v>
      </c>
      <c r="K13346" s="3" t="s">
        <v>487</v>
      </c>
      <c r="L13346" s="3" t="s">
        <v>603</v>
      </c>
      <c r="M13346" s="3" t="s">
        <v>1011</v>
      </c>
      <c r="N13346" s="3" t="s">
        <v>1362</v>
      </c>
      <c r="O13346" s="3" t="s">
        <v>93</v>
      </c>
    </row>
    <row r="13347" spans="1:15" x14ac:dyDescent="0.3">
      <c r="A13347" t="s">
        <v>41</v>
      </c>
      <c r="B13347" t="s">
        <v>588</v>
      </c>
      <c r="C13347">
        <v>75</v>
      </c>
      <c r="D13347" t="s">
        <v>415</v>
      </c>
      <c r="E13347" t="s">
        <v>330</v>
      </c>
      <c r="F13347" t="s">
        <v>2109</v>
      </c>
      <c r="G13347" t="s">
        <v>1420</v>
      </c>
      <c r="H13347" t="s">
        <v>2111</v>
      </c>
      <c r="I13347" t="s">
        <v>383</v>
      </c>
      <c r="J13347" t="s">
        <v>379</v>
      </c>
      <c r="K13347" t="s">
        <v>722</v>
      </c>
      <c r="L13347" t="s">
        <v>1578</v>
      </c>
      <c r="M13347" t="s">
        <v>422</v>
      </c>
      <c r="N13347" t="s">
        <v>661</v>
      </c>
      <c r="O13347" t="s">
        <v>100</v>
      </c>
    </row>
    <row r="13348" spans="1:15" x14ac:dyDescent="0.3">
      <c r="A13348" t="s">
        <v>41</v>
      </c>
      <c r="B13348" t="s">
        <v>2766</v>
      </c>
      <c r="C13348">
        <v>1709</v>
      </c>
      <c r="D13348" t="s">
        <v>465</v>
      </c>
      <c r="E13348" t="s">
        <v>1094</v>
      </c>
      <c r="F13348" t="s">
        <v>678</v>
      </c>
      <c r="G13348" t="s">
        <v>1067</v>
      </c>
      <c r="H13348" t="s">
        <v>359</v>
      </c>
      <c r="I13348" t="s">
        <v>225</v>
      </c>
      <c r="J13348" t="s">
        <v>406</v>
      </c>
      <c r="K13348" t="s">
        <v>355</v>
      </c>
      <c r="L13348" t="s">
        <v>1000</v>
      </c>
      <c r="M13348" t="s">
        <v>376</v>
      </c>
      <c r="N13348" t="s">
        <v>1236</v>
      </c>
      <c r="O13348" t="s">
        <v>123</v>
      </c>
    </row>
    <row r="13350" spans="1:15" x14ac:dyDescent="0.3">
      <c r="A13350" t="s">
        <v>2925</v>
      </c>
    </row>
    <row r="13351" spans="1:15" x14ac:dyDescent="0.3">
      <c r="A13351" t="s">
        <v>36</v>
      </c>
      <c r="B13351" t="s">
        <v>2768</v>
      </c>
      <c r="C13351" t="s">
        <v>24</v>
      </c>
      <c r="D13351" t="s">
        <v>2906</v>
      </c>
      <c r="E13351" t="s">
        <v>2907</v>
      </c>
      <c r="F13351" t="s">
        <v>2908</v>
      </c>
      <c r="G13351" t="s">
        <v>2909</v>
      </c>
      <c r="H13351" t="s">
        <v>2910</v>
      </c>
      <c r="I13351" t="s">
        <v>2911</v>
      </c>
      <c r="J13351" t="s">
        <v>2912</v>
      </c>
      <c r="K13351" t="s">
        <v>2913</v>
      </c>
      <c r="L13351" t="s">
        <v>2914</v>
      </c>
      <c r="M13351" t="s">
        <v>2915</v>
      </c>
      <c r="N13351" t="s">
        <v>2916</v>
      </c>
      <c r="O13351" t="s">
        <v>2917</v>
      </c>
    </row>
    <row r="13352" spans="1:15" s="3" customFormat="1" x14ac:dyDescent="0.3">
      <c r="A13352" s="3" t="s">
        <v>25</v>
      </c>
      <c r="B13352" s="3" t="s">
        <v>638</v>
      </c>
      <c r="C13352" s="3">
        <v>5</v>
      </c>
      <c r="D13352" s="3" t="s">
        <v>871</v>
      </c>
      <c r="E13352" s="3" t="s">
        <v>192</v>
      </c>
      <c r="F13352" s="3" t="s">
        <v>192</v>
      </c>
      <c r="G13352" s="3" t="s">
        <v>1354</v>
      </c>
      <c r="H13352" s="3" t="s">
        <v>1354</v>
      </c>
      <c r="I13352" s="3" t="s">
        <v>1354</v>
      </c>
      <c r="J13352" s="3" t="s">
        <v>192</v>
      </c>
      <c r="K13352" s="3" t="s">
        <v>1354</v>
      </c>
      <c r="L13352" s="3" t="s">
        <v>1354</v>
      </c>
      <c r="M13352" s="3" t="s">
        <v>1354</v>
      </c>
      <c r="N13352" s="3" t="s">
        <v>861</v>
      </c>
      <c r="O13352" s="3" t="s">
        <v>103</v>
      </c>
    </row>
    <row r="13353" spans="1:15" s="3" customFormat="1" x14ac:dyDescent="0.3">
      <c r="A13353" s="3" t="s">
        <v>25</v>
      </c>
      <c r="B13353" s="3" t="s">
        <v>639</v>
      </c>
      <c r="C13353" s="3">
        <v>13</v>
      </c>
      <c r="D13353" s="3" t="s">
        <v>370</v>
      </c>
      <c r="E13353" s="3" t="s">
        <v>289</v>
      </c>
      <c r="F13353" s="3" t="s">
        <v>192</v>
      </c>
      <c r="G13353" s="3" t="s">
        <v>1426</v>
      </c>
      <c r="H13353" s="3" t="s">
        <v>1009</v>
      </c>
      <c r="I13353" s="3" t="s">
        <v>371</v>
      </c>
      <c r="J13353" s="3" t="s">
        <v>986</v>
      </c>
      <c r="K13353" s="3" t="s">
        <v>426</v>
      </c>
      <c r="L13353" s="3" t="s">
        <v>349</v>
      </c>
      <c r="M13353" s="3" t="s">
        <v>929</v>
      </c>
      <c r="N13353" s="3" t="s">
        <v>1197</v>
      </c>
      <c r="O13353" s="3" t="s">
        <v>103</v>
      </c>
    </row>
    <row r="13354" spans="1:15" s="3" customFormat="1" x14ac:dyDescent="0.3">
      <c r="A13354" s="3" t="s">
        <v>25</v>
      </c>
      <c r="B13354" s="3" t="s">
        <v>640</v>
      </c>
      <c r="C13354" s="3">
        <v>11</v>
      </c>
      <c r="D13354" s="3" t="s">
        <v>408</v>
      </c>
      <c r="E13354" s="3" t="s">
        <v>192</v>
      </c>
      <c r="F13354" s="3" t="s">
        <v>796</v>
      </c>
      <c r="G13354" s="3" t="s">
        <v>630</v>
      </c>
      <c r="H13354" s="3" t="s">
        <v>808</v>
      </c>
      <c r="I13354" s="3" t="s">
        <v>1317</v>
      </c>
      <c r="J13354" s="3" t="s">
        <v>203</v>
      </c>
      <c r="K13354" s="3" t="s">
        <v>1295</v>
      </c>
      <c r="L13354" s="3" t="s">
        <v>617</v>
      </c>
      <c r="M13354" s="3" t="s">
        <v>1295</v>
      </c>
      <c r="N13354" s="3" t="s">
        <v>1462</v>
      </c>
      <c r="O13354" s="3" t="s">
        <v>103</v>
      </c>
    </row>
    <row r="13355" spans="1:15" s="3" customFormat="1" x14ac:dyDescent="0.3">
      <c r="A13355" s="3" t="s">
        <v>25</v>
      </c>
      <c r="B13355" s="3" t="s">
        <v>2765</v>
      </c>
      <c r="C13355" s="3">
        <v>2</v>
      </c>
      <c r="D13355" s="3" t="s">
        <v>103</v>
      </c>
      <c r="E13355" s="3" t="s">
        <v>761</v>
      </c>
      <c r="F13355" s="3" t="s">
        <v>103</v>
      </c>
      <c r="G13355" s="3" t="s">
        <v>761</v>
      </c>
      <c r="H13355" s="3" t="s">
        <v>192</v>
      </c>
      <c r="I13355" s="3" t="s">
        <v>103</v>
      </c>
      <c r="J13355" s="3" t="s">
        <v>761</v>
      </c>
      <c r="K13355" s="3" t="s">
        <v>695</v>
      </c>
      <c r="L13355" s="3" t="s">
        <v>192</v>
      </c>
      <c r="M13355" s="3" t="s">
        <v>103</v>
      </c>
      <c r="N13355" s="3" t="s">
        <v>761</v>
      </c>
      <c r="O13355" s="3" t="s">
        <v>103</v>
      </c>
    </row>
    <row r="13356" spans="1:15" s="3" customFormat="1" x14ac:dyDescent="0.3">
      <c r="A13356" s="3" t="s">
        <v>25</v>
      </c>
      <c r="B13356" s="3" t="s">
        <v>641</v>
      </c>
      <c r="C13356" s="3">
        <v>8</v>
      </c>
      <c r="D13356" s="3" t="s">
        <v>213</v>
      </c>
      <c r="E13356" s="3" t="s">
        <v>192</v>
      </c>
      <c r="F13356" s="3" t="s">
        <v>383</v>
      </c>
      <c r="G13356" s="3" t="s">
        <v>151</v>
      </c>
      <c r="H13356" s="3" t="s">
        <v>143</v>
      </c>
      <c r="I13356" s="3" t="s">
        <v>416</v>
      </c>
      <c r="J13356" s="3" t="s">
        <v>192</v>
      </c>
      <c r="K13356" s="3" t="s">
        <v>258</v>
      </c>
      <c r="L13356" s="3" t="s">
        <v>213</v>
      </c>
      <c r="M13356" s="3" t="s">
        <v>395</v>
      </c>
      <c r="N13356" s="3" t="s">
        <v>984</v>
      </c>
      <c r="O13356" s="3" t="s">
        <v>103</v>
      </c>
    </row>
    <row r="13357" spans="1:15" s="3" customFormat="1" x14ac:dyDescent="0.3">
      <c r="A13357" s="3" t="s">
        <v>25</v>
      </c>
      <c r="B13357" s="3" t="s">
        <v>2769</v>
      </c>
      <c r="C13357" s="3">
        <v>5</v>
      </c>
      <c r="D13357" s="3" t="s">
        <v>704</v>
      </c>
      <c r="E13357" s="3" t="s">
        <v>192</v>
      </c>
      <c r="F13357" s="3" t="s">
        <v>831</v>
      </c>
      <c r="G13357" s="3" t="s">
        <v>831</v>
      </c>
      <c r="H13357" s="3" t="s">
        <v>1459</v>
      </c>
      <c r="I13357" s="3" t="s">
        <v>993</v>
      </c>
      <c r="J13357" s="3" t="s">
        <v>1459</v>
      </c>
      <c r="K13357" s="3" t="s">
        <v>831</v>
      </c>
      <c r="L13357" s="3" t="s">
        <v>831</v>
      </c>
      <c r="M13357" s="3" t="s">
        <v>831</v>
      </c>
      <c r="N13357" s="3" t="s">
        <v>300</v>
      </c>
      <c r="O13357" s="3" t="s">
        <v>103</v>
      </c>
    </row>
    <row r="13358" spans="1:15" x14ac:dyDescent="0.3">
      <c r="A13358" t="s">
        <v>25</v>
      </c>
      <c r="B13358" t="s">
        <v>308</v>
      </c>
      <c r="C13358">
        <v>370</v>
      </c>
      <c r="D13358" t="s">
        <v>692</v>
      </c>
      <c r="E13358" t="s">
        <v>897</v>
      </c>
      <c r="F13358" t="s">
        <v>1443</v>
      </c>
      <c r="G13358" t="s">
        <v>304</v>
      </c>
      <c r="H13358" t="s">
        <v>1390</v>
      </c>
      <c r="I13358" t="s">
        <v>1390</v>
      </c>
      <c r="J13358" t="s">
        <v>1035</v>
      </c>
      <c r="K13358" t="s">
        <v>1238</v>
      </c>
      <c r="L13358" t="s">
        <v>892</v>
      </c>
      <c r="M13358" t="s">
        <v>401</v>
      </c>
      <c r="N13358" t="s">
        <v>826</v>
      </c>
      <c r="O13358" t="s">
        <v>251</v>
      </c>
    </row>
    <row r="13359" spans="1:15" s="3" customFormat="1" x14ac:dyDescent="0.3">
      <c r="A13359" s="3" t="s">
        <v>26</v>
      </c>
      <c r="B13359" s="3" t="s">
        <v>639</v>
      </c>
      <c r="C13359" s="3">
        <v>7</v>
      </c>
      <c r="D13359" s="3" t="s">
        <v>241</v>
      </c>
      <c r="E13359" s="3" t="s">
        <v>332</v>
      </c>
      <c r="F13359" s="3" t="s">
        <v>332</v>
      </c>
      <c r="G13359" s="3" t="s">
        <v>241</v>
      </c>
      <c r="H13359" s="3" t="s">
        <v>332</v>
      </c>
      <c r="I13359" s="3" t="s">
        <v>55</v>
      </c>
      <c r="J13359" s="3" t="s">
        <v>332</v>
      </c>
      <c r="K13359" s="3" t="s">
        <v>1292</v>
      </c>
      <c r="L13359" s="3" t="s">
        <v>192</v>
      </c>
      <c r="M13359" s="3" t="s">
        <v>578</v>
      </c>
      <c r="N13359" s="3" t="s">
        <v>381</v>
      </c>
      <c r="O13359" s="3" t="s">
        <v>103</v>
      </c>
    </row>
    <row r="13360" spans="1:15" s="3" customFormat="1" x14ac:dyDescent="0.3">
      <c r="A13360" s="3" t="s">
        <v>26</v>
      </c>
      <c r="B13360" s="3" t="s">
        <v>640</v>
      </c>
      <c r="C13360" s="3">
        <v>2</v>
      </c>
      <c r="D13360" s="3" t="s">
        <v>103</v>
      </c>
      <c r="E13360" s="3" t="s">
        <v>192</v>
      </c>
      <c r="F13360" s="3" t="s">
        <v>1426</v>
      </c>
      <c r="G13360" s="3" t="s">
        <v>103</v>
      </c>
      <c r="H13360" s="3" t="s">
        <v>103</v>
      </c>
      <c r="I13360" s="3" t="s">
        <v>103</v>
      </c>
      <c r="J13360" s="3" t="s">
        <v>192</v>
      </c>
      <c r="K13360" s="3" t="s">
        <v>103</v>
      </c>
      <c r="L13360" s="3" t="s">
        <v>546</v>
      </c>
      <c r="M13360" s="3" t="s">
        <v>103</v>
      </c>
      <c r="N13360" s="3" t="s">
        <v>103</v>
      </c>
      <c r="O13360" s="3" t="s">
        <v>103</v>
      </c>
    </row>
    <row r="13361" spans="1:15" s="3" customFormat="1" x14ac:dyDescent="0.3">
      <c r="A13361" s="3" t="s">
        <v>26</v>
      </c>
      <c r="B13361" s="3" t="s">
        <v>641</v>
      </c>
      <c r="C13361" s="3">
        <v>5</v>
      </c>
      <c r="D13361" s="3" t="s">
        <v>103</v>
      </c>
      <c r="E13361" s="3" t="s">
        <v>505</v>
      </c>
      <c r="F13361" s="3" t="s">
        <v>155</v>
      </c>
      <c r="G13361" s="3" t="s">
        <v>155</v>
      </c>
      <c r="H13361" s="3" t="s">
        <v>155</v>
      </c>
      <c r="I13361" s="3" t="s">
        <v>103</v>
      </c>
      <c r="J13361" s="3" t="s">
        <v>1203</v>
      </c>
      <c r="K13361" s="3" t="s">
        <v>155</v>
      </c>
      <c r="L13361" s="3" t="s">
        <v>1002</v>
      </c>
      <c r="M13361" s="3" t="s">
        <v>103</v>
      </c>
      <c r="N13361" s="3" t="s">
        <v>192</v>
      </c>
      <c r="O13361" s="3" t="s">
        <v>103</v>
      </c>
    </row>
    <row r="13362" spans="1:15" s="3" customFormat="1" x14ac:dyDescent="0.3">
      <c r="A13362" s="3" t="s">
        <v>26</v>
      </c>
      <c r="B13362" s="3" t="s">
        <v>2769</v>
      </c>
      <c r="C13362" s="3">
        <v>2</v>
      </c>
      <c r="D13362" s="3" t="s">
        <v>103</v>
      </c>
      <c r="E13362" s="3" t="s">
        <v>192</v>
      </c>
      <c r="F13362" s="3" t="s">
        <v>192</v>
      </c>
      <c r="G13362" s="3" t="s">
        <v>227</v>
      </c>
      <c r="H13362" s="3" t="s">
        <v>227</v>
      </c>
      <c r="I13362" s="3" t="s">
        <v>103</v>
      </c>
      <c r="J13362" s="3" t="s">
        <v>227</v>
      </c>
      <c r="K13362" s="3" t="s">
        <v>227</v>
      </c>
      <c r="L13362" s="3" t="s">
        <v>227</v>
      </c>
      <c r="M13362" s="3" t="s">
        <v>103</v>
      </c>
      <c r="N13362" s="3" t="s">
        <v>192</v>
      </c>
      <c r="O13362" s="3" t="s">
        <v>103</v>
      </c>
    </row>
    <row r="13363" spans="1:15" x14ac:dyDescent="0.3">
      <c r="A13363" t="s">
        <v>26</v>
      </c>
      <c r="B13363" t="s">
        <v>308</v>
      </c>
      <c r="C13363">
        <v>461</v>
      </c>
      <c r="D13363" t="s">
        <v>756</v>
      </c>
      <c r="E13363" t="s">
        <v>730</v>
      </c>
      <c r="F13363" t="s">
        <v>928</v>
      </c>
      <c r="G13363" t="s">
        <v>677</v>
      </c>
      <c r="H13363" t="s">
        <v>537</v>
      </c>
      <c r="I13363" t="s">
        <v>1070</v>
      </c>
      <c r="J13363" t="s">
        <v>1044</v>
      </c>
      <c r="K13363" t="s">
        <v>420</v>
      </c>
      <c r="L13363" t="s">
        <v>802</v>
      </c>
      <c r="M13363" t="s">
        <v>547</v>
      </c>
      <c r="N13363" t="s">
        <v>793</v>
      </c>
      <c r="O13363" t="s">
        <v>269</v>
      </c>
    </row>
    <row r="13364" spans="1:15" s="3" customFormat="1" x14ac:dyDescent="0.3">
      <c r="A13364" s="3" t="s">
        <v>29</v>
      </c>
      <c r="B13364" s="3" t="s">
        <v>638</v>
      </c>
      <c r="C13364" s="3">
        <v>5</v>
      </c>
      <c r="D13364" s="3" t="s">
        <v>103</v>
      </c>
      <c r="E13364" s="3" t="s">
        <v>103</v>
      </c>
      <c r="F13364" s="3" t="s">
        <v>920</v>
      </c>
      <c r="G13364" s="3" t="s">
        <v>674</v>
      </c>
      <c r="H13364" s="3" t="s">
        <v>103</v>
      </c>
      <c r="I13364" s="3" t="s">
        <v>920</v>
      </c>
      <c r="J13364" s="3" t="s">
        <v>920</v>
      </c>
      <c r="K13364" s="3" t="s">
        <v>103</v>
      </c>
      <c r="L13364" s="3" t="s">
        <v>674</v>
      </c>
      <c r="M13364" s="3" t="s">
        <v>103</v>
      </c>
      <c r="N13364" s="3" t="s">
        <v>103</v>
      </c>
      <c r="O13364" s="3" t="s">
        <v>513</v>
      </c>
    </row>
    <row r="13365" spans="1:15" s="3" customFormat="1" x14ac:dyDescent="0.3">
      <c r="A13365" s="3" t="s">
        <v>29</v>
      </c>
      <c r="B13365" s="3" t="s">
        <v>639</v>
      </c>
      <c r="C13365" s="3">
        <v>4</v>
      </c>
      <c r="D13365" s="3" t="s">
        <v>685</v>
      </c>
      <c r="E13365" s="3" t="s">
        <v>537</v>
      </c>
      <c r="F13365" s="3" t="s">
        <v>685</v>
      </c>
      <c r="G13365" s="3" t="s">
        <v>685</v>
      </c>
      <c r="H13365" s="3" t="s">
        <v>685</v>
      </c>
      <c r="I13365" s="3" t="s">
        <v>685</v>
      </c>
      <c r="J13365" s="3" t="s">
        <v>685</v>
      </c>
      <c r="K13365" s="3" t="s">
        <v>685</v>
      </c>
      <c r="L13365" s="3" t="s">
        <v>685</v>
      </c>
      <c r="M13365" s="3" t="s">
        <v>685</v>
      </c>
      <c r="N13365" s="3" t="s">
        <v>103</v>
      </c>
      <c r="O13365" s="3" t="s">
        <v>924</v>
      </c>
    </row>
    <row r="13366" spans="1:15" s="3" customFormat="1" x14ac:dyDescent="0.3">
      <c r="A13366" s="3" t="s">
        <v>29</v>
      </c>
      <c r="B13366" s="3" t="s">
        <v>640</v>
      </c>
      <c r="C13366" s="3">
        <v>10</v>
      </c>
      <c r="D13366" s="3" t="s">
        <v>229</v>
      </c>
      <c r="E13366" s="3" t="s">
        <v>944</v>
      </c>
      <c r="F13366" s="3" t="s">
        <v>724</v>
      </c>
      <c r="G13366" s="3" t="s">
        <v>720</v>
      </c>
      <c r="H13366" s="3" t="s">
        <v>944</v>
      </c>
      <c r="I13366" s="3" t="s">
        <v>944</v>
      </c>
      <c r="J13366" s="3" t="s">
        <v>724</v>
      </c>
      <c r="K13366" s="3" t="s">
        <v>795</v>
      </c>
      <c r="L13366" s="3" t="s">
        <v>401</v>
      </c>
      <c r="M13366" s="3" t="s">
        <v>401</v>
      </c>
      <c r="N13366" s="3" t="s">
        <v>401</v>
      </c>
      <c r="O13366" s="3" t="s">
        <v>482</v>
      </c>
    </row>
    <row r="13367" spans="1:15" s="3" customFormat="1" x14ac:dyDescent="0.3">
      <c r="A13367" s="3" t="s">
        <v>29</v>
      </c>
      <c r="B13367" s="3" t="s">
        <v>2765</v>
      </c>
      <c r="C13367" s="3">
        <v>8</v>
      </c>
      <c r="D13367" s="3" t="s">
        <v>577</v>
      </c>
      <c r="E13367" s="3" t="s">
        <v>426</v>
      </c>
      <c r="F13367" s="3" t="s">
        <v>411</v>
      </c>
      <c r="G13367" s="3" t="s">
        <v>1420</v>
      </c>
      <c r="H13367" s="3" t="s">
        <v>893</v>
      </c>
      <c r="I13367" s="3" t="s">
        <v>829</v>
      </c>
      <c r="J13367" s="3" t="s">
        <v>943</v>
      </c>
      <c r="K13367" s="3" t="s">
        <v>103</v>
      </c>
      <c r="L13367" s="3" t="s">
        <v>858</v>
      </c>
      <c r="M13367" s="3" t="s">
        <v>103</v>
      </c>
      <c r="N13367" s="3" t="s">
        <v>829</v>
      </c>
      <c r="O13367" s="3" t="s">
        <v>900</v>
      </c>
    </row>
    <row r="13368" spans="1:15" s="3" customFormat="1" x14ac:dyDescent="0.3">
      <c r="A13368" s="3" t="s">
        <v>29</v>
      </c>
      <c r="B13368" s="3" t="s">
        <v>641</v>
      </c>
      <c r="C13368" s="3">
        <v>7</v>
      </c>
      <c r="D13368" s="3" t="s">
        <v>1154</v>
      </c>
      <c r="E13368" s="3" t="s">
        <v>1317</v>
      </c>
      <c r="F13368" s="3" t="s">
        <v>1260</v>
      </c>
      <c r="G13368" s="3" t="s">
        <v>1260</v>
      </c>
      <c r="H13368" s="3" t="s">
        <v>1058</v>
      </c>
      <c r="I13368" s="3" t="s">
        <v>535</v>
      </c>
      <c r="J13368" s="3" t="s">
        <v>1236</v>
      </c>
      <c r="K13368" s="3" t="s">
        <v>1236</v>
      </c>
      <c r="L13368" s="3" t="s">
        <v>535</v>
      </c>
      <c r="M13368" s="3" t="s">
        <v>402</v>
      </c>
      <c r="N13368" s="3" t="s">
        <v>550</v>
      </c>
      <c r="O13368" s="3" t="s">
        <v>103</v>
      </c>
    </row>
    <row r="13369" spans="1:15" s="3" customFormat="1" x14ac:dyDescent="0.3">
      <c r="A13369" s="3" t="s">
        <v>29</v>
      </c>
      <c r="B13369" s="3" t="s">
        <v>2769</v>
      </c>
      <c r="C13369" s="3">
        <v>2</v>
      </c>
      <c r="D13369" s="3" t="s">
        <v>1404</v>
      </c>
      <c r="E13369" s="3" t="s">
        <v>192</v>
      </c>
      <c r="F13369" s="3" t="s">
        <v>192</v>
      </c>
      <c r="G13369" s="3" t="s">
        <v>192</v>
      </c>
      <c r="H13369" s="3" t="s">
        <v>192</v>
      </c>
      <c r="I13369" s="3" t="s">
        <v>192</v>
      </c>
      <c r="J13369" s="3" t="s">
        <v>1559</v>
      </c>
      <c r="K13369" s="3" t="s">
        <v>192</v>
      </c>
      <c r="L13369" s="3" t="s">
        <v>192</v>
      </c>
      <c r="M13369" s="3" t="s">
        <v>192</v>
      </c>
      <c r="N13369" s="3" t="s">
        <v>1559</v>
      </c>
      <c r="O13369" s="3" t="s">
        <v>103</v>
      </c>
    </row>
    <row r="13370" spans="1:15" x14ac:dyDescent="0.3">
      <c r="A13370" t="s">
        <v>29</v>
      </c>
      <c r="B13370" t="s">
        <v>308</v>
      </c>
      <c r="C13370">
        <v>494</v>
      </c>
      <c r="D13370" t="s">
        <v>134</v>
      </c>
      <c r="E13370" t="s">
        <v>233</v>
      </c>
      <c r="F13370" t="s">
        <v>508</v>
      </c>
      <c r="G13370" t="s">
        <v>400</v>
      </c>
      <c r="H13370" t="s">
        <v>401</v>
      </c>
      <c r="I13370" t="s">
        <v>358</v>
      </c>
      <c r="J13370" t="s">
        <v>795</v>
      </c>
      <c r="K13370" t="s">
        <v>540</v>
      </c>
      <c r="L13370" t="s">
        <v>1205</v>
      </c>
      <c r="M13370" t="s">
        <v>376</v>
      </c>
      <c r="N13370" t="s">
        <v>501</v>
      </c>
      <c r="O13370" t="s">
        <v>130</v>
      </c>
    </row>
    <row r="13371" spans="1:15" s="3" customFormat="1" x14ac:dyDescent="0.3">
      <c r="A13371" s="3" t="s">
        <v>28</v>
      </c>
      <c r="B13371" s="3" t="s">
        <v>638</v>
      </c>
      <c r="C13371" s="3">
        <v>9</v>
      </c>
      <c r="D13371" s="3" t="s">
        <v>821</v>
      </c>
      <c r="E13371" s="3" t="s">
        <v>758</v>
      </c>
      <c r="F13371" s="3" t="s">
        <v>1320</v>
      </c>
      <c r="G13371" s="3" t="s">
        <v>45</v>
      </c>
      <c r="H13371" s="3" t="s">
        <v>356</v>
      </c>
      <c r="I13371" s="3" t="s">
        <v>821</v>
      </c>
      <c r="J13371" s="3" t="s">
        <v>1459</v>
      </c>
      <c r="K13371" s="3" t="s">
        <v>356</v>
      </c>
      <c r="L13371" s="3" t="s">
        <v>821</v>
      </c>
      <c r="M13371" s="3" t="s">
        <v>1549</v>
      </c>
      <c r="N13371" s="3" t="s">
        <v>1362</v>
      </c>
      <c r="O13371" s="3" t="s">
        <v>103</v>
      </c>
    </row>
    <row r="13372" spans="1:15" s="3" customFormat="1" x14ac:dyDescent="0.3">
      <c r="A13372" s="3" t="s">
        <v>28</v>
      </c>
      <c r="B13372" s="3" t="s">
        <v>639</v>
      </c>
      <c r="C13372" s="3">
        <v>17</v>
      </c>
      <c r="D13372" s="3" t="s">
        <v>771</v>
      </c>
      <c r="E13372" s="3" t="s">
        <v>861</v>
      </c>
      <c r="F13372" s="3" t="s">
        <v>861</v>
      </c>
      <c r="G13372" s="3" t="s">
        <v>991</v>
      </c>
      <c r="H13372" s="3" t="s">
        <v>771</v>
      </c>
      <c r="I13372" s="3" t="s">
        <v>630</v>
      </c>
      <c r="J13372" s="3" t="s">
        <v>991</v>
      </c>
      <c r="K13372" s="3" t="s">
        <v>744</v>
      </c>
      <c r="L13372" s="3" t="s">
        <v>861</v>
      </c>
      <c r="M13372" s="3" t="s">
        <v>1316</v>
      </c>
      <c r="N13372" s="3" t="s">
        <v>630</v>
      </c>
      <c r="O13372" s="3" t="s">
        <v>103</v>
      </c>
    </row>
    <row r="13373" spans="1:15" s="3" customFormat="1" x14ac:dyDescent="0.3">
      <c r="A13373" s="3" t="s">
        <v>28</v>
      </c>
      <c r="B13373" s="3" t="s">
        <v>640</v>
      </c>
      <c r="C13373" s="3">
        <v>20</v>
      </c>
      <c r="D13373" s="3" t="s">
        <v>760</v>
      </c>
      <c r="E13373" s="3" t="s">
        <v>781</v>
      </c>
      <c r="F13373" s="3" t="s">
        <v>818</v>
      </c>
      <c r="G13373" s="3" t="s">
        <v>1310</v>
      </c>
      <c r="H13373" s="3" t="s">
        <v>55</v>
      </c>
      <c r="I13373" s="3" t="s">
        <v>1153</v>
      </c>
      <c r="J13373" s="3" t="s">
        <v>1308</v>
      </c>
      <c r="K13373" s="3" t="s">
        <v>1439</v>
      </c>
      <c r="L13373" s="3" t="s">
        <v>1320</v>
      </c>
      <c r="M13373" s="3" t="s">
        <v>1294</v>
      </c>
      <c r="N13373" s="3" t="s">
        <v>787</v>
      </c>
      <c r="O13373" s="3" t="s">
        <v>103</v>
      </c>
    </row>
    <row r="13374" spans="1:15" s="3" customFormat="1" x14ac:dyDescent="0.3">
      <c r="A13374" s="3" t="s">
        <v>28</v>
      </c>
      <c r="B13374" s="3" t="s">
        <v>2765</v>
      </c>
      <c r="C13374" s="3">
        <v>2</v>
      </c>
      <c r="D13374" s="3" t="s">
        <v>192</v>
      </c>
      <c r="E13374" s="3" t="s">
        <v>192</v>
      </c>
      <c r="F13374" s="3" t="s">
        <v>192</v>
      </c>
      <c r="G13374" s="3" t="s">
        <v>492</v>
      </c>
      <c r="H13374" s="3" t="s">
        <v>492</v>
      </c>
      <c r="I13374" s="3" t="s">
        <v>192</v>
      </c>
      <c r="J13374" s="3" t="s">
        <v>192</v>
      </c>
      <c r="K13374" s="3" t="s">
        <v>492</v>
      </c>
      <c r="L13374" s="3" t="s">
        <v>192</v>
      </c>
      <c r="M13374" s="3" t="s">
        <v>492</v>
      </c>
      <c r="N13374" s="3" t="s">
        <v>492</v>
      </c>
      <c r="O13374" s="3" t="s">
        <v>103</v>
      </c>
    </row>
    <row r="13375" spans="1:15" s="3" customFormat="1" x14ac:dyDescent="0.3">
      <c r="A13375" s="3" t="s">
        <v>28</v>
      </c>
      <c r="B13375" s="3" t="s">
        <v>641</v>
      </c>
      <c r="C13375" s="3">
        <v>7</v>
      </c>
      <c r="D13375" s="3" t="s">
        <v>673</v>
      </c>
      <c r="E13375" s="3" t="s">
        <v>192</v>
      </c>
      <c r="F13375" s="3" t="s">
        <v>592</v>
      </c>
      <c r="G13375" s="3" t="s">
        <v>548</v>
      </c>
      <c r="H13375" s="3" t="s">
        <v>361</v>
      </c>
      <c r="I13375" s="3" t="s">
        <v>548</v>
      </c>
      <c r="J13375" s="3" t="s">
        <v>1461</v>
      </c>
      <c r="K13375" s="3" t="s">
        <v>1083</v>
      </c>
      <c r="L13375" s="3" t="s">
        <v>1461</v>
      </c>
      <c r="M13375" s="3" t="s">
        <v>517</v>
      </c>
      <c r="N13375" s="3" t="s">
        <v>361</v>
      </c>
      <c r="O13375" s="3" t="s">
        <v>103</v>
      </c>
    </row>
    <row r="13376" spans="1:15" s="3" customFormat="1" x14ac:dyDescent="0.3">
      <c r="A13376" s="3" t="s">
        <v>28</v>
      </c>
      <c r="B13376" s="3" t="s">
        <v>2769</v>
      </c>
      <c r="C13376" s="3">
        <v>3</v>
      </c>
      <c r="D13376" s="3" t="s">
        <v>857</v>
      </c>
      <c r="E13376" s="3" t="s">
        <v>192</v>
      </c>
      <c r="F13376" s="3" t="s">
        <v>192</v>
      </c>
      <c r="G13376" s="3" t="s">
        <v>619</v>
      </c>
      <c r="H13376" s="3" t="s">
        <v>619</v>
      </c>
      <c r="I13376" s="3" t="s">
        <v>857</v>
      </c>
      <c r="J13376" s="3" t="s">
        <v>619</v>
      </c>
      <c r="K13376" s="3" t="s">
        <v>619</v>
      </c>
      <c r="L13376" s="3" t="s">
        <v>857</v>
      </c>
      <c r="M13376" s="3" t="s">
        <v>619</v>
      </c>
      <c r="N13376" s="3" t="s">
        <v>619</v>
      </c>
      <c r="O13376" s="3" t="s">
        <v>103</v>
      </c>
    </row>
    <row r="13377" spans="1:15" x14ac:dyDescent="0.3">
      <c r="A13377" t="s">
        <v>28</v>
      </c>
      <c r="B13377" t="s">
        <v>308</v>
      </c>
      <c r="C13377">
        <v>259</v>
      </c>
      <c r="D13377" t="s">
        <v>384</v>
      </c>
      <c r="E13377" t="s">
        <v>1035</v>
      </c>
      <c r="F13377" t="s">
        <v>1136</v>
      </c>
      <c r="G13377" t="s">
        <v>657</v>
      </c>
      <c r="H13377" t="s">
        <v>770</v>
      </c>
      <c r="I13377" t="s">
        <v>366</v>
      </c>
      <c r="J13377" t="s">
        <v>787</v>
      </c>
      <c r="K13377" t="s">
        <v>384</v>
      </c>
      <c r="L13377" t="s">
        <v>1058</v>
      </c>
      <c r="M13377" t="s">
        <v>361</v>
      </c>
      <c r="N13377" t="s">
        <v>1053</v>
      </c>
      <c r="O13377" t="s">
        <v>459</v>
      </c>
    </row>
    <row r="13378" spans="1:15" s="3" customFormat="1" x14ac:dyDescent="0.3">
      <c r="A13378" s="3" t="s">
        <v>27</v>
      </c>
      <c r="B13378" s="3" t="s">
        <v>638</v>
      </c>
      <c r="C13378" s="3">
        <v>1</v>
      </c>
      <c r="D13378" s="3" t="s">
        <v>103</v>
      </c>
      <c r="E13378" s="3" t="s">
        <v>192</v>
      </c>
      <c r="F13378" s="3" t="s">
        <v>103</v>
      </c>
      <c r="G13378" s="3" t="s">
        <v>192</v>
      </c>
      <c r="H13378" s="3" t="s">
        <v>103</v>
      </c>
      <c r="I13378" s="3" t="s">
        <v>103</v>
      </c>
      <c r="J13378" s="3" t="s">
        <v>103</v>
      </c>
      <c r="K13378" s="3" t="s">
        <v>103</v>
      </c>
      <c r="L13378" s="3" t="s">
        <v>103</v>
      </c>
      <c r="M13378" s="3" t="s">
        <v>103</v>
      </c>
      <c r="N13378" s="3" t="s">
        <v>103</v>
      </c>
      <c r="O13378" s="3" t="s">
        <v>103</v>
      </c>
    </row>
    <row r="13379" spans="1:15" s="3" customFormat="1" x14ac:dyDescent="0.3">
      <c r="A13379" s="3" t="s">
        <v>27</v>
      </c>
      <c r="B13379" s="3" t="s">
        <v>639</v>
      </c>
      <c r="C13379" s="3">
        <v>1</v>
      </c>
      <c r="D13379" s="3" t="s">
        <v>103</v>
      </c>
      <c r="E13379" s="3" t="s">
        <v>192</v>
      </c>
      <c r="F13379" s="3" t="s">
        <v>103</v>
      </c>
      <c r="G13379" s="3" t="s">
        <v>192</v>
      </c>
      <c r="H13379" s="3" t="s">
        <v>192</v>
      </c>
      <c r="I13379" s="3" t="s">
        <v>103</v>
      </c>
      <c r="J13379" s="3" t="s">
        <v>192</v>
      </c>
      <c r="K13379" s="3" t="s">
        <v>103</v>
      </c>
      <c r="L13379" s="3" t="s">
        <v>192</v>
      </c>
      <c r="M13379" s="3" t="s">
        <v>103</v>
      </c>
      <c r="N13379" s="3" t="s">
        <v>192</v>
      </c>
      <c r="O13379" s="3" t="s">
        <v>103</v>
      </c>
    </row>
    <row r="13380" spans="1:15" s="3" customFormat="1" x14ac:dyDescent="0.3">
      <c r="A13380" s="3" t="s">
        <v>27</v>
      </c>
      <c r="B13380" s="3" t="s">
        <v>640</v>
      </c>
      <c r="C13380" s="3">
        <v>1</v>
      </c>
      <c r="D13380" s="3" t="s">
        <v>103</v>
      </c>
      <c r="E13380" s="3" t="s">
        <v>192</v>
      </c>
      <c r="F13380" s="3" t="s">
        <v>192</v>
      </c>
      <c r="G13380" s="3" t="s">
        <v>103</v>
      </c>
      <c r="H13380" s="3" t="s">
        <v>192</v>
      </c>
      <c r="I13380" s="3" t="s">
        <v>192</v>
      </c>
      <c r="J13380" s="3" t="s">
        <v>192</v>
      </c>
      <c r="K13380" s="3" t="s">
        <v>192</v>
      </c>
      <c r="L13380" s="3" t="s">
        <v>192</v>
      </c>
      <c r="M13380" s="3" t="s">
        <v>192</v>
      </c>
      <c r="N13380" s="3" t="s">
        <v>103</v>
      </c>
      <c r="O13380" s="3" t="s">
        <v>103</v>
      </c>
    </row>
    <row r="13381" spans="1:15" s="3" customFormat="1" x14ac:dyDescent="0.3">
      <c r="A13381" s="3" t="s">
        <v>27</v>
      </c>
      <c r="B13381" s="3" t="s">
        <v>2765</v>
      </c>
      <c r="C13381" s="3">
        <v>1</v>
      </c>
      <c r="D13381" s="3" t="s">
        <v>103</v>
      </c>
      <c r="E13381" s="3" t="s">
        <v>192</v>
      </c>
      <c r="F13381" s="3" t="s">
        <v>103</v>
      </c>
      <c r="G13381" s="3" t="s">
        <v>192</v>
      </c>
      <c r="H13381" s="3" t="s">
        <v>192</v>
      </c>
      <c r="I13381" s="3" t="s">
        <v>192</v>
      </c>
      <c r="J13381" s="3" t="s">
        <v>103</v>
      </c>
      <c r="K13381" s="3" t="s">
        <v>103</v>
      </c>
      <c r="L13381" s="3" t="s">
        <v>192</v>
      </c>
      <c r="M13381" s="3" t="s">
        <v>103</v>
      </c>
      <c r="N13381" s="3" t="s">
        <v>103</v>
      </c>
      <c r="O13381" s="3" t="s">
        <v>103</v>
      </c>
    </row>
    <row r="13382" spans="1:15" s="3" customFormat="1" x14ac:dyDescent="0.3">
      <c r="A13382" s="3" t="s">
        <v>27</v>
      </c>
      <c r="B13382" s="3" t="s">
        <v>641</v>
      </c>
      <c r="C13382" s="3">
        <v>1</v>
      </c>
      <c r="D13382" s="3" t="s">
        <v>103</v>
      </c>
      <c r="E13382" s="3" t="s">
        <v>103</v>
      </c>
      <c r="F13382" s="3" t="s">
        <v>103</v>
      </c>
      <c r="G13382" s="3" t="s">
        <v>103</v>
      </c>
      <c r="H13382" s="3" t="s">
        <v>103</v>
      </c>
      <c r="I13382" s="3" t="s">
        <v>103</v>
      </c>
      <c r="J13382" s="3" t="s">
        <v>192</v>
      </c>
      <c r="K13382" s="3" t="s">
        <v>192</v>
      </c>
      <c r="L13382" s="3" t="s">
        <v>192</v>
      </c>
      <c r="M13382" s="3" t="s">
        <v>103</v>
      </c>
      <c r="N13382" s="3" t="s">
        <v>192</v>
      </c>
      <c r="O13382" s="3" t="s">
        <v>103</v>
      </c>
    </row>
    <row r="13383" spans="1:15" x14ac:dyDescent="0.3">
      <c r="A13383" t="s">
        <v>27</v>
      </c>
      <c r="B13383" t="s">
        <v>308</v>
      </c>
      <c r="C13383">
        <v>295</v>
      </c>
      <c r="D13383" t="s">
        <v>271</v>
      </c>
      <c r="E13383" t="s">
        <v>384</v>
      </c>
      <c r="F13383" t="s">
        <v>1224</v>
      </c>
      <c r="G13383" t="s">
        <v>679</v>
      </c>
      <c r="H13383" t="s">
        <v>674</v>
      </c>
      <c r="I13383" t="s">
        <v>559</v>
      </c>
      <c r="J13383" t="s">
        <v>816</v>
      </c>
      <c r="K13383" t="s">
        <v>700</v>
      </c>
      <c r="L13383" t="s">
        <v>236</v>
      </c>
      <c r="M13383" t="s">
        <v>549</v>
      </c>
      <c r="N13383" t="s">
        <v>1241</v>
      </c>
      <c r="O13383" t="s">
        <v>126</v>
      </c>
    </row>
    <row r="13384" spans="1:15" s="3" customFormat="1" x14ac:dyDescent="0.3">
      <c r="A13384" s="3" t="s">
        <v>41</v>
      </c>
      <c r="B13384" s="3" t="s">
        <v>638</v>
      </c>
      <c r="C13384" s="3">
        <v>20</v>
      </c>
      <c r="D13384" s="3" t="s">
        <v>1041</v>
      </c>
      <c r="E13384" s="3" t="s">
        <v>538</v>
      </c>
      <c r="F13384" s="3" t="s">
        <v>1401</v>
      </c>
      <c r="G13384" s="3" t="s">
        <v>1025</v>
      </c>
      <c r="H13384" s="3" t="s">
        <v>699</v>
      </c>
      <c r="I13384" s="3" t="s">
        <v>1021</v>
      </c>
      <c r="J13384" s="3" t="s">
        <v>1676</v>
      </c>
      <c r="K13384" s="3" t="s">
        <v>699</v>
      </c>
      <c r="L13384" s="3" t="s">
        <v>487</v>
      </c>
      <c r="M13384" s="3" t="s">
        <v>674</v>
      </c>
      <c r="N13384" s="3" t="s">
        <v>396</v>
      </c>
      <c r="O13384" s="3" t="s">
        <v>732</v>
      </c>
    </row>
    <row r="13385" spans="1:15" x14ac:dyDescent="0.3">
      <c r="A13385" t="s">
        <v>41</v>
      </c>
      <c r="B13385" t="s">
        <v>639</v>
      </c>
      <c r="C13385">
        <v>42</v>
      </c>
      <c r="D13385" t="s">
        <v>1418</v>
      </c>
      <c r="E13385" t="s">
        <v>600</v>
      </c>
      <c r="F13385" t="s">
        <v>984</v>
      </c>
      <c r="G13385" t="s">
        <v>378</v>
      </c>
      <c r="H13385" t="s">
        <v>403</v>
      </c>
      <c r="I13385" t="s">
        <v>1245</v>
      </c>
      <c r="J13385" t="s">
        <v>1136</v>
      </c>
      <c r="K13385" t="s">
        <v>1018</v>
      </c>
      <c r="L13385" t="s">
        <v>1047</v>
      </c>
      <c r="M13385" t="s">
        <v>226</v>
      </c>
      <c r="N13385" t="s">
        <v>1065</v>
      </c>
      <c r="O13385" t="s">
        <v>123</v>
      </c>
    </row>
    <row r="13386" spans="1:15" x14ac:dyDescent="0.3">
      <c r="A13386" t="s">
        <v>41</v>
      </c>
      <c r="B13386" t="s">
        <v>640</v>
      </c>
      <c r="C13386">
        <v>44</v>
      </c>
      <c r="D13386" t="s">
        <v>1374</v>
      </c>
      <c r="E13386" t="s">
        <v>600</v>
      </c>
      <c r="F13386" t="s">
        <v>252</v>
      </c>
      <c r="G13386" t="s">
        <v>1001</v>
      </c>
      <c r="H13386" t="s">
        <v>1037</v>
      </c>
      <c r="I13386" t="s">
        <v>799</v>
      </c>
      <c r="J13386" t="s">
        <v>1308</v>
      </c>
      <c r="K13386" t="s">
        <v>1404</v>
      </c>
      <c r="L13386" t="s">
        <v>726</v>
      </c>
      <c r="M13386" t="s">
        <v>1215</v>
      </c>
      <c r="N13386" t="s">
        <v>349</v>
      </c>
      <c r="O13386" t="s">
        <v>201</v>
      </c>
    </row>
    <row r="13387" spans="1:15" s="3" customFormat="1" x14ac:dyDescent="0.3">
      <c r="A13387" s="3" t="s">
        <v>41</v>
      </c>
      <c r="B13387" s="3" t="s">
        <v>2765</v>
      </c>
      <c r="C13387" s="3">
        <v>13</v>
      </c>
      <c r="D13387" s="3" t="s">
        <v>684</v>
      </c>
      <c r="E13387" s="3" t="s">
        <v>1245</v>
      </c>
      <c r="F13387" s="3" t="s">
        <v>562</v>
      </c>
      <c r="G13387" s="3" t="s">
        <v>1369</v>
      </c>
      <c r="H13387" s="3" t="s">
        <v>535</v>
      </c>
      <c r="I13387" s="3" t="s">
        <v>264</v>
      </c>
      <c r="J13387" s="3" t="s">
        <v>1087</v>
      </c>
      <c r="K13387" s="3" t="s">
        <v>195</v>
      </c>
      <c r="L13387" s="3" t="s">
        <v>1091</v>
      </c>
      <c r="M13387" s="3" t="s">
        <v>110</v>
      </c>
      <c r="N13387" s="3" t="s">
        <v>478</v>
      </c>
      <c r="O13387" s="3" t="s">
        <v>555</v>
      </c>
    </row>
    <row r="13388" spans="1:15" s="3" customFormat="1" x14ac:dyDescent="0.3">
      <c r="A13388" s="3" t="s">
        <v>41</v>
      </c>
      <c r="B13388" s="3" t="s">
        <v>641</v>
      </c>
      <c r="C13388" s="3">
        <v>28</v>
      </c>
      <c r="D13388" s="3" t="s">
        <v>260</v>
      </c>
      <c r="E13388" s="3" t="s">
        <v>823</v>
      </c>
      <c r="F13388" s="3" t="s">
        <v>838</v>
      </c>
      <c r="G13388" s="3" t="s">
        <v>1402</v>
      </c>
      <c r="H13388" s="3" t="s">
        <v>400</v>
      </c>
      <c r="I13388" s="3" t="s">
        <v>402</v>
      </c>
      <c r="J13388" s="3" t="s">
        <v>1292</v>
      </c>
      <c r="K13388" s="3" t="s">
        <v>1210</v>
      </c>
      <c r="L13388" s="3" t="s">
        <v>1401</v>
      </c>
      <c r="M13388" s="3" t="s">
        <v>301</v>
      </c>
      <c r="N13388" s="3" t="s">
        <v>384</v>
      </c>
      <c r="O13388" s="3" t="s">
        <v>103</v>
      </c>
    </row>
    <row r="13389" spans="1:15" s="3" customFormat="1" x14ac:dyDescent="0.3">
      <c r="A13389" s="3" t="s">
        <v>41</v>
      </c>
      <c r="B13389" s="3" t="s">
        <v>2769</v>
      </c>
      <c r="C13389" s="3">
        <v>12</v>
      </c>
      <c r="D13389" s="3" t="s">
        <v>431</v>
      </c>
      <c r="E13389" s="3" t="s">
        <v>192</v>
      </c>
      <c r="F13389" s="3" t="s">
        <v>758</v>
      </c>
      <c r="G13389" s="3" t="s">
        <v>1239</v>
      </c>
      <c r="H13389" s="3" t="s">
        <v>1371</v>
      </c>
      <c r="I13389" s="3" t="s">
        <v>1240</v>
      </c>
      <c r="J13389" s="3" t="s">
        <v>736</v>
      </c>
      <c r="K13389" s="3" t="s">
        <v>1239</v>
      </c>
      <c r="L13389" s="3" t="s">
        <v>1675</v>
      </c>
      <c r="M13389" s="3" t="s">
        <v>1374</v>
      </c>
      <c r="N13389" s="3" t="s">
        <v>1209</v>
      </c>
      <c r="O13389" s="3" t="s">
        <v>103</v>
      </c>
    </row>
    <row r="13390" spans="1:15" x14ac:dyDescent="0.3">
      <c r="A13390" t="s">
        <v>41</v>
      </c>
      <c r="B13390" t="s">
        <v>308</v>
      </c>
      <c r="C13390">
        <v>1879</v>
      </c>
      <c r="D13390" t="s">
        <v>919</v>
      </c>
      <c r="E13390" t="s">
        <v>799</v>
      </c>
      <c r="F13390" t="s">
        <v>1240</v>
      </c>
      <c r="G13390" t="s">
        <v>441</v>
      </c>
      <c r="H13390" t="s">
        <v>405</v>
      </c>
      <c r="I13390" t="s">
        <v>422</v>
      </c>
      <c r="J13390" t="s">
        <v>366</v>
      </c>
      <c r="K13390" t="s">
        <v>1081</v>
      </c>
      <c r="L13390" t="s">
        <v>1220</v>
      </c>
      <c r="M13390" t="s">
        <v>1050</v>
      </c>
      <c r="N13390" t="s">
        <v>386</v>
      </c>
      <c r="O13390" t="s">
        <v>169</v>
      </c>
    </row>
    <row r="13392" spans="1:15" x14ac:dyDescent="0.3">
      <c r="A13392" t="s">
        <v>2926</v>
      </c>
    </row>
    <row r="13393" spans="1:15" x14ac:dyDescent="0.3">
      <c r="A13393" t="s">
        <v>36</v>
      </c>
      <c r="B13393" t="s">
        <v>2771</v>
      </c>
      <c r="C13393" t="s">
        <v>24</v>
      </c>
      <c r="D13393" t="s">
        <v>2906</v>
      </c>
      <c r="E13393" t="s">
        <v>2907</v>
      </c>
      <c r="F13393" t="s">
        <v>2908</v>
      </c>
      <c r="G13393" t="s">
        <v>2909</v>
      </c>
      <c r="H13393" t="s">
        <v>2910</v>
      </c>
      <c r="I13393" t="s">
        <v>2911</v>
      </c>
      <c r="J13393" t="s">
        <v>2912</v>
      </c>
      <c r="K13393" t="s">
        <v>2913</v>
      </c>
      <c r="L13393" t="s">
        <v>2914</v>
      </c>
      <c r="M13393" t="s">
        <v>2915</v>
      </c>
      <c r="N13393" t="s">
        <v>2916</v>
      </c>
      <c r="O13393" t="s">
        <v>2917</v>
      </c>
    </row>
    <row r="13394" spans="1:15" s="3" customFormat="1" x14ac:dyDescent="0.3">
      <c r="A13394" s="3" t="s">
        <v>25</v>
      </c>
      <c r="B13394" s="3" t="s">
        <v>2772</v>
      </c>
      <c r="C13394" s="3">
        <v>1</v>
      </c>
      <c r="D13394" s="3" t="s">
        <v>103</v>
      </c>
      <c r="E13394" s="3" t="s">
        <v>192</v>
      </c>
      <c r="F13394" s="3" t="s">
        <v>192</v>
      </c>
      <c r="G13394" s="3" t="s">
        <v>192</v>
      </c>
      <c r="H13394" s="3" t="s">
        <v>103</v>
      </c>
      <c r="I13394" s="3" t="s">
        <v>192</v>
      </c>
      <c r="J13394" s="3" t="s">
        <v>192</v>
      </c>
      <c r="K13394" s="3" t="s">
        <v>103</v>
      </c>
      <c r="L13394" s="3" t="s">
        <v>192</v>
      </c>
      <c r="M13394" s="3" t="s">
        <v>103</v>
      </c>
      <c r="N13394" s="3" t="s">
        <v>103</v>
      </c>
      <c r="O13394" s="3" t="s">
        <v>103</v>
      </c>
    </row>
    <row r="13395" spans="1:15" s="3" customFormat="1" x14ac:dyDescent="0.3">
      <c r="A13395" s="3" t="s">
        <v>25</v>
      </c>
      <c r="B13395" s="3" t="s">
        <v>2773</v>
      </c>
      <c r="C13395" s="3">
        <v>3</v>
      </c>
      <c r="D13395" s="3" t="s">
        <v>1043</v>
      </c>
      <c r="E13395" s="3" t="s">
        <v>192</v>
      </c>
      <c r="F13395" s="3" t="s">
        <v>728</v>
      </c>
      <c r="G13395" s="3" t="s">
        <v>728</v>
      </c>
      <c r="H13395" s="3" t="s">
        <v>728</v>
      </c>
      <c r="I13395" s="3" t="s">
        <v>192</v>
      </c>
      <c r="J13395" s="3" t="s">
        <v>728</v>
      </c>
      <c r="K13395" s="3" t="s">
        <v>192</v>
      </c>
      <c r="L13395" s="3" t="s">
        <v>192</v>
      </c>
      <c r="M13395" s="3" t="s">
        <v>728</v>
      </c>
      <c r="N13395" s="3" t="s">
        <v>728</v>
      </c>
      <c r="O13395" s="3" t="s">
        <v>103</v>
      </c>
    </row>
    <row r="13396" spans="1:15" s="3" customFormat="1" x14ac:dyDescent="0.3">
      <c r="A13396" s="3" t="s">
        <v>25</v>
      </c>
      <c r="B13396" s="3" t="s">
        <v>2774</v>
      </c>
      <c r="C13396" s="3">
        <v>9</v>
      </c>
      <c r="D13396" s="3" t="s">
        <v>554</v>
      </c>
      <c r="E13396" s="3" t="s">
        <v>1009</v>
      </c>
      <c r="F13396" s="3" t="s">
        <v>782</v>
      </c>
      <c r="G13396" s="3" t="s">
        <v>359</v>
      </c>
      <c r="H13396" s="3" t="s">
        <v>1200</v>
      </c>
      <c r="I13396" s="3" t="s">
        <v>929</v>
      </c>
      <c r="J13396" s="3" t="s">
        <v>937</v>
      </c>
      <c r="K13396" s="3" t="s">
        <v>522</v>
      </c>
      <c r="L13396" s="3" t="s">
        <v>929</v>
      </c>
      <c r="M13396" s="3" t="s">
        <v>1050</v>
      </c>
      <c r="N13396" s="3" t="s">
        <v>496</v>
      </c>
      <c r="O13396" s="3" t="s">
        <v>756</v>
      </c>
    </row>
    <row r="13397" spans="1:15" s="3" customFormat="1" x14ac:dyDescent="0.3">
      <c r="A13397" s="3" t="s">
        <v>25</v>
      </c>
      <c r="B13397" s="3" t="s">
        <v>2775</v>
      </c>
      <c r="C13397" s="3">
        <v>21</v>
      </c>
      <c r="D13397" s="3" t="s">
        <v>550</v>
      </c>
      <c r="E13397" s="3" t="s">
        <v>2104</v>
      </c>
      <c r="F13397" s="3" t="s">
        <v>1676</v>
      </c>
      <c r="G13397" s="3" t="s">
        <v>138</v>
      </c>
      <c r="H13397" s="3" t="s">
        <v>1065</v>
      </c>
      <c r="I13397" s="3" t="s">
        <v>1250</v>
      </c>
      <c r="J13397" s="3" t="s">
        <v>1047</v>
      </c>
      <c r="K13397" s="3" t="s">
        <v>443</v>
      </c>
      <c r="L13397" s="3" t="s">
        <v>1283</v>
      </c>
      <c r="M13397" s="3" t="s">
        <v>513</v>
      </c>
      <c r="N13397" s="3" t="s">
        <v>1325</v>
      </c>
      <c r="O13397" s="3" t="s">
        <v>493</v>
      </c>
    </row>
    <row r="13398" spans="1:15" x14ac:dyDescent="0.3">
      <c r="A13398" t="s">
        <v>25</v>
      </c>
      <c r="B13398" t="s">
        <v>2776</v>
      </c>
      <c r="C13398">
        <v>51</v>
      </c>
      <c r="D13398" t="s">
        <v>500</v>
      </c>
      <c r="E13398" t="s">
        <v>238</v>
      </c>
      <c r="F13398" t="s">
        <v>1400</v>
      </c>
      <c r="G13398" t="s">
        <v>811</v>
      </c>
      <c r="H13398" t="s">
        <v>439</v>
      </c>
      <c r="I13398" t="s">
        <v>2109</v>
      </c>
      <c r="J13398" t="s">
        <v>1675</v>
      </c>
      <c r="K13398" t="s">
        <v>233</v>
      </c>
      <c r="L13398" t="s">
        <v>736</v>
      </c>
      <c r="M13398" t="s">
        <v>1284</v>
      </c>
      <c r="N13398" t="s">
        <v>817</v>
      </c>
      <c r="O13398" t="s">
        <v>242</v>
      </c>
    </row>
    <row r="13399" spans="1:15" x14ac:dyDescent="0.3">
      <c r="A13399" t="s">
        <v>25</v>
      </c>
      <c r="B13399" t="s">
        <v>2777</v>
      </c>
      <c r="C13399">
        <v>151</v>
      </c>
      <c r="D13399" t="s">
        <v>415</v>
      </c>
      <c r="E13399" t="s">
        <v>725</v>
      </c>
      <c r="F13399" t="s">
        <v>233</v>
      </c>
      <c r="G13399" t="s">
        <v>1241</v>
      </c>
      <c r="H13399" t="s">
        <v>839</v>
      </c>
      <c r="I13399" t="s">
        <v>441</v>
      </c>
      <c r="J13399" t="s">
        <v>1258</v>
      </c>
      <c r="K13399" t="s">
        <v>1210</v>
      </c>
      <c r="L13399" t="s">
        <v>1039</v>
      </c>
      <c r="M13399" t="s">
        <v>535</v>
      </c>
      <c r="N13399" t="s">
        <v>1390</v>
      </c>
      <c r="O13399" t="s">
        <v>133</v>
      </c>
    </row>
    <row r="13400" spans="1:15" x14ac:dyDescent="0.3">
      <c r="A13400" t="s">
        <v>25</v>
      </c>
      <c r="B13400" t="s">
        <v>2778</v>
      </c>
      <c r="C13400">
        <v>174</v>
      </c>
      <c r="D13400" t="s">
        <v>1556</v>
      </c>
      <c r="E13400" t="s">
        <v>193</v>
      </c>
      <c r="F13400" t="s">
        <v>1140</v>
      </c>
      <c r="G13400" t="s">
        <v>1436</v>
      </c>
      <c r="H13400" t="s">
        <v>811</v>
      </c>
      <c r="I13400" t="s">
        <v>794</v>
      </c>
      <c r="J13400" t="s">
        <v>1359</v>
      </c>
      <c r="K13400" t="s">
        <v>1064</v>
      </c>
      <c r="L13400" t="s">
        <v>703</v>
      </c>
      <c r="M13400" t="s">
        <v>621</v>
      </c>
      <c r="N13400" t="s">
        <v>1133</v>
      </c>
      <c r="O13400" t="s">
        <v>133</v>
      </c>
    </row>
    <row r="13401" spans="1:15" s="3" customFormat="1" x14ac:dyDescent="0.3">
      <c r="A13401" s="3" t="s">
        <v>25</v>
      </c>
      <c r="B13401" s="3" t="s">
        <v>223</v>
      </c>
      <c r="C13401" s="3">
        <v>2</v>
      </c>
      <c r="D13401" s="3" t="s">
        <v>55</v>
      </c>
      <c r="E13401" s="3" t="s">
        <v>55</v>
      </c>
      <c r="F13401" s="3" t="s">
        <v>55</v>
      </c>
      <c r="G13401" s="3" t="s">
        <v>55</v>
      </c>
      <c r="H13401" s="3" t="s">
        <v>55</v>
      </c>
      <c r="I13401" s="3" t="s">
        <v>55</v>
      </c>
      <c r="J13401" s="3" t="s">
        <v>55</v>
      </c>
      <c r="K13401" s="3" t="s">
        <v>55</v>
      </c>
      <c r="L13401" s="3" t="s">
        <v>55</v>
      </c>
      <c r="M13401" s="3" t="s">
        <v>55</v>
      </c>
      <c r="N13401" s="3" t="s">
        <v>55</v>
      </c>
      <c r="O13401" s="3" t="s">
        <v>56</v>
      </c>
    </row>
    <row r="13402" spans="1:15" x14ac:dyDescent="0.3">
      <c r="A13402" t="s">
        <v>25</v>
      </c>
      <c r="B13402" t="s">
        <v>308</v>
      </c>
      <c r="C13402">
        <v>2</v>
      </c>
      <c r="D13402" t="s">
        <v>103</v>
      </c>
      <c r="E13402" t="s">
        <v>192</v>
      </c>
      <c r="F13402" t="s">
        <v>1199</v>
      </c>
      <c r="G13402" t="s">
        <v>192</v>
      </c>
      <c r="H13402" t="s">
        <v>192</v>
      </c>
      <c r="I13402" t="s">
        <v>103</v>
      </c>
      <c r="J13402" t="s">
        <v>192</v>
      </c>
      <c r="K13402" t="s">
        <v>192</v>
      </c>
      <c r="L13402" t="s">
        <v>192</v>
      </c>
      <c r="M13402" t="s">
        <v>1199</v>
      </c>
      <c r="N13402" t="s">
        <v>192</v>
      </c>
      <c r="O13402" t="s">
        <v>103</v>
      </c>
    </row>
    <row r="13403" spans="1:15" s="3" customFormat="1" x14ac:dyDescent="0.3">
      <c r="A13403" s="3" t="s">
        <v>26</v>
      </c>
      <c r="B13403" s="3" t="s">
        <v>2772</v>
      </c>
      <c r="C13403" s="3">
        <v>3</v>
      </c>
      <c r="D13403" s="3" t="s">
        <v>1284</v>
      </c>
      <c r="E13403" s="3" t="s">
        <v>1371</v>
      </c>
      <c r="F13403" s="3" t="s">
        <v>1284</v>
      </c>
      <c r="G13403" s="3" t="s">
        <v>304</v>
      </c>
      <c r="H13403" s="3" t="s">
        <v>1284</v>
      </c>
      <c r="I13403" s="3" t="s">
        <v>304</v>
      </c>
      <c r="J13403" s="3" t="s">
        <v>192</v>
      </c>
      <c r="K13403" s="3" t="s">
        <v>1284</v>
      </c>
      <c r="L13403" s="3" t="s">
        <v>1371</v>
      </c>
      <c r="M13403" s="3" t="s">
        <v>515</v>
      </c>
      <c r="N13403" s="3" t="s">
        <v>103</v>
      </c>
      <c r="O13403" s="3" t="s">
        <v>103</v>
      </c>
    </row>
    <row r="13404" spans="1:15" s="3" customFormat="1" x14ac:dyDescent="0.3">
      <c r="A13404" s="3" t="s">
        <v>26</v>
      </c>
      <c r="B13404" s="3" t="s">
        <v>2773</v>
      </c>
      <c r="C13404" s="3">
        <v>8</v>
      </c>
      <c r="D13404" s="3" t="s">
        <v>103</v>
      </c>
      <c r="E13404" s="3" t="s">
        <v>944</v>
      </c>
      <c r="F13404" s="3" t="s">
        <v>932</v>
      </c>
      <c r="G13404" s="3" t="s">
        <v>103</v>
      </c>
      <c r="H13404" s="3" t="s">
        <v>103</v>
      </c>
      <c r="I13404" s="3" t="s">
        <v>525</v>
      </c>
      <c r="J13404" s="3" t="s">
        <v>1358</v>
      </c>
      <c r="K13404" s="3" t="s">
        <v>525</v>
      </c>
      <c r="L13404" s="3" t="s">
        <v>543</v>
      </c>
      <c r="M13404" s="3" t="s">
        <v>543</v>
      </c>
      <c r="N13404" s="3" t="s">
        <v>665</v>
      </c>
      <c r="O13404" s="3" t="s">
        <v>244</v>
      </c>
    </row>
    <row r="13405" spans="1:15" s="3" customFormat="1" x14ac:dyDescent="0.3">
      <c r="A13405" s="3" t="s">
        <v>26</v>
      </c>
      <c r="B13405" s="3" t="s">
        <v>2774</v>
      </c>
      <c r="C13405" s="3">
        <v>22</v>
      </c>
      <c r="D13405" s="3" t="s">
        <v>253</v>
      </c>
      <c r="E13405" s="3" t="s">
        <v>1087</v>
      </c>
      <c r="F13405" s="3" t="s">
        <v>627</v>
      </c>
      <c r="G13405" s="3" t="s">
        <v>548</v>
      </c>
      <c r="H13405" s="3" t="s">
        <v>409</v>
      </c>
      <c r="I13405" s="3" t="s">
        <v>518</v>
      </c>
      <c r="J13405" s="3" t="s">
        <v>628</v>
      </c>
      <c r="K13405" s="3" t="s">
        <v>554</v>
      </c>
      <c r="L13405" s="3" t="s">
        <v>810</v>
      </c>
      <c r="M13405" s="3" t="s">
        <v>495</v>
      </c>
      <c r="N13405" s="3" t="s">
        <v>368</v>
      </c>
      <c r="O13405" s="3" t="s">
        <v>820</v>
      </c>
    </row>
    <row r="13406" spans="1:15" x14ac:dyDescent="0.3">
      <c r="A13406" t="s">
        <v>26</v>
      </c>
      <c r="B13406" t="s">
        <v>2775</v>
      </c>
      <c r="C13406">
        <v>33</v>
      </c>
      <c r="D13406" t="s">
        <v>662</v>
      </c>
      <c r="E13406" t="s">
        <v>796</v>
      </c>
      <c r="F13406" t="s">
        <v>1251</v>
      </c>
      <c r="G13406" t="s">
        <v>548</v>
      </c>
      <c r="H13406" t="s">
        <v>697</v>
      </c>
      <c r="I13406" t="s">
        <v>557</v>
      </c>
      <c r="J13406" t="s">
        <v>895</v>
      </c>
      <c r="K13406" t="s">
        <v>556</v>
      </c>
      <c r="L13406" t="s">
        <v>1461</v>
      </c>
      <c r="M13406" t="s">
        <v>649</v>
      </c>
      <c r="N13406" t="s">
        <v>1578</v>
      </c>
      <c r="O13406" t="s">
        <v>137</v>
      </c>
    </row>
    <row r="13407" spans="1:15" x14ac:dyDescent="0.3">
      <c r="A13407" t="s">
        <v>26</v>
      </c>
      <c r="B13407" t="s">
        <v>2776</v>
      </c>
      <c r="C13407">
        <v>86</v>
      </c>
      <c r="D13407" t="s">
        <v>805</v>
      </c>
      <c r="E13407" t="s">
        <v>2106</v>
      </c>
      <c r="F13407" t="s">
        <v>358</v>
      </c>
      <c r="G13407" t="s">
        <v>677</v>
      </c>
      <c r="H13407" t="s">
        <v>893</v>
      </c>
      <c r="I13407" t="s">
        <v>699</v>
      </c>
      <c r="J13407" t="s">
        <v>351</v>
      </c>
      <c r="K13407" t="s">
        <v>293</v>
      </c>
      <c r="L13407" t="s">
        <v>793</v>
      </c>
      <c r="M13407" t="s">
        <v>900</v>
      </c>
      <c r="N13407" t="s">
        <v>374</v>
      </c>
      <c r="O13407" t="s">
        <v>101</v>
      </c>
    </row>
    <row r="13408" spans="1:15" x14ac:dyDescent="0.3">
      <c r="A13408" t="s">
        <v>26</v>
      </c>
      <c r="B13408" t="s">
        <v>2777</v>
      </c>
      <c r="C13408">
        <v>192</v>
      </c>
      <c r="D13408" t="s">
        <v>550</v>
      </c>
      <c r="E13408" t="s">
        <v>795</v>
      </c>
      <c r="F13408" t="s">
        <v>919</v>
      </c>
      <c r="G13408" t="s">
        <v>367</v>
      </c>
      <c r="H13408" t="s">
        <v>1038</v>
      </c>
      <c r="I13408" t="s">
        <v>1227</v>
      </c>
      <c r="J13408" t="s">
        <v>802</v>
      </c>
      <c r="K13408" t="s">
        <v>561</v>
      </c>
      <c r="L13408" t="s">
        <v>395</v>
      </c>
      <c r="M13408" t="s">
        <v>578</v>
      </c>
      <c r="N13408" t="s">
        <v>1676</v>
      </c>
      <c r="O13408" t="s">
        <v>124</v>
      </c>
    </row>
    <row r="13409" spans="1:15" x14ac:dyDescent="0.3">
      <c r="A13409" t="s">
        <v>26</v>
      </c>
      <c r="B13409" t="s">
        <v>2778</v>
      </c>
      <c r="C13409">
        <v>126</v>
      </c>
      <c r="D13409" t="s">
        <v>560</v>
      </c>
      <c r="E13409" t="s">
        <v>1423</v>
      </c>
      <c r="F13409" t="s">
        <v>814</v>
      </c>
      <c r="G13409" t="s">
        <v>1071</v>
      </c>
      <c r="H13409" t="s">
        <v>939</v>
      </c>
      <c r="I13409" t="s">
        <v>1292</v>
      </c>
      <c r="J13409" t="s">
        <v>2109</v>
      </c>
      <c r="K13409" t="s">
        <v>368</v>
      </c>
      <c r="L13409" t="s">
        <v>979</v>
      </c>
      <c r="M13409" t="s">
        <v>418</v>
      </c>
      <c r="N13409" t="s">
        <v>1047</v>
      </c>
      <c r="O13409" t="s">
        <v>130</v>
      </c>
    </row>
    <row r="13410" spans="1:15" x14ac:dyDescent="0.3">
      <c r="A13410" t="s">
        <v>26</v>
      </c>
      <c r="B13410" t="s">
        <v>308</v>
      </c>
      <c r="C13410">
        <v>7</v>
      </c>
      <c r="D13410" t="s">
        <v>807</v>
      </c>
      <c r="E13410" t="s">
        <v>384</v>
      </c>
      <c r="F13410" t="s">
        <v>1422</v>
      </c>
      <c r="G13410" t="s">
        <v>807</v>
      </c>
      <c r="H13410" t="s">
        <v>807</v>
      </c>
      <c r="I13410" t="s">
        <v>1422</v>
      </c>
      <c r="J13410" t="s">
        <v>384</v>
      </c>
      <c r="K13410" t="s">
        <v>807</v>
      </c>
      <c r="L13410" t="s">
        <v>504</v>
      </c>
      <c r="M13410" t="s">
        <v>504</v>
      </c>
      <c r="N13410" t="s">
        <v>807</v>
      </c>
      <c r="O13410" t="s">
        <v>385</v>
      </c>
    </row>
    <row r="13411" spans="1:15" s="3" customFormat="1" x14ac:dyDescent="0.3">
      <c r="A13411" s="3" t="s">
        <v>29</v>
      </c>
      <c r="B13411" s="3" t="s">
        <v>2772</v>
      </c>
      <c r="C13411" s="3">
        <v>2</v>
      </c>
      <c r="D13411" s="3" t="s">
        <v>1197</v>
      </c>
      <c r="E13411" s="3" t="s">
        <v>192</v>
      </c>
      <c r="F13411" s="3" t="s">
        <v>192</v>
      </c>
      <c r="G13411" s="3" t="s">
        <v>192</v>
      </c>
      <c r="H13411" s="3" t="s">
        <v>103</v>
      </c>
      <c r="I13411" s="3" t="s">
        <v>1197</v>
      </c>
      <c r="J13411" s="3" t="s">
        <v>103</v>
      </c>
      <c r="K13411" s="3" t="s">
        <v>103</v>
      </c>
      <c r="L13411" s="3" t="s">
        <v>103</v>
      </c>
      <c r="M13411" s="3" t="s">
        <v>103</v>
      </c>
      <c r="N13411" s="3" t="s">
        <v>103</v>
      </c>
      <c r="O13411" s="3" t="s">
        <v>103</v>
      </c>
    </row>
    <row r="13412" spans="1:15" s="3" customFormat="1" x14ac:dyDescent="0.3">
      <c r="A13412" s="3" t="s">
        <v>29</v>
      </c>
      <c r="B13412" s="3" t="s">
        <v>2773</v>
      </c>
      <c r="C13412" s="3">
        <v>8</v>
      </c>
      <c r="D13412" s="3" t="s">
        <v>1067</v>
      </c>
      <c r="E13412" s="3" t="s">
        <v>1066</v>
      </c>
      <c r="F13412" s="3" t="s">
        <v>1459</v>
      </c>
      <c r="G13412" s="3" t="s">
        <v>1067</v>
      </c>
      <c r="H13412" s="3" t="s">
        <v>382</v>
      </c>
      <c r="I13412" s="3" t="s">
        <v>663</v>
      </c>
      <c r="J13412" s="3" t="s">
        <v>339</v>
      </c>
      <c r="K13412" s="3" t="s">
        <v>1242</v>
      </c>
      <c r="L13412" s="3" t="s">
        <v>1293</v>
      </c>
      <c r="M13412" s="3" t="s">
        <v>693</v>
      </c>
      <c r="N13412" s="3" t="s">
        <v>382</v>
      </c>
      <c r="O13412" s="3" t="s">
        <v>118</v>
      </c>
    </row>
    <row r="13413" spans="1:15" s="3" customFormat="1" x14ac:dyDescent="0.3">
      <c r="A13413" s="3" t="s">
        <v>29</v>
      </c>
      <c r="B13413" s="3" t="s">
        <v>2774</v>
      </c>
      <c r="C13413" s="3">
        <v>21</v>
      </c>
      <c r="D13413" s="3" t="s">
        <v>501</v>
      </c>
      <c r="E13413" s="3" t="s">
        <v>1459</v>
      </c>
      <c r="F13413" s="3" t="s">
        <v>892</v>
      </c>
      <c r="G13413" s="3" t="s">
        <v>1398</v>
      </c>
      <c r="H13413" s="3" t="s">
        <v>939</v>
      </c>
      <c r="I13413" s="3" t="s">
        <v>1327</v>
      </c>
      <c r="J13413" s="3" t="s">
        <v>790</v>
      </c>
      <c r="K13413" s="3" t="s">
        <v>690</v>
      </c>
      <c r="L13413" s="3" t="s">
        <v>1230</v>
      </c>
      <c r="M13413" s="3" t="s">
        <v>1208</v>
      </c>
      <c r="N13413" s="3" t="s">
        <v>1215</v>
      </c>
      <c r="O13413" s="3" t="s">
        <v>271</v>
      </c>
    </row>
    <row r="13414" spans="1:15" x14ac:dyDescent="0.3">
      <c r="A13414" t="s">
        <v>29</v>
      </c>
      <c r="B13414" t="s">
        <v>2775</v>
      </c>
      <c r="C13414">
        <v>31</v>
      </c>
      <c r="D13414" t="s">
        <v>1205</v>
      </c>
      <c r="E13414" t="s">
        <v>1002</v>
      </c>
      <c r="F13414" t="s">
        <v>1292</v>
      </c>
      <c r="G13414" t="s">
        <v>1048</v>
      </c>
      <c r="H13414" t="s">
        <v>661</v>
      </c>
      <c r="I13414" t="s">
        <v>487</v>
      </c>
      <c r="J13414" t="s">
        <v>441</v>
      </c>
      <c r="K13414" t="s">
        <v>1006</v>
      </c>
      <c r="L13414" t="s">
        <v>1396</v>
      </c>
      <c r="M13414" t="s">
        <v>627</v>
      </c>
      <c r="N13414" t="s">
        <v>663</v>
      </c>
      <c r="O13414" t="s">
        <v>534</v>
      </c>
    </row>
    <row r="13415" spans="1:15" x14ac:dyDescent="0.3">
      <c r="A13415" t="s">
        <v>29</v>
      </c>
      <c r="B13415" t="s">
        <v>2776</v>
      </c>
      <c r="C13415">
        <v>65</v>
      </c>
      <c r="D13415" t="s">
        <v>1081</v>
      </c>
      <c r="E13415" t="s">
        <v>799</v>
      </c>
      <c r="F13415" t="s">
        <v>817</v>
      </c>
      <c r="G13415" t="s">
        <v>1212</v>
      </c>
      <c r="H13415" t="s">
        <v>1231</v>
      </c>
      <c r="I13415" t="s">
        <v>225</v>
      </c>
      <c r="J13415" t="s">
        <v>294</v>
      </c>
      <c r="K13415" t="s">
        <v>510</v>
      </c>
      <c r="L13415" t="s">
        <v>303</v>
      </c>
      <c r="M13415" t="s">
        <v>499</v>
      </c>
      <c r="N13415" t="s">
        <v>583</v>
      </c>
      <c r="O13415" t="s">
        <v>481</v>
      </c>
    </row>
    <row r="13416" spans="1:15" x14ac:dyDescent="0.3">
      <c r="A13416" t="s">
        <v>29</v>
      </c>
      <c r="B13416" t="s">
        <v>2777</v>
      </c>
      <c r="C13416">
        <v>219</v>
      </c>
      <c r="D13416" t="s">
        <v>1054</v>
      </c>
      <c r="E13416" t="s">
        <v>2263</v>
      </c>
      <c r="F13416" t="s">
        <v>678</v>
      </c>
      <c r="G13416" t="s">
        <v>426</v>
      </c>
      <c r="H13416" t="s">
        <v>1546</v>
      </c>
      <c r="I13416" t="s">
        <v>1394</v>
      </c>
      <c r="J13416" t="s">
        <v>931</v>
      </c>
      <c r="K13416" t="s">
        <v>393</v>
      </c>
      <c r="L13416" t="s">
        <v>535</v>
      </c>
      <c r="M13416" t="s">
        <v>376</v>
      </c>
      <c r="N13416" t="s">
        <v>1229</v>
      </c>
      <c r="O13416" t="s">
        <v>169</v>
      </c>
    </row>
    <row r="13417" spans="1:15" x14ac:dyDescent="0.3">
      <c r="A13417" t="s">
        <v>29</v>
      </c>
      <c r="B13417" t="s">
        <v>2778</v>
      </c>
      <c r="C13417">
        <v>183</v>
      </c>
      <c r="D13417" t="s">
        <v>297</v>
      </c>
      <c r="E13417" t="s">
        <v>2106</v>
      </c>
      <c r="F13417" t="s">
        <v>508</v>
      </c>
      <c r="G13417" t="s">
        <v>1096</v>
      </c>
      <c r="H13417" t="s">
        <v>839</v>
      </c>
      <c r="I13417" t="s">
        <v>838</v>
      </c>
      <c r="J13417" t="s">
        <v>372</v>
      </c>
      <c r="K13417" t="s">
        <v>362</v>
      </c>
      <c r="L13417" t="s">
        <v>512</v>
      </c>
      <c r="M13417" t="s">
        <v>1206</v>
      </c>
      <c r="N13417" t="s">
        <v>530</v>
      </c>
      <c r="O13417" t="s">
        <v>524</v>
      </c>
    </row>
    <row r="13418" spans="1:15" x14ac:dyDescent="0.3">
      <c r="A13418" t="s">
        <v>29</v>
      </c>
      <c r="B13418" t="s">
        <v>308</v>
      </c>
      <c r="C13418">
        <v>1</v>
      </c>
      <c r="D13418" t="s">
        <v>103</v>
      </c>
      <c r="E13418" t="s">
        <v>192</v>
      </c>
      <c r="F13418" t="s">
        <v>103</v>
      </c>
      <c r="G13418" t="s">
        <v>103</v>
      </c>
      <c r="H13418" t="s">
        <v>103</v>
      </c>
      <c r="I13418" t="s">
        <v>103</v>
      </c>
      <c r="J13418" t="s">
        <v>103</v>
      </c>
      <c r="K13418" t="s">
        <v>103</v>
      </c>
      <c r="L13418" t="s">
        <v>103</v>
      </c>
      <c r="M13418" t="s">
        <v>103</v>
      </c>
      <c r="N13418" t="s">
        <v>103</v>
      </c>
      <c r="O13418" t="s">
        <v>103</v>
      </c>
    </row>
    <row r="13419" spans="1:15" x14ac:dyDescent="0.3">
      <c r="A13419" t="s">
        <v>28</v>
      </c>
      <c r="B13419" t="s">
        <v>2772</v>
      </c>
      <c r="C13419">
        <v>39</v>
      </c>
      <c r="D13419" t="s">
        <v>161</v>
      </c>
      <c r="E13419" t="s">
        <v>863</v>
      </c>
      <c r="F13419" t="s">
        <v>170</v>
      </c>
      <c r="G13419" t="s">
        <v>612</v>
      </c>
      <c r="H13419" t="s">
        <v>1368</v>
      </c>
      <c r="I13419" t="s">
        <v>976</v>
      </c>
      <c r="J13419" t="s">
        <v>1456</v>
      </c>
      <c r="K13419" t="s">
        <v>51</v>
      </c>
      <c r="L13419" t="s">
        <v>749</v>
      </c>
      <c r="M13419" t="s">
        <v>1034</v>
      </c>
      <c r="N13419" t="s">
        <v>1317</v>
      </c>
      <c r="O13419" t="s">
        <v>103</v>
      </c>
    </row>
    <row r="13420" spans="1:15" x14ac:dyDescent="0.3">
      <c r="A13420" t="s">
        <v>28</v>
      </c>
      <c r="B13420" t="s">
        <v>2773</v>
      </c>
      <c r="C13420">
        <v>57</v>
      </c>
      <c r="D13420" t="s">
        <v>461</v>
      </c>
      <c r="E13420" t="s">
        <v>1420</v>
      </c>
      <c r="F13420" t="s">
        <v>383</v>
      </c>
      <c r="G13420" t="s">
        <v>471</v>
      </c>
      <c r="H13420" t="s">
        <v>48</v>
      </c>
      <c r="I13420" t="s">
        <v>1559</v>
      </c>
      <c r="J13420" t="s">
        <v>1221</v>
      </c>
      <c r="K13420" t="s">
        <v>142</v>
      </c>
      <c r="L13420" t="s">
        <v>1146</v>
      </c>
      <c r="M13420" t="s">
        <v>50</v>
      </c>
      <c r="N13420" t="s">
        <v>1329</v>
      </c>
      <c r="O13420" t="s">
        <v>270</v>
      </c>
    </row>
    <row r="13421" spans="1:15" s="3" customFormat="1" x14ac:dyDescent="0.3">
      <c r="A13421" s="3" t="s">
        <v>28</v>
      </c>
      <c r="B13421" s="3" t="s">
        <v>2774</v>
      </c>
      <c r="C13421" s="3">
        <v>30</v>
      </c>
      <c r="D13421" s="3" t="s">
        <v>1060</v>
      </c>
      <c r="E13421" s="3" t="s">
        <v>235</v>
      </c>
      <c r="F13421" s="3" t="s">
        <v>406</v>
      </c>
      <c r="G13421" s="3" t="s">
        <v>404</v>
      </c>
      <c r="H13421" s="3" t="s">
        <v>792</v>
      </c>
      <c r="I13421" s="3" t="s">
        <v>1048</v>
      </c>
      <c r="J13421" s="3" t="s">
        <v>371</v>
      </c>
      <c r="K13421" s="3" t="s">
        <v>1210</v>
      </c>
      <c r="L13421" s="3" t="s">
        <v>791</v>
      </c>
      <c r="M13421" s="3" t="s">
        <v>565</v>
      </c>
      <c r="N13421" s="3" t="s">
        <v>1356</v>
      </c>
      <c r="O13421" s="3" t="s">
        <v>900</v>
      </c>
    </row>
    <row r="13422" spans="1:15" x14ac:dyDescent="0.3">
      <c r="A13422" t="s">
        <v>28</v>
      </c>
      <c r="B13422" t="s">
        <v>2775</v>
      </c>
      <c r="C13422">
        <v>41</v>
      </c>
      <c r="D13422" t="s">
        <v>134</v>
      </c>
      <c r="E13422" t="s">
        <v>1056</v>
      </c>
      <c r="F13422" t="s">
        <v>2104</v>
      </c>
      <c r="G13422" t="s">
        <v>303</v>
      </c>
      <c r="H13422" t="s">
        <v>574</v>
      </c>
      <c r="I13422" t="s">
        <v>1401</v>
      </c>
      <c r="J13422" t="s">
        <v>410</v>
      </c>
      <c r="K13422" t="s">
        <v>567</v>
      </c>
      <c r="L13422" t="s">
        <v>375</v>
      </c>
      <c r="M13422" t="s">
        <v>520</v>
      </c>
      <c r="N13422" t="s">
        <v>1215</v>
      </c>
      <c r="O13422" t="s">
        <v>438</v>
      </c>
    </row>
    <row r="13423" spans="1:15" x14ac:dyDescent="0.3">
      <c r="A13423" t="s">
        <v>28</v>
      </c>
      <c r="B13423" t="s">
        <v>2776</v>
      </c>
      <c r="C13423">
        <v>45</v>
      </c>
      <c r="D13423" t="s">
        <v>982</v>
      </c>
      <c r="E13423" t="s">
        <v>156</v>
      </c>
      <c r="F13423" t="s">
        <v>744</v>
      </c>
      <c r="G13423" t="s">
        <v>784</v>
      </c>
      <c r="H13423" t="s">
        <v>790</v>
      </c>
      <c r="I13423" t="s">
        <v>2033</v>
      </c>
      <c r="J13423" t="s">
        <v>749</v>
      </c>
      <c r="K13423" t="s">
        <v>1420</v>
      </c>
      <c r="L13423" t="s">
        <v>620</v>
      </c>
      <c r="M13423" t="s">
        <v>838</v>
      </c>
      <c r="N13423" t="s">
        <v>508</v>
      </c>
      <c r="O13423" t="s">
        <v>217</v>
      </c>
    </row>
    <row r="13424" spans="1:15" x14ac:dyDescent="0.3">
      <c r="A13424" t="s">
        <v>28</v>
      </c>
      <c r="B13424" t="s">
        <v>2777</v>
      </c>
      <c r="C13424">
        <v>55</v>
      </c>
      <c r="D13424" t="s">
        <v>502</v>
      </c>
      <c r="E13424" t="s">
        <v>49</v>
      </c>
      <c r="F13424" t="s">
        <v>1371</v>
      </c>
      <c r="G13424" t="s">
        <v>1171</v>
      </c>
      <c r="H13424" t="s">
        <v>1252</v>
      </c>
      <c r="I13424" t="s">
        <v>618</v>
      </c>
      <c r="J13424" t="s">
        <v>161</v>
      </c>
      <c r="K13424" t="s">
        <v>926</v>
      </c>
      <c r="L13424" t="s">
        <v>787</v>
      </c>
      <c r="M13424" t="s">
        <v>430</v>
      </c>
      <c r="N13424" t="s">
        <v>785</v>
      </c>
      <c r="O13424" t="s">
        <v>232</v>
      </c>
    </row>
    <row r="13425" spans="1:15" x14ac:dyDescent="0.3">
      <c r="A13425" t="s">
        <v>28</v>
      </c>
      <c r="B13425" t="s">
        <v>2778</v>
      </c>
      <c r="C13425">
        <v>44</v>
      </c>
      <c r="D13425" t="s">
        <v>1214</v>
      </c>
      <c r="E13425" t="s">
        <v>417</v>
      </c>
      <c r="F13425" t="s">
        <v>678</v>
      </c>
      <c r="G13425" t="s">
        <v>804</v>
      </c>
      <c r="H13425" t="s">
        <v>427</v>
      </c>
      <c r="I13425" t="s">
        <v>390</v>
      </c>
      <c r="J13425" t="s">
        <v>1018</v>
      </c>
      <c r="K13425" t="s">
        <v>932</v>
      </c>
      <c r="L13425" t="s">
        <v>1260</v>
      </c>
      <c r="M13425" t="s">
        <v>655</v>
      </c>
      <c r="N13425" t="s">
        <v>359</v>
      </c>
      <c r="O13425" t="s">
        <v>129</v>
      </c>
    </row>
    <row r="13426" spans="1:15" x14ac:dyDescent="0.3">
      <c r="A13426" t="s">
        <v>28</v>
      </c>
      <c r="B13426" t="s">
        <v>308</v>
      </c>
      <c r="C13426">
        <v>6</v>
      </c>
      <c r="D13426" t="s">
        <v>1035</v>
      </c>
      <c r="E13426" t="s">
        <v>739</v>
      </c>
      <c r="F13426" t="s">
        <v>192</v>
      </c>
      <c r="G13426" t="s">
        <v>863</v>
      </c>
      <c r="H13426" t="s">
        <v>696</v>
      </c>
      <c r="I13426" t="s">
        <v>863</v>
      </c>
      <c r="J13426" t="s">
        <v>1035</v>
      </c>
      <c r="K13426" t="s">
        <v>1035</v>
      </c>
      <c r="L13426" t="s">
        <v>1035</v>
      </c>
      <c r="M13426" t="s">
        <v>1035</v>
      </c>
      <c r="N13426" t="s">
        <v>1035</v>
      </c>
      <c r="O13426" t="s">
        <v>103</v>
      </c>
    </row>
    <row r="13427" spans="1:15" s="3" customFormat="1" x14ac:dyDescent="0.3">
      <c r="A13427" s="3" t="s">
        <v>27</v>
      </c>
      <c r="B13427" s="3" t="s">
        <v>2772</v>
      </c>
      <c r="C13427" s="3">
        <v>10</v>
      </c>
      <c r="D13427" s="3" t="s">
        <v>103</v>
      </c>
      <c r="E13427" s="3" t="s">
        <v>1292</v>
      </c>
      <c r="F13427" s="3" t="s">
        <v>1223</v>
      </c>
      <c r="G13427" s="3" t="s">
        <v>663</v>
      </c>
      <c r="H13427" s="3" t="s">
        <v>299</v>
      </c>
      <c r="I13427" s="3" t="s">
        <v>655</v>
      </c>
      <c r="J13427" s="3" t="s">
        <v>131</v>
      </c>
      <c r="K13427" s="3" t="s">
        <v>682</v>
      </c>
      <c r="L13427" s="3" t="s">
        <v>164</v>
      </c>
      <c r="M13427" s="3" t="s">
        <v>103</v>
      </c>
      <c r="N13427" s="3" t="s">
        <v>1281</v>
      </c>
      <c r="O13427" s="3" t="s">
        <v>103</v>
      </c>
    </row>
    <row r="13428" spans="1:15" s="3" customFormat="1" x14ac:dyDescent="0.3">
      <c r="A13428" s="3" t="s">
        <v>27</v>
      </c>
      <c r="B13428" s="3" t="s">
        <v>2773</v>
      </c>
      <c r="C13428" s="3">
        <v>9</v>
      </c>
      <c r="D13428" s="3" t="s">
        <v>672</v>
      </c>
      <c r="E13428" s="3" t="s">
        <v>815</v>
      </c>
      <c r="F13428" s="3" t="s">
        <v>490</v>
      </c>
      <c r="G13428" s="3" t="s">
        <v>1006</v>
      </c>
      <c r="H13428" s="3" t="s">
        <v>1200</v>
      </c>
      <c r="I13428" s="3" t="s">
        <v>456</v>
      </c>
      <c r="J13428" s="3" t="s">
        <v>250</v>
      </c>
      <c r="K13428" s="3" t="s">
        <v>506</v>
      </c>
      <c r="L13428" s="3" t="s">
        <v>68</v>
      </c>
      <c r="M13428" s="3" t="s">
        <v>531</v>
      </c>
      <c r="N13428" s="3" t="s">
        <v>1358</v>
      </c>
      <c r="O13428" s="3" t="s">
        <v>173</v>
      </c>
    </row>
    <row r="13429" spans="1:15" s="3" customFormat="1" x14ac:dyDescent="0.3">
      <c r="A13429" s="3" t="s">
        <v>27</v>
      </c>
      <c r="B13429" s="3" t="s">
        <v>2774</v>
      </c>
      <c r="C13429" s="3">
        <v>18</v>
      </c>
      <c r="D13429" s="3" t="s">
        <v>103</v>
      </c>
      <c r="E13429" s="3" t="s">
        <v>353</v>
      </c>
      <c r="F13429" s="3" t="s">
        <v>548</v>
      </c>
      <c r="G13429" s="3" t="s">
        <v>50</v>
      </c>
      <c r="H13429" s="3" t="s">
        <v>698</v>
      </c>
      <c r="I13429" s="3" t="s">
        <v>519</v>
      </c>
      <c r="J13429" s="3" t="s">
        <v>206</v>
      </c>
      <c r="K13429" s="3" t="s">
        <v>103</v>
      </c>
      <c r="L13429" s="3" t="s">
        <v>130</v>
      </c>
      <c r="M13429" s="3" t="s">
        <v>103</v>
      </c>
      <c r="N13429" s="3" t="s">
        <v>527</v>
      </c>
      <c r="O13429" s="3" t="s">
        <v>688</v>
      </c>
    </row>
    <row r="13430" spans="1:15" x14ac:dyDescent="0.3">
      <c r="A13430" t="s">
        <v>27</v>
      </c>
      <c r="B13430" t="s">
        <v>2775</v>
      </c>
      <c r="C13430">
        <v>33</v>
      </c>
      <c r="D13430" t="s">
        <v>568</v>
      </c>
      <c r="E13430" t="s">
        <v>1170</v>
      </c>
      <c r="F13430" t="s">
        <v>487</v>
      </c>
      <c r="G13430" t="s">
        <v>581</v>
      </c>
      <c r="H13430" t="s">
        <v>226</v>
      </c>
      <c r="I13430" t="s">
        <v>475</v>
      </c>
      <c r="J13430" t="s">
        <v>121</v>
      </c>
      <c r="K13430" t="s">
        <v>33</v>
      </c>
      <c r="L13430" t="s">
        <v>516</v>
      </c>
      <c r="M13430" t="s">
        <v>206</v>
      </c>
      <c r="N13430" t="s">
        <v>1438</v>
      </c>
      <c r="O13430" t="s">
        <v>737</v>
      </c>
    </row>
    <row r="13431" spans="1:15" x14ac:dyDescent="0.3">
      <c r="A13431" t="s">
        <v>27</v>
      </c>
      <c r="B13431" t="s">
        <v>2776</v>
      </c>
      <c r="C13431">
        <v>65</v>
      </c>
      <c r="D13431" t="s">
        <v>152</v>
      </c>
      <c r="E13431" t="s">
        <v>1041</v>
      </c>
      <c r="F13431" t="s">
        <v>501</v>
      </c>
      <c r="G13431" t="s">
        <v>1041</v>
      </c>
      <c r="H13431" t="s">
        <v>1206</v>
      </c>
      <c r="I13431" t="s">
        <v>1229</v>
      </c>
      <c r="J13431" t="s">
        <v>838</v>
      </c>
      <c r="K13431" t="s">
        <v>925</v>
      </c>
      <c r="L13431" t="s">
        <v>407</v>
      </c>
      <c r="M13431" t="s">
        <v>104</v>
      </c>
      <c r="N13431" t="s">
        <v>1238</v>
      </c>
      <c r="O13431" t="s">
        <v>107</v>
      </c>
    </row>
    <row r="13432" spans="1:15" x14ac:dyDescent="0.3">
      <c r="A13432" t="s">
        <v>27</v>
      </c>
      <c r="B13432" t="s">
        <v>2777</v>
      </c>
      <c r="C13432">
        <v>78</v>
      </c>
      <c r="D13432" t="s">
        <v>486</v>
      </c>
      <c r="E13432" t="s">
        <v>410</v>
      </c>
      <c r="F13432" t="s">
        <v>436</v>
      </c>
      <c r="G13432" t="s">
        <v>453</v>
      </c>
      <c r="H13432" t="s">
        <v>698</v>
      </c>
      <c r="I13432" t="s">
        <v>677</v>
      </c>
      <c r="J13432" t="s">
        <v>512</v>
      </c>
      <c r="K13432" t="s">
        <v>479</v>
      </c>
      <c r="L13432" t="s">
        <v>746</v>
      </c>
      <c r="M13432" t="s">
        <v>130</v>
      </c>
      <c r="N13432" t="s">
        <v>1087</v>
      </c>
      <c r="O13432" t="s">
        <v>126</v>
      </c>
    </row>
    <row r="13433" spans="1:15" x14ac:dyDescent="0.3">
      <c r="A13433" t="s">
        <v>27</v>
      </c>
      <c r="B13433" t="s">
        <v>2778</v>
      </c>
      <c r="C13433">
        <v>70</v>
      </c>
      <c r="D13433" t="s">
        <v>594</v>
      </c>
      <c r="E13433" t="s">
        <v>411</v>
      </c>
      <c r="F13433" t="s">
        <v>142</v>
      </c>
      <c r="G13433" t="s">
        <v>545</v>
      </c>
      <c r="H13433" t="s">
        <v>681</v>
      </c>
      <c r="I13433" t="s">
        <v>357</v>
      </c>
      <c r="J13433" t="s">
        <v>893</v>
      </c>
      <c r="K13433" t="s">
        <v>743</v>
      </c>
      <c r="L13433" t="s">
        <v>425</v>
      </c>
      <c r="M13433" t="s">
        <v>543</v>
      </c>
      <c r="N13433" t="s">
        <v>717</v>
      </c>
      <c r="O13433" t="s">
        <v>531</v>
      </c>
    </row>
    <row r="13434" spans="1:15" s="3" customFormat="1" x14ac:dyDescent="0.3">
      <c r="A13434" s="3" t="s">
        <v>27</v>
      </c>
      <c r="B13434" s="3" t="s">
        <v>223</v>
      </c>
      <c r="C13434" s="3">
        <v>2</v>
      </c>
      <c r="D13434" s="3" t="s">
        <v>103</v>
      </c>
      <c r="E13434" s="3" t="s">
        <v>103</v>
      </c>
      <c r="F13434" s="3" t="s">
        <v>103</v>
      </c>
      <c r="G13434" s="3" t="s">
        <v>103</v>
      </c>
      <c r="H13434" s="3" t="s">
        <v>103</v>
      </c>
      <c r="I13434" s="3" t="s">
        <v>103</v>
      </c>
      <c r="J13434" s="3" t="s">
        <v>391</v>
      </c>
      <c r="K13434" s="3" t="s">
        <v>103</v>
      </c>
      <c r="L13434" s="3" t="s">
        <v>392</v>
      </c>
      <c r="M13434" s="3" t="s">
        <v>103</v>
      </c>
      <c r="N13434" s="3" t="s">
        <v>392</v>
      </c>
      <c r="O13434" s="3" t="s">
        <v>103</v>
      </c>
    </row>
    <row r="13435" spans="1:15" x14ac:dyDescent="0.3">
      <c r="A13435" t="s">
        <v>27</v>
      </c>
      <c r="B13435" t="s">
        <v>308</v>
      </c>
      <c r="C13435">
        <v>15</v>
      </c>
      <c r="D13435" t="s">
        <v>112</v>
      </c>
      <c r="E13435" t="s">
        <v>1358</v>
      </c>
      <c r="F13435" t="s">
        <v>264</v>
      </c>
      <c r="G13435" t="s">
        <v>526</v>
      </c>
      <c r="H13435" t="s">
        <v>1216</v>
      </c>
      <c r="I13435" t="s">
        <v>52</v>
      </c>
      <c r="J13435" t="s">
        <v>466</v>
      </c>
      <c r="K13435" t="s">
        <v>164</v>
      </c>
      <c r="L13435" t="s">
        <v>548</v>
      </c>
      <c r="M13435" t="s">
        <v>103</v>
      </c>
      <c r="N13435" t="s">
        <v>431</v>
      </c>
      <c r="O13435" t="s">
        <v>103</v>
      </c>
    </row>
    <row r="13436" spans="1:15" x14ac:dyDescent="0.3">
      <c r="A13436" t="s">
        <v>41</v>
      </c>
      <c r="B13436" t="s">
        <v>2772</v>
      </c>
      <c r="C13436">
        <v>55</v>
      </c>
      <c r="D13436" t="s">
        <v>1009</v>
      </c>
      <c r="E13436" t="s">
        <v>749</v>
      </c>
      <c r="F13436" t="s">
        <v>1456</v>
      </c>
      <c r="G13436" t="s">
        <v>1138</v>
      </c>
      <c r="H13436" t="s">
        <v>665</v>
      </c>
      <c r="I13436" t="s">
        <v>924</v>
      </c>
      <c r="J13436" t="s">
        <v>508</v>
      </c>
      <c r="K13436" t="s">
        <v>362</v>
      </c>
      <c r="L13436" t="s">
        <v>2106</v>
      </c>
      <c r="M13436" t="s">
        <v>938</v>
      </c>
      <c r="N13436" t="s">
        <v>350</v>
      </c>
      <c r="O13436" t="s">
        <v>103</v>
      </c>
    </row>
    <row r="13437" spans="1:15" x14ac:dyDescent="0.3">
      <c r="A13437" t="s">
        <v>41</v>
      </c>
      <c r="B13437" t="s">
        <v>2773</v>
      </c>
      <c r="C13437">
        <v>85</v>
      </c>
      <c r="D13437" t="s">
        <v>230</v>
      </c>
      <c r="E13437" t="s">
        <v>1397</v>
      </c>
      <c r="F13437" t="s">
        <v>2103</v>
      </c>
      <c r="G13437" t="s">
        <v>1223</v>
      </c>
      <c r="H13437" t="s">
        <v>31</v>
      </c>
      <c r="I13437" t="s">
        <v>1205</v>
      </c>
      <c r="J13437" t="s">
        <v>822</v>
      </c>
      <c r="K13437" t="s">
        <v>1211</v>
      </c>
      <c r="L13437" t="s">
        <v>422</v>
      </c>
      <c r="M13437" t="s">
        <v>48</v>
      </c>
      <c r="N13437" t="s">
        <v>425</v>
      </c>
      <c r="O13437" t="s">
        <v>278</v>
      </c>
    </row>
    <row r="13438" spans="1:15" x14ac:dyDescent="0.3">
      <c r="A13438" t="s">
        <v>41</v>
      </c>
      <c r="B13438" t="s">
        <v>2774</v>
      </c>
      <c r="C13438">
        <v>100</v>
      </c>
      <c r="D13438" t="s">
        <v>477</v>
      </c>
      <c r="E13438" t="s">
        <v>439</v>
      </c>
      <c r="F13438" t="s">
        <v>358</v>
      </c>
      <c r="G13438" t="s">
        <v>1065</v>
      </c>
      <c r="H13438" t="s">
        <v>396</v>
      </c>
      <c r="I13438" t="s">
        <v>797</v>
      </c>
      <c r="J13438" t="s">
        <v>395</v>
      </c>
      <c r="K13438" t="s">
        <v>453</v>
      </c>
      <c r="L13438" t="s">
        <v>363</v>
      </c>
      <c r="M13438" t="s">
        <v>647</v>
      </c>
      <c r="N13438" t="s">
        <v>225</v>
      </c>
      <c r="O13438" t="s">
        <v>48</v>
      </c>
    </row>
    <row r="13439" spans="1:15" x14ac:dyDescent="0.3">
      <c r="A13439" t="s">
        <v>41</v>
      </c>
      <c r="B13439" t="s">
        <v>2775</v>
      </c>
      <c r="C13439">
        <v>159</v>
      </c>
      <c r="D13439" t="s">
        <v>648</v>
      </c>
      <c r="E13439" t="s">
        <v>831</v>
      </c>
      <c r="F13439" t="s">
        <v>1327</v>
      </c>
      <c r="G13439" t="s">
        <v>573</v>
      </c>
      <c r="H13439" t="s">
        <v>418</v>
      </c>
      <c r="I13439" t="s">
        <v>562</v>
      </c>
      <c r="J13439" t="s">
        <v>1034</v>
      </c>
      <c r="K13439" t="s">
        <v>1011</v>
      </c>
      <c r="L13439" t="s">
        <v>353</v>
      </c>
      <c r="M13439" t="s">
        <v>503</v>
      </c>
      <c r="N13439" t="s">
        <v>1558</v>
      </c>
      <c r="O13439" t="s">
        <v>275</v>
      </c>
    </row>
    <row r="13440" spans="1:15" x14ac:dyDescent="0.3">
      <c r="A13440" t="s">
        <v>41</v>
      </c>
      <c r="B13440" t="s">
        <v>2776</v>
      </c>
      <c r="C13440">
        <v>312</v>
      </c>
      <c r="D13440" t="s">
        <v>1057</v>
      </c>
      <c r="E13440" t="s">
        <v>790</v>
      </c>
      <c r="F13440" t="s">
        <v>366</v>
      </c>
      <c r="G13440" t="s">
        <v>442</v>
      </c>
      <c r="H13440" t="s">
        <v>930</v>
      </c>
      <c r="I13440" t="s">
        <v>1284</v>
      </c>
      <c r="J13440" t="s">
        <v>1321</v>
      </c>
      <c r="K13440" t="s">
        <v>1015</v>
      </c>
      <c r="L13440" t="s">
        <v>1284</v>
      </c>
      <c r="M13440" t="s">
        <v>376</v>
      </c>
      <c r="N13440" t="s">
        <v>873</v>
      </c>
      <c r="O13440" t="s">
        <v>262</v>
      </c>
    </row>
    <row r="13441" spans="1:15" x14ac:dyDescent="0.3">
      <c r="A13441" t="s">
        <v>41</v>
      </c>
      <c r="B13441" t="s">
        <v>2777</v>
      </c>
      <c r="C13441">
        <v>695</v>
      </c>
      <c r="D13441" t="s">
        <v>367</v>
      </c>
      <c r="E13441" t="s">
        <v>704</v>
      </c>
      <c r="F13441" t="s">
        <v>939</v>
      </c>
      <c r="G13441" t="s">
        <v>1556</v>
      </c>
      <c r="H13441" t="s">
        <v>538</v>
      </c>
      <c r="I13441" t="s">
        <v>1402</v>
      </c>
      <c r="J13441" t="s">
        <v>802</v>
      </c>
      <c r="K13441" t="s">
        <v>393</v>
      </c>
      <c r="L13441" t="s">
        <v>993</v>
      </c>
      <c r="M13441" t="s">
        <v>698</v>
      </c>
      <c r="N13441" t="s">
        <v>1250</v>
      </c>
      <c r="O13441" t="s">
        <v>224</v>
      </c>
    </row>
    <row r="13442" spans="1:15" x14ac:dyDescent="0.3">
      <c r="A13442" t="s">
        <v>41</v>
      </c>
      <c r="B13442" t="s">
        <v>2778</v>
      </c>
      <c r="C13442">
        <v>597</v>
      </c>
      <c r="D13442" t="s">
        <v>792</v>
      </c>
      <c r="E13442" t="s">
        <v>1317</v>
      </c>
      <c r="F13442" t="s">
        <v>892</v>
      </c>
      <c r="G13442" t="s">
        <v>678</v>
      </c>
      <c r="H13442" t="s">
        <v>1279</v>
      </c>
      <c r="I13442" t="s">
        <v>931</v>
      </c>
      <c r="J13442" t="s">
        <v>439</v>
      </c>
      <c r="K13442" t="s">
        <v>1199</v>
      </c>
      <c r="L13442" t="s">
        <v>696</v>
      </c>
      <c r="M13442" t="s">
        <v>659</v>
      </c>
      <c r="N13442" t="s">
        <v>423</v>
      </c>
      <c r="O13442" t="s">
        <v>244</v>
      </c>
    </row>
    <row r="13443" spans="1:15" s="3" customFormat="1" x14ac:dyDescent="0.3">
      <c r="A13443" s="3" t="s">
        <v>41</v>
      </c>
      <c r="B13443" s="3" t="s">
        <v>223</v>
      </c>
      <c r="C13443" s="3">
        <v>4</v>
      </c>
      <c r="D13443" s="3" t="s">
        <v>406</v>
      </c>
      <c r="E13443" s="3" t="s">
        <v>406</v>
      </c>
      <c r="F13443" s="3" t="s">
        <v>406</v>
      </c>
      <c r="G13443" s="3" t="s">
        <v>406</v>
      </c>
      <c r="H13443" s="3" t="s">
        <v>406</v>
      </c>
      <c r="I13443" s="3" t="s">
        <v>406</v>
      </c>
      <c r="J13443" s="3" t="s">
        <v>1398</v>
      </c>
      <c r="K13443" s="3" t="s">
        <v>406</v>
      </c>
      <c r="L13443" s="3" t="s">
        <v>747</v>
      </c>
      <c r="M13443" s="3" t="s">
        <v>406</v>
      </c>
      <c r="N13443" s="3" t="s">
        <v>747</v>
      </c>
      <c r="O13443" s="3" t="s">
        <v>173</v>
      </c>
    </row>
    <row r="13444" spans="1:15" x14ac:dyDescent="0.3">
      <c r="A13444" t="s">
        <v>41</v>
      </c>
      <c r="B13444" t="s">
        <v>308</v>
      </c>
      <c r="C13444">
        <v>31</v>
      </c>
      <c r="D13444" t="s">
        <v>470</v>
      </c>
      <c r="E13444" t="s">
        <v>817</v>
      </c>
      <c r="F13444" t="s">
        <v>297</v>
      </c>
      <c r="G13444" t="s">
        <v>699</v>
      </c>
      <c r="H13444" t="s">
        <v>1011</v>
      </c>
      <c r="I13444" t="s">
        <v>679</v>
      </c>
      <c r="J13444" t="s">
        <v>669</v>
      </c>
      <c r="K13444" t="s">
        <v>1090</v>
      </c>
      <c r="L13444" t="s">
        <v>510</v>
      </c>
      <c r="M13444" t="s">
        <v>746</v>
      </c>
      <c r="N13444" t="s">
        <v>513</v>
      </c>
      <c r="O13444" t="s">
        <v>927</v>
      </c>
    </row>
    <row r="13446" spans="1:15" x14ac:dyDescent="0.3">
      <c r="A13446" t="s">
        <v>2927</v>
      </c>
    </row>
    <row r="13447" spans="1:15" x14ac:dyDescent="0.3">
      <c r="A13447" t="s">
        <v>36</v>
      </c>
      <c r="B13447" t="s">
        <v>197</v>
      </c>
      <c r="C13447" t="s">
        <v>24</v>
      </c>
      <c r="D13447" t="s">
        <v>2906</v>
      </c>
      <c r="E13447" t="s">
        <v>2907</v>
      </c>
      <c r="F13447" t="s">
        <v>2908</v>
      </c>
      <c r="G13447" t="s">
        <v>2909</v>
      </c>
      <c r="H13447" t="s">
        <v>2910</v>
      </c>
      <c r="I13447" t="s">
        <v>2911</v>
      </c>
      <c r="J13447" t="s">
        <v>2912</v>
      </c>
      <c r="K13447" t="s">
        <v>2913</v>
      </c>
      <c r="L13447" t="s">
        <v>2914</v>
      </c>
      <c r="M13447" t="s">
        <v>2915</v>
      </c>
      <c r="N13447" t="s">
        <v>2916</v>
      </c>
      <c r="O13447" t="s">
        <v>2917</v>
      </c>
    </row>
    <row r="13448" spans="1:15" x14ac:dyDescent="0.3">
      <c r="A13448" t="s">
        <v>25</v>
      </c>
      <c r="B13448" t="s">
        <v>198</v>
      </c>
      <c r="C13448">
        <v>104</v>
      </c>
      <c r="D13448" t="s">
        <v>810</v>
      </c>
      <c r="E13448" t="s">
        <v>1310</v>
      </c>
      <c r="F13448" t="s">
        <v>1244</v>
      </c>
      <c r="G13448" t="s">
        <v>1438</v>
      </c>
      <c r="H13448" t="s">
        <v>830</v>
      </c>
      <c r="I13448" t="s">
        <v>406</v>
      </c>
      <c r="J13448" t="s">
        <v>811</v>
      </c>
      <c r="K13448" t="s">
        <v>374</v>
      </c>
      <c r="L13448" t="s">
        <v>736</v>
      </c>
      <c r="M13448" t="s">
        <v>2010</v>
      </c>
      <c r="N13448" t="s">
        <v>1241</v>
      </c>
      <c r="O13448" t="s">
        <v>95</v>
      </c>
    </row>
    <row r="13449" spans="1:15" x14ac:dyDescent="0.3">
      <c r="A13449" t="s">
        <v>25</v>
      </c>
      <c r="B13449" t="s">
        <v>199</v>
      </c>
      <c r="C13449">
        <v>310</v>
      </c>
      <c r="D13449" t="s">
        <v>838</v>
      </c>
      <c r="E13449" t="s">
        <v>897</v>
      </c>
      <c r="F13449" t="s">
        <v>2033</v>
      </c>
      <c r="G13449" t="s">
        <v>260</v>
      </c>
      <c r="H13449" t="s">
        <v>430</v>
      </c>
      <c r="I13449" t="s">
        <v>258</v>
      </c>
      <c r="J13449" t="s">
        <v>1259</v>
      </c>
      <c r="K13449" t="s">
        <v>1358</v>
      </c>
      <c r="L13449" t="s">
        <v>364</v>
      </c>
      <c r="M13449" t="s">
        <v>1295</v>
      </c>
      <c r="N13449" t="s">
        <v>726</v>
      </c>
      <c r="O13449" t="s">
        <v>494</v>
      </c>
    </row>
    <row r="13450" spans="1:15" x14ac:dyDescent="0.3">
      <c r="A13450" t="s">
        <v>26</v>
      </c>
      <c r="B13450" t="s">
        <v>198</v>
      </c>
      <c r="C13450">
        <v>41</v>
      </c>
      <c r="D13450" t="s">
        <v>697</v>
      </c>
      <c r="E13450" t="s">
        <v>1354</v>
      </c>
      <c r="F13450" t="s">
        <v>1215</v>
      </c>
      <c r="G13450" t="s">
        <v>411</v>
      </c>
      <c r="H13450" t="s">
        <v>382</v>
      </c>
      <c r="I13450" t="s">
        <v>1293</v>
      </c>
      <c r="J13450" t="s">
        <v>426</v>
      </c>
      <c r="K13450" t="s">
        <v>1015</v>
      </c>
      <c r="L13450" t="s">
        <v>399</v>
      </c>
      <c r="M13450" t="s">
        <v>472</v>
      </c>
      <c r="N13450" t="s">
        <v>1228</v>
      </c>
      <c r="O13450" t="s">
        <v>750</v>
      </c>
    </row>
    <row r="13451" spans="1:15" x14ac:dyDescent="0.3">
      <c r="A13451" t="s">
        <v>26</v>
      </c>
      <c r="B13451" t="s">
        <v>199</v>
      </c>
      <c r="C13451">
        <v>436</v>
      </c>
      <c r="D13451" t="s">
        <v>476</v>
      </c>
      <c r="E13451" t="s">
        <v>1397</v>
      </c>
      <c r="F13451" t="s">
        <v>2010</v>
      </c>
      <c r="G13451" t="s">
        <v>1212</v>
      </c>
      <c r="H13451" t="s">
        <v>729</v>
      </c>
      <c r="I13451" t="s">
        <v>510</v>
      </c>
      <c r="J13451" t="s">
        <v>924</v>
      </c>
      <c r="K13451" t="s">
        <v>393</v>
      </c>
      <c r="L13451" t="s">
        <v>430</v>
      </c>
      <c r="M13451" t="s">
        <v>525</v>
      </c>
      <c r="N13451" t="s">
        <v>948</v>
      </c>
      <c r="O13451" t="s">
        <v>652</v>
      </c>
    </row>
    <row r="13452" spans="1:15" x14ac:dyDescent="0.3">
      <c r="A13452" t="s">
        <v>29</v>
      </c>
      <c r="B13452" t="s">
        <v>198</v>
      </c>
      <c r="C13452">
        <v>170</v>
      </c>
      <c r="D13452" t="s">
        <v>692</v>
      </c>
      <c r="E13452" t="s">
        <v>49</v>
      </c>
      <c r="F13452" t="s">
        <v>1031</v>
      </c>
      <c r="G13452" t="s">
        <v>1243</v>
      </c>
      <c r="H13452" t="s">
        <v>419</v>
      </c>
      <c r="I13452" t="s">
        <v>796</v>
      </c>
      <c r="J13452" t="s">
        <v>986</v>
      </c>
      <c r="K13452" t="s">
        <v>1546</v>
      </c>
      <c r="L13452" t="s">
        <v>1329</v>
      </c>
      <c r="M13452" t="s">
        <v>1098</v>
      </c>
      <c r="N13452" t="s">
        <v>928</v>
      </c>
      <c r="O13452" t="s">
        <v>693</v>
      </c>
    </row>
    <row r="13453" spans="1:15" x14ac:dyDescent="0.3">
      <c r="A13453" t="s">
        <v>29</v>
      </c>
      <c r="B13453" t="s">
        <v>199</v>
      </c>
      <c r="C13453">
        <v>360</v>
      </c>
      <c r="D13453" t="s">
        <v>393</v>
      </c>
      <c r="E13453" t="s">
        <v>678</v>
      </c>
      <c r="F13453" t="s">
        <v>1549</v>
      </c>
      <c r="G13453" t="s">
        <v>1199</v>
      </c>
      <c r="H13453" t="s">
        <v>399</v>
      </c>
      <c r="I13453" t="s">
        <v>1214</v>
      </c>
      <c r="J13453" t="s">
        <v>1000</v>
      </c>
      <c r="K13453" t="s">
        <v>1229</v>
      </c>
      <c r="L13453" t="s">
        <v>643</v>
      </c>
      <c r="M13453" t="s">
        <v>647</v>
      </c>
      <c r="N13453" t="s">
        <v>698</v>
      </c>
      <c r="O13453" t="s">
        <v>173</v>
      </c>
    </row>
    <row r="13454" spans="1:15" x14ac:dyDescent="0.3">
      <c r="A13454" t="s">
        <v>28</v>
      </c>
      <c r="B13454" t="s">
        <v>198</v>
      </c>
      <c r="C13454">
        <v>70</v>
      </c>
      <c r="D13454" t="s">
        <v>353</v>
      </c>
      <c r="E13454" t="s">
        <v>884</v>
      </c>
      <c r="F13454" t="s">
        <v>53</v>
      </c>
      <c r="G13454" t="s">
        <v>1240</v>
      </c>
      <c r="H13454" t="s">
        <v>1257</v>
      </c>
      <c r="I13454" t="s">
        <v>508</v>
      </c>
      <c r="J13454" t="s">
        <v>330</v>
      </c>
      <c r="K13454" t="s">
        <v>1401</v>
      </c>
      <c r="L13454" t="s">
        <v>364</v>
      </c>
      <c r="M13454" t="s">
        <v>361</v>
      </c>
      <c r="N13454" t="s">
        <v>2010</v>
      </c>
      <c r="O13454" t="s">
        <v>257</v>
      </c>
    </row>
    <row r="13455" spans="1:15" x14ac:dyDescent="0.3">
      <c r="A13455" t="s">
        <v>28</v>
      </c>
      <c r="B13455" t="s">
        <v>199</v>
      </c>
      <c r="C13455">
        <v>247</v>
      </c>
      <c r="D13455" t="s">
        <v>410</v>
      </c>
      <c r="E13455" t="s">
        <v>408</v>
      </c>
      <c r="F13455" t="s">
        <v>1136</v>
      </c>
      <c r="G13455" t="s">
        <v>1577</v>
      </c>
      <c r="H13455" t="s">
        <v>692</v>
      </c>
      <c r="I13455" t="s">
        <v>364</v>
      </c>
      <c r="J13455" t="s">
        <v>736</v>
      </c>
      <c r="K13455" t="s">
        <v>423</v>
      </c>
      <c r="L13455" t="s">
        <v>1170</v>
      </c>
      <c r="M13455" t="s">
        <v>512</v>
      </c>
      <c r="N13455" t="s">
        <v>1252</v>
      </c>
      <c r="O13455" t="s">
        <v>652</v>
      </c>
    </row>
    <row r="13456" spans="1:15" x14ac:dyDescent="0.3">
      <c r="A13456" t="s">
        <v>27</v>
      </c>
      <c r="B13456" t="s">
        <v>198</v>
      </c>
      <c r="C13456">
        <v>136</v>
      </c>
      <c r="D13456" t="s">
        <v>460</v>
      </c>
      <c r="E13456" t="s">
        <v>487</v>
      </c>
      <c r="F13456" t="s">
        <v>1038</v>
      </c>
      <c r="G13456" t="s">
        <v>530</v>
      </c>
      <c r="H13456" t="s">
        <v>461</v>
      </c>
      <c r="I13456" t="s">
        <v>792</v>
      </c>
      <c r="J13456" t="s">
        <v>1211</v>
      </c>
      <c r="K13456" t="s">
        <v>890</v>
      </c>
      <c r="L13456" t="s">
        <v>935</v>
      </c>
      <c r="M13456" t="s">
        <v>566</v>
      </c>
      <c r="N13456" t="s">
        <v>2106</v>
      </c>
      <c r="O13456" t="s">
        <v>205</v>
      </c>
    </row>
    <row r="13457" spans="1:15" x14ac:dyDescent="0.3">
      <c r="A13457" t="s">
        <v>27</v>
      </c>
      <c r="B13457" t="s">
        <v>199</v>
      </c>
      <c r="C13457">
        <v>164</v>
      </c>
      <c r="D13457" t="s">
        <v>253</v>
      </c>
      <c r="E13457" t="s">
        <v>1236</v>
      </c>
      <c r="F13457" t="s">
        <v>1229</v>
      </c>
      <c r="G13457" t="s">
        <v>402</v>
      </c>
      <c r="H13457" t="s">
        <v>1070</v>
      </c>
      <c r="I13457" t="s">
        <v>820</v>
      </c>
      <c r="J13457" t="s">
        <v>365</v>
      </c>
      <c r="K13457" t="s">
        <v>518</v>
      </c>
      <c r="L13457" t="s">
        <v>429</v>
      </c>
      <c r="M13457" t="s">
        <v>493</v>
      </c>
      <c r="N13457" t="s">
        <v>1549</v>
      </c>
      <c r="O13457" t="s">
        <v>124</v>
      </c>
    </row>
    <row r="13458" spans="1:15" x14ac:dyDescent="0.3">
      <c r="A13458" t="s">
        <v>41</v>
      </c>
      <c r="B13458" t="s">
        <v>198</v>
      </c>
      <c r="C13458">
        <v>521</v>
      </c>
      <c r="D13458" t="s">
        <v>546</v>
      </c>
      <c r="E13458" t="s">
        <v>884</v>
      </c>
      <c r="F13458" t="s">
        <v>926</v>
      </c>
      <c r="G13458" t="s">
        <v>508</v>
      </c>
      <c r="H13458" t="s">
        <v>1418</v>
      </c>
      <c r="I13458" t="s">
        <v>1058</v>
      </c>
      <c r="J13458" t="s">
        <v>403</v>
      </c>
      <c r="K13458" t="s">
        <v>1215</v>
      </c>
      <c r="L13458" t="s">
        <v>400</v>
      </c>
      <c r="M13458" t="s">
        <v>299</v>
      </c>
      <c r="N13458" t="s">
        <v>665</v>
      </c>
      <c r="O13458" t="s">
        <v>127</v>
      </c>
    </row>
    <row r="13459" spans="1:15" x14ac:dyDescent="0.3">
      <c r="A13459" t="s">
        <v>41</v>
      </c>
      <c r="B13459" t="s">
        <v>199</v>
      </c>
      <c r="C13459">
        <v>1517</v>
      </c>
      <c r="D13459" t="s">
        <v>619</v>
      </c>
      <c r="E13459" t="s">
        <v>439</v>
      </c>
      <c r="F13459" t="s">
        <v>1053</v>
      </c>
      <c r="G13459" t="s">
        <v>385</v>
      </c>
      <c r="H13459" t="s">
        <v>770</v>
      </c>
      <c r="I13459" t="s">
        <v>500</v>
      </c>
      <c r="J13459" t="s">
        <v>372</v>
      </c>
      <c r="K13459" t="s">
        <v>134</v>
      </c>
      <c r="L13459" t="s">
        <v>487</v>
      </c>
      <c r="M13459" t="s">
        <v>559</v>
      </c>
      <c r="N13459" t="s">
        <v>2010</v>
      </c>
      <c r="O13459" t="s">
        <v>463</v>
      </c>
    </row>
    <row r="13461" spans="1:15" x14ac:dyDescent="0.3">
      <c r="A13461" t="s">
        <v>2928</v>
      </c>
    </row>
    <row r="13462" spans="1:15" x14ac:dyDescent="0.3">
      <c r="A13462" t="s">
        <v>36</v>
      </c>
      <c r="B13462" t="s">
        <v>24</v>
      </c>
      <c r="C13462" t="s">
        <v>1454</v>
      </c>
      <c r="D13462" t="s">
        <v>58</v>
      </c>
      <c r="E13462" t="s">
        <v>2929</v>
      </c>
      <c r="F13462" t="s">
        <v>59</v>
      </c>
    </row>
    <row r="13463" spans="1:15" x14ac:dyDescent="0.3">
      <c r="A13463" t="s">
        <v>25</v>
      </c>
      <c r="B13463">
        <v>414</v>
      </c>
      <c r="C13463" t="s">
        <v>257</v>
      </c>
      <c r="D13463" t="s">
        <v>993</v>
      </c>
      <c r="E13463" t="s">
        <v>32</v>
      </c>
      <c r="F13463" t="s">
        <v>661</v>
      </c>
    </row>
    <row r="13464" spans="1:15" x14ac:dyDescent="0.3">
      <c r="A13464" t="s">
        <v>26</v>
      </c>
      <c r="B13464">
        <v>477</v>
      </c>
      <c r="C13464" t="s">
        <v>245</v>
      </c>
      <c r="D13464" t="s">
        <v>2185</v>
      </c>
      <c r="E13464" t="s">
        <v>615</v>
      </c>
      <c r="F13464" t="s">
        <v>293</v>
      </c>
    </row>
    <row r="13465" spans="1:15" x14ac:dyDescent="0.3">
      <c r="A13465" t="s">
        <v>29</v>
      </c>
      <c r="B13465">
        <v>530</v>
      </c>
      <c r="C13465" t="s">
        <v>532</v>
      </c>
      <c r="D13465" t="s">
        <v>34</v>
      </c>
      <c r="E13465" t="s">
        <v>137</v>
      </c>
      <c r="F13465" t="s">
        <v>562</v>
      </c>
    </row>
    <row r="13466" spans="1:15" x14ac:dyDescent="0.3">
      <c r="A13466" t="s">
        <v>28</v>
      </c>
      <c r="B13466">
        <v>317</v>
      </c>
      <c r="C13466" t="s">
        <v>195</v>
      </c>
      <c r="D13466" t="s">
        <v>654</v>
      </c>
      <c r="E13466" t="s">
        <v>206</v>
      </c>
      <c r="F13466" t="s">
        <v>1258</v>
      </c>
    </row>
    <row r="13467" spans="1:15" x14ac:dyDescent="0.3">
      <c r="A13467" t="s">
        <v>27</v>
      </c>
      <c r="B13467">
        <v>300</v>
      </c>
      <c r="C13467" t="s">
        <v>167</v>
      </c>
      <c r="D13467" t="s">
        <v>506</v>
      </c>
      <c r="E13467" t="s">
        <v>60</v>
      </c>
      <c r="F13467" t="s">
        <v>371</v>
      </c>
    </row>
    <row r="13468" spans="1:15" x14ac:dyDescent="0.3">
      <c r="A13468" t="s">
        <v>41</v>
      </c>
      <c r="B13468">
        <v>2038</v>
      </c>
      <c r="C13468" t="s">
        <v>188</v>
      </c>
      <c r="D13468" t="s">
        <v>1024</v>
      </c>
      <c r="E13468" t="s">
        <v>511</v>
      </c>
      <c r="F13468" t="s">
        <v>540</v>
      </c>
    </row>
    <row r="13470" spans="1:15" x14ac:dyDescent="0.3">
      <c r="A13470" t="s">
        <v>2930</v>
      </c>
    </row>
    <row r="13471" spans="1:15" x14ac:dyDescent="0.3">
      <c r="A13471" t="s">
        <v>36</v>
      </c>
      <c r="B13471" t="s">
        <v>307</v>
      </c>
      <c r="C13471" t="s">
        <v>24</v>
      </c>
      <c r="D13471" t="s">
        <v>1454</v>
      </c>
      <c r="E13471" t="s">
        <v>58</v>
      </c>
      <c r="F13471" t="s">
        <v>2929</v>
      </c>
      <c r="G13471" t="s">
        <v>59</v>
      </c>
    </row>
    <row r="13472" spans="1:15" x14ac:dyDescent="0.3">
      <c r="A13472" t="s">
        <v>25</v>
      </c>
      <c r="B13472" t="s">
        <v>291</v>
      </c>
      <c r="C13472">
        <v>156</v>
      </c>
      <c r="D13472" t="s">
        <v>345</v>
      </c>
      <c r="E13472" t="s">
        <v>1066</v>
      </c>
      <c r="F13472" t="s">
        <v>438</v>
      </c>
      <c r="G13472" t="s">
        <v>1228</v>
      </c>
    </row>
    <row r="13473" spans="1:7" x14ac:dyDescent="0.3">
      <c r="A13473" t="s">
        <v>25</v>
      </c>
      <c r="B13473" t="s">
        <v>292</v>
      </c>
      <c r="C13473">
        <v>254</v>
      </c>
      <c r="D13473" t="s">
        <v>467</v>
      </c>
      <c r="E13473" t="s">
        <v>1220</v>
      </c>
      <c r="F13473" t="s">
        <v>558</v>
      </c>
      <c r="G13473" t="s">
        <v>1028</v>
      </c>
    </row>
    <row r="13474" spans="1:7" x14ac:dyDescent="0.3">
      <c r="A13474" t="s">
        <v>25</v>
      </c>
      <c r="B13474" t="s">
        <v>308</v>
      </c>
      <c r="C13474">
        <v>4</v>
      </c>
      <c r="D13474" t="s">
        <v>103</v>
      </c>
      <c r="E13474" t="s">
        <v>192</v>
      </c>
      <c r="F13474" t="s">
        <v>103</v>
      </c>
      <c r="G13474" t="s">
        <v>103</v>
      </c>
    </row>
    <row r="13475" spans="1:7" x14ac:dyDescent="0.3">
      <c r="A13475" t="s">
        <v>26</v>
      </c>
      <c r="B13475" t="s">
        <v>291</v>
      </c>
      <c r="C13475">
        <v>122</v>
      </c>
      <c r="D13475" t="s">
        <v>201</v>
      </c>
      <c r="E13475" t="s">
        <v>1215</v>
      </c>
      <c r="F13475" t="s">
        <v>94</v>
      </c>
      <c r="G13475" t="s">
        <v>1637</v>
      </c>
    </row>
    <row r="13476" spans="1:7" x14ac:dyDescent="0.3">
      <c r="A13476" t="s">
        <v>26</v>
      </c>
      <c r="B13476" t="s">
        <v>292</v>
      </c>
      <c r="C13476">
        <v>352</v>
      </c>
      <c r="D13476" t="s">
        <v>139</v>
      </c>
      <c r="E13476" t="s">
        <v>1039</v>
      </c>
      <c r="F13476" t="s">
        <v>186</v>
      </c>
      <c r="G13476" t="s">
        <v>352</v>
      </c>
    </row>
    <row r="13477" spans="1:7" x14ac:dyDescent="0.3">
      <c r="A13477" t="s">
        <v>26</v>
      </c>
      <c r="B13477" t="s">
        <v>308</v>
      </c>
      <c r="C13477">
        <v>3</v>
      </c>
      <c r="D13477" t="s">
        <v>103</v>
      </c>
      <c r="E13477" t="s">
        <v>1178</v>
      </c>
      <c r="F13477" t="s">
        <v>103</v>
      </c>
      <c r="G13477" t="s">
        <v>921</v>
      </c>
    </row>
    <row r="13478" spans="1:7" x14ac:dyDescent="0.3">
      <c r="A13478" t="s">
        <v>29</v>
      </c>
      <c r="B13478" t="s">
        <v>291</v>
      </c>
      <c r="C13478">
        <v>205</v>
      </c>
      <c r="D13478" t="s">
        <v>214</v>
      </c>
      <c r="E13478" t="s">
        <v>1559</v>
      </c>
      <c r="F13478" t="s">
        <v>111</v>
      </c>
      <c r="G13478" t="s">
        <v>373</v>
      </c>
    </row>
    <row r="13479" spans="1:7" x14ac:dyDescent="0.3">
      <c r="A13479" t="s">
        <v>29</v>
      </c>
      <c r="B13479" t="s">
        <v>292</v>
      </c>
      <c r="C13479">
        <v>325</v>
      </c>
      <c r="D13479" t="s">
        <v>113</v>
      </c>
      <c r="E13479" t="s">
        <v>873</v>
      </c>
      <c r="F13479" t="s">
        <v>100</v>
      </c>
      <c r="G13479" t="s">
        <v>370</v>
      </c>
    </row>
    <row r="13480" spans="1:7" x14ac:dyDescent="0.3">
      <c r="A13480" t="s">
        <v>28</v>
      </c>
      <c r="B13480" t="s">
        <v>291</v>
      </c>
      <c r="C13480">
        <v>114</v>
      </c>
      <c r="D13480" t="s">
        <v>460</v>
      </c>
      <c r="E13480" t="s">
        <v>568</v>
      </c>
      <c r="F13480" t="s">
        <v>466</v>
      </c>
      <c r="G13480" t="s">
        <v>233</v>
      </c>
    </row>
    <row r="13481" spans="1:7" x14ac:dyDescent="0.3">
      <c r="A13481" t="s">
        <v>28</v>
      </c>
      <c r="B13481" t="s">
        <v>292</v>
      </c>
      <c r="C13481">
        <v>191</v>
      </c>
      <c r="D13481" t="s">
        <v>97</v>
      </c>
      <c r="E13481" t="s">
        <v>478</v>
      </c>
      <c r="F13481" t="s">
        <v>531</v>
      </c>
      <c r="G13481" t="s">
        <v>986</v>
      </c>
    </row>
    <row r="13482" spans="1:7" x14ac:dyDescent="0.3">
      <c r="A13482" t="s">
        <v>28</v>
      </c>
      <c r="B13482" t="s">
        <v>308</v>
      </c>
      <c r="C13482">
        <v>12</v>
      </c>
      <c r="D13482" t="s">
        <v>103</v>
      </c>
      <c r="E13482" t="s">
        <v>797</v>
      </c>
      <c r="F13482" t="s">
        <v>103</v>
      </c>
      <c r="G13482" t="s">
        <v>426</v>
      </c>
    </row>
    <row r="13483" spans="1:7" x14ac:dyDescent="0.3">
      <c r="A13483" t="s">
        <v>27</v>
      </c>
      <c r="B13483" t="s">
        <v>291</v>
      </c>
      <c r="C13483">
        <v>95</v>
      </c>
      <c r="D13483" t="s">
        <v>144</v>
      </c>
      <c r="E13483" t="s">
        <v>707</v>
      </c>
      <c r="F13483" t="s">
        <v>601</v>
      </c>
      <c r="G13483" t="s">
        <v>1039</v>
      </c>
    </row>
    <row r="13484" spans="1:7" x14ac:dyDescent="0.3">
      <c r="A13484" t="s">
        <v>27</v>
      </c>
      <c r="B13484" t="s">
        <v>292</v>
      </c>
      <c r="C13484">
        <v>198</v>
      </c>
      <c r="D13484" t="s">
        <v>813</v>
      </c>
      <c r="E13484" t="s">
        <v>1219</v>
      </c>
      <c r="F13484" t="s">
        <v>140</v>
      </c>
      <c r="G13484" t="s">
        <v>1241</v>
      </c>
    </row>
    <row r="13485" spans="1:7" x14ac:dyDescent="0.3">
      <c r="A13485" t="s">
        <v>27</v>
      </c>
      <c r="B13485" t="s">
        <v>308</v>
      </c>
      <c r="C13485">
        <v>7</v>
      </c>
      <c r="D13485" t="s">
        <v>645</v>
      </c>
      <c r="E13485" t="s">
        <v>103</v>
      </c>
      <c r="F13485" t="s">
        <v>103</v>
      </c>
      <c r="G13485" t="s">
        <v>703</v>
      </c>
    </row>
    <row r="13486" spans="1:7" x14ac:dyDescent="0.3">
      <c r="A13486" t="s">
        <v>41</v>
      </c>
      <c r="B13486" t="s">
        <v>291</v>
      </c>
      <c r="C13486">
        <v>692</v>
      </c>
      <c r="D13486" t="s">
        <v>113</v>
      </c>
      <c r="E13486" t="s">
        <v>443</v>
      </c>
      <c r="F13486" t="s">
        <v>571</v>
      </c>
      <c r="G13486" t="s">
        <v>496</v>
      </c>
    </row>
    <row r="13487" spans="1:7" x14ac:dyDescent="0.3">
      <c r="A13487" t="s">
        <v>41</v>
      </c>
      <c r="B13487" t="s">
        <v>292</v>
      </c>
      <c r="C13487">
        <v>1320</v>
      </c>
      <c r="D13487" t="s">
        <v>438</v>
      </c>
      <c r="E13487" t="s">
        <v>1402</v>
      </c>
      <c r="F13487" t="s">
        <v>531</v>
      </c>
      <c r="G13487" t="s">
        <v>1081</v>
      </c>
    </row>
    <row r="13488" spans="1:7" x14ac:dyDescent="0.3">
      <c r="A13488" t="s">
        <v>41</v>
      </c>
      <c r="B13488" t="s">
        <v>308</v>
      </c>
      <c r="C13488">
        <v>26</v>
      </c>
      <c r="D13488" t="s">
        <v>558</v>
      </c>
      <c r="E13488" t="s">
        <v>383</v>
      </c>
      <c r="F13488" t="s">
        <v>103</v>
      </c>
      <c r="G13488" t="s">
        <v>729</v>
      </c>
    </row>
    <row r="13490" spans="1:7" x14ac:dyDescent="0.3">
      <c r="A13490" t="s">
        <v>2931</v>
      </c>
    </row>
    <row r="13491" spans="1:7" x14ac:dyDescent="0.3">
      <c r="A13491" t="s">
        <v>36</v>
      </c>
      <c r="B13491" t="s">
        <v>763</v>
      </c>
      <c r="C13491" t="s">
        <v>24</v>
      </c>
      <c r="D13491" t="s">
        <v>1454</v>
      </c>
      <c r="E13491" t="s">
        <v>58</v>
      </c>
      <c r="F13491" t="s">
        <v>2929</v>
      </c>
      <c r="G13491" t="s">
        <v>59</v>
      </c>
    </row>
    <row r="13492" spans="1:7" x14ac:dyDescent="0.3">
      <c r="A13492" t="s">
        <v>25</v>
      </c>
      <c r="B13492" t="s">
        <v>764</v>
      </c>
      <c r="C13492">
        <v>31</v>
      </c>
      <c r="D13492" t="s">
        <v>494</v>
      </c>
      <c r="E13492" t="s">
        <v>372</v>
      </c>
      <c r="F13492" t="s">
        <v>114</v>
      </c>
      <c r="G13492" t="s">
        <v>236</v>
      </c>
    </row>
    <row r="13493" spans="1:7" x14ac:dyDescent="0.3">
      <c r="A13493" t="s">
        <v>25</v>
      </c>
      <c r="B13493" t="s">
        <v>765</v>
      </c>
      <c r="C13493">
        <v>280</v>
      </c>
      <c r="D13493" t="s">
        <v>105</v>
      </c>
      <c r="E13493" t="s">
        <v>1067</v>
      </c>
      <c r="F13493" t="s">
        <v>284</v>
      </c>
      <c r="G13493" t="s">
        <v>370</v>
      </c>
    </row>
    <row r="13494" spans="1:7" x14ac:dyDescent="0.3">
      <c r="A13494" t="s">
        <v>25</v>
      </c>
      <c r="B13494" t="s">
        <v>767</v>
      </c>
      <c r="C13494">
        <v>103</v>
      </c>
      <c r="D13494" t="s">
        <v>266</v>
      </c>
      <c r="E13494" t="s">
        <v>677</v>
      </c>
      <c r="F13494" t="s">
        <v>201</v>
      </c>
      <c r="G13494" t="s">
        <v>527</v>
      </c>
    </row>
    <row r="13495" spans="1:7" x14ac:dyDescent="0.3">
      <c r="A13495" t="s">
        <v>26</v>
      </c>
      <c r="B13495" t="s">
        <v>764</v>
      </c>
      <c r="C13495">
        <v>58</v>
      </c>
      <c r="D13495" t="s">
        <v>105</v>
      </c>
      <c r="E13495" t="s">
        <v>1373</v>
      </c>
      <c r="F13495" t="s">
        <v>272</v>
      </c>
      <c r="G13495" t="s">
        <v>754</v>
      </c>
    </row>
    <row r="13496" spans="1:7" x14ac:dyDescent="0.3">
      <c r="A13496" t="s">
        <v>26</v>
      </c>
      <c r="B13496" t="s">
        <v>765</v>
      </c>
      <c r="C13496">
        <v>278</v>
      </c>
      <c r="D13496" t="s">
        <v>208</v>
      </c>
      <c r="E13496" t="s">
        <v>441</v>
      </c>
      <c r="F13496" t="s">
        <v>186</v>
      </c>
      <c r="G13496" t="s">
        <v>404</v>
      </c>
    </row>
    <row r="13497" spans="1:7" x14ac:dyDescent="0.3">
      <c r="A13497" t="s">
        <v>26</v>
      </c>
      <c r="B13497" t="s">
        <v>767</v>
      </c>
      <c r="C13497">
        <v>141</v>
      </c>
      <c r="D13497" t="s">
        <v>98</v>
      </c>
      <c r="E13497" t="s">
        <v>1358</v>
      </c>
      <c r="F13497" t="s">
        <v>94</v>
      </c>
      <c r="G13497" t="s">
        <v>1422</v>
      </c>
    </row>
    <row r="13498" spans="1:7" s="3" customFormat="1" x14ac:dyDescent="0.3">
      <c r="A13498" s="3" t="s">
        <v>29</v>
      </c>
      <c r="B13498" s="3" t="s">
        <v>764</v>
      </c>
      <c r="C13498" s="3">
        <v>11</v>
      </c>
      <c r="D13498" s="3" t="s">
        <v>136</v>
      </c>
      <c r="E13498" s="3" t="s">
        <v>920</v>
      </c>
      <c r="F13498" s="3" t="s">
        <v>1084</v>
      </c>
      <c r="G13498" s="3" t="s">
        <v>393</v>
      </c>
    </row>
    <row r="13499" spans="1:7" x14ac:dyDescent="0.3">
      <c r="A13499" t="s">
        <v>29</v>
      </c>
      <c r="B13499" t="s">
        <v>765</v>
      </c>
      <c r="C13499">
        <v>365</v>
      </c>
      <c r="D13499" t="s">
        <v>112</v>
      </c>
      <c r="E13499" t="s">
        <v>1545</v>
      </c>
      <c r="F13499" t="s">
        <v>137</v>
      </c>
      <c r="G13499" t="s">
        <v>627</v>
      </c>
    </row>
    <row r="13500" spans="1:7" x14ac:dyDescent="0.3">
      <c r="A13500" t="s">
        <v>29</v>
      </c>
      <c r="B13500" t="s">
        <v>767</v>
      </c>
      <c r="C13500">
        <v>154</v>
      </c>
      <c r="D13500" t="s">
        <v>105</v>
      </c>
      <c r="E13500" t="s">
        <v>1402</v>
      </c>
      <c r="F13500" t="s">
        <v>205</v>
      </c>
      <c r="G13500" t="s">
        <v>1043</v>
      </c>
    </row>
    <row r="13501" spans="1:7" s="3" customFormat="1" x14ac:dyDescent="0.3">
      <c r="A13501" s="3" t="s">
        <v>28</v>
      </c>
      <c r="B13501" s="3" t="s">
        <v>764</v>
      </c>
      <c r="C13501" s="3">
        <v>20</v>
      </c>
      <c r="D13501" s="3" t="s">
        <v>103</v>
      </c>
      <c r="E13501" s="3" t="s">
        <v>92</v>
      </c>
      <c r="F13501" s="3" t="s">
        <v>103</v>
      </c>
      <c r="G13501" s="3" t="s">
        <v>617</v>
      </c>
    </row>
    <row r="13502" spans="1:7" x14ac:dyDescent="0.3">
      <c r="A13502" t="s">
        <v>28</v>
      </c>
      <c r="B13502" t="s">
        <v>765</v>
      </c>
      <c r="C13502">
        <v>260</v>
      </c>
      <c r="D13502" t="s">
        <v>493</v>
      </c>
      <c r="E13502" t="s">
        <v>900</v>
      </c>
      <c r="F13502" t="s">
        <v>94</v>
      </c>
      <c r="G13502" t="s">
        <v>857</v>
      </c>
    </row>
    <row r="13503" spans="1:7" x14ac:dyDescent="0.3">
      <c r="A13503" t="s">
        <v>28</v>
      </c>
      <c r="B13503" t="s">
        <v>767</v>
      </c>
      <c r="C13503">
        <v>37</v>
      </c>
      <c r="D13503" t="s">
        <v>103</v>
      </c>
      <c r="E13503" t="s">
        <v>688</v>
      </c>
      <c r="F13503" t="s">
        <v>511</v>
      </c>
      <c r="G13503" t="s">
        <v>1283</v>
      </c>
    </row>
    <row r="13504" spans="1:7" s="3" customFormat="1" x14ac:dyDescent="0.3">
      <c r="A13504" s="3" t="s">
        <v>27</v>
      </c>
      <c r="B13504" s="3" t="s">
        <v>764</v>
      </c>
      <c r="C13504" s="3">
        <v>29</v>
      </c>
      <c r="D13504" s="3" t="s">
        <v>702</v>
      </c>
      <c r="E13504" s="3" t="s">
        <v>478</v>
      </c>
      <c r="F13504" s="3" t="s">
        <v>103</v>
      </c>
      <c r="G13504" s="3" t="s">
        <v>374</v>
      </c>
    </row>
    <row r="13505" spans="1:7" x14ac:dyDescent="0.3">
      <c r="A13505" t="s">
        <v>27</v>
      </c>
      <c r="B13505" t="s">
        <v>765</v>
      </c>
      <c r="C13505">
        <v>209</v>
      </c>
      <c r="D13505" t="s">
        <v>171</v>
      </c>
      <c r="E13505" t="s">
        <v>667</v>
      </c>
      <c r="F13505" t="s">
        <v>693</v>
      </c>
      <c r="G13505" t="s">
        <v>1404</v>
      </c>
    </row>
    <row r="13506" spans="1:7" x14ac:dyDescent="0.3">
      <c r="A13506" t="s">
        <v>27</v>
      </c>
      <c r="B13506" t="s">
        <v>767</v>
      </c>
      <c r="C13506">
        <v>62</v>
      </c>
      <c r="D13506" t="s">
        <v>108</v>
      </c>
      <c r="E13506" t="s">
        <v>469</v>
      </c>
      <c r="F13506" t="s">
        <v>188</v>
      </c>
      <c r="G13506" t="s">
        <v>1398</v>
      </c>
    </row>
    <row r="13507" spans="1:7" x14ac:dyDescent="0.3">
      <c r="A13507" t="s">
        <v>41</v>
      </c>
      <c r="B13507" t="s">
        <v>764</v>
      </c>
      <c r="C13507">
        <v>149</v>
      </c>
      <c r="D13507" t="s">
        <v>232</v>
      </c>
      <c r="E13507" t="s">
        <v>1279</v>
      </c>
      <c r="F13507" t="s">
        <v>662</v>
      </c>
      <c r="G13507" t="s">
        <v>541</v>
      </c>
    </row>
    <row r="13508" spans="1:7" x14ac:dyDescent="0.3">
      <c r="A13508" t="s">
        <v>41</v>
      </c>
      <c r="B13508" t="s">
        <v>765</v>
      </c>
      <c r="C13508">
        <v>1392</v>
      </c>
      <c r="D13508" t="s">
        <v>113</v>
      </c>
      <c r="E13508" t="s">
        <v>538</v>
      </c>
      <c r="F13508" t="s">
        <v>101</v>
      </c>
      <c r="G13508" t="s">
        <v>411</v>
      </c>
    </row>
    <row r="13509" spans="1:7" x14ac:dyDescent="0.3">
      <c r="A13509" t="s">
        <v>41</v>
      </c>
      <c r="B13509" t="s">
        <v>767</v>
      </c>
      <c r="C13509">
        <v>497</v>
      </c>
      <c r="D13509" t="s">
        <v>208</v>
      </c>
      <c r="E13509" t="s">
        <v>1579</v>
      </c>
      <c r="F13509" t="s">
        <v>607</v>
      </c>
      <c r="G13509" t="s">
        <v>413</v>
      </c>
    </row>
    <row r="13511" spans="1:7" x14ac:dyDescent="0.3">
      <c r="A13511" t="s">
        <v>2932</v>
      </c>
    </row>
    <row r="13512" spans="1:7" x14ac:dyDescent="0.3">
      <c r="A13512" t="s">
        <v>36</v>
      </c>
      <c r="B13512" t="s">
        <v>1647</v>
      </c>
      <c r="C13512" t="s">
        <v>24</v>
      </c>
      <c r="D13512" t="s">
        <v>1454</v>
      </c>
      <c r="E13512" t="s">
        <v>58</v>
      </c>
      <c r="F13512" t="s">
        <v>2929</v>
      </c>
      <c r="G13512" t="s">
        <v>59</v>
      </c>
    </row>
    <row r="13513" spans="1:7" x14ac:dyDescent="0.3">
      <c r="A13513" t="s">
        <v>25</v>
      </c>
      <c r="B13513" t="s">
        <v>1648</v>
      </c>
      <c r="C13513">
        <v>143</v>
      </c>
      <c r="D13513" t="s">
        <v>125</v>
      </c>
      <c r="E13513" t="s">
        <v>1402</v>
      </c>
      <c r="F13513" t="s">
        <v>105</v>
      </c>
      <c r="G13513" t="s">
        <v>34</v>
      </c>
    </row>
    <row r="13514" spans="1:7" x14ac:dyDescent="0.3">
      <c r="A13514" t="s">
        <v>25</v>
      </c>
      <c r="B13514" t="s">
        <v>1649</v>
      </c>
      <c r="C13514">
        <v>271</v>
      </c>
      <c r="D13514" t="s">
        <v>341</v>
      </c>
      <c r="E13514" t="s">
        <v>1242</v>
      </c>
      <c r="F13514" t="s">
        <v>94</v>
      </c>
      <c r="G13514" t="s">
        <v>134</v>
      </c>
    </row>
    <row r="13515" spans="1:7" x14ac:dyDescent="0.3">
      <c r="A13515" t="s">
        <v>26</v>
      </c>
      <c r="B13515" t="s">
        <v>1648</v>
      </c>
      <c r="C13515">
        <v>153</v>
      </c>
      <c r="D13515" t="s">
        <v>103</v>
      </c>
      <c r="E13515" t="s">
        <v>1260</v>
      </c>
      <c r="F13515" t="s">
        <v>452</v>
      </c>
      <c r="G13515" t="s">
        <v>411</v>
      </c>
    </row>
    <row r="13516" spans="1:7" x14ac:dyDescent="0.3">
      <c r="A13516" t="s">
        <v>26</v>
      </c>
      <c r="B13516" t="s">
        <v>1649</v>
      </c>
      <c r="C13516">
        <v>324</v>
      </c>
      <c r="D13516" t="s">
        <v>217</v>
      </c>
      <c r="E13516" t="s">
        <v>782</v>
      </c>
      <c r="F13516" t="s">
        <v>114</v>
      </c>
      <c r="G13516" t="s">
        <v>1057</v>
      </c>
    </row>
    <row r="13517" spans="1:7" x14ac:dyDescent="0.3">
      <c r="A13517" t="s">
        <v>29</v>
      </c>
      <c r="B13517" t="s">
        <v>1648</v>
      </c>
      <c r="C13517">
        <v>252</v>
      </c>
      <c r="D13517" t="s">
        <v>438</v>
      </c>
      <c r="E13517" t="s">
        <v>1060</v>
      </c>
      <c r="F13517" t="s">
        <v>262</v>
      </c>
      <c r="G13517" t="s">
        <v>413</v>
      </c>
    </row>
    <row r="13518" spans="1:7" x14ac:dyDescent="0.3">
      <c r="A13518" t="s">
        <v>29</v>
      </c>
      <c r="B13518" t="s">
        <v>1649</v>
      </c>
      <c r="C13518">
        <v>278</v>
      </c>
      <c r="D13518" t="s">
        <v>112</v>
      </c>
      <c r="E13518" t="s">
        <v>386</v>
      </c>
      <c r="F13518" t="s">
        <v>629</v>
      </c>
      <c r="G13518" t="s">
        <v>893</v>
      </c>
    </row>
    <row r="13519" spans="1:7" x14ac:dyDescent="0.3">
      <c r="A13519" t="s">
        <v>28</v>
      </c>
      <c r="B13519" t="s">
        <v>1648</v>
      </c>
      <c r="C13519">
        <v>77</v>
      </c>
      <c r="D13519" t="s">
        <v>239</v>
      </c>
      <c r="E13519" t="s">
        <v>1219</v>
      </c>
      <c r="F13519" t="s">
        <v>544</v>
      </c>
      <c r="G13519" t="s">
        <v>1170</v>
      </c>
    </row>
    <row r="13520" spans="1:7" x14ac:dyDescent="0.3">
      <c r="A13520" t="s">
        <v>28</v>
      </c>
      <c r="B13520" t="s">
        <v>1649</v>
      </c>
      <c r="C13520">
        <v>240</v>
      </c>
      <c r="D13520" t="s">
        <v>438</v>
      </c>
      <c r="E13520" t="s">
        <v>667</v>
      </c>
      <c r="F13520" t="s">
        <v>113</v>
      </c>
      <c r="G13520" t="s">
        <v>255</v>
      </c>
    </row>
    <row r="13521" spans="1:7" x14ac:dyDescent="0.3">
      <c r="A13521" t="s">
        <v>27</v>
      </c>
      <c r="B13521" t="s">
        <v>1648</v>
      </c>
      <c r="C13521">
        <v>64</v>
      </c>
      <c r="D13521" t="s">
        <v>649</v>
      </c>
      <c r="E13521" t="s">
        <v>1226</v>
      </c>
      <c r="F13521" t="s">
        <v>110</v>
      </c>
      <c r="G13521" t="s">
        <v>1328</v>
      </c>
    </row>
    <row r="13522" spans="1:7" x14ac:dyDescent="0.3">
      <c r="A13522" t="s">
        <v>27</v>
      </c>
      <c r="B13522" t="s">
        <v>1649</v>
      </c>
      <c r="C13522">
        <v>236</v>
      </c>
      <c r="D13522" t="s">
        <v>750</v>
      </c>
      <c r="E13522" t="s">
        <v>471</v>
      </c>
      <c r="F13522" t="s">
        <v>254</v>
      </c>
      <c r="G13522" t="s">
        <v>1068</v>
      </c>
    </row>
    <row r="13523" spans="1:7" x14ac:dyDescent="0.3">
      <c r="A13523" t="s">
        <v>41</v>
      </c>
      <c r="B13523" t="s">
        <v>1648</v>
      </c>
      <c r="C13523">
        <v>689</v>
      </c>
      <c r="D13523" t="s">
        <v>64</v>
      </c>
      <c r="E13523" t="s">
        <v>432</v>
      </c>
      <c r="F13523" t="s">
        <v>607</v>
      </c>
      <c r="G13523" t="s">
        <v>500</v>
      </c>
    </row>
    <row r="13524" spans="1:7" x14ac:dyDescent="0.3">
      <c r="A13524" t="s">
        <v>41</v>
      </c>
      <c r="B13524" t="s">
        <v>1649</v>
      </c>
      <c r="C13524">
        <v>1349</v>
      </c>
      <c r="D13524" t="s">
        <v>201</v>
      </c>
      <c r="E13524" t="s">
        <v>943</v>
      </c>
      <c r="F13524" t="s">
        <v>511</v>
      </c>
      <c r="G13524" t="s">
        <v>1007</v>
      </c>
    </row>
    <row r="13526" spans="1:7" x14ac:dyDescent="0.3">
      <c r="A13526" t="s">
        <v>2933</v>
      </c>
    </row>
    <row r="13527" spans="1:7" x14ac:dyDescent="0.3">
      <c r="A13527" t="s">
        <v>36</v>
      </c>
      <c r="B13527" t="s">
        <v>2756</v>
      </c>
      <c r="C13527" t="s">
        <v>24</v>
      </c>
      <c r="D13527" t="s">
        <v>58</v>
      </c>
      <c r="E13527" t="s">
        <v>59</v>
      </c>
      <c r="F13527" t="s">
        <v>1454</v>
      </c>
      <c r="G13527" t="s">
        <v>2929</v>
      </c>
    </row>
    <row r="13528" spans="1:7" s="3" customFormat="1" x14ac:dyDescent="0.3">
      <c r="A13528" s="3" t="s">
        <v>25</v>
      </c>
      <c r="B13528" s="3" t="s">
        <v>2757</v>
      </c>
      <c r="C13528" s="3">
        <v>13</v>
      </c>
      <c r="D13528" s="3" t="s">
        <v>1063</v>
      </c>
      <c r="E13528" s="3" t="s">
        <v>565</v>
      </c>
      <c r="F13528" s="3" t="s">
        <v>103</v>
      </c>
      <c r="G13528" s="3" t="s">
        <v>103</v>
      </c>
    </row>
    <row r="13529" spans="1:7" x14ac:dyDescent="0.3">
      <c r="A13529" t="s">
        <v>25</v>
      </c>
      <c r="B13529" t="s">
        <v>2758</v>
      </c>
      <c r="C13529">
        <v>136</v>
      </c>
      <c r="D13529" t="s">
        <v>225</v>
      </c>
      <c r="E13529" t="s">
        <v>1210</v>
      </c>
      <c r="F13529" t="s">
        <v>188</v>
      </c>
      <c r="G13529" t="s">
        <v>217</v>
      </c>
    </row>
    <row r="13530" spans="1:7" x14ac:dyDescent="0.3">
      <c r="A13530" t="s">
        <v>25</v>
      </c>
      <c r="B13530" t="s">
        <v>2759</v>
      </c>
      <c r="C13530">
        <v>135</v>
      </c>
      <c r="D13530" t="s">
        <v>225</v>
      </c>
      <c r="E13530" t="s">
        <v>396</v>
      </c>
      <c r="F13530" t="s">
        <v>341</v>
      </c>
      <c r="G13530" t="s">
        <v>90</v>
      </c>
    </row>
    <row r="13531" spans="1:7" x14ac:dyDescent="0.3">
      <c r="A13531" t="s">
        <v>25</v>
      </c>
      <c r="B13531" t="s">
        <v>2760</v>
      </c>
      <c r="C13531">
        <v>122</v>
      </c>
      <c r="D13531" t="s">
        <v>1545</v>
      </c>
      <c r="E13531" t="s">
        <v>405</v>
      </c>
      <c r="F13531" t="s">
        <v>208</v>
      </c>
      <c r="G13531" t="s">
        <v>113</v>
      </c>
    </row>
    <row r="13532" spans="1:7" x14ac:dyDescent="0.3">
      <c r="A13532" t="s">
        <v>25</v>
      </c>
      <c r="B13532" t="s">
        <v>308</v>
      </c>
      <c r="C13532">
        <v>8</v>
      </c>
      <c r="D13532" t="s">
        <v>1324</v>
      </c>
      <c r="E13532" t="s">
        <v>522</v>
      </c>
      <c r="F13532" t="s">
        <v>103</v>
      </c>
      <c r="G13532" t="s">
        <v>103</v>
      </c>
    </row>
    <row r="13533" spans="1:7" s="3" customFormat="1" x14ac:dyDescent="0.3">
      <c r="A13533" s="3" t="s">
        <v>26</v>
      </c>
      <c r="B13533" s="3" t="s">
        <v>2757</v>
      </c>
      <c r="C13533" s="3">
        <v>17</v>
      </c>
      <c r="D13533" s="3" t="s">
        <v>761</v>
      </c>
      <c r="E13533" s="3" t="s">
        <v>695</v>
      </c>
      <c r="F13533" s="3" t="s">
        <v>103</v>
      </c>
      <c r="G13533" s="3" t="s">
        <v>103</v>
      </c>
    </row>
    <row r="13534" spans="1:7" x14ac:dyDescent="0.3">
      <c r="A13534" t="s">
        <v>26</v>
      </c>
      <c r="B13534" t="s">
        <v>2758</v>
      </c>
      <c r="C13534">
        <v>194</v>
      </c>
      <c r="D13534" t="s">
        <v>351</v>
      </c>
      <c r="E13534" t="s">
        <v>138</v>
      </c>
      <c r="F13534" t="s">
        <v>103</v>
      </c>
      <c r="G13534" t="s">
        <v>615</v>
      </c>
    </row>
    <row r="13535" spans="1:7" x14ac:dyDescent="0.3">
      <c r="A13535" t="s">
        <v>26</v>
      </c>
      <c r="B13535" t="s">
        <v>2759</v>
      </c>
      <c r="C13535">
        <v>143</v>
      </c>
      <c r="D13535" t="s">
        <v>1425</v>
      </c>
      <c r="E13535" t="s">
        <v>1559</v>
      </c>
      <c r="F13535" t="s">
        <v>68</v>
      </c>
      <c r="G13535" t="s">
        <v>70</v>
      </c>
    </row>
    <row r="13536" spans="1:7" x14ac:dyDescent="0.3">
      <c r="A13536" t="s">
        <v>26</v>
      </c>
      <c r="B13536" t="s">
        <v>2760</v>
      </c>
      <c r="C13536">
        <v>112</v>
      </c>
      <c r="D13536" t="s">
        <v>673</v>
      </c>
      <c r="E13536" t="s">
        <v>396</v>
      </c>
      <c r="F13536" t="s">
        <v>217</v>
      </c>
      <c r="G13536" t="s">
        <v>278</v>
      </c>
    </row>
    <row r="13537" spans="1:7" x14ac:dyDescent="0.3">
      <c r="A13537" t="s">
        <v>26</v>
      </c>
      <c r="B13537" t="s">
        <v>308</v>
      </c>
      <c r="C13537">
        <v>11</v>
      </c>
      <c r="D13537" t="s">
        <v>545</v>
      </c>
      <c r="E13537" t="s">
        <v>1404</v>
      </c>
      <c r="F13537" t="s">
        <v>549</v>
      </c>
      <c r="G13537" t="s">
        <v>103</v>
      </c>
    </row>
    <row r="13538" spans="1:7" s="3" customFormat="1" x14ac:dyDescent="0.3">
      <c r="A13538" s="3" t="s">
        <v>29</v>
      </c>
      <c r="B13538" s="3" t="s">
        <v>2757</v>
      </c>
      <c r="C13538" s="3">
        <v>15</v>
      </c>
      <c r="D13538" s="3" t="s">
        <v>387</v>
      </c>
      <c r="E13538" s="3" t="s">
        <v>545</v>
      </c>
      <c r="F13538" s="3" t="s">
        <v>190</v>
      </c>
      <c r="G13538" s="3" t="s">
        <v>466</v>
      </c>
    </row>
    <row r="13539" spans="1:7" x14ac:dyDescent="0.3">
      <c r="A13539" t="s">
        <v>29</v>
      </c>
      <c r="B13539" t="s">
        <v>2758</v>
      </c>
      <c r="C13539">
        <v>245</v>
      </c>
      <c r="D13539" t="s">
        <v>1043</v>
      </c>
      <c r="E13539" t="s">
        <v>1425</v>
      </c>
      <c r="F13539" t="s">
        <v>493</v>
      </c>
      <c r="G13539" t="s">
        <v>242</v>
      </c>
    </row>
    <row r="13540" spans="1:7" x14ac:dyDescent="0.3">
      <c r="A13540" t="s">
        <v>29</v>
      </c>
      <c r="B13540" t="s">
        <v>2759</v>
      </c>
      <c r="C13540">
        <v>139</v>
      </c>
      <c r="D13540" t="s">
        <v>349</v>
      </c>
      <c r="E13540" t="s">
        <v>421</v>
      </c>
      <c r="F13540" t="s">
        <v>97</v>
      </c>
      <c r="G13540" t="s">
        <v>737</v>
      </c>
    </row>
    <row r="13541" spans="1:7" x14ac:dyDescent="0.3">
      <c r="A13541" t="s">
        <v>29</v>
      </c>
      <c r="B13541" t="s">
        <v>2760</v>
      </c>
      <c r="C13541">
        <v>122</v>
      </c>
      <c r="D13541" t="s">
        <v>838</v>
      </c>
      <c r="E13541" t="s">
        <v>1203</v>
      </c>
      <c r="F13541" t="s">
        <v>269</v>
      </c>
      <c r="G13541" t="s">
        <v>152</v>
      </c>
    </row>
    <row r="13542" spans="1:7" x14ac:dyDescent="0.3">
      <c r="A13542" t="s">
        <v>29</v>
      </c>
      <c r="B13542" t="s">
        <v>308</v>
      </c>
      <c r="C13542">
        <v>9</v>
      </c>
      <c r="D13542" t="s">
        <v>504</v>
      </c>
      <c r="E13542" t="s">
        <v>441</v>
      </c>
      <c r="F13542" t="s">
        <v>152</v>
      </c>
      <c r="G13542" t="s">
        <v>571</v>
      </c>
    </row>
    <row r="13543" spans="1:7" x14ac:dyDescent="0.3">
      <c r="A13543" t="s">
        <v>28</v>
      </c>
      <c r="B13543" t="s">
        <v>2757</v>
      </c>
      <c r="C13543">
        <v>31</v>
      </c>
      <c r="D13543" t="s">
        <v>1002</v>
      </c>
      <c r="E13543" t="s">
        <v>1196</v>
      </c>
      <c r="F13543" t="s">
        <v>125</v>
      </c>
      <c r="G13543" t="s">
        <v>94</v>
      </c>
    </row>
    <row r="13544" spans="1:7" x14ac:dyDescent="0.3">
      <c r="A13544" t="s">
        <v>28</v>
      </c>
      <c r="B13544" t="s">
        <v>2758</v>
      </c>
      <c r="C13544">
        <v>100</v>
      </c>
      <c r="D13544" t="s">
        <v>819</v>
      </c>
      <c r="E13544" t="s">
        <v>51</v>
      </c>
      <c r="F13544" t="s">
        <v>103</v>
      </c>
      <c r="G13544" t="s">
        <v>549</v>
      </c>
    </row>
    <row r="13545" spans="1:7" x14ac:dyDescent="0.3">
      <c r="A13545" t="s">
        <v>28</v>
      </c>
      <c r="B13545" t="s">
        <v>2759</v>
      </c>
      <c r="C13545">
        <v>104</v>
      </c>
      <c r="D13545" t="s">
        <v>651</v>
      </c>
      <c r="E13545" t="s">
        <v>1047</v>
      </c>
      <c r="F13545" t="s">
        <v>105</v>
      </c>
      <c r="G13545" t="s">
        <v>206</v>
      </c>
    </row>
    <row r="13546" spans="1:7" x14ac:dyDescent="0.3">
      <c r="A13546" t="s">
        <v>28</v>
      </c>
      <c r="B13546" t="s">
        <v>2760</v>
      </c>
      <c r="C13546">
        <v>82</v>
      </c>
      <c r="D13546" t="s">
        <v>516</v>
      </c>
      <c r="E13546" t="s">
        <v>252</v>
      </c>
      <c r="F13546" t="s">
        <v>60</v>
      </c>
      <c r="G13546" t="s">
        <v>272</v>
      </c>
    </row>
    <row r="13547" spans="1:7" s="3" customFormat="1" x14ac:dyDescent="0.3">
      <c r="A13547" s="3" t="s">
        <v>27</v>
      </c>
      <c r="B13547" s="3" t="s">
        <v>2757</v>
      </c>
      <c r="C13547" s="3">
        <v>2</v>
      </c>
      <c r="D13547" s="3" t="s">
        <v>192</v>
      </c>
      <c r="E13547" s="3" t="s">
        <v>103</v>
      </c>
      <c r="F13547" s="3" t="s">
        <v>103</v>
      </c>
      <c r="G13547" s="3" t="s">
        <v>103</v>
      </c>
    </row>
    <row r="13548" spans="1:7" x14ac:dyDescent="0.3">
      <c r="A13548" t="s">
        <v>27</v>
      </c>
      <c r="B13548" t="s">
        <v>2758</v>
      </c>
      <c r="C13548">
        <v>86</v>
      </c>
      <c r="D13548" t="s">
        <v>480</v>
      </c>
      <c r="E13548" t="s">
        <v>1199</v>
      </c>
      <c r="F13548" t="s">
        <v>550</v>
      </c>
      <c r="G13548" t="s">
        <v>118</v>
      </c>
    </row>
    <row r="13549" spans="1:7" x14ac:dyDescent="0.3">
      <c r="A13549" t="s">
        <v>27</v>
      </c>
      <c r="B13549" t="s">
        <v>2759</v>
      </c>
      <c r="C13549">
        <v>82</v>
      </c>
      <c r="D13549" t="s">
        <v>918</v>
      </c>
      <c r="E13549" t="s">
        <v>1243</v>
      </c>
      <c r="F13549" t="s">
        <v>173</v>
      </c>
      <c r="G13549" t="s">
        <v>482</v>
      </c>
    </row>
    <row r="13550" spans="1:7" x14ac:dyDescent="0.3">
      <c r="A13550" t="s">
        <v>27</v>
      </c>
      <c r="B13550" t="s">
        <v>2760</v>
      </c>
      <c r="C13550">
        <v>128</v>
      </c>
      <c r="D13550" t="s">
        <v>30</v>
      </c>
      <c r="E13550" t="s">
        <v>1172</v>
      </c>
      <c r="F13550" t="s">
        <v>191</v>
      </c>
      <c r="G13550" t="s">
        <v>629</v>
      </c>
    </row>
    <row r="13551" spans="1:7" x14ac:dyDescent="0.3">
      <c r="A13551" t="s">
        <v>27</v>
      </c>
      <c r="B13551" t="s">
        <v>308</v>
      </c>
      <c r="C13551">
        <v>2</v>
      </c>
      <c r="D13551" t="s">
        <v>103</v>
      </c>
      <c r="E13551" t="s">
        <v>192</v>
      </c>
      <c r="F13551" t="s">
        <v>103</v>
      </c>
      <c r="G13551" t="s">
        <v>103</v>
      </c>
    </row>
    <row r="13552" spans="1:7" x14ac:dyDescent="0.3">
      <c r="A13552" t="s">
        <v>41</v>
      </c>
      <c r="B13552" t="s">
        <v>2757</v>
      </c>
      <c r="C13552">
        <v>78</v>
      </c>
      <c r="D13552" t="s">
        <v>730</v>
      </c>
      <c r="E13552" t="s">
        <v>788</v>
      </c>
      <c r="F13552" t="s">
        <v>467</v>
      </c>
      <c r="G13552" t="s">
        <v>102</v>
      </c>
    </row>
    <row r="13553" spans="1:7" x14ac:dyDescent="0.3">
      <c r="A13553" t="s">
        <v>41</v>
      </c>
      <c r="B13553" t="s">
        <v>2758</v>
      </c>
      <c r="C13553">
        <v>761</v>
      </c>
      <c r="D13553" t="s">
        <v>1024</v>
      </c>
      <c r="E13553" t="s">
        <v>1210</v>
      </c>
      <c r="F13553" t="s">
        <v>68</v>
      </c>
      <c r="G13553" t="s">
        <v>466</v>
      </c>
    </row>
    <row r="13554" spans="1:7" x14ac:dyDescent="0.3">
      <c r="A13554" t="s">
        <v>41</v>
      </c>
      <c r="B13554" t="s">
        <v>2759</v>
      </c>
      <c r="C13554">
        <v>603</v>
      </c>
      <c r="D13554" t="s">
        <v>1065</v>
      </c>
      <c r="E13554" t="s">
        <v>1054</v>
      </c>
      <c r="F13554" t="s">
        <v>93</v>
      </c>
      <c r="G13554" t="s">
        <v>100</v>
      </c>
    </row>
    <row r="13555" spans="1:7" x14ac:dyDescent="0.3">
      <c r="A13555" t="s">
        <v>41</v>
      </c>
      <c r="B13555" t="s">
        <v>2760</v>
      </c>
      <c r="C13555">
        <v>566</v>
      </c>
      <c r="D13555" t="s">
        <v>432</v>
      </c>
      <c r="E13555" t="s">
        <v>1637</v>
      </c>
      <c r="F13555" t="s">
        <v>94</v>
      </c>
      <c r="G13555" t="s">
        <v>205</v>
      </c>
    </row>
    <row r="13556" spans="1:7" x14ac:dyDescent="0.3">
      <c r="A13556" t="s">
        <v>41</v>
      </c>
      <c r="B13556" t="s">
        <v>308</v>
      </c>
      <c r="C13556">
        <v>30</v>
      </c>
      <c r="D13556" t="s">
        <v>1205</v>
      </c>
      <c r="E13556" t="s">
        <v>1425</v>
      </c>
      <c r="F13556" t="s">
        <v>242</v>
      </c>
      <c r="G13556" t="s">
        <v>102</v>
      </c>
    </row>
    <row r="13558" spans="1:7" x14ac:dyDescent="0.3">
      <c r="A13558" t="s">
        <v>2934</v>
      </c>
    </row>
    <row r="13559" spans="1:7" x14ac:dyDescent="0.3">
      <c r="A13559" t="s">
        <v>36</v>
      </c>
      <c r="B13559" t="s">
        <v>310</v>
      </c>
      <c r="C13559" t="s">
        <v>24</v>
      </c>
      <c r="D13559" t="s">
        <v>1454</v>
      </c>
      <c r="E13559" t="s">
        <v>58</v>
      </c>
      <c r="F13559" t="s">
        <v>2929</v>
      </c>
      <c r="G13559" t="s">
        <v>59</v>
      </c>
    </row>
    <row r="13560" spans="1:7" x14ac:dyDescent="0.3">
      <c r="A13560" t="s">
        <v>25</v>
      </c>
      <c r="B13560" t="s">
        <v>311</v>
      </c>
      <c r="C13560">
        <v>324</v>
      </c>
      <c r="D13560" t="s">
        <v>266</v>
      </c>
      <c r="E13560" t="s">
        <v>928</v>
      </c>
      <c r="F13560" t="s">
        <v>107</v>
      </c>
      <c r="G13560" t="s">
        <v>375</v>
      </c>
    </row>
    <row r="13561" spans="1:7" x14ac:dyDescent="0.3">
      <c r="A13561" t="s">
        <v>25</v>
      </c>
      <c r="B13561" t="s">
        <v>312</v>
      </c>
      <c r="C13561">
        <v>80</v>
      </c>
      <c r="D13561" t="s">
        <v>105</v>
      </c>
      <c r="E13561" t="s">
        <v>1292</v>
      </c>
      <c r="F13561" t="s">
        <v>205</v>
      </c>
      <c r="G13561" t="s">
        <v>138</v>
      </c>
    </row>
    <row r="13562" spans="1:7" x14ac:dyDescent="0.3">
      <c r="A13562" t="s">
        <v>25</v>
      </c>
      <c r="B13562" t="s">
        <v>308</v>
      </c>
      <c r="C13562">
        <v>10</v>
      </c>
      <c r="D13562" t="s">
        <v>103</v>
      </c>
      <c r="E13562" t="s">
        <v>1278</v>
      </c>
      <c r="F13562" t="s">
        <v>103</v>
      </c>
      <c r="G13562" t="s">
        <v>509</v>
      </c>
    </row>
    <row r="13563" spans="1:7" x14ac:dyDescent="0.3">
      <c r="A13563" t="s">
        <v>26</v>
      </c>
      <c r="B13563" t="s">
        <v>311</v>
      </c>
      <c r="C13563">
        <v>343</v>
      </c>
      <c r="D13563" t="s">
        <v>216</v>
      </c>
      <c r="E13563" t="s">
        <v>1294</v>
      </c>
      <c r="F13563" t="s">
        <v>284</v>
      </c>
      <c r="G13563" t="s">
        <v>564</v>
      </c>
    </row>
    <row r="13564" spans="1:7" x14ac:dyDescent="0.3">
      <c r="A13564" t="s">
        <v>26</v>
      </c>
      <c r="B13564" t="s">
        <v>312</v>
      </c>
      <c r="C13564">
        <v>96</v>
      </c>
      <c r="D13564" t="s">
        <v>239</v>
      </c>
      <c r="E13564" t="s">
        <v>358</v>
      </c>
      <c r="F13564" t="s">
        <v>112</v>
      </c>
      <c r="G13564" t="s">
        <v>1028</v>
      </c>
    </row>
    <row r="13565" spans="1:7" x14ac:dyDescent="0.3">
      <c r="A13565" t="s">
        <v>26</v>
      </c>
      <c r="B13565" t="s">
        <v>308</v>
      </c>
      <c r="C13565">
        <v>38</v>
      </c>
      <c r="D13565" t="s">
        <v>217</v>
      </c>
      <c r="E13565" t="s">
        <v>1295</v>
      </c>
      <c r="F13565" t="s">
        <v>103</v>
      </c>
      <c r="G13565" t="s">
        <v>369</v>
      </c>
    </row>
    <row r="13566" spans="1:7" x14ac:dyDescent="0.3">
      <c r="A13566" t="s">
        <v>29</v>
      </c>
      <c r="B13566" t="s">
        <v>311</v>
      </c>
      <c r="C13566">
        <v>414</v>
      </c>
      <c r="D13566" t="s">
        <v>114</v>
      </c>
      <c r="E13566" t="s">
        <v>1066</v>
      </c>
      <c r="F13566" t="s">
        <v>549</v>
      </c>
      <c r="G13566" t="s">
        <v>573</v>
      </c>
    </row>
    <row r="13567" spans="1:7" x14ac:dyDescent="0.3">
      <c r="A13567" t="s">
        <v>29</v>
      </c>
      <c r="B13567" t="s">
        <v>312</v>
      </c>
      <c r="C13567">
        <v>103</v>
      </c>
      <c r="D13567" t="s">
        <v>494</v>
      </c>
      <c r="E13567" t="s">
        <v>370</v>
      </c>
      <c r="F13567" t="s">
        <v>104</v>
      </c>
      <c r="G13567" t="s">
        <v>1007</v>
      </c>
    </row>
    <row r="13568" spans="1:7" x14ac:dyDescent="0.3">
      <c r="A13568" t="s">
        <v>29</v>
      </c>
      <c r="B13568" t="s">
        <v>308</v>
      </c>
      <c r="C13568">
        <v>13</v>
      </c>
      <c r="D13568" t="s">
        <v>103</v>
      </c>
      <c r="E13568" t="s">
        <v>1049</v>
      </c>
      <c r="F13568" t="s">
        <v>278</v>
      </c>
      <c r="G13568" t="s">
        <v>993</v>
      </c>
    </row>
    <row r="13569" spans="1:7" x14ac:dyDescent="0.3">
      <c r="A13569" t="s">
        <v>28</v>
      </c>
      <c r="B13569" t="s">
        <v>311</v>
      </c>
      <c r="C13569">
        <v>223</v>
      </c>
      <c r="D13569" t="s">
        <v>467</v>
      </c>
      <c r="E13569" t="s">
        <v>526</v>
      </c>
      <c r="F13569" t="s">
        <v>94</v>
      </c>
      <c r="G13569" t="s">
        <v>434</v>
      </c>
    </row>
    <row r="13570" spans="1:7" x14ac:dyDescent="0.3">
      <c r="A13570" t="s">
        <v>28</v>
      </c>
      <c r="B13570" t="s">
        <v>312</v>
      </c>
      <c r="C13570">
        <v>93</v>
      </c>
      <c r="D13570" t="s">
        <v>93</v>
      </c>
      <c r="E13570" t="s">
        <v>553</v>
      </c>
      <c r="F13570" t="s">
        <v>615</v>
      </c>
      <c r="G13570" t="s">
        <v>1375</v>
      </c>
    </row>
    <row r="13571" spans="1:7" x14ac:dyDescent="0.3">
      <c r="A13571" t="s">
        <v>28</v>
      </c>
      <c r="B13571" t="s">
        <v>308</v>
      </c>
      <c r="C13571">
        <v>1</v>
      </c>
      <c r="D13571" t="s">
        <v>103</v>
      </c>
      <c r="E13571" t="s">
        <v>103</v>
      </c>
      <c r="F13571" t="s">
        <v>103</v>
      </c>
      <c r="G13571" t="s">
        <v>192</v>
      </c>
    </row>
    <row r="13572" spans="1:7" x14ac:dyDescent="0.3">
      <c r="A13572" t="s">
        <v>27</v>
      </c>
      <c r="B13572" t="s">
        <v>311</v>
      </c>
      <c r="C13572">
        <v>237</v>
      </c>
      <c r="D13572" t="s">
        <v>152</v>
      </c>
      <c r="E13572" t="s">
        <v>555</v>
      </c>
      <c r="F13572" t="s">
        <v>108</v>
      </c>
      <c r="G13572" t="s">
        <v>1071</v>
      </c>
    </row>
    <row r="13573" spans="1:7" x14ac:dyDescent="0.3">
      <c r="A13573" t="s">
        <v>27</v>
      </c>
      <c r="B13573" t="s">
        <v>312</v>
      </c>
      <c r="C13573">
        <v>60</v>
      </c>
      <c r="D13573" t="s">
        <v>253</v>
      </c>
      <c r="E13573" t="s">
        <v>477</v>
      </c>
      <c r="F13573" t="s">
        <v>102</v>
      </c>
      <c r="G13573" t="s">
        <v>1067</v>
      </c>
    </row>
    <row r="13574" spans="1:7" x14ac:dyDescent="0.3">
      <c r="A13574" t="s">
        <v>27</v>
      </c>
      <c r="B13574" t="s">
        <v>308</v>
      </c>
      <c r="C13574">
        <v>3</v>
      </c>
      <c r="D13574" t="s">
        <v>103</v>
      </c>
      <c r="E13574" t="s">
        <v>407</v>
      </c>
      <c r="F13574" t="s">
        <v>103</v>
      </c>
      <c r="G13574" t="s">
        <v>406</v>
      </c>
    </row>
    <row r="13575" spans="1:7" x14ac:dyDescent="0.3">
      <c r="A13575" t="s">
        <v>41</v>
      </c>
      <c r="B13575" t="s">
        <v>311</v>
      </c>
      <c r="C13575">
        <v>1541</v>
      </c>
      <c r="D13575" t="s">
        <v>125</v>
      </c>
      <c r="E13575" t="s">
        <v>1065</v>
      </c>
      <c r="F13575" t="s">
        <v>190</v>
      </c>
      <c r="G13575" t="s">
        <v>411</v>
      </c>
    </row>
    <row r="13576" spans="1:7" x14ac:dyDescent="0.3">
      <c r="A13576" t="s">
        <v>41</v>
      </c>
      <c r="B13576" t="s">
        <v>312</v>
      </c>
      <c r="C13576">
        <v>432</v>
      </c>
      <c r="D13576" t="s">
        <v>284</v>
      </c>
      <c r="E13576" t="s">
        <v>436</v>
      </c>
      <c r="F13576" t="s">
        <v>224</v>
      </c>
      <c r="G13576" t="s">
        <v>513</v>
      </c>
    </row>
    <row r="13577" spans="1:7" x14ac:dyDescent="0.3">
      <c r="A13577" t="s">
        <v>41</v>
      </c>
      <c r="B13577" t="s">
        <v>308</v>
      </c>
      <c r="C13577">
        <v>65</v>
      </c>
      <c r="D13577" t="s">
        <v>110</v>
      </c>
      <c r="E13577" t="s">
        <v>387</v>
      </c>
      <c r="F13577" t="s">
        <v>110</v>
      </c>
      <c r="G13577" t="s">
        <v>934</v>
      </c>
    </row>
    <row r="13579" spans="1:7" x14ac:dyDescent="0.3">
      <c r="A13579" t="s">
        <v>2935</v>
      </c>
    </row>
    <row r="13580" spans="1:7" x14ac:dyDescent="0.3">
      <c r="A13580" t="s">
        <v>36</v>
      </c>
      <c r="B13580" t="s">
        <v>1233</v>
      </c>
      <c r="C13580" t="s">
        <v>24</v>
      </c>
      <c r="D13580" t="s">
        <v>1454</v>
      </c>
      <c r="E13580" t="s">
        <v>58</v>
      </c>
      <c r="F13580" t="s">
        <v>2929</v>
      </c>
      <c r="G13580" t="s">
        <v>59</v>
      </c>
    </row>
    <row r="13581" spans="1:7" x14ac:dyDescent="0.3">
      <c r="A13581" t="s">
        <v>25</v>
      </c>
      <c r="B13581" t="s">
        <v>1234</v>
      </c>
      <c r="C13581">
        <v>257</v>
      </c>
      <c r="D13581" t="s">
        <v>257</v>
      </c>
      <c r="E13581" t="s">
        <v>1067</v>
      </c>
      <c r="F13581" t="s">
        <v>284</v>
      </c>
      <c r="G13581" t="s">
        <v>1028</v>
      </c>
    </row>
    <row r="13582" spans="1:7" s="3" customFormat="1" x14ac:dyDescent="0.3">
      <c r="A13582" s="3" t="s">
        <v>25</v>
      </c>
      <c r="B13582" s="3" t="s">
        <v>1235</v>
      </c>
      <c r="C13582" s="3">
        <v>25</v>
      </c>
      <c r="D13582" s="3" t="s">
        <v>103</v>
      </c>
      <c r="E13582" s="3" t="s">
        <v>1041</v>
      </c>
      <c r="F13582" s="3" t="s">
        <v>103</v>
      </c>
      <c r="G13582" s="3" t="s">
        <v>258</v>
      </c>
    </row>
    <row r="13583" spans="1:7" x14ac:dyDescent="0.3">
      <c r="A13583" t="s">
        <v>25</v>
      </c>
      <c r="B13583" t="s">
        <v>1237</v>
      </c>
      <c r="C13583">
        <v>132</v>
      </c>
      <c r="D13583" t="s">
        <v>270</v>
      </c>
      <c r="E13583" t="s">
        <v>362</v>
      </c>
      <c r="F13583" t="s">
        <v>133</v>
      </c>
      <c r="G13583" t="s">
        <v>546</v>
      </c>
    </row>
    <row r="13584" spans="1:7" x14ac:dyDescent="0.3">
      <c r="A13584" t="s">
        <v>26</v>
      </c>
      <c r="B13584" t="s">
        <v>1234</v>
      </c>
      <c r="C13584">
        <v>296</v>
      </c>
      <c r="D13584" t="s">
        <v>239</v>
      </c>
      <c r="E13584" t="s">
        <v>414</v>
      </c>
      <c r="F13584" t="s">
        <v>70</v>
      </c>
      <c r="G13584" t="s">
        <v>393</v>
      </c>
    </row>
    <row r="13585" spans="1:7" x14ac:dyDescent="0.3">
      <c r="A13585" t="s">
        <v>26</v>
      </c>
      <c r="B13585" t="s">
        <v>1235</v>
      </c>
      <c r="C13585">
        <v>37</v>
      </c>
      <c r="D13585" t="s">
        <v>103</v>
      </c>
      <c r="E13585" t="s">
        <v>432</v>
      </c>
      <c r="F13585" t="s">
        <v>737</v>
      </c>
      <c r="G13585" t="s">
        <v>1006</v>
      </c>
    </row>
    <row r="13586" spans="1:7" x14ac:dyDescent="0.3">
      <c r="A13586" t="s">
        <v>26</v>
      </c>
      <c r="B13586" t="s">
        <v>1237</v>
      </c>
      <c r="C13586">
        <v>144</v>
      </c>
      <c r="D13586" t="s">
        <v>257</v>
      </c>
      <c r="E13586" t="s">
        <v>1676</v>
      </c>
      <c r="F13586" t="s">
        <v>329</v>
      </c>
      <c r="G13586" t="s">
        <v>655</v>
      </c>
    </row>
    <row r="13587" spans="1:7" x14ac:dyDescent="0.3">
      <c r="A13587" t="s">
        <v>29</v>
      </c>
      <c r="B13587" t="s">
        <v>1234</v>
      </c>
      <c r="C13587">
        <v>372</v>
      </c>
      <c r="D13587" t="s">
        <v>64</v>
      </c>
      <c r="E13587" t="s">
        <v>425</v>
      </c>
      <c r="F13587" t="s">
        <v>124</v>
      </c>
      <c r="G13587" t="s">
        <v>1041</v>
      </c>
    </row>
    <row r="13588" spans="1:7" x14ac:dyDescent="0.3">
      <c r="A13588" t="s">
        <v>29</v>
      </c>
      <c r="B13588" t="s">
        <v>1235</v>
      </c>
      <c r="C13588">
        <v>38</v>
      </c>
      <c r="D13588" t="s">
        <v>64</v>
      </c>
      <c r="E13588" t="s">
        <v>1200</v>
      </c>
      <c r="F13588" t="s">
        <v>135</v>
      </c>
      <c r="G13588" t="s">
        <v>441</v>
      </c>
    </row>
    <row r="13589" spans="1:7" x14ac:dyDescent="0.3">
      <c r="A13589" t="s">
        <v>29</v>
      </c>
      <c r="B13589" t="s">
        <v>1237</v>
      </c>
      <c r="C13589">
        <v>120</v>
      </c>
      <c r="D13589" t="s">
        <v>123</v>
      </c>
      <c r="E13589" t="s">
        <v>1197</v>
      </c>
      <c r="F13589" t="s">
        <v>750</v>
      </c>
      <c r="G13589" t="s">
        <v>418</v>
      </c>
    </row>
    <row r="13590" spans="1:7" x14ac:dyDescent="0.3">
      <c r="A13590" t="s">
        <v>28</v>
      </c>
      <c r="B13590" t="s">
        <v>1234</v>
      </c>
      <c r="C13590">
        <v>126</v>
      </c>
      <c r="D13590" t="s">
        <v>558</v>
      </c>
      <c r="E13590" t="s">
        <v>520</v>
      </c>
      <c r="F13590" t="s">
        <v>251</v>
      </c>
      <c r="G13590" t="s">
        <v>2106</v>
      </c>
    </row>
    <row r="13591" spans="1:7" s="3" customFormat="1" x14ac:dyDescent="0.3">
      <c r="A13591" s="3" t="s">
        <v>28</v>
      </c>
      <c r="B13591" s="3" t="s">
        <v>1235</v>
      </c>
      <c r="C13591" s="3">
        <v>17</v>
      </c>
      <c r="D13591" s="3" t="s">
        <v>103</v>
      </c>
      <c r="E13591" s="3" t="s">
        <v>102</v>
      </c>
      <c r="F13591" s="3" t="s">
        <v>488</v>
      </c>
      <c r="G13591" s="3" t="s">
        <v>330</v>
      </c>
    </row>
    <row r="13592" spans="1:7" x14ac:dyDescent="0.3">
      <c r="A13592" t="s">
        <v>28</v>
      </c>
      <c r="B13592" t="s">
        <v>1237</v>
      </c>
      <c r="C13592">
        <v>174</v>
      </c>
      <c r="D13592" t="s">
        <v>239</v>
      </c>
      <c r="E13592" t="s">
        <v>667</v>
      </c>
      <c r="F13592" t="s">
        <v>214</v>
      </c>
      <c r="G13592" t="s">
        <v>986</v>
      </c>
    </row>
    <row r="13593" spans="1:7" x14ac:dyDescent="0.3">
      <c r="A13593" t="s">
        <v>27</v>
      </c>
      <c r="B13593" t="s">
        <v>1234</v>
      </c>
      <c r="C13593">
        <v>149</v>
      </c>
      <c r="D13593" t="s">
        <v>167</v>
      </c>
      <c r="E13593" t="s">
        <v>132</v>
      </c>
      <c r="F13593" t="s">
        <v>531</v>
      </c>
      <c r="G13593" t="s">
        <v>1058</v>
      </c>
    </row>
    <row r="13594" spans="1:7" s="3" customFormat="1" x14ac:dyDescent="0.3">
      <c r="A13594" s="3" t="s">
        <v>27</v>
      </c>
      <c r="B13594" s="3" t="s">
        <v>1235</v>
      </c>
      <c r="C13594" s="3">
        <v>10</v>
      </c>
      <c r="D13594" s="3" t="s">
        <v>99</v>
      </c>
      <c r="E13594" s="3" t="s">
        <v>1066</v>
      </c>
      <c r="F13594" s="3" t="s">
        <v>103</v>
      </c>
      <c r="G13594" s="3" t="s">
        <v>512</v>
      </c>
    </row>
    <row r="13595" spans="1:7" x14ac:dyDescent="0.3">
      <c r="A13595" t="s">
        <v>27</v>
      </c>
      <c r="B13595" t="s">
        <v>1237</v>
      </c>
      <c r="C13595">
        <v>141</v>
      </c>
      <c r="D13595" t="s">
        <v>925</v>
      </c>
      <c r="E13595" t="s">
        <v>695</v>
      </c>
      <c r="F13595" t="s">
        <v>137</v>
      </c>
      <c r="G13595" t="s">
        <v>942</v>
      </c>
    </row>
    <row r="13596" spans="1:7" x14ac:dyDescent="0.3">
      <c r="A13596" t="s">
        <v>41</v>
      </c>
      <c r="B13596" t="s">
        <v>1234</v>
      </c>
      <c r="C13596">
        <v>1200</v>
      </c>
      <c r="D13596" t="s">
        <v>270</v>
      </c>
      <c r="E13596" t="s">
        <v>1236</v>
      </c>
      <c r="F13596" t="s">
        <v>594</v>
      </c>
      <c r="G13596" t="s">
        <v>509</v>
      </c>
    </row>
    <row r="13597" spans="1:7" x14ac:dyDescent="0.3">
      <c r="A13597" t="s">
        <v>41</v>
      </c>
      <c r="B13597" t="s">
        <v>1235</v>
      </c>
      <c r="C13597">
        <v>127</v>
      </c>
      <c r="D13597" t="s">
        <v>216</v>
      </c>
      <c r="E13597" t="s">
        <v>492</v>
      </c>
      <c r="F13597" t="s">
        <v>100</v>
      </c>
      <c r="G13597" t="s">
        <v>1089</v>
      </c>
    </row>
    <row r="13598" spans="1:7" x14ac:dyDescent="0.3">
      <c r="A13598" t="s">
        <v>41</v>
      </c>
      <c r="B13598" t="s">
        <v>1237</v>
      </c>
      <c r="C13598">
        <v>711</v>
      </c>
      <c r="D13598" t="s">
        <v>594</v>
      </c>
      <c r="E13598" t="s">
        <v>694</v>
      </c>
      <c r="F13598" t="s">
        <v>242</v>
      </c>
      <c r="G13598" t="s">
        <v>1060</v>
      </c>
    </row>
    <row r="13600" spans="1:7" x14ac:dyDescent="0.3">
      <c r="A13600" t="s">
        <v>2936</v>
      </c>
    </row>
    <row r="13601" spans="1:7" x14ac:dyDescent="0.3">
      <c r="A13601" t="s">
        <v>36</v>
      </c>
      <c r="B13601" t="s">
        <v>2764</v>
      </c>
      <c r="C13601" t="s">
        <v>24</v>
      </c>
      <c r="D13601" t="s">
        <v>58</v>
      </c>
      <c r="E13601" t="s">
        <v>59</v>
      </c>
      <c r="F13601" t="s">
        <v>2929</v>
      </c>
      <c r="G13601" t="s">
        <v>1454</v>
      </c>
    </row>
    <row r="13602" spans="1:7" s="3" customFormat="1" x14ac:dyDescent="0.3">
      <c r="A13602" s="3" t="s">
        <v>25</v>
      </c>
      <c r="B13602" s="3" t="s">
        <v>2765</v>
      </c>
      <c r="C13602" s="3">
        <v>16</v>
      </c>
      <c r="D13602" s="3" t="s">
        <v>424</v>
      </c>
      <c r="E13602" s="3" t="s">
        <v>425</v>
      </c>
      <c r="F13602" s="3" t="s">
        <v>103</v>
      </c>
      <c r="G13602" s="3" t="s">
        <v>103</v>
      </c>
    </row>
    <row r="13603" spans="1:7" s="3" customFormat="1" x14ac:dyDescent="0.3">
      <c r="A13603" s="3" t="s">
        <v>25</v>
      </c>
      <c r="B13603" s="3" t="s">
        <v>585</v>
      </c>
      <c r="C13603" s="3">
        <v>5</v>
      </c>
      <c r="D13603" s="3" t="s">
        <v>106</v>
      </c>
      <c r="E13603" s="3" t="s">
        <v>630</v>
      </c>
      <c r="F13603" s="3" t="s">
        <v>103</v>
      </c>
      <c r="G13603" s="3" t="s">
        <v>103</v>
      </c>
    </row>
    <row r="13604" spans="1:7" s="3" customFormat="1" x14ac:dyDescent="0.3">
      <c r="A13604" s="3" t="s">
        <v>25</v>
      </c>
      <c r="B13604" s="3" t="s">
        <v>586</v>
      </c>
      <c r="C13604" s="3">
        <v>17</v>
      </c>
      <c r="D13604" s="3" t="s">
        <v>408</v>
      </c>
      <c r="E13604" s="3" t="s">
        <v>506</v>
      </c>
      <c r="F13604" s="3" t="s">
        <v>493</v>
      </c>
      <c r="G13604" s="3" t="s">
        <v>103</v>
      </c>
    </row>
    <row r="13605" spans="1:7" s="3" customFormat="1" x14ac:dyDescent="0.3">
      <c r="A13605" s="3" t="s">
        <v>25</v>
      </c>
      <c r="B13605" s="3" t="s">
        <v>587</v>
      </c>
      <c r="C13605" s="3">
        <v>2</v>
      </c>
      <c r="D13605" s="3" t="s">
        <v>192</v>
      </c>
      <c r="E13605" s="3" t="s">
        <v>103</v>
      </c>
      <c r="F13605" s="3" t="s">
        <v>103</v>
      </c>
      <c r="G13605" s="3" t="s">
        <v>103</v>
      </c>
    </row>
    <row r="13606" spans="1:7" s="3" customFormat="1" x14ac:dyDescent="0.3">
      <c r="A13606" s="3" t="s">
        <v>25</v>
      </c>
      <c r="B13606" s="3" t="s">
        <v>588</v>
      </c>
      <c r="C13606" s="3">
        <v>20</v>
      </c>
      <c r="D13606" s="3" t="s">
        <v>1422</v>
      </c>
      <c r="E13606" s="3" t="s">
        <v>1295</v>
      </c>
      <c r="F13606" s="3" t="s">
        <v>272</v>
      </c>
      <c r="G13606" s="3" t="s">
        <v>190</v>
      </c>
    </row>
    <row r="13607" spans="1:7" x14ac:dyDescent="0.3">
      <c r="A13607" t="s">
        <v>25</v>
      </c>
      <c r="B13607" t="s">
        <v>2766</v>
      </c>
      <c r="C13607">
        <v>354</v>
      </c>
      <c r="D13607" t="s">
        <v>1236</v>
      </c>
      <c r="E13607" t="s">
        <v>540</v>
      </c>
      <c r="F13607" t="s">
        <v>281</v>
      </c>
      <c r="G13607" t="s">
        <v>257</v>
      </c>
    </row>
    <row r="13608" spans="1:7" s="3" customFormat="1" x14ac:dyDescent="0.3">
      <c r="A13608" s="3" t="s">
        <v>26</v>
      </c>
      <c r="B13608" s="3" t="s">
        <v>2765</v>
      </c>
      <c r="C13608" s="3">
        <v>26</v>
      </c>
      <c r="D13608" s="3" t="s">
        <v>1260</v>
      </c>
      <c r="E13608" s="3" t="s">
        <v>679</v>
      </c>
      <c r="F13608" s="3" t="s">
        <v>99</v>
      </c>
      <c r="G13608" s="3" t="s">
        <v>662</v>
      </c>
    </row>
    <row r="13609" spans="1:7" s="3" customFormat="1" x14ac:dyDescent="0.3">
      <c r="A13609" s="3" t="s">
        <v>26</v>
      </c>
      <c r="B13609" s="3" t="s">
        <v>586</v>
      </c>
      <c r="C13609" s="3">
        <v>4</v>
      </c>
      <c r="D13609" s="3" t="s">
        <v>51</v>
      </c>
      <c r="E13609" s="3" t="s">
        <v>52</v>
      </c>
      <c r="F13609" s="3" t="s">
        <v>103</v>
      </c>
      <c r="G13609" s="3" t="s">
        <v>103</v>
      </c>
    </row>
    <row r="13610" spans="1:7" s="3" customFormat="1" x14ac:dyDescent="0.3">
      <c r="A13610" s="3" t="s">
        <v>26</v>
      </c>
      <c r="B13610" s="3" t="s">
        <v>587</v>
      </c>
      <c r="C13610" s="3">
        <v>8</v>
      </c>
      <c r="D13610" s="3" t="s">
        <v>727</v>
      </c>
      <c r="E13610" s="3" t="s">
        <v>437</v>
      </c>
      <c r="F13610" s="3" t="s">
        <v>217</v>
      </c>
      <c r="G13610" s="3" t="s">
        <v>103</v>
      </c>
    </row>
    <row r="13611" spans="1:7" s="3" customFormat="1" x14ac:dyDescent="0.3">
      <c r="A13611" s="3" t="s">
        <v>26</v>
      </c>
      <c r="B13611" s="3" t="s">
        <v>588</v>
      </c>
      <c r="C13611" s="3">
        <v>4</v>
      </c>
      <c r="D13611" s="3" t="s">
        <v>1067</v>
      </c>
      <c r="E13611" s="3" t="s">
        <v>1066</v>
      </c>
      <c r="F13611" s="3" t="s">
        <v>103</v>
      </c>
      <c r="G13611" s="3" t="s">
        <v>103</v>
      </c>
    </row>
    <row r="13612" spans="1:7" x14ac:dyDescent="0.3">
      <c r="A13612" t="s">
        <v>26</v>
      </c>
      <c r="B13612" t="s">
        <v>2766</v>
      </c>
      <c r="C13612">
        <v>435</v>
      </c>
      <c r="D13612" t="s">
        <v>675</v>
      </c>
      <c r="E13612" t="s">
        <v>421</v>
      </c>
      <c r="F13612" t="s">
        <v>532</v>
      </c>
      <c r="G13612" t="s">
        <v>239</v>
      </c>
    </row>
    <row r="13613" spans="1:7" s="3" customFormat="1" x14ac:dyDescent="0.3">
      <c r="A13613" s="3" t="s">
        <v>29</v>
      </c>
      <c r="B13613" s="3" t="s">
        <v>2765</v>
      </c>
      <c r="C13613" s="3">
        <v>30</v>
      </c>
      <c r="D13613" s="3" t="s">
        <v>1057</v>
      </c>
      <c r="E13613" s="3" t="s">
        <v>545</v>
      </c>
      <c r="F13613" s="3" t="s">
        <v>247</v>
      </c>
      <c r="G13613" s="3" t="s">
        <v>483</v>
      </c>
    </row>
    <row r="13614" spans="1:7" s="3" customFormat="1" x14ac:dyDescent="0.3">
      <c r="A13614" s="3" t="s">
        <v>29</v>
      </c>
      <c r="B13614" s="3" t="s">
        <v>585</v>
      </c>
      <c r="C13614" s="3">
        <v>6</v>
      </c>
      <c r="D13614" s="3" t="s">
        <v>654</v>
      </c>
      <c r="E13614" s="3" t="s">
        <v>791</v>
      </c>
      <c r="F13614" s="3" t="s">
        <v>565</v>
      </c>
      <c r="G13614" s="3" t="s">
        <v>103</v>
      </c>
    </row>
    <row r="13615" spans="1:7" s="3" customFormat="1" x14ac:dyDescent="0.3">
      <c r="A13615" s="3" t="s">
        <v>29</v>
      </c>
      <c r="B13615" s="3" t="s">
        <v>586</v>
      </c>
      <c r="C13615" s="3">
        <v>12</v>
      </c>
      <c r="D13615" s="3" t="s">
        <v>227</v>
      </c>
      <c r="E13615" s="3" t="s">
        <v>697</v>
      </c>
      <c r="F13615" s="3" t="s">
        <v>103</v>
      </c>
      <c r="G13615" s="3" t="s">
        <v>103</v>
      </c>
    </row>
    <row r="13616" spans="1:7" s="3" customFormat="1" x14ac:dyDescent="0.3">
      <c r="A13616" s="3" t="s">
        <v>29</v>
      </c>
      <c r="B13616" s="3" t="s">
        <v>587</v>
      </c>
      <c r="C13616" s="3">
        <v>3</v>
      </c>
      <c r="D13616" s="3" t="s">
        <v>890</v>
      </c>
      <c r="E13616" s="3" t="s">
        <v>889</v>
      </c>
      <c r="F13616" s="3" t="s">
        <v>103</v>
      </c>
      <c r="G13616" s="3" t="s">
        <v>103</v>
      </c>
    </row>
    <row r="13617" spans="1:7" s="3" customFormat="1" x14ac:dyDescent="0.3">
      <c r="A13617" s="3" t="s">
        <v>29</v>
      </c>
      <c r="B13617" s="3" t="s">
        <v>588</v>
      </c>
      <c r="C13617" s="3">
        <v>15</v>
      </c>
      <c r="D13617" s="3" t="s">
        <v>900</v>
      </c>
      <c r="E13617" s="3" t="s">
        <v>1401</v>
      </c>
      <c r="F13617" s="3" t="s">
        <v>224</v>
      </c>
      <c r="G13617" s="3" t="s">
        <v>111</v>
      </c>
    </row>
    <row r="13618" spans="1:7" x14ac:dyDescent="0.3">
      <c r="A13618" t="s">
        <v>29</v>
      </c>
      <c r="B13618" t="s">
        <v>2766</v>
      </c>
      <c r="C13618">
        <v>464</v>
      </c>
      <c r="D13618" t="s">
        <v>362</v>
      </c>
      <c r="E13618" t="s">
        <v>573</v>
      </c>
      <c r="F13618" t="s">
        <v>137</v>
      </c>
      <c r="G13618" t="s">
        <v>125</v>
      </c>
    </row>
    <row r="13619" spans="1:7" s="3" customFormat="1" x14ac:dyDescent="0.3">
      <c r="A13619" s="3" t="s">
        <v>28</v>
      </c>
      <c r="B13619" s="3" t="s">
        <v>2765</v>
      </c>
      <c r="C13619" s="3">
        <v>6</v>
      </c>
      <c r="D13619" s="3" t="s">
        <v>568</v>
      </c>
      <c r="E13619" s="3" t="s">
        <v>664</v>
      </c>
      <c r="F13619" s="3" t="s">
        <v>743</v>
      </c>
      <c r="G13619" s="3" t="s">
        <v>681</v>
      </c>
    </row>
    <row r="13620" spans="1:7" s="3" customFormat="1" x14ac:dyDescent="0.3">
      <c r="A13620" s="3" t="s">
        <v>28</v>
      </c>
      <c r="B13620" s="3" t="s">
        <v>585</v>
      </c>
      <c r="C13620" s="3">
        <v>8</v>
      </c>
      <c r="D13620" s="3" t="s">
        <v>117</v>
      </c>
      <c r="E13620" s="3" t="s">
        <v>1017</v>
      </c>
      <c r="F13620" s="3" t="s">
        <v>106</v>
      </c>
      <c r="G13620" s="3" t="s">
        <v>103</v>
      </c>
    </row>
    <row r="13621" spans="1:7" s="3" customFormat="1" x14ac:dyDescent="0.3">
      <c r="A13621" s="3" t="s">
        <v>28</v>
      </c>
      <c r="B13621" s="3" t="s">
        <v>586</v>
      </c>
      <c r="C13621" s="3">
        <v>6</v>
      </c>
      <c r="D13621" s="3" t="s">
        <v>299</v>
      </c>
      <c r="E13621" s="3" t="s">
        <v>300</v>
      </c>
      <c r="F13621" s="3" t="s">
        <v>103</v>
      </c>
      <c r="G13621" s="3" t="s">
        <v>103</v>
      </c>
    </row>
    <row r="13622" spans="1:7" s="3" customFormat="1" x14ac:dyDescent="0.3">
      <c r="A13622" s="3" t="s">
        <v>28</v>
      </c>
      <c r="B13622" s="3" t="s">
        <v>587</v>
      </c>
      <c r="C13622" s="3">
        <v>11</v>
      </c>
      <c r="D13622" s="3" t="s">
        <v>148</v>
      </c>
      <c r="E13622" s="3" t="s">
        <v>1423</v>
      </c>
      <c r="F13622" s="3" t="s">
        <v>813</v>
      </c>
      <c r="G13622" s="3" t="s">
        <v>103</v>
      </c>
    </row>
    <row r="13623" spans="1:7" x14ac:dyDescent="0.3">
      <c r="A13623" t="s">
        <v>28</v>
      </c>
      <c r="B13623" t="s">
        <v>588</v>
      </c>
      <c r="C13623">
        <v>33</v>
      </c>
      <c r="D13623" t="s">
        <v>96</v>
      </c>
      <c r="E13623" t="s">
        <v>1087</v>
      </c>
      <c r="F13623" t="s">
        <v>532</v>
      </c>
      <c r="G13623" t="s">
        <v>32</v>
      </c>
    </row>
    <row r="13624" spans="1:7" x14ac:dyDescent="0.3">
      <c r="A13624" t="s">
        <v>28</v>
      </c>
      <c r="B13624" t="s">
        <v>2766</v>
      </c>
      <c r="C13624">
        <v>253</v>
      </c>
      <c r="D13624" t="s">
        <v>695</v>
      </c>
      <c r="E13624" t="s">
        <v>1354</v>
      </c>
      <c r="F13624" t="s">
        <v>133</v>
      </c>
      <c r="G13624" t="s">
        <v>270</v>
      </c>
    </row>
    <row r="13625" spans="1:7" x14ac:dyDescent="0.3">
      <c r="A13625" t="s">
        <v>27</v>
      </c>
      <c r="B13625" t="s">
        <v>2765</v>
      </c>
      <c r="C13625">
        <v>92</v>
      </c>
      <c r="D13625" t="s">
        <v>244</v>
      </c>
      <c r="E13625" t="s">
        <v>501</v>
      </c>
      <c r="F13625" t="s">
        <v>514</v>
      </c>
      <c r="G13625" t="s">
        <v>455</v>
      </c>
    </row>
    <row r="13626" spans="1:7" s="3" customFormat="1" x14ac:dyDescent="0.3">
      <c r="A13626" s="3" t="s">
        <v>27</v>
      </c>
      <c r="B13626" s="3" t="s">
        <v>585</v>
      </c>
      <c r="C13626" s="3">
        <v>1</v>
      </c>
      <c r="D13626" s="3" t="s">
        <v>103</v>
      </c>
      <c r="E13626" s="3" t="s">
        <v>192</v>
      </c>
      <c r="F13626" s="3" t="s">
        <v>103</v>
      </c>
      <c r="G13626" s="3" t="s">
        <v>103</v>
      </c>
    </row>
    <row r="13627" spans="1:7" s="3" customFormat="1" x14ac:dyDescent="0.3">
      <c r="A13627" s="3" t="s">
        <v>27</v>
      </c>
      <c r="B13627" s="3" t="s">
        <v>586</v>
      </c>
      <c r="C13627" s="3">
        <v>1</v>
      </c>
      <c r="D13627" s="3" t="s">
        <v>103</v>
      </c>
      <c r="E13627" s="3" t="s">
        <v>192</v>
      </c>
      <c r="F13627" s="3" t="s">
        <v>103</v>
      </c>
      <c r="G13627" s="3" t="s">
        <v>103</v>
      </c>
    </row>
    <row r="13628" spans="1:7" s="3" customFormat="1" x14ac:dyDescent="0.3">
      <c r="A13628" s="3" t="s">
        <v>27</v>
      </c>
      <c r="B13628" s="3" t="s">
        <v>588</v>
      </c>
      <c r="C13628" s="3">
        <v>3</v>
      </c>
      <c r="D13628" s="3" t="s">
        <v>798</v>
      </c>
      <c r="E13628" s="3" t="s">
        <v>359</v>
      </c>
      <c r="F13628" s="3" t="s">
        <v>103</v>
      </c>
      <c r="G13628" s="3" t="s">
        <v>103</v>
      </c>
    </row>
    <row r="13629" spans="1:7" x14ac:dyDescent="0.3">
      <c r="A13629" t="s">
        <v>27</v>
      </c>
      <c r="B13629" t="s">
        <v>2766</v>
      </c>
      <c r="C13629">
        <v>203</v>
      </c>
      <c r="D13629" t="s">
        <v>295</v>
      </c>
      <c r="E13629" t="s">
        <v>1317</v>
      </c>
      <c r="F13629" t="s">
        <v>139</v>
      </c>
      <c r="G13629" t="s">
        <v>118</v>
      </c>
    </row>
    <row r="13630" spans="1:7" x14ac:dyDescent="0.3">
      <c r="A13630" t="s">
        <v>41</v>
      </c>
      <c r="B13630" t="s">
        <v>2765</v>
      </c>
      <c r="C13630">
        <v>170</v>
      </c>
      <c r="D13630" t="s">
        <v>1218</v>
      </c>
      <c r="E13630" t="s">
        <v>421</v>
      </c>
      <c r="F13630" t="s">
        <v>269</v>
      </c>
      <c r="G13630" t="s">
        <v>551</v>
      </c>
    </row>
    <row r="13631" spans="1:7" s="3" customFormat="1" x14ac:dyDescent="0.3">
      <c r="A13631" s="3" t="s">
        <v>41</v>
      </c>
      <c r="B13631" s="3" t="s">
        <v>585</v>
      </c>
      <c r="C13631" s="3">
        <v>20</v>
      </c>
      <c r="D13631" s="3" t="s">
        <v>472</v>
      </c>
      <c r="E13631" s="3" t="s">
        <v>229</v>
      </c>
      <c r="F13631" s="3" t="s">
        <v>819</v>
      </c>
      <c r="G13631" s="3" t="s">
        <v>103</v>
      </c>
    </row>
    <row r="13632" spans="1:7" x14ac:dyDescent="0.3">
      <c r="A13632" t="s">
        <v>41</v>
      </c>
      <c r="B13632" t="s">
        <v>586</v>
      </c>
      <c r="C13632">
        <v>40</v>
      </c>
      <c r="D13632" t="s">
        <v>834</v>
      </c>
      <c r="E13632" t="s">
        <v>651</v>
      </c>
      <c r="F13632" t="s">
        <v>110</v>
      </c>
      <c r="G13632" t="s">
        <v>103</v>
      </c>
    </row>
    <row r="13633" spans="1:7" s="3" customFormat="1" x14ac:dyDescent="0.3">
      <c r="A13633" s="3" t="s">
        <v>41</v>
      </c>
      <c r="B13633" s="3" t="s">
        <v>587</v>
      </c>
      <c r="C13633" s="3">
        <v>24</v>
      </c>
      <c r="D13633" s="3" t="s">
        <v>1084</v>
      </c>
      <c r="E13633" s="3" t="s">
        <v>1322</v>
      </c>
      <c r="F13633" s="3" t="s">
        <v>113</v>
      </c>
      <c r="G13633" s="3" t="s">
        <v>103</v>
      </c>
    </row>
    <row r="13634" spans="1:7" x14ac:dyDescent="0.3">
      <c r="A13634" t="s">
        <v>41</v>
      </c>
      <c r="B13634" t="s">
        <v>588</v>
      </c>
      <c r="C13634">
        <v>75</v>
      </c>
      <c r="D13634" t="s">
        <v>560</v>
      </c>
      <c r="E13634" t="s">
        <v>810</v>
      </c>
      <c r="F13634" t="s">
        <v>662</v>
      </c>
      <c r="G13634" t="s">
        <v>205</v>
      </c>
    </row>
    <row r="13635" spans="1:7" x14ac:dyDescent="0.3">
      <c r="A13635" t="s">
        <v>41</v>
      </c>
      <c r="B13635" t="s">
        <v>2766</v>
      </c>
      <c r="C13635">
        <v>1709</v>
      </c>
      <c r="D13635" t="s">
        <v>1402</v>
      </c>
      <c r="E13635" t="s">
        <v>694</v>
      </c>
      <c r="F13635" t="s">
        <v>190</v>
      </c>
      <c r="G13635" t="s">
        <v>64</v>
      </c>
    </row>
    <row r="13637" spans="1:7" x14ac:dyDescent="0.3">
      <c r="A13637" t="s">
        <v>2937</v>
      </c>
    </row>
    <row r="13638" spans="1:7" x14ac:dyDescent="0.3">
      <c r="A13638" t="s">
        <v>36</v>
      </c>
      <c r="B13638" t="s">
        <v>2768</v>
      </c>
      <c r="C13638" t="s">
        <v>24</v>
      </c>
      <c r="D13638" t="s">
        <v>58</v>
      </c>
      <c r="E13638" t="s">
        <v>59</v>
      </c>
      <c r="F13638" t="s">
        <v>1454</v>
      </c>
      <c r="G13638" t="s">
        <v>2929</v>
      </c>
    </row>
    <row r="13639" spans="1:7" s="3" customFormat="1" x14ac:dyDescent="0.3">
      <c r="A13639" s="3" t="s">
        <v>25</v>
      </c>
      <c r="B13639" s="3" t="s">
        <v>638</v>
      </c>
      <c r="C13639" s="3">
        <v>5</v>
      </c>
      <c r="D13639" s="3" t="s">
        <v>106</v>
      </c>
      <c r="E13639" s="3" t="s">
        <v>630</v>
      </c>
      <c r="F13639" s="3" t="s">
        <v>103</v>
      </c>
      <c r="G13639" s="3" t="s">
        <v>103</v>
      </c>
    </row>
    <row r="13640" spans="1:7" s="3" customFormat="1" x14ac:dyDescent="0.3">
      <c r="A13640" s="3" t="s">
        <v>25</v>
      </c>
      <c r="B13640" s="3" t="s">
        <v>639</v>
      </c>
      <c r="C13640" s="3">
        <v>13</v>
      </c>
      <c r="D13640" s="3" t="s">
        <v>226</v>
      </c>
      <c r="E13640" s="3" t="s">
        <v>1054</v>
      </c>
      <c r="F13640" s="3" t="s">
        <v>146</v>
      </c>
      <c r="G13640" s="3" t="s">
        <v>32</v>
      </c>
    </row>
    <row r="13641" spans="1:7" s="3" customFormat="1" x14ac:dyDescent="0.3">
      <c r="A13641" s="3" t="s">
        <v>25</v>
      </c>
      <c r="B13641" s="3" t="s">
        <v>640</v>
      </c>
      <c r="C13641" s="3">
        <v>11</v>
      </c>
      <c r="D13641" s="3" t="s">
        <v>1392</v>
      </c>
      <c r="E13641" s="3" t="s">
        <v>1213</v>
      </c>
      <c r="F13641" s="3" t="s">
        <v>103</v>
      </c>
      <c r="G13641" s="3" t="s">
        <v>103</v>
      </c>
    </row>
    <row r="13642" spans="1:7" s="3" customFormat="1" x14ac:dyDescent="0.3">
      <c r="A13642" s="3" t="s">
        <v>25</v>
      </c>
      <c r="B13642" s="3" t="s">
        <v>2765</v>
      </c>
      <c r="C13642" s="3">
        <v>2</v>
      </c>
      <c r="D13642" s="3" t="s">
        <v>695</v>
      </c>
      <c r="E13642" s="3" t="s">
        <v>761</v>
      </c>
      <c r="F13642" s="3" t="s">
        <v>103</v>
      </c>
      <c r="G13642" s="3" t="s">
        <v>103</v>
      </c>
    </row>
    <row r="13643" spans="1:7" s="3" customFormat="1" x14ac:dyDescent="0.3">
      <c r="A13643" s="3" t="s">
        <v>25</v>
      </c>
      <c r="B13643" s="3" t="s">
        <v>641</v>
      </c>
      <c r="C13643" s="3">
        <v>8</v>
      </c>
      <c r="D13643" s="3" t="s">
        <v>240</v>
      </c>
      <c r="E13643" s="3" t="s">
        <v>103</v>
      </c>
      <c r="F13643" s="3" t="s">
        <v>103</v>
      </c>
      <c r="G13643" s="3" t="s">
        <v>693</v>
      </c>
    </row>
    <row r="13644" spans="1:7" s="3" customFormat="1" x14ac:dyDescent="0.3">
      <c r="A13644" s="3" t="s">
        <v>25</v>
      </c>
      <c r="B13644" s="3" t="s">
        <v>2769</v>
      </c>
      <c r="C13644" s="3">
        <v>5</v>
      </c>
      <c r="D13644" s="3" t="s">
        <v>299</v>
      </c>
      <c r="E13644" s="3" t="s">
        <v>300</v>
      </c>
      <c r="F13644" s="3" t="s">
        <v>103</v>
      </c>
      <c r="G13644" s="3" t="s">
        <v>103</v>
      </c>
    </row>
    <row r="13645" spans="1:7" x14ac:dyDescent="0.3">
      <c r="A13645" t="s">
        <v>25</v>
      </c>
      <c r="B13645" t="s">
        <v>308</v>
      </c>
      <c r="C13645">
        <v>370</v>
      </c>
      <c r="D13645" t="s">
        <v>1236</v>
      </c>
      <c r="E13645" t="s">
        <v>535</v>
      </c>
      <c r="F13645" t="s">
        <v>118</v>
      </c>
      <c r="G13645" t="s">
        <v>284</v>
      </c>
    </row>
    <row r="13646" spans="1:7" s="3" customFormat="1" x14ac:dyDescent="0.3">
      <c r="A13646" s="3" t="s">
        <v>26</v>
      </c>
      <c r="B13646" s="3" t="s">
        <v>639</v>
      </c>
      <c r="C13646" s="3">
        <v>7</v>
      </c>
      <c r="D13646" s="3" t="s">
        <v>578</v>
      </c>
      <c r="E13646" s="3" t="s">
        <v>1381</v>
      </c>
      <c r="F13646" s="3" t="s">
        <v>103</v>
      </c>
      <c r="G13646" s="3" t="s">
        <v>270</v>
      </c>
    </row>
    <row r="13647" spans="1:7" s="3" customFormat="1" x14ac:dyDescent="0.3">
      <c r="A13647" s="3" t="s">
        <v>26</v>
      </c>
      <c r="B13647" s="3" t="s">
        <v>640</v>
      </c>
      <c r="C13647" s="3">
        <v>2</v>
      </c>
      <c r="D13647" s="3" t="s">
        <v>546</v>
      </c>
      <c r="E13647" s="3" t="s">
        <v>1426</v>
      </c>
      <c r="F13647" s="3" t="s">
        <v>103</v>
      </c>
      <c r="G13647" s="3" t="s">
        <v>103</v>
      </c>
    </row>
    <row r="13648" spans="1:7" s="3" customFormat="1" x14ac:dyDescent="0.3">
      <c r="A13648" s="3" t="s">
        <v>26</v>
      </c>
      <c r="B13648" s="3" t="s">
        <v>641</v>
      </c>
      <c r="C13648" s="3">
        <v>5</v>
      </c>
      <c r="D13648" s="3" t="s">
        <v>1039</v>
      </c>
      <c r="E13648" s="3" t="s">
        <v>512</v>
      </c>
      <c r="F13648" s="3" t="s">
        <v>103</v>
      </c>
      <c r="G13648" s="3" t="s">
        <v>103</v>
      </c>
    </row>
    <row r="13649" spans="1:7" s="3" customFormat="1" x14ac:dyDescent="0.3">
      <c r="A13649" s="3" t="s">
        <v>26</v>
      </c>
      <c r="B13649" s="3" t="s">
        <v>2769</v>
      </c>
      <c r="C13649" s="3">
        <v>2</v>
      </c>
      <c r="D13649" s="3" t="s">
        <v>192</v>
      </c>
      <c r="E13649" s="3" t="s">
        <v>103</v>
      </c>
      <c r="F13649" s="3" t="s">
        <v>103</v>
      </c>
      <c r="G13649" s="3" t="s">
        <v>103</v>
      </c>
    </row>
    <row r="13650" spans="1:7" x14ac:dyDescent="0.3">
      <c r="A13650" t="s">
        <v>26</v>
      </c>
      <c r="B13650" t="s">
        <v>308</v>
      </c>
      <c r="C13650">
        <v>461</v>
      </c>
      <c r="D13650" t="s">
        <v>1549</v>
      </c>
      <c r="E13650" t="s">
        <v>420</v>
      </c>
      <c r="F13650" t="s">
        <v>245</v>
      </c>
      <c r="G13650" t="s">
        <v>214</v>
      </c>
    </row>
    <row r="13651" spans="1:7" s="3" customFormat="1" x14ac:dyDescent="0.3">
      <c r="A13651" s="3" t="s">
        <v>29</v>
      </c>
      <c r="B13651" s="3" t="s">
        <v>638</v>
      </c>
      <c r="C13651" s="3">
        <v>5</v>
      </c>
      <c r="D13651" s="3" t="s">
        <v>666</v>
      </c>
      <c r="E13651" s="3" t="s">
        <v>920</v>
      </c>
      <c r="F13651" s="3" t="s">
        <v>103</v>
      </c>
      <c r="G13651" s="3" t="s">
        <v>380</v>
      </c>
    </row>
    <row r="13652" spans="1:7" s="3" customFormat="1" x14ac:dyDescent="0.3">
      <c r="A13652" s="3" t="s">
        <v>29</v>
      </c>
      <c r="B13652" s="3" t="s">
        <v>639</v>
      </c>
      <c r="C13652" s="3">
        <v>4</v>
      </c>
      <c r="D13652" s="3" t="s">
        <v>797</v>
      </c>
      <c r="E13652" s="3" t="s">
        <v>426</v>
      </c>
      <c r="F13652" s="3" t="s">
        <v>103</v>
      </c>
      <c r="G13652" s="3" t="s">
        <v>103</v>
      </c>
    </row>
    <row r="13653" spans="1:7" s="3" customFormat="1" x14ac:dyDescent="0.3">
      <c r="A13653" s="3" t="s">
        <v>29</v>
      </c>
      <c r="B13653" s="3" t="s">
        <v>640</v>
      </c>
      <c r="C13653" s="3">
        <v>10</v>
      </c>
      <c r="D13653" s="3" t="s">
        <v>155</v>
      </c>
      <c r="E13653" s="3" t="s">
        <v>300</v>
      </c>
      <c r="F13653" s="3" t="s">
        <v>732</v>
      </c>
      <c r="G13653" s="3" t="s">
        <v>103</v>
      </c>
    </row>
    <row r="13654" spans="1:7" s="3" customFormat="1" x14ac:dyDescent="0.3">
      <c r="A13654" s="3" t="s">
        <v>29</v>
      </c>
      <c r="B13654" s="3" t="s">
        <v>2765</v>
      </c>
      <c r="C13654" s="3">
        <v>8</v>
      </c>
      <c r="D13654" s="3" t="s">
        <v>1197</v>
      </c>
      <c r="E13654" s="3" t="s">
        <v>366</v>
      </c>
      <c r="F13654" s="3" t="s">
        <v>103</v>
      </c>
      <c r="G13654" s="3" t="s">
        <v>103</v>
      </c>
    </row>
    <row r="13655" spans="1:7" s="3" customFormat="1" x14ac:dyDescent="0.3">
      <c r="A13655" s="3" t="s">
        <v>29</v>
      </c>
      <c r="B13655" s="3" t="s">
        <v>641</v>
      </c>
      <c r="C13655" s="3">
        <v>7</v>
      </c>
      <c r="D13655" s="3" t="s">
        <v>934</v>
      </c>
      <c r="E13655" s="3" t="s">
        <v>1014</v>
      </c>
      <c r="F13655" s="3" t="s">
        <v>103</v>
      </c>
      <c r="G13655" s="3" t="s">
        <v>548</v>
      </c>
    </row>
    <row r="13656" spans="1:7" s="3" customFormat="1" x14ac:dyDescent="0.3">
      <c r="A13656" s="3" t="s">
        <v>29</v>
      </c>
      <c r="B13656" s="3" t="s">
        <v>2769</v>
      </c>
      <c r="C13656" s="3">
        <v>2</v>
      </c>
      <c r="D13656" s="3" t="s">
        <v>1404</v>
      </c>
      <c r="E13656" s="3" t="s">
        <v>1559</v>
      </c>
      <c r="F13656" s="3" t="s">
        <v>103</v>
      </c>
      <c r="G13656" s="3" t="s">
        <v>103</v>
      </c>
    </row>
    <row r="13657" spans="1:7" x14ac:dyDescent="0.3">
      <c r="A13657" t="s">
        <v>29</v>
      </c>
      <c r="B13657" t="s">
        <v>308</v>
      </c>
      <c r="C13657">
        <v>494</v>
      </c>
      <c r="D13657" t="s">
        <v>1065</v>
      </c>
      <c r="E13657" t="s">
        <v>453</v>
      </c>
      <c r="F13657" t="s">
        <v>201</v>
      </c>
      <c r="G13657" t="s">
        <v>137</v>
      </c>
    </row>
    <row r="13658" spans="1:7" s="3" customFormat="1" x14ac:dyDescent="0.3">
      <c r="A13658" s="3" t="s">
        <v>28</v>
      </c>
      <c r="B13658" s="3" t="s">
        <v>638</v>
      </c>
      <c r="C13658" s="3">
        <v>9</v>
      </c>
      <c r="D13658" s="3" t="s">
        <v>191</v>
      </c>
      <c r="E13658" s="3" t="s">
        <v>895</v>
      </c>
      <c r="F13658" s="3" t="s">
        <v>103</v>
      </c>
      <c r="G13658" s="3" t="s">
        <v>925</v>
      </c>
    </row>
    <row r="13659" spans="1:7" s="3" customFormat="1" x14ac:dyDescent="0.3">
      <c r="A13659" s="3" t="s">
        <v>28</v>
      </c>
      <c r="B13659" s="3" t="s">
        <v>639</v>
      </c>
      <c r="C13659" s="3">
        <v>17</v>
      </c>
      <c r="D13659" s="3" t="s">
        <v>900</v>
      </c>
      <c r="E13659" s="3" t="s">
        <v>1133</v>
      </c>
      <c r="F13659" s="3" t="s">
        <v>103</v>
      </c>
      <c r="G13659" s="3" t="s">
        <v>463</v>
      </c>
    </row>
    <row r="13660" spans="1:7" s="3" customFormat="1" x14ac:dyDescent="0.3">
      <c r="A13660" s="3" t="s">
        <v>28</v>
      </c>
      <c r="B13660" s="3" t="s">
        <v>640</v>
      </c>
      <c r="C13660" s="3">
        <v>20</v>
      </c>
      <c r="D13660" s="3" t="s">
        <v>1066</v>
      </c>
      <c r="E13660" s="3" t="s">
        <v>443</v>
      </c>
      <c r="F13660" s="3" t="s">
        <v>242</v>
      </c>
      <c r="G13660" s="3" t="s">
        <v>103</v>
      </c>
    </row>
    <row r="13661" spans="1:7" s="3" customFormat="1" x14ac:dyDescent="0.3">
      <c r="A13661" s="3" t="s">
        <v>28</v>
      </c>
      <c r="B13661" s="3" t="s">
        <v>2765</v>
      </c>
      <c r="C13661" s="3">
        <v>2</v>
      </c>
      <c r="D13661" s="3" t="s">
        <v>103</v>
      </c>
      <c r="E13661" s="3" t="s">
        <v>192</v>
      </c>
      <c r="F13661" s="3" t="s">
        <v>103</v>
      </c>
      <c r="G13661" s="3" t="s">
        <v>103</v>
      </c>
    </row>
    <row r="13662" spans="1:7" s="3" customFormat="1" x14ac:dyDescent="0.3">
      <c r="A13662" s="3" t="s">
        <v>28</v>
      </c>
      <c r="B13662" s="3" t="s">
        <v>641</v>
      </c>
      <c r="C13662" s="3">
        <v>7</v>
      </c>
      <c r="D13662" s="3" t="s">
        <v>674</v>
      </c>
      <c r="E13662" s="3" t="s">
        <v>795</v>
      </c>
      <c r="F13662" s="3" t="s">
        <v>103</v>
      </c>
      <c r="G13662" s="3" t="s">
        <v>517</v>
      </c>
    </row>
    <row r="13663" spans="1:7" s="3" customFormat="1" x14ac:dyDescent="0.3">
      <c r="A13663" s="3" t="s">
        <v>28</v>
      </c>
      <c r="B13663" s="3" t="s">
        <v>2769</v>
      </c>
      <c r="C13663" s="3">
        <v>3</v>
      </c>
      <c r="D13663" s="3" t="s">
        <v>619</v>
      </c>
      <c r="E13663" s="3" t="s">
        <v>502</v>
      </c>
      <c r="F13663" s="3" t="s">
        <v>103</v>
      </c>
      <c r="G13663" s="3" t="s">
        <v>103</v>
      </c>
    </row>
    <row r="13664" spans="1:7" x14ac:dyDescent="0.3">
      <c r="A13664" t="s">
        <v>28</v>
      </c>
      <c r="B13664" t="s">
        <v>308</v>
      </c>
      <c r="C13664">
        <v>259</v>
      </c>
      <c r="D13664" t="s">
        <v>695</v>
      </c>
      <c r="E13664" t="s">
        <v>1291</v>
      </c>
      <c r="F13664" t="s">
        <v>272</v>
      </c>
      <c r="G13664" t="s">
        <v>112</v>
      </c>
    </row>
    <row r="13665" spans="1:7" s="3" customFormat="1" x14ac:dyDescent="0.3">
      <c r="A13665" s="3" t="s">
        <v>27</v>
      </c>
      <c r="B13665" s="3" t="s">
        <v>638</v>
      </c>
      <c r="C13665" s="3">
        <v>1</v>
      </c>
      <c r="D13665" s="3" t="s">
        <v>103</v>
      </c>
      <c r="E13665" s="3" t="s">
        <v>192</v>
      </c>
      <c r="F13665" s="3" t="s">
        <v>103</v>
      </c>
      <c r="G13665" s="3" t="s">
        <v>103</v>
      </c>
    </row>
    <row r="13666" spans="1:7" s="3" customFormat="1" x14ac:dyDescent="0.3">
      <c r="A13666" s="3" t="s">
        <v>27</v>
      </c>
      <c r="B13666" s="3" t="s">
        <v>639</v>
      </c>
      <c r="C13666" s="3">
        <v>1</v>
      </c>
      <c r="D13666" s="3" t="s">
        <v>192</v>
      </c>
      <c r="E13666" s="3" t="s">
        <v>103</v>
      </c>
      <c r="F13666" s="3" t="s">
        <v>103</v>
      </c>
      <c r="G13666" s="3" t="s">
        <v>103</v>
      </c>
    </row>
    <row r="13667" spans="1:7" s="3" customFormat="1" x14ac:dyDescent="0.3">
      <c r="A13667" s="3" t="s">
        <v>27</v>
      </c>
      <c r="B13667" s="3" t="s">
        <v>640</v>
      </c>
      <c r="C13667" s="3">
        <v>1</v>
      </c>
      <c r="D13667" s="3" t="s">
        <v>192</v>
      </c>
      <c r="E13667" s="3" t="s">
        <v>103</v>
      </c>
      <c r="F13667" s="3" t="s">
        <v>103</v>
      </c>
      <c r="G13667" s="3" t="s">
        <v>103</v>
      </c>
    </row>
    <row r="13668" spans="1:7" s="3" customFormat="1" x14ac:dyDescent="0.3">
      <c r="A13668" s="3" t="s">
        <v>27</v>
      </c>
      <c r="B13668" s="3" t="s">
        <v>2765</v>
      </c>
      <c r="C13668" s="3">
        <v>1</v>
      </c>
      <c r="D13668" s="3" t="s">
        <v>103</v>
      </c>
      <c r="E13668" s="3" t="s">
        <v>192</v>
      </c>
      <c r="F13668" s="3" t="s">
        <v>103</v>
      </c>
      <c r="G13668" s="3" t="s">
        <v>103</v>
      </c>
    </row>
    <row r="13669" spans="1:7" s="3" customFormat="1" x14ac:dyDescent="0.3">
      <c r="A13669" s="3" t="s">
        <v>27</v>
      </c>
      <c r="B13669" s="3" t="s">
        <v>641</v>
      </c>
      <c r="C13669" s="3">
        <v>1</v>
      </c>
      <c r="D13669" s="3" t="s">
        <v>103</v>
      </c>
      <c r="E13669" s="3" t="s">
        <v>192</v>
      </c>
      <c r="F13669" s="3" t="s">
        <v>103</v>
      </c>
      <c r="G13669" s="3" t="s">
        <v>103</v>
      </c>
    </row>
    <row r="13670" spans="1:7" x14ac:dyDescent="0.3">
      <c r="A13670" t="s">
        <v>27</v>
      </c>
      <c r="B13670" t="s">
        <v>308</v>
      </c>
      <c r="C13670">
        <v>295</v>
      </c>
      <c r="D13670" t="s">
        <v>568</v>
      </c>
      <c r="E13670" t="s">
        <v>1278</v>
      </c>
      <c r="F13670" t="s">
        <v>150</v>
      </c>
      <c r="G13670" t="s">
        <v>460</v>
      </c>
    </row>
    <row r="13671" spans="1:7" s="3" customFormat="1" x14ac:dyDescent="0.3">
      <c r="A13671" s="3" t="s">
        <v>41</v>
      </c>
      <c r="B13671" s="3" t="s">
        <v>638</v>
      </c>
      <c r="C13671" s="3">
        <v>20</v>
      </c>
      <c r="D13671" s="3" t="s">
        <v>31</v>
      </c>
      <c r="E13671" s="3" t="s">
        <v>374</v>
      </c>
      <c r="F13671" s="3" t="s">
        <v>103</v>
      </c>
      <c r="G13671" s="3" t="s">
        <v>476</v>
      </c>
    </row>
    <row r="13672" spans="1:7" x14ac:dyDescent="0.3">
      <c r="A13672" t="s">
        <v>41</v>
      </c>
      <c r="B13672" t="s">
        <v>639</v>
      </c>
      <c r="C13672">
        <v>42</v>
      </c>
      <c r="D13672" t="s">
        <v>138</v>
      </c>
      <c r="E13672" t="s">
        <v>1251</v>
      </c>
      <c r="F13672" t="s">
        <v>113</v>
      </c>
      <c r="G13672" t="s">
        <v>214</v>
      </c>
    </row>
    <row r="13673" spans="1:7" x14ac:dyDescent="0.3">
      <c r="A13673" t="s">
        <v>41</v>
      </c>
      <c r="B13673" t="s">
        <v>640</v>
      </c>
      <c r="C13673">
        <v>44</v>
      </c>
      <c r="D13673" t="s">
        <v>1637</v>
      </c>
      <c r="E13673" t="s">
        <v>1402</v>
      </c>
      <c r="F13673" t="s">
        <v>104</v>
      </c>
      <c r="G13673" t="s">
        <v>103</v>
      </c>
    </row>
    <row r="13674" spans="1:7" s="3" customFormat="1" x14ac:dyDescent="0.3">
      <c r="A13674" s="3" t="s">
        <v>41</v>
      </c>
      <c r="B13674" s="3" t="s">
        <v>2765</v>
      </c>
      <c r="C13674" s="3">
        <v>13</v>
      </c>
      <c r="D13674" s="3" t="s">
        <v>1097</v>
      </c>
      <c r="E13674" s="3" t="s">
        <v>1374</v>
      </c>
      <c r="F13674" s="3" t="s">
        <v>103</v>
      </c>
      <c r="G13674" s="3" t="s">
        <v>103</v>
      </c>
    </row>
    <row r="13675" spans="1:7" s="3" customFormat="1" x14ac:dyDescent="0.3">
      <c r="A13675" s="3" t="s">
        <v>41</v>
      </c>
      <c r="B13675" s="3" t="s">
        <v>641</v>
      </c>
      <c r="C13675" s="3">
        <v>28</v>
      </c>
      <c r="D13675" s="3" t="s">
        <v>431</v>
      </c>
      <c r="E13675" s="3" t="s">
        <v>858</v>
      </c>
      <c r="F13675" s="3" t="s">
        <v>103</v>
      </c>
      <c r="G13675" s="3" t="s">
        <v>152</v>
      </c>
    </row>
    <row r="13676" spans="1:7" s="3" customFormat="1" x14ac:dyDescent="0.3">
      <c r="A13676" s="3" t="s">
        <v>41</v>
      </c>
      <c r="B13676" s="3" t="s">
        <v>2769</v>
      </c>
      <c r="C13676" s="3">
        <v>12</v>
      </c>
      <c r="D13676" s="3" t="s">
        <v>804</v>
      </c>
      <c r="E13676" s="3" t="s">
        <v>928</v>
      </c>
      <c r="F13676" s="3" t="s">
        <v>103</v>
      </c>
      <c r="G13676" s="3" t="s">
        <v>103</v>
      </c>
    </row>
    <row r="13677" spans="1:7" x14ac:dyDescent="0.3">
      <c r="A13677" t="s">
        <v>41</v>
      </c>
      <c r="B13677" t="s">
        <v>308</v>
      </c>
      <c r="C13677">
        <v>1879</v>
      </c>
      <c r="D13677" t="s">
        <v>1356</v>
      </c>
      <c r="E13677" t="s">
        <v>1015</v>
      </c>
      <c r="F13677" t="s">
        <v>493</v>
      </c>
      <c r="G13677" t="s">
        <v>101</v>
      </c>
    </row>
    <row r="13679" spans="1:7" x14ac:dyDescent="0.3">
      <c r="A13679" t="s">
        <v>2938</v>
      </c>
    </row>
    <row r="13680" spans="1:7" x14ac:dyDescent="0.3">
      <c r="A13680" t="s">
        <v>36</v>
      </c>
      <c r="B13680" t="s">
        <v>2771</v>
      </c>
      <c r="C13680" t="s">
        <v>24</v>
      </c>
      <c r="D13680" t="s">
        <v>59</v>
      </c>
      <c r="E13680" t="s">
        <v>58</v>
      </c>
      <c r="F13680" t="s">
        <v>2929</v>
      </c>
      <c r="G13680" t="s">
        <v>1454</v>
      </c>
    </row>
    <row r="13681" spans="1:7" s="3" customFormat="1" x14ac:dyDescent="0.3">
      <c r="A13681" s="3" t="s">
        <v>25</v>
      </c>
      <c r="B13681" s="3" t="s">
        <v>2772</v>
      </c>
      <c r="C13681" s="3">
        <v>1</v>
      </c>
      <c r="D13681" s="3" t="s">
        <v>192</v>
      </c>
      <c r="E13681" s="3" t="s">
        <v>103</v>
      </c>
      <c r="F13681" s="3" t="s">
        <v>103</v>
      </c>
      <c r="G13681" s="3" t="s">
        <v>103</v>
      </c>
    </row>
    <row r="13682" spans="1:7" s="3" customFormat="1" x14ac:dyDescent="0.3">
      <c r="A13682" s="3" t="s">
        <v>25</v>
      </c>
      <c r="B13682" s="3" t="s">
        <v>2773</v>
      </c>
      <c r="C13682" s="3">
        <v>3</v>
      </c>
      <c r="D13682" s="3" t="s">
        <v>192</v>
      </c>
      <c r="E13682" s="3" t="s">
        <v>103</v>
      </c>
      <c r="F13682" s="3" t="s">
        <v>103</v>
      </c>
      <c r="G13682" s="3" t="s">
        <v>103</v>
      </c>
    </row>
    <row r="13683" spans="1:7" s="3" customFormat="1" x14ac:dyDescent="0.3">
      <c r="A13683" s="3" t="s">
        <v>25</v>
      </c>
      <c r="B13683" s="3" t="s">
        <v>2774</v>
      </c>
      <c r="C13683" s="3">
        <v>9</v>
      </c>
      <c r="D13683" s="3" t="s">
        <v>1018</v>
      </c>
      <c r="E13683" s="3" t="s">
        <v>1205</v>
      </c>
      <c r="F13683" s="3" t="s">
        <v>103</v>
      </c>
      <c r="G13683" s="3" t="s">
        <v>103</v>
      </c>
    </row>
    <row r="13684" spans="1:7" s="3" customFormat="1" x14ac:dyDescent="0.3">
      <c r="A13684" s="3" t="s">
        <v>25</v>
      </c>
      <c r="B13684" s="3" t="s">
        <v>2775</v>
      </c>
      <c r="C13684" s="3">
        <v>21</v>
      </c>
      <c r="D13684" s="3" t="s">
        <v>1260</v>
      </c>
      <c r="E13684" s="3" t="s">
        <v>367</v>
      </c>
      <c r="F13684" s="3" t="s">
        <v>269</v>
      </c>
      <c r="G13684" s="3" t="s">
        <v>103</v>
      </c>
    </row>
    <row r="13685" spans="1:7" x14ac:dyDescent="0.3">
      <c r="A13685" t="s">
        <v>25</v>
      </c>
      <c r="B13685" t="s">
        <v>2776</v>
      </c>
      <c r="C13685">
        <v>51</v>
      </c>
      <c r="D13685" t="s">
        <v>661</v>
      </c>
      <c r="E13685" t="s">
        <v>350</v>
      </c>
      <c r="F13685" t="s">
        <v>133</v>
      </c>
      <c r="G13685" t="s">
        <v>284</v>
      </c>
    </row>
    <row r="13686" spans="1:7" x14ac:dyDescent="0.3">
      <c r="A13686" t="s">
        <v>25</v>
      </c>
      <c r="B13686" t="s">
        <v>2777</v>
      </c>
      <c r="C13686">
        <v>151</v>
      </c>
      <c r="D13686" t="s">
        <v>34</v>
      </c>
      <c r="E13686" t="s">
        <v>932</v>
      </c>
      <c r="F13686" t="s">
        <v>558</v>
      </c>
      <c r="G13686" t="s">
        <v>93</v>
      </c>
    </row>
    <row r="13687" spans="1:7" x14ac:dyDescent="0.3">
      <c r="A13687" t="s">
        <v>25</v>
      </c>
      <c r="B13687" t="s">
        <v>2778</v>
      </c>
      <c r="C13687">
        <v>174</v>
      </c>
      <c r="D13687" t="s">
        <v>893</v>
      </c>
      <c r="E13687" t="s">
        <v>795</v>
      </c>
      <c r="F13687" t="s">
        <v>102</v>
      </c>
      <c r="G13687" t="s">
        <v>257</v>
      </c>
    </row>
    <row r="13688" spans="1:7" s="3" customFormat="1" x14ac:dyDescent="0.3">
      <c r="A13688" s="3" t="s">
        <v>25</v>
      </c>
      <c r="B13688" s="3" t="s">
        <v>223</v>
      </c>
      <c r="C13688" s="3">
        <v>2</v>
      </c>
      <c r="D13688" s="3" t="s">
        <v>55</v>
      </c>
      <c r="E13688" s="3" t="s">
        <v>56</v>
      </c>
      <c r="F13688" s="3" t="s">
        <v>103</v>
      </c>
      <c r="G13688" s="3" t="s">
        <v>103</v>
      </c>
    </row>
    <row r="13689" spans="1:7" x14ac:dyDescent="0.3">
      <c r="A13689" t="s">
        <v>25</v>
      </c>
      <c r="B13689" t="s">
        <v>308</v>
      </c>
      <c r="C13689">
        <v>2</v>
      </c>
      <c r="D13689" t="s">
        <v>1199</v>
      </c>
      <c r="E13689" t="s">
        <v>1284</v>
      </c>
      <c r="F13689" t="s">
        <v>103</v>
      </c>
      <c r="G13689" t="s">
        <v>103</v>
      </c>
    </row>
    <row r="13690" spans="1:7" s="3" customFormat="1" x14ac:dyDescent="0.3">
      <c r="A13690" s="3" t="s">
        <v>26</v>
      </c>
      <c r="B13690" s="3" t="s">
        <v>2772</v>
      </c>
      <c r="C13690" s="3">
        <v>3</v>
      </c>
      <c r="D13690" s="3" t="s">
        <v>303</v>
      </c>
      <c r="E13690" s="3" t="s">
        <v>304</v>
      </c>
      <c r="F13690" s="3" t="s">
        <v>103</v>
      </c>
      <c r="G13690" s="3" t="s">
        <v>103</v>
      </c>
    </row>
    <row r="13691" spans="1:7" s="3" customFormat="1" x14ac:dyDescent="0.3">
      <c r="A13691" s="3" t="s">
        <v>26</v>
      </c>
      <c r="B13691" s="3" t="s">
        <v>2773</v>
      </c>
      <c r="C13691" s="3">
        <v>8</v>
      </c>
      <c r="D13691" s="3" t="s">
        <v>702</v>
      </c>
      <c r="E13691" s="3" t="s">
        <v>985</v>
      </c>
      <c r="F13691" s="3" t="s">
        <v>103</v>
      </c>
      <c r="G13691" s="3" t="s">
        <v>103</v>
      </c>
    </row>
    <row r="13692" spans="1:7" s="3" customFormat="1" x14ac:dyDescent="0.3">
      <c r="A13692" s="3" t="s">
        <v>26</v>
      </c>
      <c r="B13692" s="3" t="s">
        <v>2774</v>
      </c>
      <c r="C13692" s="3">
        <v>22</v>
      </c>
      <c r="D13692" s="3" t="s">
        <v>355</v>
      </c>
      <c r="E13692" s="3" t="s">
        <v>490</v>
      </c>
      <c r="F13692" s="3" t="s">
        <v>472</v>
      </c>
      <c r="G13692" s="3" t="s">
        <v>103</v>
      </c>
    </row>
    <row r="13693" spans="1:7" x14ac:dyDescent="0.3">
      <c r="A13693" t="s">
        <v>26</v>
      </c>
      <c r="B13693" t="s">
        <v>2775</v>
      </c>
      <c r="C13693">
        <v>33</v>
      </c>
      <c r="D13693" t="s">
        <v>1228</v>
      </c>
      <c r="E13693" t="s">
        <v>405</v>
      </c>
      <c r="F13693" t="s">
        <v>110</v>
      </c>
      <c r="G13693" t="s">
        <v>102</v>
      </c>
    </row>
    <row r="13694" spans="1:7" x14ac:dyDescent="0.3">
      <c r="A13694" t="s">
        <v>26</v>
      </c>
      <c r="B13694" t="s">
        <v>2776</v>
      </c>
      <c r="C13694">
        <v>86</v>
      </c>
      <c r="D13694" t="s">
        <v>411</v>
      </c>
      <c r="E13694" t="s">
        <v>1065</v>
      </c>
      <c r="F13694" t="s">
        <v>452</v>
      </c>
      <c r="G13694" t="s">
        <v>107</v>
      </c>
    </row>
    <row r="13695" spans="1:7" x14ac:dyDescent="0.3">
      <c r="A13695" t="s">
        <v>26</v>
      </c>
      <c r="B13695" t="s">
        <v>2777</v>
      </c>
      <c r="C13695">
        <v>192</v>
      </c>
      <c r="D13695" t="s">
        <v>561</v>
      </c>
      <c r="E13695" t="s">
        <v>1058</v>
      </c>
      <c r="F13695" t="s">
        <v>493</v>
      </c>
      <c r="G13695" t="s">
        <v>468</v>
      </c>
    </row>
    <row r="13696" spans="1:7" x14ac:dyDescent="0.3">
      <c r="A13696" t="s">
        <v>26</v>
      </c>
      <c r="B13696" t="s">
        <v>2778</v>
      </c>
      <c r="C13696">
        <v>126</v>
      </c>
      <c r="D13696" t="s">
        <v>661</v>
      </c>
      <c r="E13696" t="s">
        <v>1067</v>
      </c>
      <c r="F13696" t="s">
        <v>107</v>
      </c>
      <c r="G13696" t="s">
        <v>95</v>
      </c>
    </row>
    <row r="13697" spans="1:7" x14ac:dyDescent="0.3">
      <c r="A13697" t="s">
        <v>26</v>
      </c>
      <c r="B13697" t="s">
        <v>308</v>
      </c>
      <c r="C13697">
        <v>7</v>
      </c>
      <c r="D13697" t="s">
        <v>574</v>
      </c>
      <c r="E13697" t="s">
        <v>1146</v>
      </c>
      <c r="F13697" t="s">
        <v>103</v>
      </c>
      <c r="G13697" t="s">
        <v>103</v>
      </c>
    </row>
    <row r="13698" spans="1:7" s="3" customFormat="1" x14ac:dyDescent="0.3">
      <c r="A13698" s="3" t="s">
        <v>29</v>
      </c>
      <c r="B13698" s="3" t="s">
        <v>2772</v>
      </c>
      <c r="C13698" s="3">
        <v>2</v>
      </c>
      <c r="D13698" s="3" t="s">
        <v>1197</v>
      </c>
      <c r="E13698" s="3" t="s">
        <v>366</v>
      </c>
      <c r="F13698" s="3" t="s">
        <v>103</v>
      </c>
      <c r="G13698" s="3" t="s">
        <v>103</v>
      </c>
    </row>
    <row r="13699" spans="1:7" s="3" customFormat="1" x14ac:dyDescent="0.3">
      <c r="A13699" s="3" t="s">
        <v>29</v>
      </c>
      <c r="B13699" s="3" t="s">
        <v>2773</v>
      </c>
      <c r="C13699" s="3">
        <v>8</v>
      </c>
      <c r="D13699" s="3" t="s">
        <v>698</v>
      </c>
      <c r="E13699" s="3" t="s">
        <v>557</v>
      </c>
      <c r="F13699" s="3" t="s">
        <v>118</v>
      </c>
      <c r="G13699" s="3" t="s">
        <v>1098</v>
      </c>
    </row>
    <row r="13700" spans="1:7" s="3" customFormat="1" x14ac:dyDescent="0.3">
      <c r="A13700" s="3" t="s">
        <v>29</v>
      </c>
      <c r="B13700" s="3" t="s">
        <v>2774</v>
      </c>
      <c r="C13700" s="3">
        <v>21</v>
      </c>
      <c r="D13700" s="3" t="s">
        <v>1559</v>
      </c>
      <c r="E13700" s="3" t="s">
        <v>1422</v>
      </c>
      <c r="F13700" s="3" t="s">
        <v>687</v>
      </c>
      <c r="G13700" s="3" t="s">
        <v>103</v>
      </c>
    </row>
    <row r="13701" spans="1:7" x14ac:dyDescent="0.3">
      <c r="A13701" t="s">
        <v>29</v>
      </c>
      <c r="B13701" t="s">
        <v>2775</v>
      </c>
      <c r="C13701">
        <v>31</v>
      </c>
      <c r="D13701" t="s">
        <v>664</v>
      </c>
      <c r="E13701" t="s">
        <v>1356</v>
      </c>
      <c r="F13701" t="s">
        <v>113</v>
      </c>
      <c r="G13701" t="s">
        <v>103</v>
      </c>
    </row>
    <row r="13702" spans="1:7" x14ac:dyDescent="0.3">
      <c r="A13702" t="s">
        <v>29</v>
      </c>
      <c r="B13702" t="s">
        <v>2776</v>
      </c>
      <c r="C13702">
        <v>65</v>
      </c>
      <c r="D13702" t="s">
        <v>663</v>
      </c>
      <c r="E13702" t="s">
        <v>930</v>
      </c>
      <c r="F13702" t="s">
        <v>169</v>
      </c>
      <c r="G13702" t="s">
        <v>128</v>
      </c>
    </row>
    <row r="13703" spans="1:7" x14ac:dyDescent="0.3">
      <c r="A13703" t="s">
        <v>29</v>
      </c>
      <c r="B13703" t="s">
        <v>2777</v>
      </c>
      <c r="C13703">
        <v>219</v>
      </c>
      <c r="D13703" t="s">
        <v>655</v>
      </c>
      <c r="E13703" t="s">
        <v>401</v>
      </c>
      <c r="F13703" t="s">
        <v>629</v>
      </c>
      <c r="G13703" t="s">
        <v>195</v>
      </c>
    </row>
    <row r="13704" spans="1:7" x14ac:dyDescent="0.3">
      <c r="A13704" t="s">
        <v>29</v>
      </c>
      <c r="B13704" t="s">
        <v>2778</v>
      </c>
      <c r="C13704">
        <v>183</v>
      </c>
      <c r="D13704" t="s">
        <v>404</v>
      </c>
      <c r="E13704" t="s">
        <v>512</v>
      </c>
      <c r="F13704" t="s">
        <v>571</v>
      </c>
      <c r="G13704" t="s">
        <v>60</v>
      </c>
    </row>
    <row r="13705" spans="1:7" x14ac:dyDescent="0.3">
      <c r="A13705" t="s">
        <v>29</v>
      </c>
      <c r="B13705" t="s">
        <v>308</v>
      </c>
      <c r="C13705">
        <v>1</v>
      </c>
      <c r="D13705" t="s">
        <v>192</v>
      </c>
      <c r="E13705" t="s">
        <v>103</v>
      </c>
      <c r="F13705" t="s">
        <v>103</v>
      </c>
      <c r="G13705" t="s">
        <v>103</v>
      </c>
    </row>
    <row r="13706" spans="1:7" x14ac:dyDescent="0.3">
      <c r="A13706" t="s">
        <v>28</v>
      </c>
      <c r="B13706" t="s">
        <v>2772</v>
      </c>
      <c r="C13706">
        <v>39</v>
      </c>
      <c r="D13706" t="s">
        <v>395</v>
      </c>
      <c r="E13706" t="s">
        <v>148</v>
      </c>
      <c r="F13706" t="s">
        <v>269</v>
      </c>
      <c r="G13706" t="s">
        <v>46</v>
      </c>
    </row>
    <row r="13707" spans="1:7" x14ac:dyDescent="0.3">
      <c r="A13707" t="s">
        <v>28</v>
      </c>
      <c r="B13707" t="s">
        <v>2773</v>
      </c>
      <c r="C13707">
        <v>57</v>
      </c>
      <c r="D13707" t="s">
        <v>213</v>
      </c>
      <c r="E13707" t="s">
        <v>245</v>
      </c>
      <c r="F13707" t="s">
        <v>345</v>
      </c>
      <c r="G13707" t="s">
        <v>105</v>
      </c>
    </row>
    <row r="13708" spans="1:7" s="3" customFormat="1" x14ac:dyDescent="0.3">
      <c r="A13708" s="3" t="s">
        <v>28</v>
      </c>
      <c r="B13708" s="3" t="s">
        <v>2774</v>
      </c>
      <c r="C13708" s="3">
        <v>30</v>
      </c>
      <c r="D13708" s="3" t="s">
        <v>1022</v>
      </c>
      <c r="E13708" s="3" t="s">
        <v>551</v>
      </c>
      <c r="F13708" s="3" t="s">
        <v>103</v>
      </c>
      <c r="G13708" s="3" t="s">
        <v>103</v>
      </c>
    </row>
    <row r="13709" spans="1:7" x14ac:dyDescent="0.3">
      <c r="A13709" t="s">
        <v>28</v>
      </c>
      <c r="B13709" t="s">
        <v>2775</v>
      </c>
      <c r="C13709">
        <v>41</v>
      </c>
      <c r="D13709" t="s">
        <v>2108</v>
      </c>
      <c r="E13709" t="s">
        <v>554</v>
      </c>
      <c r="F13709" t="s">
        <v>438</v>
      </c>
      <c r="G13709" t="s">
        <v>103</v>
      </c>
    </row>
    <row r="13710" spans="1:7" x14ac:dyDescent="0.3">
      <c r="A13710" t="s">
        <v>28</v>
      </c>
      <c r="B13710" t="s">
        <v>2776</v>
      </c>
      <c r="C13710">
        <v>45</v>
      </c>
      <c r="D13710" t="s">
        <v>787</v>
      </c>
      <c r="E13710" t="s">
        <v>788</v>
      </c>
      <c r="F13710" t="s">
        <v>103</v>
      </c>
      <c r="G13710" t="s">
        <v>103</v>
      </c>
    </row>
    <row r="13711" spans="1:7" x14ac:dyDescent="0.3">
      <c r="A13711" t="s">
        <v>28</v>
      </c>
      <c r="B13711" t="s">
        <v>2777</v>
      </c>
      <c r="C13711">
        <v>55</v>
      </c>
      <c r="D13711" t="s">
        <v>1209</v>
      </c>
      <c r="E13711" t="s">
        <v>706</v>
      </c>
      <c r="F13711" t="s">
        <v>473</v>
      </c>
      <c r="G13711" t="s">
        <v>98</v>
      </c>
    </row>
    <row r="13712" spans="1:7" x14ac:dyDescent="0.3">
      <c r="A13712" t="s">
        <v>28</v>
      </c>
      <c r="B13712" t="s">
        <v>2778</v>
      </c>
      <c r="C13712">
        <v>44</v>
      </c>
      <c r="D13712" t="s">
        <v>1555</v>
      </c>
      <c r="E13712" t="s">
        <v>462</v>
      </c>
      <c r="F13712" t="s">
        <v>281</v>
      </c>
      <c r="G13712" t="s">
        <v>103</v>
      </c>
    </row>
    <row r="13713" spans="1:7" x14ac:dyDescent="0.3">
      <c r="A13713" t="s">
        <v>28</v>
      </c>
      <c r="B13713" t="s">
        <v>308</v>
      </c>
      <c r="C13713">
        <v>6</v>
      </c>
      <c r="D13713" t="s">
        <v>503</v>
      </c>
      <c r="E13713" t="s">
        <v>1035</v>
      </c>
      <c r="F13713" t="s">
        <v>103</v>
      </c>
      <c r="G13713" t="s">
        <v>103</v>
      </c>
    </row>
    <row r="13714" spans="1:7" s="3" customFormat="1" x14ac:dyDescent="0.3">
      <c r="A13714" s="3" t="s">
        <v>27</v>
      </c>
      <c r="B13714" s="3" t="s">
        <v>2772</v>
      </c>
      <c r="C13714" s="3">
        <v>10</v>
      </c>
      <c r="D13714" s="3" t="s">
        <v>471</v>
      </c>
      <c r="E13714" s="3" t="s">
        <v>670</v>
      </c>
      <c r="F13714" s="3" t="s">
        <v>918</v>
      </c>
      <c r="G13714" s="3" t="s">
        <v>297</v>
      </c>
    </row>
    <row r="13715" spans="1:7" s="3" customFormat="1" x14ac:dyDescent="0.3">
      <c r="A13715" s="3" t="s">
        <v>27</v>
      </c>
      <c r="B13715" s="3" t="s">
        <v>2773</v>
      </c>
      <c r="C13715" s="3">
        <v>9</v>
      </c>
      <c r="D13715" s="3" t="s">
        <v>826</v>
      </c>
      <c r="E13715" s="3" t="s">
        <v>173</v>
      </c>
      <c r="F13715" s="3" t="s">
        <v>103</v>
      </c>
      <c r="G13715" s="3" t="s">
        <v>506</v>
      </c>
    </row>
    <row r="13716" spans="1:7" s="3" customFormat="1" x14ac:dyDescent="0.3">
      <c r="A13716" s="3" t="s">
        <v>27</v>
      </c>
      <c r="B13716" s="3" t="s">
        <v>2774</v>
      </c>
      <c r="C13716" s="3">
        <v>18</v>
      </c>
      <c r="D13716" s="3" t="s">
        <v>421</v>
      </c>
      <c r="E13716" s="3" t="s">
        <v>259</v>
      </c>
      <c r="F13716" s="3" t="s">
        <v>54</v>
      </c>
      <c r="G13716" s="3" t="s">
        <v>1198</v>
      </c>
    </row>
    <row r="13717" spans="1:7" x14ac:dyDescent="0.3">
      <c r="A13717" t="s">
        <v>27</v>
      </c>
      <c r="B13717" t="s">
        <v>2775</v>
      </c>
      <c r="C13717">
        <v>33</v>
      </c>
      <c r="D13717" t="s">
        <v>665</v>
      </c>
      <c r="E13717" t="s">
        <v>133</v>
      </c>
      <c r="F13717" t="s">
        <v>505</v>
      </c>
      <c r="G13717" t="s">
        <v>548</v>
      </c>
    </row>
    <row r="13718" spans="1:7" x14ac:dyDescent="0.3">
      <c r="A13718" t="s">
        <v>27</v>
      </c>
      <c r="B13718" t="s">
        <v>2776</v>
      </c>
      <c r="C13718">
        <v>65</v>
      </c>
      <c r="D13718" t="s">
        <v>1002</v>
      </c>
      <c r="E13718" t="s">
        <v>815</v>
      </c>
      <c r="F13718" t="s">
        <v>97</v>
      </c>
      <c r="G13718" t="s">
        <v>271</v>
      </c>
    </row>
    <row r="13719" spans="1:7" x14ac:dyDescent="0.3">
      <c r="A13719" t="s">
        <v>27</v>
      </c>
      <c r="B13719" t="s">
        <v>2777</v>
      </c>
      <c r="C13719">
        <v>78</v>
      </c>
      <c r="D13719" t="s">
        <v>794</v>
      </c>
      <c r="E13719" t="s">
        <v>514</v>
      </c>
      <c r="F13719" t="s">
        <v>112</v>
      </c>
      <c r="G13719" t="s">
        <v>649</v>
      </c>
    </row>
    <row r="13720" spans="1:7" x14ac:dyDescent="0.3">
      <c r="A13720" t="s">
        <v>27</v>
      </c>
      <c r="B13720" t="s">
        <v>2778</v>
      </c>
      <c r="C13720">
        <v>70</v>
      </c>
      <c r="D13720" t="s">
        <v>1423</v>
      </c>
      <c r="E13720" t="s">
        <v>707</v>
      </c>
      <c r="F13720" t="s">
        <v>103</v>
      </c>
      <c r="G13720" t="s">
        <v>107</v>
      </c>
    </row>
    <row r="13721" spans="1:7" s="3" customFormat="1" x14ac:dyDescent="0.3">
      <c r="A13721" s="3" t="s">
        <v>27</v>
      </c>
      <c r="B13721" s="3" t="s">
        <v>223</v>
      </c>
      <c r="C13721" s="3">
        <v>2</v>
      </c>
      <c r="D13721" s="3" t="s">
        <v>103</v>
      </c>
      <c r="E13721" s="3" t="s">
        <v>192</v>
      </c>
      <c r="F13721" s="3" t="s">
        <v>103</v>
      </c>
      <c r="G13721" s="3" t="s">
        <v>103</v>
      </c>
    </row>
    <row r="13722" spans="1:7" x14ac:dyDescent="0.3">
      <c r="A13722" t="s">
        <v>27</v>
      </c>
      <c r="B13722" t="s">
        <v>308</v>
      </c>
      <c r="C13722">
        <v>15</v>
      </c>
      <c r="D13722" t="s">
        <v>399</v>
      </c>
      <c r="E13722" t="s">
        <v>727</v>
      </c>
      <c r="F13722" t="s">
        <v>543</v>
      </c>
      <c r="G13722" t="s">
        <v>398</v>
      </c>
    </row>
    <row r="13723" spans="1:7" x14ac:dyDescent="0.3">
      <c r="A13723" t="s">
        <v>41</v>
      </c>
      <c r="B13723" t="s">
        <v>2772</v>
      </c>
      <c r="C13723">
        <v>55</v>
      </c>
      <c r="D13723" t="s">
        <v>384</v>
      </c>
      <c r="E13723" t="s">
        <v>683</v>
      </c>
      <c r="F13723" t="s">
        <v>101</v>
      </c>
      <c r="G13723" t="s">
        <v>171</v>
      </c>
    </row>
    <row r="13724" spans="1:7" x14ac:dyDescent="0.3">
      <c r="A13724" t="s">
        <v>41</v>
      </c>
      <c r="B13724" t="s">
        <v>2773</v>
      </c>
      <c r="C13724">
        <v>85</v>
      </c>
      <c r="D13724" t="s">
        <v>508</v>
      </c>
      <c r="E13724" t="s">
        <v>691</v>
      </c>
      <c r="F13724" t="s">
        <v>345</v>
      </c>
      <c r="G13724" t="s">
        <v>925</v>
      </c>
    </row>
    <row r="13725" spans="1:7" x14ac:dyDescent="0.3">
      <c r="A13725" t="s">
        <v>41</v>
      </c>
      <c r="B13725" t="s">
        <v>2774</v>
      </c>
      <c r="C13725">
        <v>100</v>
      </c>
      <c r="D13725" t="s">
        <v>225</v>
      </c>
      <c r="E13725" t="s">
        <v>567</v>
      </c>
      <c r="F13725" t="s">
        <v>167</v>
      </c>
      <c r="G13725" t="s">
        <v>341</v>
      </c>
    </row>
    <row r="13726" spans="1:7" x14ac:dyDescent="0.3">
      <c r="A13726" t="s">
        <v>41</v>
      </c>
      <c r="B13726" t="s">
        <v>2775</v>
      </c>
      <c r="C13726">
        <v>159</v>
      </c>
      <c r="D13726" t="s">
        <v>1260</v>
      </c>
      <c r="E13726" t="s">
        <v>1422</v>
      </c>
      <c r="F13726" t="s">
        <v>140</v>
      </c>
      <c r="G13726" t="s">
        <v>195</v>
      </c>
    </row>
    <row r="13727" spans="1:7" x14ac:dyDescent="0.3">
      <c r="A13727" t="s">
        <v>41</v>
      </c>
      <c r="B13727" t="s">
        <v>2776</v>
      </c>
      <c r="C13727">
        <v>312</v>
      </c>
      <c r="D13727" t="s">
        <v>462</v>
      </c>
      <c r="E13727" t="s">
        <v>770</v>
      </c>
      <c r="F13727" t="s">
        <v>460</v>
      </c>
      <c r="G13727" t="s">
        <v>188</v>
      </c>
    </row>
    <row r="13728" spans="1:7" x14ac:dyDescent="0.3">
      <c r="A13728" t="s">
        <v>41</v>
      </c>
      <c r="B13728" t="s">
        <v>2777</v>
      </c>
      <c r="C13728">
        <v>695</v>
      </c>
      <c r="D13728" t="s">
        <v>498</v>
      </c>
      <c r="E13728" t="s">
        <v>1199</v>
      </c>
      <c r="F13728" t="s">
        <v>460</v>
      </c>
      <c r="G13728" t="s">
        <v>257</v>
      </c>
    </row>
    <row r="13729" spans="1:7" x14ac:dyDescent="0.3">
      <c r="A13729" t="s">
        <v>41</v>
      </c>
      <c r="B13729" t="s">
        <v>2778</v>
      </c>
      <c r="C13729">
        <v>597</v>
      </c>
      <c r="D13729" t="s">
        <v>797</v>
      </c>
      <c r="E13729" t="s">
        <v>1066</v>
      </c>
      <c r="F13729" t="s">
        <v>531</v>
      </c>
      <c r="G13729" t="s">
        <v>532</v>
      </c>
    </row>
    <row r="13730" spans="1:7" s="3" customFormat="1" x14ac:dyDescent="0.3">
      <c r="A13730" s="3" t="s">
        <v>41</v>
      </c>
      <c r="B13730" s="3" t="s">
        <v>223</v>
      </c>
      <c r="C13730" s="3">
        <v>4</v>
      </c>
      <c r="D13730" s="3" t="s">
        <v>406</v>
      </c>
      <c r="E13730" s="3" t="s">
        <v>407</v>
      </c>
      <c r="F13730" s="3" t="s">
        <v>103</v>
      </c>
      <c r="G13730" s="3" t="s">
        <v>103</v>
      </c>
    </row>
    <row r="13731" spans="1:7" x14ac:dyDescent="0.3">
      <c r="A13731" t="s">
        <v>41</v>
      </c>
      <c r="B13731" t="s">
        <v>308</v>
      </c>
      <c r="C13731">
        <v>31</v>
      </c>
      <c r="D13731" t="s">
        <v>134</v>
      </c>
      <c r="E13731" t="s">
        <v>1284</v>
      </c>
      <c r="F13731" t="s">
        <v>270</v>
      </c>
      <c r="G13731" t="s">
        <v>60</v>
      </c>
    </row>
    <row r="13733" spans="1:7" x14ac:dyDescent="0.3">
      <c r="A13733" t="s">
        <v>2939</v>
      </c>
    </row>
    <row r="13734" spans="1:7" x14ac:dyDescent="0.3">
      <c r="A13734" t="s">
        <v>36</v>
      </c>
      <c r="B13734" t="s">
        <v>197</v>
      </c>
      <c r="C13734" t="s">
        <v>24</v>
      </c>
      <c r="D13734" t="s">
        <v>1454</v>
      </c>
      <c r="E13734" t="s">
        <v>58</v>
      </c>
      <c r="F13734" t="s">
        <v>2929</v>
      </c>
      <c r="G13734" t="s">
        <v>59</v>
      </c>
    </row>
    <row r="13735" spans="1:7" x14ac:dyDescent="0.3">
      <c r="A13735" t="s">
        <v>25</v>
      </c>
      <c r="B13735" t="s">
        <v>198</v>
      </c>
      <c r="C13735">
        <v>104</v>
      </c>
      <c r="D13735" t="s">
        <v>105</v>
      </c>
      <c r="E13735" t="s">
        <v>134</v>
      </c>
      <c r="F13735" t="s">
        <v>100</v>
      </c>
      <c r="G13735" t="s">
        <v>424</v>
      </c>
    </row>
    <row r="13736" spans="1:7" x14ac:dyDescent="0.3">
      <c r="A13736" t="s">
        <v>25</v>
      </c>
      <c r="B13736" t="s">
        <v>199</v>
      </c>
      <c r="C13736">
        <v>310</v>
      </c>
      <c r="D13736" t="s">
        <v>217</v>
      </c>
      <c r="E13736" t="s">
        <v>358</v>
      </c>
      <c r="F13736" t="s">
        <v>186</v>
      </c>
      <c r="G13736" t="s">
        <v>134</v>
      </c>
    </row>
    <row r="13737" spans="1:7" x14ac:dyDescent="0.3">
      <c r="A13737" t="s">
        <v>26</v>
      </c>
      <c r="B13737" t="s">
        <v>198</v>
      </c>
      <c r="C13737">
        <v>41</v>
      </c>
      <c r="D13737" t="s">
        <v>103</v>
      </c>
      <c r="E13737" t="s">
        <v>1426</v>
      </c>
      <c r="F13737" t="s">
        <v>126</v>
      </c>
      <c r="G13737" t="s">
        <v>464</v>
      </c>
    </row>
    <row r="13738" spans="1:7" x14ac:dyDescent="0.3">
      <c r="A13738" t="s">
        <v>26</v>
      </c>
      <c r="B13738" t="s">
        <v>199</v>
      </c>
      <c r="C13738">
        <v>436</v>
      </c>
      <c r="D13738" t="s">
        <v>105</v>
      </c>
      <c r="E13738" t="s">
        <v>2185</v>
      </c>
      <c r="F13738" t="s">
        <v>532</v>
      </c>
      <c r="G13738" t="s">
        <v>297</v>
      </c>
    </row>
    <row r="13739" spans="1:7" x14ac:dyDescent="0.3">
      <c r="A13739" t="s">
        <v>29</v>
      </c>
      <c r="B13739" t="s">
        <v>198</v>
      </c>
      <c r="C13739">
        <v>170</v>
      </c>
      <c r="D13739" t="s">
        <v>113</v>
      </c>
      <c r="E13739" t="s">
        <v>370</v>
      </c>
      <c r="F13739" t="s">
        <v>124</v>
      </c>
      <c r="G13739" t="s">
        <v>405</v>
      </c>
    </row>
    <row r="13740" spans="1:7" x14ac:dyDescent="0.3">
      <c r="A13740" t="s">
        <v>29</v>
      </c>
      <c r="B13740" t="s">
        <v>199</v>
      </c>
      <c r="C13740">
        <v>360</v>
      </c>
      <c r="D13740" t="s">
        <v>615</v>
      </c>
      <c r="E13740" t="s">
        <v>1231</v>
      </c>
      <c r="F13740" t="s">
        <v>135</v>
      </c>
      <c r="G13740" t="s">
        <v>418</v>
      </c>
    </row>
    <row r="13741" spans="1:7" x14ac:dyDescent="0.3">
      <c r="A13741" t="s">
        <v>28</v>
      </c>
      <c r="B13741" t="s">
        <v>198</v>
      </c>
      <c r="C13741">
        <v>70</v>
      </c>
      <c r="D13741" t="s">
        <v>103</v>
      </c>
      <c r="E13741" t="s">
        <v>571</v>
      </c>
      <c r="F13741" t="s">
        <v>341</v>
      </c>
      <c r="G13741" t="s">
        <v>63</v>
      </c>
    </row>
    <row r="13742" spans="1:7" x14ac:dyDescent="0.3">
      <c r="A13742" t="s">
        <v>28</v>
      </c>
      <c r="B13742" t="s">
        <v>199</v>
      </c>
      <c r="C13742">
        <v>247</v>
      </c>
      <c r="D13742" t="s">
        <v>591</v>
      </c>
      <c r="E13742" t="s">
        <v>686</v>
      </c>
      <c r="F13742" t="s">
        <v>460</v>
      </c>
      <c r="G13742" t="s">
        <v>394</v>
      </c>
    </row>
    <row r="13743" spans="1:7" x14ac:dyDescent="0.3">
      <c r="A13743" t="s">
        <v>27</v>
      </c>
      <c r="B13743" t="s">
        <v>198</v>
      </c>
      <c r="C13743">
        <v>136</v>
      </c>
      <c r="D13743" t="s">
        <v>543</v>
      </c>
      <c r="E13743" t="s">
        <v>268</v>
      </c>
      <c r="F13743" t="s">
        <v>186</v>
      </c>
      <c r="G13743" t="s">
        <v>799</v>
      </c>
    </row>
    <row r="13744" spans="1:7" x14ac:dyDescent="0.3">
      <c r="A13744" t="s">
        <v>27</v>
      </c>
      <c r="B13744" t="s">
        <v>199</v>
      </c>
      <c r="C13744">
        <v>164</v>
      </c>
      <c r="D13744" t="s">
        <v>515</v>
      </c>
      <c r="E13744" t="s">
        <v>691</v>
      </c>
      <c r="F13744" t="s">
        <v>459</v>
      </c>
      <c r="G13744" t="s">
        <v>487</v>
      </c>
    </row>
    <row r="13745" spans="1:15" x14ac:dyDescent="0.3">
      <c r="A13745" t="s">
        <v>41</v>
      </c>
      <c r="B13745" t="s">
        <v>198</v>
      </c>
      <c r="C13745">
        <v>521</v>
      </c>
      <c r="D13745" t="s">
        <v>591</v>
      </c>
      <c r="E13745" t="s">
        <v>352</v>
      </c>
      <c r="F13745" t="s">
        <v>607</v>
      </c>
      <c r="G13745" t="s">
        <v>572</v>
      </c>
    </row>
    <row r="13746" spans="1:15" x14ac:dyDescent="0.3">
      <c r="A13746" t="s">
        <v>41</v>
      </c>
      <c r="B13746" t="s">
        <v>199</v>
      </c>
      <c r="C13746">
        <v>1517</v>
      </c>
      <c r="D13746" t="s">
        <v>493</v>
      </c>
      <c r="E13746" t="s">
        <v>384</v>
      </c>
      <c r="F13746" t="s">
        <v>511</v>
      </c>
      <c r="G13746" t="s">
        <v>573</v>
      </c>
    </row>
    <row r="13748" spans="1:15" x14ac:dyDescent="0.3">
      <c r="A13748" t="s">
        <v>2940</v>
      </c>
    </row>
    <row r="13749" spans="1:15" x14ac:dyDescent="0.3">
      <c r="A13749" t="s">
        <v>36</v>
      </c>
      <c r="B13749" t="s">
        <v>24</v>
      </c>
      <c r="C13749" t="s">
        <v>2941</v>
      </c>
      <c r="D13749" t="s">
        <v>2942</v>
      </c>
      <c r="E13749" t="s">
        <v>2943</v>
      </c>
      <c r="F13749" t="s">
        <v>2944</v>
      </c>
      <c r="G13749" t="s">
        <v>2945</v>
      </c>
      <c r="H13749" t="s">
        <v>2946</v>
      </c>
      <c r="I13749" t="s">
        <v>2947</v>
      </c>
      <c r="J13749" t="s">
        <v>2948</v>
      </c>
      <c r="K13749" t="s">
        <v>2949</v>
      </c>
      <c r="L13749" t="s">
        <v>2950</v>
      </c>
      <c r="M13749" t="s">
        <v>2951</v>
      </c>
      <c r="N13749" t="s">
        <v>89</v>
      </c>
    </row>
    <row r="13750" spans="1:15" x14ac:dyDescent="0.3">
      <c r="A13750" t="s">
        <v>25</v>
      </c>
      <c r="B13750">
        <v>196</v>
      </c>
      <c r="C13750" t="s">
        <v>164</v>
      </c>
      <c r="D13750" t="s">
        <v>1044</v>
      </c>
      <c r="E13750" t="s">
        <v>216</v>
      </c>
      <c r="F13750" t="s">
        <v>566</v>
      </c>
      <c r="G13750" t="s">
        <v>103</v>
      </c>
      <c r="H13750" t="s">
        <v>1425</v>
      </c>
      <c r="I13750" t="s">
        <v>90</v>
      </c>
      <c r="J13750" t="s">
        <v>105</v>
      </c>
      <c r="K13750" t="s">
        <v>217</v>
      </c>
      <c r="L13750" t="s">
        <v>345</v>
      </c>
      <c r="M13750" t="s">
        <v>103</v>
      </c>
      <c r="N13750" t="s">
        <v>103</v>
      </c>
    </row>
    <row r="13751" spans="1:15" x14ac:dyDescent="0.3">
      <c r="A13751" t="s">
        <v>26</v>
      </c>
      <c r="B13751">
        <v>209</v>
      </c>
      <c r="C13751" t="s">
        <v>269</v>
      </c>
      <c r="D13751" t="s">
        <v>793</v>
      </c>
      <c r="E13751" t="s">
        <v>662</v>
      </c>
      <c r="F13751" t="s">
        <v>577</v>
      </c>
      <c r="G13751" t="s">
        <v>139</v>
      </c>
      <c r="H13751" t="s">
        <v>726</v>
      </c>
      <c r="I13751" t="s">
        <v>615</v>
      </c>
      <c r="J13751" t="s">
        <v>103</v>
      </c>
      <c r="K13751" t="s">
        <v>112</v>
      </c>
      <c r="L13751" t="s">
        <v>122</v>
      </c>
      <c r="M13751" t="s">
        <v>103</v>
      </c>
      <c r="N13751" t="s">
        <v>120</v>
      </c>
    </row>
    <row r="13752" spans="1:15" x14ac:dyDescent="0.3">
      <c r="A13752" t="s">
        <v>29</v>
      </c>
      <c r="B13752">
        <v>254</v>
      </c>
      <c r="C13752" t="s">
        <v>568</v>
      </c>
      <c r="D13752" t="s">
        <v>1420</v>
      </c>
      <c r="E13752" t="s">
        <v>160</v>
      </c>
      <c r="F13752" t="s">
        <v>259</v>
      </c>
      <c r="G13752" t="s">
        <v>120</v>
      </c>
      <c r="H13752" t="s">
        <v>1258</v>
      </c>
      <c r="I13752" t="s">
        <v>544</v>
      </c>
      <c r="J13752" t="s">
        <v>157</v>
      </c>
      <c r="K13752" t="s">
        <v>112</v>
      </c>
      <c r="L13752" t="s">
        <v>245</v>
      </c>
      <c r="M13752" t="s">
        <v>122</v>
      </c>
      <c r="N13752" t="s">
        <v>103</v>
      </c>
    </row>
    <row r="13753" spans="1:15" x14ac:dyDescent="0.3">
      <c r="A13753" t="s">
        <v>28</v>
      </c>
      <c r="B13753">
        <v>232</v>
      </c>
      <c r="C13753" t="s">
        <v>539</v>
      </c>
      <c r="D13753" t="s">
        <v>630</v>
      </c>
      <c r="E13753" t="s">
        <v>697</v>
      </c>
      <c r="F13753" t="s">
        <v>476</v>
      </c>
      <c r="G13753" t="s">
        <v>97</v>
      </c>
      <c r="H13753" t="s">
        <v>1242</v>
      </c>
      <c r="I13753" t="s">
        <v>452</v>
      </c>
      <c r="J13753" t="s">
        <v>217</v>
      </c>
      <c r="K13753" t="s">
        <v>217</v>
      </c>
      <c r="L13753" t="s">
        <v>139</v>
      </c>
      <c r="M13753" t="s">
        <v>110</v>
      </c>
      <c r="N13753" t="s">
        <v>103</v>
      </c>
    </row>
    <row r="13754" spans="1:15" x14ac:dyDescent="0.3">
      <c r="A13754" t="s">
        <v>27</v>
      </c>
      <c r="B13754">
        <v>187</v>
      </c>
      <c r="C13754" t="s">
        <v>194</v>
      </c>
      <c r="D13754" t="s">
        <v>593</v>
      </c>
      <c r="E13754" t="s">
        <v>531</v>
      </c>
      <c r="F13754" t="s">
        <v>402</v>
      </c>
      <c r="G13754" t="s">
        <v>194</v>
      </c>
      <c r="H13754" t="s">
        <v>1369</v>
      </c>
      <c r="I13754" t="s">
        <v>91</v>
      </c>
      <c r="J13754" t="s">
        <v>103</v>
      </c>
      <c r="K13754" t="s">
        <v>64</v>
      </c>
      <c r="L13754" t="s">
        <v>103</v>
      </c>
      <c r="M13754" t="s">
        <v>103</v>
      </c>
      <c r="N13754" t="s">
        <v>120</v>
      </c>
    </row>
    <row r="13755" spans="1:15" x14ac:dyDescent="0.3">
      <c r="A13755" t="s">
        <v>41</v>
      </c>
      <c r="B13755">
        <v>1078</v>
      </c>
      <c r="C13755" t="s">
        <v>470</v>
      </c>
      <c r="D13755" t="s">
        <v>1175</v>
      </c>
      <c r="E13755" t="s">
        <v>117</v>
      </c>
      <c r="F13755" t="s">
        <v>975</v>
      </c>
      <c r="G13755" t="s">
        <v>120</v>
      </c>
      <c r="H13755" t="s">
        <v>417</v>
      </c>
      <c r="I13755" t="s">
        <v>224</v>
      </c>
      <c r="J13755" t="s">
        <v>232</v>
      </c>
      <c r="K13755" t="s">
        <v>532</v>
      </c>
      <c r="L13755" t="s">
        <v>345</v>
      </c>
      <c r="M13755" t="s">
        <v>116</v>
      </c>
      <c r="N13755" t="s">
        <v>66</v>
      </c>
    </row>
    <row r="13757" spans="1:15" x14ac:dyDescent="0.3">
      <c r="A13757" t="s">
        <v>2952</v>
      </c>
    </row>
    <row r="13758" spans="1:15" x14ac:dyDescent="0.3">
      <c r="A13758" t="s">
        <v>36</v>
      </c>
      <c r="B13758" t="s">
        <v>307</v>
      </c>
      <c r="C13758" t="s">
        <v>24</v>
      </c>
      <c r="D13758" t="s">
        <v>2941</v>
      </c>
      <c r="E13758" t="s">
        <v>2942</v>
      </c>
      <c r="F13758" t="s">
        <v>2943</v>
      </c>
      <c r="G13758" t="s">
        <v>2944</v>
      </c>
      <c r="H13758" t="s">
        <v>2945</v>
      </c>
      <c r="I13758" t="s">
        <v>2946</v>
      </c>
      <c r="J13758" t="s">
        <v>2947</v>
      </c>
      <c r="K13758" t="s">
        <v>2948</v>
      </c>
      <c r="L13758" t="s">
        <v>2949</v>
      </c>
      <c r="M13758" t="s">
        <v>2950</v>
      </c>
      <c r="N13758" t="s">
        <v>2951</v>
      </c>
      <c r="O13758" t="s">
        <v>89</v>
      </c>
    </row>
    <row r="13759" spans="1:15" x14ac:dyDescent="0.3">
      <c r="A13759" t="s">
        <v>25</v>
      </c>
      <c r="B13759" t="s">
        <v>291</v>
      </c>
      <c r="C13759">
        <v>73</v>
      </c>
      <c r="D13759" t="s">
        <v>469</v>
      </c>
      <c r="E13759" t="s">
        <v>795</v>
      </c>
      <c r="F13759" t="s">
        <v>103</v>
      </c>
      <c r="G13759" t="s">
        <v>682</v>
      </c>
      <c r="H13759" t="s">
        <v>103</v>
      </c>
      <c r="I13759" t="s">
        <v>1327</v>
      </c>
      <c r="J13759" t="s">
        <v>242</v>
      </c>
      <c r="K13759" t="s">
        <v>438</v>
      </c>
      <c r="L13759" t="s">
        <v>217</v>
      </c>
      <c r="M13759" t="s">
        <v>245</v>
      </c>
      <c r="N13759" t="s">
        <v>103</v>
      </c>
      <c r="O13759" t="s">
        <v>103</v>
      </c>
    </row>
    <row r="13760" spans="1:15" x14ac:dyDescent="0.3">
      <c r="A13760" t="s">
        <v>25</v>
      </c>
      <c r="B13760" t="s">
        <v>292</v>
      </c>
      <c r="C13760">
        <v>123</v>
      </c>
      <c r="D13760" t="s">
        <v>104</v>
      </c>
      <c r="E13760" t="s">
        <v>857</v>
      </c>
      <c r="F13760" t="s">
        <v>266</v>
      </c>
      <c r="G13760" t="s">
        <v>700</v>
      </c>
      <c r="H13760" t="s">
        <v>103</v>
      </c>
      <c r="I13760" t="s">
        <v>352</v>
      </c>
      <c r="J13760" t="s">
        <v>737</v>
      </c>
      <c r="K13760" t="s">
        <v>139</v>
      </c>
      <c r="L13760" t="s">
        <v>217</v>
      </c>
      <c r="M13760" t="s">
        <v>95</v>
      </c>
      <c r="N13760" t="s">
        <v>103</v>
      </c>
      <c r="O13760" t="s">
        <v>103</v>
      </c>
    </row>
    <row r="13761" spans="1:15" x14ac:dyDescent="0.3">
      <c r="A13761" t="s">
        <v>26</v>
      </c>
      <c r="B13761" t="s">
        <v>291</v>
      </c>
      <c r="C13761">
        <v>57</v>
      </c>
      <c r="D13761" t="s">
        <v>167</v>
      </c>
      <c r="E13761" t="s">
        <v>1039</v>
      </c>
      <c r="F13761" t="s">
        <v>188</v>
      </c>
      <c r="G13761" t="s">
        <v>650</v>
      </c>
      <c r="H13761" t="s">
        <v>103</v>
      </c>
      <c r="I13761" t="s">
        <v>1245</v>
      </c>
      <c r="J13761" t="s">
        <v>214</v>
      </c>
      <c r="K13761" t="s">
        <v>103</v>
      </c>
      <c r="L13761" t="s">
        <v>532</v>
      </c>
      <c r="M13761" t="s">
        <v>103</v>
      </c>
      <c r="N13761" t="s">
        <v>103</v>
      </c>
      <c r="O13761" t="s">
        <v>103</v>
      </c>
    </row>
    <row r="13762" spans="1:15" x14ac:dyDescent="0.3">
      <c r="A13762" t="s">
        <v>26</v>
      </c>
      <c r="B13762" t="s">
        <v>292</v>
      </c>
      <c r="C13762">
        <v>151</v>
      </c>
      <c r="D13762" t="s">
        <v>191</v>
      </c>
      <c r="E13762" t="s">
        <v>795</v>
      </c>
      <c r="F13762" t="s">
        <v>594</v>
      </c>
      <c r="G13762" t="s">
        <v>52</v>
      </c>
      <c r="H13762" t="s">
        <v>468</v>
      </c>
      <c r="I13762" t="s">
        <v>814</v>
      </c>
      <c r="J13762" t="s">
        <v>532</v>
      </c>
      <c r="K13762" t="s">
        <v>103</v>
      </c>
      <c r="L13762" t="s">
        <v>206</v>
      </c>
      <c r="M13762" t="s">
        <v>97</v>
      </c>
      <c r="N13762" t="s">
        <v>103</v>
      </c>
      <c r="O13762" t="s">
        <v>98</v>
      </c>
    </row>
    <row r="13763" spans="1:15" x14ac:dyDescent="0.3">
      <c r="A13763" t="s">
        <v>26</v>
      </c>
      <c r="B13763" t="s">
        <v>308</v>
      </c>
      <c r="C13763">
        <v>1</v>
      </c>
      <c r="D13763" t="s">
        <v>103</v>
      </c>
      <c r="E13763" t="s">
        <v>192</v>
      </c>
      <c r="F13763" t="s">
        <v>103</v>
      </c>
      <c r="G13763" t="s">
        <v>103</v>
      </c>
      <c r="H13763" t="s">
        <v>103</v>
      </c>
      <c r="I13763" t="s">
        <v>103</v>
      </c>
      <c r="J13763" t="s">
        <v>103</v>
      </c>
      <c r="K13763" t="s">
        <v>103</v>
      </c>
      <c r="L13763" t="s">
        <v>103</v>
      </c>
      <c r="M13763" t="s">
        <v>103</v>
      </c>
      <c r="N13763" t="s">
        <v>103</v>
      </c>
      <c r="O13763" t="s">
        <v>103</v>
      </c>
    </row>
    <row r="13764" spans="1:15" x14ac:dyDescent="0.3">
      <c r="A13764" t="s">
        <v>29</v>
      </c>
      <c r="B13764" t="s">
        <v>291</v>
      </c>
      <c r="C13764">
        <v>101</v>
      </c>
      <c r="D13764" t="s">
        <v>925</v>
      </c>
      <c r="E13764" t="s">
        <v>2106</v>
      </c>
      <c r="F13764" t="s">
        <v>247</v>
      </c>
      <c r="G13764" t="s">
        <v>1083</v>
      </c>
      <c r="H13764" t="s">
        <v>103</v>
      </c>
      <c r="I13764" t="s">
        <v>1047</v>
      </c>
      <c r="J13764" t="s">
        <v>242</v>
      </c>
      <c r="K13764" t="s">
        <v>452</v>
      </c>
      <c r="L13764" t="s">
        <v>186</v>
      </c>
      <c r="M13764" t="s">
        <v>103</v>
      </c>
      <c r="N13764" t="s">
        <v>103</v>
      </c>
      <c r="O13764" t="s">
        <v>103</v>
      </c>
    </row>
    <row r="13765" spans="1:15" x14ac:dyDescent="0.3">
      <c r="A13765" t="s">
        <v>29</v>
      </c>
      <c r="B13765" t="s">
        <v>292</v>
      </c>
      <c r="C13765">
        <v>153</v>
      </c>
      <c r="D13765" t="s">
        <v>398</v>
      </c>
      <c r="E13765" t="s">
        <v>2033</v>
      </c>
      <c r="F13765" t="s">
        <v>256</v>
      </c>
      <c r="G13765" t="s">
        <v>507</v>
      </c>
      <c r="H13765" t="s">
        <v>345</v>
      </c>
      <c r="I13765" t="s">
        <v>434</v>
      </c>
      <c r="J13765" t="s">
        <v>519</v>
      </c>
      <c r="K13765" t="s">
        <v>54</v>
      </c>
      <c r="L13765" t="s">
        <v>594</v>
      </c>
      <c r="M13765" t="s">
        <v>64</v>
      </c>
      <c r="N13765" t="s">
        <v>95</v>
      </c>
      <c r="O13765" t="s">
        <v>103</v>
      </c>
    </row>
    <row r="13766" spans="1:15" x14ac:dyDescent="0.3">
      <c r="A13766" t="s">
        <v>28</v>
      </c>
      <c r="B13766" t="s">
        <v>291</v>
      </c>
      <c r="C13766">
        <v>85</v>
      </c>
      <c r="D13766" t="s">
        <v>1083</v>
      </c>
      <c r="E13766" t="s">
        <v>760</v>
      </c>
      <c r="F13766" t="s">
        <v>56</v>
      </c>
      <c r="G13766" t="s">
        <v>491</v>
      </c>
      <c r="H13766" t="s">
        <v>194</v>
      </c>
      <c r="I13766" t="s">
        <v>1059</v>
      </c>
      <c r="J13766" t="s">
        <v>629</v>
      </c>
      <c r="K13766" t="s">
        <v>113</v>
      </c>
      <c r="L13766" t="s">
        <v>278</v>
      </c>
      <c r="M13766" t="s">
        <v>239</v>
      </c>
      <c r="N13766" t="s">
        <v>493</v>
      </c>
      <c r="O13766" t="s">
        <v>103</v>
      </c>
    </row>
    <row r="13767" spans="1:15" x14ac:dyDescent="0.3">
      <c r="A13767" t="s">
        <v>28</v>
      </c>
      <c r="B13767" t="s">
        <v>292</v>
      </c>
      <c r="C13767">
        <v>140</v>
      </c>
      <c r="D13767" t="s">
        <v>1203</v>
      </c>
      <c r="E13767" t="s">
        <v>994</v>
      </c>
      <c r="F13767" t="s">
        <v>975</v>
      </c>
      <c r="G13767" t="s">
        <v>175</v>
      </c>
      <c r="H13767" t="s">
        <v>103</v>
      </c>
      <c r="I13767" t="s">
        <v>353</v>
      </c>
      <c r="J13767" t="s">
        <v>113</v>
      </c>
      <c r="K13767" t="s">
        <v>245</v>
      </c>
      <c r="L13767" t="s">
        <v>468</v>
      </c>
      <c r="M13767" t="s">
        <v>97</v>
      </c>
      <c r="N13767" t="s">
        <v>103</v>
      </c>
      <c r="O13767" t="s">
        <v>103</v>
      </c>
    </row>
    <row r="13768" spans="1:15" x14ac:dyDescent="0.3">
      <c r="A13768" t="s">
        <v>28</v>
      </c>
      <c r="B13768" t="s">
        <v>308</v>
      </c>
      <c r="C13768">
        <v>7</v>
      </c>
      <c r="D13768" t="s">
        <v>169</v>
      </c>
      <c r="E13768" t="s">
        <v>240</v>
      </c>
      <c r="F13768" t="s">
        <v>103</v>
      </c>
      <c r="G13768" t="s">
        <v>935</v>
      </c>
      <c r="H13768" t="s">
        <v>103</v>
      </c>
      <c r="I13768" t="s">
        <v>617</v>
      </c>
      <c r="J13768" t="s">
        <v>103</v>
      </c>
      <c r="K13768" t="s">
        <v>103</v>
      </c>
      <c r="L13768" t="s">
        <v>103</v>
      </c>
      <c r="M13768" t="s">
        <v>103</v>
      </c>
      <c r="N13768" t="s">
        <v>103</v>
      </c>
      <c r="O13768" t="s">
        <v>103</v>
      </c>
    </row>
    <row r="13769" spans="1:15" x14ac:dyDescent="0.3">
      <c r="A13769" t="s">
        <v>27</v>
      </c>
      <c r="B13769" t="s">
        <v>291</v>
      </c>
      <c r="C13769">
        <v>57</v>
      </c>
      <c r="D13769" t="s">
        <v>105</v>
      </c>
      <c r="E13769" t="s">
        <v>1062</v>
      </c>
      <c r="F13769" t="s">
        <v>278</v>
      </c>
      <c r="G13769" t="s">
        <v>1213</v>
      </c>
      <c r="H13769" t="s">
        <v>103</v>
      </c>
      <c r="I13769" t="s">
        <v>1281</v>
      </c>
      <c r="J13769" t="s">
        <v>103</v>
      </c>
      <c r="K13769" t="s">
        <v>103</v>
      </c>
      <c r="L13769" t="s">
        <v>329</v>
      </c>
      <c r="M13769" t="s">
        <v>103</v>
      </c>
      <c r="N13769" t="s">
        <v>103</v>
      </c>
      <c r="O13769" t="s">
        <v>103</v>
      </c>
    </row>
    <row r="13770" spans="1:15" x14ac:dyDescent="0.3">
      <c r="A13770" t="s">
        <v>27</v>
      </c>
      <c r="B13770" t="s">
        <v>292</v>
      </c>
      <c r="C13770">
        <v>125</v>
      </c>
      <c r="D13770" t="s">
        <v>345</v>
      </c>
      <c r="E13770" t="s">
        <v>1048</v>
      </c>
      <c r="F13770" t="s">
        <v>607</v>
      </c>
      <c r="G13770" t="s">
        <v>561</v>
      </c>
      <c r="H13770" t="s">
        <v>341</v>
      </c>
      <c r="I13770" t="s">
        <v>801</v>
      </c>
      <c r="J13770" t="s">
        <v>66</v>
      </c>
      <c r="K13770" t="s">
        <v>103</v>
      </c>
      <c r="L13770" t="s">
        <v>272</v>
      </c>
      <c r="M13770" t="s">
        <v>103</v>
      </c>
      <c r="N13770" t="s">
        <v>103</v>
      </c>
      <c r="O13770" t="s">
        <v>139</v>
      </c>
    </row>
    <row r="13771" spans="1:15" x14ac:dyDescent="0.3">
      <c r="A13771" t="s">
        <v>27</v>
      </c>
      <c r="B13771" t="s">
        <v>308</v>
      </c>
      <c r="C13771">
        <v>5</v>
      </c>
      <c r="D13771" t="s">
        <v>103</v>
      </c>
      <c r="E13771" t="s">
        <v>1327</v>
      </c>
      <c r="F13771" t="s">
        <v>103</v>
      </c>
      <c r="G13771" t="s">
        <v>297</v>
      </c>
      <c r="H13771" t="s">
        <v>103</v>
      </c>
      <c r="I13771" t="s">
        <v>298</v>
      </c>
      <c r="J13771" t="s">
        <v>103</v>
      </c>
      <c r="K13771" t="s">
        <v>103</v>
      </c>
      <c r="L13771" t="s">
        <v>103</v>
      </c>
      <c r="M13771" t="s">
        <v>103</v>
      </c>
      <c r="N13771" t="s">
        <v>103</v>
      </c>
      <c r="O13771" t="s">
        <v>103</v>
      </c>
    </row>
    <row r="13772" spans="1:15" x14ac:dyDescent="0.3">
      <c r="A13772" t="s">
        <v>41</v>
      </c>
      <c r="B13772" t="s">
        <v>291</v>
      </c>
      <c r="C13772">
        <v>373</v>
      </c>
      <c r="D13772" t="s">
        <v>92</v>
      </c>
      <c r="E13772" t="s">
        <v>593</v>
      </c>
      <c r="F13772" t="s">
        <v>511</v>
      </c>
      <c r="G13772" t="s">
        <v>706</v>
      </c>
      <c r="H13772" t="s">
        <v>91</v>
      </c>
      <c r="I13772" t="s">
        <v>892</v>
      </c>
      <c r="J13772" t="s">
        <v>460</v>
      </c>
      <c r="K13772" t="s">
        <v>591</v>
      </c>
      <c r="L13772" t="s">
        <v>188</v>
      </c>
      <c r="M13772" t="s">
        <v>97</v>
      </c>
      <c r="N13772" t="s">
        <v>116</v>
      </c>
      <c r="O13772" t="s">
        <v>103</v>
      </c>
    </row>
    <row r="13773" spans="1:15" x14ac:dyDescent="0.3">
      <c r="A13773" t="s">
        <v>41</v>
      </c>
      <c r="B13773" t="s">
        <v>292</v>
      </c>
      <c r="C13773">
        <v>692</v>
      </c>
      <c r="D13773" t="s">
        <v>473</v>
      </c>
      <c r="E13773" t="s">
        <v>796</v>
      </c>
      <c r="F13773" t="s">
        <v>813</v>
      </c>
      <c r="G13773" t="s">
        <v>520</v>
      </c>
      <c r="H13773" t="s">
        <v>98</v>
      </c>
      <c r="I13773" t="s">
        <v>294</v>
      </c>
      <c r="J13773" t="s">
        <v>693</v>
      </c>
      <c r="K13773" t="s">
        <v>511</v>
      </c>
      <c r="L13773" t="s">
        <v>284</v>
      </c>
      <c r="M13773" t="s">
        <v>239</v>
      </c>
      <c r="N13773" t="s">
        <v>116</v>
      </c>
      <c r="O13773" t="s">
        <v>116</v>
      </c>
    </row>
    <row r="13774" spans="1:15" x14ac:dyDescent="0.3">
      <c r="A13774" t="s">
        <v>41</v>
      </c>
      <c r="B13774" t="s">
        <v>308</v>
      </c>
      <c r="C13774">
        <v>13</v>
      </c>
      <c r="D13774" t="s">
        <v>32</v>
      </c>
      <c r="E13774" t="s">
        <v>806</v>
      </c>
      <c r="F13774" t="s">
        <v>103</v>
      </c>
      <c r="G13774" t="s">
        <v>477</v>
      </c>
      <c r="H13774" t="s">
        <v>103</v>
      </c>
      <c r="I13774" t="s">
        <v>294</v>
      </c>
      <c r="J13774" t="s">
        <v>103</v>
      </c>
      <c r="K13774" t="s">
        <v>103</v>
      </c>
      <c r="L13774" t="s">
        <v>103</v>
      </c>
      <c r="M13774" t="s">
        <v>103</v>
      </c>
      <c r="N13774" t="s">
        <v>103</v>
      </c>
      <c r="O13774" t="s">
        <v>103</v>
      </c>
    </row>
    <row r="13776" spans="1:15" x14ac:dyDescent="0.3">
      <c r="A13776" t="s">
        <v>2953</v>
      </c>
    </row>
    <row r="13777" spans="1:15" x14ac:dyDescent="0.3">
      <c r="A13777" t="s">
        <v>36</v>
      </c>
      <c r="B13777" t="s">
        <v>763</v>
      </c>
      <c r="C13777" t="s">
        <v>24</v>
      </c>
      <c r="D13777" t="s">
        <v>2941</v>
      </c>
      <c r="E13777" t="s">
        <v>2942</v>
      </c>
      <c r="F13777" t="s">
        <v>2943</v>
      </c>
      <c r="G13777" t="s">
        <v>2944</v>
      </c>
      <c r="H13777" t="s">
        <v>2945</v>
      </c>
      <c r="I13777" t="s">
        <v>2946</v>
      </c>
      <c r="J13777" t="s">
        <v>2947</v>
      </c>
      <c r="K13777" t="s">
        <v>2948</v>
      </c>
      <c r="L13777" t="s">
        <v>2949</v>
      </c>
      <c r="M13777" t="s">
        <v>2950</v>
      </c>
      <c r="N13777" t="s">
        <v>2951</v>
      </c>
      <c r="O13777" t="s">
        <v>89</v>
      </c>
    </row>
    <row r="13778" spans="1:15" s="3" customFormat="1" x14ac:dyDescent="0.3">
      <c r="A13778" s="3" t="s">
        <v>25</v>
      </c>
      <c r="B13778" s="3" t="s">
        <v>764</v>
      </c>
      <c r="C13778" s="3">
        <v>9</v>
      </c>
      <c r="D13778" s="3" t="s">
        <v>247</v>
      </c>
      <c r="E13778" s="3" t="s">
        <v>414</v>
      </c>
      <c r="F13778" s="3" t="s">
        <v>103</v>
      </c>
      <c r="G13778" s="3" t="s">
        <v>418</v>
      </c>
      <c r="H13778" s="3" t="s">
        <v>103</v>
      </c>
      <c r="I13778" s="3" t="s">
        <v>621</v>
      </c>
      <c r="J13778" s="3" t="s">
        <v>115</v>
      </c>
      <c r="K13778" s="3" t="s">
        <v>242</v>
      </c>
      <c r="L13778" s="3" t="s">
        <v>242</v>
      </c>
      <c r="M13778" s="3" t="s">
        <v>103</v>
      </c>
      <c r="N13778" s="3" t="s">
        <v>103</v>
      </c>
      <c r="O13778" s="3" t="s">
        <v>103</v>
      </c>
    </row>
    <row r="13779" spans="1:15" x14ac:dyDescent="0.3">
      <c r="A13779" t="s">
        <v>25</v>
      </c>
      <c r="B13779" t="s">
        <v>765</v>
      </c>
      <c r="C13779">
        <v>131</v>
      </c>
      <c r="D13779" t="s">
        <v>652</v>
      </c>
      <c r="E13779" t="s">
        <v>372</v>
      </c>
      <c r="F13779" t="s">
        <v>208</v>
      </c>
      <c r="G13779" t="s">
        <v>124</v>
      </c>
      <c r="H13779" t="s">
        <v>103</v>
      </c>
      <c r="I13779" t="s">
        <v>1236</v>
      </c>
      <c r="J13779" t="s">
        <v>254</v>
      </c>
      <c r="K13779" t="s">
        <v>91</v>
      </c>
      <c r="L13779" t="s">
        <v>438</v>
      </c>
      <c r="M13779" t="s">
        <v>120</v>
      </c>
      <c r="N13779" t="s">
        <v>103</v>
      </c>
      <c r="O13779" t="s">
        <v>103</v>
      </c>
    </row>
    <row r="13780" spans="1:15" x14ac:dyDescent="0.3">
      <c r="A13780" t="s">
        <v>25</v>
      </c>
      <c r="B13780" t="s">
        <v>767</v>
      </c>
      <c r="C13780">
        <v>56</v>
      </c>
      <c r="D13780" t="s">
        <v>672</v>
      </c>
      <c r="E13780" t="s">
        <v>1035</v>
      </c>
      <c r="F13780" t="s">
        <v>345</v>
      </c>
      <c r="G13780" t="s">
        <v>31</v>
      </c>
      <c r="H13780" t="s">
        <v>103</v>
      </c>
      <c r="I13780" t="s">
        <v>465</v>
      </c>
      <c r="J13780" t="s">
        <v>466</v>
      </c>
      <c r="K13780" t="s">
        <v>615</v>
      </c>
      <c r="L13780" t="s">
        <v>103</v>
      </c>
      <c r="M13780" t="s">
        <v>118</v>
      </c>
      <c r="N13780" t="s">
        <v>103</v>
      </c>
      <c r="O13780" t="s">
        <v>103</v>
      </c>
    </row>
    <row r="13781" spans="1:15" s="3" customFormat="1" x14ac:dyDescent="0.3">
      <c r="A13781" s="3" t="s">
        <v>26</v>
      </c>
      <c r="B13781" s="3" t="s">
        <v>764</v>
      </c>
      <c r="C13781" s="3">
        <v>18</v>
      </c>
      <c r="D13781" s="3" t="s">
        <v>557</v>
      </c>
      <c r="E13781" s="3" t="s">
        <v>989</v>
      </c>
      <c r="F13781" s="3" t="s">
        <v>652</v>
      </c>
      <c r="G13781" s="3" t="s">
        <v>535</v>
      </c>
      <c r="H13781" s="3" t="s">
        <v>103</v>
      </c>
      <c r="I13781" s="3" t="s">
        <v>618</v>
      </c>
      <c r="J13781" s="3" t="s">
        <v>103</v>
      </c>
      <c r="K13781" s="3" t="s">
        <v>103</v>
      </c>
      <c r="L13781" s="3" t="s">
        <v>113</v>
      </c>
      <c r="M13781" s="3" t="s">
        <v>103</v>
      </c>
      <c r="N13781" s="3" t="s">
        <v>103</v>
      </c>
      <c r="O13781" s="3" t="s">
        <v>103</v>
      </c>
    </row>
    <row r="13782" spans="1:15" x14ac:dyDescent="0.3">
      <c r="A13782" t="s">
        <v>26</v>
      </c>
      <c r="B13782" t="s">
        <v>765</v>
      </c>
      <c r="C13782">
        <v>123</v>
      </c>
      <c r="D13782" t="s">
        <v>135</v>
      </c>
      <c r="E13782" t="s">
        <v>793</v>
      </c>
      <c r="F13782" t="s">
        <v>452</v>
      </c>
      <c r="G13782" t="s">
        <v>547</v>
      </c>
      <c r="H13782" t="s">
        <v>110</v>
      </c>
      <c r="I13782" t="s">
        <v>378</v>
      </c>
      <c r="J13782" t="s">
        <v>64</v>
      </c>
      <c r="K13782" t="s">
        <v>103</v>
      </c>
      <c r="L13782" t="s">
        <v>101</v>
      </c>
      <c r="M13782" t="s">
        <v>120</v>
      </c>
      <c r="N13782" t="s">
        <v>103</v>
      </c>
      <c r="O13782" t="s">
        <v>103</v>
      </c>
    </row>
    <row r="13783" spans="1:15" x14ac:dyDescent="0.3">
      <c r="A13783" t="s">
        <v>26</v>
      </c>
      <c r="B13783" t="s">
        <v>767</v>
      </c>
      <c r="C13783">
        <v>68</v>
      </c>
      <c r="D13783" t="s">
        <v>224</v>
      </c>
      <c r="E13783" t="s">
        <v>1096</v>
      </c>
      <c r="F13783" t="s">
        <v>102</v>
      </c>
      <c r="G13783" t="s">
        <v>920</v>
      </c>
      <c r="H13783" t="s">
        <v>103</v>
      </c>
      <c r="I13783" t="s">
        <v>1172</v>
      </c>
      <c r="J13783" t="s">
        <v>629</v>
      </c>
      <c r="K13783" t="s">
        <v>103</v>
      </c>
      <c r="L13783" t="s">
        <v>266</v>
      </c>
      <c r="M13783" t="s">
        <v>103</v>
      </c>
      <c r="N13783" t="s">
        <v>103</v>
      </c>
      <c r="O13783" t="s">
        <v>208</v>
      </c>
    </row>
    <row r="13784" spans="1:15" s="3" customFormat="1" x14ac:dyDescent="0.3">
      <c r="A13784" s="3" t="s">
        <v>29</v>
      </c>
      <c r="B13784" s="3" t="s">
        <v>764</v>
      </c>
      <c r="C13784" s="3">
        <v>5</v>
      </c>
      <c r="D13784" s="3" t="s">
        <v>230</v>
      </c>
      <c r="E13784" s="3" t="s">
        <v>1369</v>
      </c>
      <c r="F13784" s="3" t="s">
        <v>354</v>
      </c>
      <c r="G13784" s="3" t="s">
        <v>123</v>
      </c>
      <c r="H13784" s="3" t="s">
        <v>103</v>
      </c>
      <c r="I13784" s="3" t="s">
        <v>366</v>
      </c>
      <c r="J13784" s="3" t="s">
        <v>123</v>
      </c>
      <c r="K13784" s="3" t="s">
        <v>103</v>
      </c>
      <c r="L13784" s="3" t="s">
        <v>103</v>
      </c>
      <c r="M13784" s="3" t="s">
        <v>103</v>
      </c>
      <c r="N13784" s="3" t="s">
        <v>103</v>
      </c>
      <c r="O13784" s="3" t="s">
        <v>103</v>
      </c>
    </row>
    <row r="13785" spans="1:15" x14ac:dyDescent="0.3">
      <c r="A13785" t="s">
        <v>29</v>
      </c>
      <c r="B13785" t="s">
        <v>765</v>
      </c>
      <c r="C13785">
        <v>172</v>
      </c>
      <c r="D13785" t="s">
        <v>579</v>
      </c>
      <c r="E13785" t="s">
        <v>434</v>
      </c>
      <c r="F13785" t="s">
        <v>687</v>
      </c>
      <c r="G13785" t="s">
        <v>539</v>
      </c>
      <c r="H13785" t="s">
        <v>103</v>
      </c>
      <c r="I13785" t="s">
        <v>1443</v>
      </c>
      <c r="J13785" t="s">
        <v>459</v>
      </c>
      <c r="K13785" t="s">
        <v>101</v>
      </c>
      <c r="L13785" t="s">
        <v>278</v>
      </c>
      <c r="M13785" t="s">
        <v>110</v>
      </c>
      <c r="N13785" t="s">
        <v>103</v>
      </c>
      <c r="O13785" t="s">
        <v>103</v>
      </c>
    </row>
    <row r="13786" spans="1:15" x14ac:dyDescent="0.3">
      <c r="A13786" t="s">
        <v>29</v>
      </c>
      <c r="B13786" t="s">
        <v>767</v>
      </c>
      <c r="C13786">
        <v>77</v>
      </c>
      <c r="D13786" t="s">
        <v>660</v>
      </c>
      <c r="E13786" t="s">
        <v>508</v>
      </c>
      <c r="F13786" t="s">
        <v>544</v>
      </c>
      <c r="G13786" t="s">
        <v>534</v>
      </c>
      <c r="H13786" t="s">
        <v>329</v>
      </c>
      <c r="I13786" t="s">
        <v>717</v>
      </c>
      <c r="J13786" t="s">
        <v>253</v>
      </c>
      <c r="K13786" t="s">
        <v>667</v>
      </c>
      <c r="L13786" t="s">
        <v>140</v>
      </c>
      <c r="M13786" t="s">
        <v>257</v>
      </c>
      <c r="N13786" t="s">
        <v>110</v>
      </c>
      <c r="O13786" t="s">
        <v>103</v>
      </c>
    </row>
    <row r="13787" spans="1:15" s="3" customFormat="1" x14ac:dyDescent="0.3">
      <c r="A13787" s="3" t="s">
        <v>28</v>
      </c>
      <c r="B13787" s="3" t="s">
        <v>764</v>
      </c>
      <c r="C13787" s="3">
        <v>13</v>
      </c>
      <c r="D13787" s="3" t="s">
        <v>537</v>
      </c>
      <c r="E13787" s="3" t="s">
        <v>288</v>
      </c>
      <c r="F13787" s="3" t="s">
        <v>537</v>
      </c>
      <c r="G13787" s="3" t="s">
        <v>649</v>
      </c>
      <c r="H13787" s="3" t="s">
        <v>103</v>
      </c>
      <c r="I13787" s="3" t="s">
        <v>610</v>
      </c>
      <c r="J13787" s="3" t="s">
        <v>103</v>
      </c>
      <c r="K13787" s="3" t="s">
        <v>103</v>
      </c>
      <c r="L13787" s="3" t="s">
        <v>103</v>
      </c>
      <c r="M13787" s="3" t="s">
        <v>467</v>
      </c>
      <c r="N13787" s="3" t="s">
        <v>103</v>
      </c>
      <c r="O13787" s="3" t="s">
        <v>103</v>
      </c>
    </row>
    <row r="13788" spans="1:15" x14ac:dyDescent="0.3">
      <c r="A13788" t="s">
        <v>28</v>
      </c>
      <c r="B13788" t="s">
        <v>765</v>
      </c>
      <c r="C13788">
        <v>191</v>
      </c>
      <c r="D13788" t="s">
        <v>539</v>
      </c>
      <c r="E13788" t="s">
        <v>163</v>
      </c>
      <c r="F13788" t="s">
        <v>672</v>
      </c>
      <c r="G13788" t="s">
        <v>706</v>
      </c>
      <c r="H13788" t="s">
        <v>120</v>
      </c>
      <c r="I13788" t="s">
        <v>1065</v>
      </c>
      <c r="J13788" t="s">
        <v>558</v>
      </c>
      <c r="K13788" t="s">
        <v>270</v>
      </c>
      <c r="L13788" t="s">
        <v>118</v>
      </c>
      <c r="M13788" t="s">
        <v>95</v>
      </c>
      <c r="N13788" t="s">
        <v>245</v>
      </c>
      <c r="O13788" t="s">
        <v>103</v>
      </c>
    </row>
    <row r="13789" spans="1:15" s="3" customFormat="1" x14ac:dyDescent="0.3">
      <c r="A13789" s="3" t="s">
        <v>28</v>
      </c>
      <c r="B13789" s="3" t="s">
        <v>767</v>
      </c>
      <c r="C13789" s="3">
        <v>28</v>
      </c>
      <c r="D13789" s="3" t="s">
        <v>106</v>
      </c>
      <c r="E13789" s="3" t="s">
        <v>794</v>
      </c>
      <c r="F13789" s="3" t="s">
        <v>521</v>
      </c>
      <c r="G13789" s="3" t="s">
        <v>476</v>
      </c>
      <c r="H13789" s="3" t="s">
        <v>103</v>
      </c>
      <c r="I13789" s="3" t="s">
        <v>1029</v>
      </c>
      <c r="J13789" s="3" t="s">
        <v>516</v>
      </c>
      <c r="K13789" s="3" t="s">
        <v>257</v>
      </c>
      <c r="L13789" s="3" t="s">
        <v>511</v>
      </c>
      <c r="M13789" s="3" t="s">
        <v>103</v>
      </c>
      <c r="N13789" s="3" t="s">
        <v>103</v>
      </c>
      <c r="O13789" s="3" t="s">
        <v>103</v>
      </c>
    </row>
    <row r="13790" spans="1:15" s="3" customFormat="1" x14ac:dyDescent="0.3">
      <c r="A13790" s="3" t="s">
        <v>27</v>
      </c>
      <c r="B13790" s="3" t="s">
        <v>764</v>
      </c>
      <c r="C13790" s="3">
        <v>18</v>
      </c>
      <c r="D13790" s="3" t="s">
        <v>662</v>
      </c>
      <c r="E13790" s="3" t="s">
        <v>1379</v>
      </c>
      <c r="F13790" s="3" t="s">
        <v>662</v>
      </c>
      <c r="G13790" s="3" t="s">
        <v>34</v>
      </c>
      <c r="H13790" s="3" t="s">
        <v>103</v>
      </c>
      <c r="I13790" s="3" t="s">
        <v>1025</v>
      </c>
      <c r="J13790" s="3" t="s">
        <v>103</v>
      </c>
      <c r="K13790" s="3" t="s">
        <v>103</v>
      </c>
      <c r="L13790" s="3" t="s">
        <v>103</v>
      </c>
      <c r="M13790" s="3" t="s">
        <v>103</v>
      </c>
      <c r="N13790" s="3" t="s">
        <v>103</v>
      </c>
      <c r="O13790" s="3" t="s">
        <v>103</v>
      </c>
    </row>
    <row r="13791" spans="1:15" x14ac:dyDescent="0.3">
      <c r="A13791" t="s">
        <v>27</v>
      </c>
      <c r="B13791" t="s">
        <v>765</v>
      </c>
      <c r="C13791">
        <v>123</v>
      </c>
      <c r="D13791" t="s">
        <v>468</v>
      </c>
      <c r="E13791" t="s">
        <v>1278</v>
      </c>
      <c r="F13791" t="s">
        <v>124</v>
      </c>
      <c r="G13791" t="s">
        <v>505</v>
      </c>
      <c r="H13791" t="s">
        <v>329</v>
      </c>
      <c r="I13791" t="s">
        <v>1373</v>
      </c>
      <c r="J13791" t="s">
        <v>66</v>
      </c>
      <c r="K13791" t="s">
        <v>103</v>
      </c>
      <c r="L13791" t="s">
        <v>266</v>
      </c>
      <c r="M13791" t="s">
        <v>103</v>
      </c>
      <c r="N13791" t="s">
        <v>103</v>
      </c>
      <c r="O13791" t="s">
        <v>103</v>
      </c>
    </row>
    <row r="13792" spans="1:15" x14ac:dyDescent="0.3">
      <c r="A13792" t="s">
        <v>27</v>
      </c>
      <c r="B13792" t="s">
        <v>767</v>
      </c>
      <c r="C13792">
        <v>46</v>
      </c>
      <c r="D13792" t="s">
        <v>103</v>
      </c>
      <c r="E13792" t="s">
        <v>1436</v>
      </c>
      <c r="F13792" t="s">
        <v>125</v>
      </c>
      <c r="G13792" t="s">
        <v>1425</v>
      </c>
      <c r="H13792" t="s">
        <v>103</v>
      </c>
      <c r="I13792" t="s">
        <v>1170</v>
      </c>
      <c r="J13792" t="s">
        <v>103</v>
      </c>
      <c r="K13792" t="s">
        <v>103</v>
      </c>
      <c r="L13792" t="s">
        <v>114</v>
      </c>
      <c r="M13792" t="s">
        <v>103</v>
      </c>
      <c r="N13792" t="s">
        <v>103</v>
      </c>
      <c r="O13792" t="s">
        <v>208</v>
      </c>
    </row>
    <row r="13793" spans="1:15" x14ac:dyDescent="0.3">
      <c r="A13793" t="s">
        <v>41</v>
      </c>
      <c r="B13793" t="s">
        <v>764</v>
      </c>
      <c r="C13793">
        <v>63</v>
      </c>
      <c r="D13793" t="s">
        <v>1083</v>
      </c>
      <c r="E13793" t="s">
        <v>1317</v>
      </c>
      <c r="F13793" t="s">
        <v>732</v>
      </c>
      <c r="G13793" t="s">
        <v>906</v>
      </c>
      <c r="H13793" t="s">
        <v>103</v>
      </c>
      <c r="I13793" t="s">
        <v>704</v>
      </c>
      <c r="J13793" t="s">
        <v>615</v>
      </c>
      <c r="K13793" t="s">
        <v>239</v>
      </c>
      <c r="L13793" t="s">
        <v>195</v>
      </c>
      <c r="M13793" t="s">
        <v>97</v>
      </c>
      <c r="N13793" t="s">
        <v>103</v>
      </c>
      <c r="O13793" t="s">
        <v>103</v>
      </c>
    </row>
    <row r="13794" spans="1:15" x14ac:dyDescent="0.3">
      <c r="A13794" t="s">
        <v>41</v>
      </c>
      <c r="B13794" t="s">
        <v>765</v>
      </c>
      <c r="C13794">
        <v>740</v>
      </c>
      <c r="D13794" t="s">
        <v>173</v>
      </c>
      <c r="E13794" t="s">
        <v>784</v>
      </c>
      <c r="F13794" t="s">
        <v>463</v>
      </c>
      <c r="G13794" t="s">
        <v>264</v>
      </c>
      <c r="H13794" t="s">
        <v>122</v>
      </c>
      <c r="I13794" t="s">
        <v>2106</v>
      </c>
      <c r="J13794" t="s">
        <v>124</v>
      </c>
      <c r="K13794" t="s">
        <v>125</v>
      </c>
      <c r="L13794" t="s">
        <v>32</v>
      </c>
      <c r="M13794" t="s">
        <v>98</v>
      </c>
      <c r="N13794" t="s">
        <v>66</v>
      </c>
      <c r="O13794" t="s">
        <v>103</v>
      </c>
    </row>
    <row r="13795" spans="1:15" x14ac:dyDescent="0.3">
      <c r="A13795" t="s">
        <v>41</v>
      </c>
      <c r="B13795" t="s">
        <v>767</v>
      </c>
      <c r="C13795">
        <v>275</v>
      </c>
      <c r="D13795" t="s">
        <v>514</v>
      </c>
      <c r="E13795" t="s">
        <v>1328</v>
      </c>
      <c r="F13795" t="s">
        <v>100</v>
      </c>
      <c r="G13795" t="s">
        <v>507</v>
      </c>
      <c r="H13795" t="s">
        <v>282</v>
      </c>
      <c r="I13795" t="s">
        <v>628</v>
      </c>
      <c r="J13795" t="s">
        <v>544</v>
      </c>
      <c r="K13795" t="s">
        <v>743</v>
      </c>
      <c r="L13795" t="s">
        <v>107</v>
      </c>
      <c r="M13795" t="s">
        <v>245</v>
      </c>
      <c r="N13795" t="s">
        <v>95</v>
      </c>
      <c r="O13795" t="s">
        <v>120</v>
      </c>
    </row>
    <row r="13797" spans="1:15" x14ac:dyDescent="0.3">
      <c r="A13797" t="s">
        <v>2954</v>
      </c>
    </row>
    <row r="13798" spans="1:15" x14ac:dyDescent="0.3">
      <c r="A13798" t="s">
        <v>36</v>
      </c>
      <c r="B13798" t="s">
        <v>1647</v>
      </c>
      <c r="C13798" t="s">
        <v>24</v>
      </c>
      <c r="D13798" t="s">
        <v>2941</v>
      </c>
      <c r="E13798" t="s">
        <v>2942</v>
      </c>
      <c r="F13798" t="s">
        <v>2943</v>
      </c>
      <c r="G13798" t="s">
        <v>2944</v>
      </c>
      <c r="H13798" t="s">
        <v>2945</v>
      </c>
      <c r="I13798" t="s">
        <v>2946</v>
      </c>
      <c r="J13798" t="s">
        <v>2947</v>
      </c>
      <c r="K13798" t="s">
        <v>2948</v>
      </c>
      <c r="L13798" t="s">
        <v>2949</v>
      </c>
      <c r="M13798" t="s">
        <v>2950</v>
      </c>
      <c r="N13798" t="s">
        <v>2951</v>
      </c>
      <c r="O13798" t="s">
        <v>89</v>
      </c>
    </row>
    <row r="13799" spans="1:15" x14ac:dyDescent="0.3">
      <c r="A13799" t="s">
        <v>25</v>
      </c>
      <c r="B13799" t="s">
        <v>1648</v>
      </c>
      <c r="C13799">
        <v>68</v>
      </c>
      <c r="D13799" t="s">
        <v>566</v>
      </c>
      <c r="E13799" t="s">
        <v>1175</v>
      </c>
      <c r="F13799" t="s">
        <v>493</v>
      </c>
      <c r="G13799" t="s">
        <v>579</v>
      </c>
      <c r="H13799" t="s">
        <v>103</v>
      </c>
      <c r="I13799" t="s">
        <v>512</v>
      </c>
      <c r="J13799" t="s">
        <v>278</v>
      </c>
      <c r="K13799" t="s">
        <v>114</v>
      </c>
      <c r="L13799" t="s">
        <v>216</v>
      </c>
      <c r="M13799" t="s">
        <v>103</v>
      </c>
      <c r="N13799" t="s">
        <v>103</v>
      </c>
      <c r="O13799" t="s">
        <v>103</v>
      </c>
    </row>
    <row r="13800" spans="1:15" x14ac:dyDescent="0.3">
      <c r="A13800" t="s">
        <v>25</v>
      </c>
      <c r="B13800" t="s">
        <v>1649</v>
      </c>
      <c r="C13800">
        <v>128</v>
      </c>
      <c r="D13800" t="s">
        <v>152</v>
      </c>
      <c r="E13800" t="s">
        <v>417</v>
      </c>
      <c r="F13800" t="s">
        <v>97</v>
      </c>
      <c r="G13800" t="s">
        <v>111</v>
      </c>
      <c r="H13800" t="s">
        <v>103</v>
      </c>
      <c r="I13800" t="s">
        <v>664</v>
      </c>
      <c r="J13800" t="s">
        <v>459</v>
      </c>
      <c r="K13800" t="s">
        <v>95</v>
      </c>
      <c r="L13800" t="s">
        <v>68</v>
      </c>
      <c r="M13800" t="s">
        <v>245</v>
      </c>
      <c r="N13800" t="s">
        <v>103</v>
      </c>
      <c r="O13800" t="s">
        <v>103</v>
      </c>
    </row>
    <row r="13801" spans="1:15" x14ac:dyDescent="0.3">
      <c r="A13801" t="s">
        <v>26</v>
      </c>
      <c r="B13801" t="s">
        <v>1648</v>
      </c>
      <c r="C13801">
        <v>74</v>
      </c>
      <c r="D13801" t="s">
        <v>629</v>
      </c>
      <c r="E13801" t="s">
        <v>1055</v>
      </c>
      <c r="F13801" t="s">
        <v>112</v>
      </c>
      <c r="G13801" t="s">
        <v>507</v>
      </c>
      <c r="H13801" t="s">
        <v>329</v>
      </c>
      <c r="I13801" t="s">
        <v>378</v>
      </c>
      <c r="J13801" t="s">
        <v>571</v>
      </c>
      <c r="K13801" t="s">
        <v>103</v>
      </c>
      <c r="L13801" t="s">
        <v>110</v>
      </c>
      <c r="M13801" t="s">
        <v>282</v>
      </c>
      <c r="N13801" t="s">
        <v>103</v>
      </c>
      <c r="O13801" t="s">
        <v>216</v>
      </c>
    </row>
    <row r="13802" spans="1:15" x14ac:dyDescent="0.3">
      <c r="A13802" t="s">
        <v>26</v>
      </c>
      <c r="B13802" t="s">
        <v>1649</v>
      </c>
      <c r="C13802">
        <v>135</v>
      </c>
      <c r="D13802" t="s">
        <v>111</v>
      </c>
      <c r="E13802" t="s">
        <v>796</v>
      </c>
      <c r="F13802" t="s">
        <v>662</v>
      </c>
      <c r="G13802" t="s">
        <v>671</v>
      </c>
      <c r="H13802" t="s">
        <v>103</v>
      </c>
      <c r="I13802" t="s">
        <v>1321</v>
      </c>
      <c r="J13802" t="s">
        <v>329</v>
      </c>
      <c r="K13802" t="s">
        <v>103</v>
      </c>
      <c r="L13802" t="s">
        <v>242</v>
      </c>
      <c r="M13802" t="s">
        <v>103</v>
      </c>
      <c r="N13802" t="s">
        <v>103</v>
      </c>
      <c r="O13802" t="s">
        <v>103</v>
      </c>
    </row>
    <row r="13803" spans="1:15" x14ac:dyDescent="0.3">
      <c r="A13803" t="s">
        <v>29</v>
      </c>
      <c r="B13803" t="s">
        <v>1648</v>
      </c>
      <c r="C13803">
        <v>129</v>
      </c>
      <c r="D13803" t="s">
        <v>56</v>
      </c>
      <c r="E13803" t="s">
        <v>726</v>
      </c>
      <c r="F13803" t="s">
        <v>550</v>
      </c>
      <c r="G13803" t="s">
        <v>688</v>
      </c>
      <c r="H13803" t="s">
        <v>468</v>
      </c>
      <c r="I13803" t="s">
        <v>1062</v>
      </c>
      <c r="J13803" t="s">
        <v>171</v>
      </c>
      <c r="K13803" t="s">
        <v>469</v>
      </c>
      <c r="L13803" t="s">
        <v>186</v>
      </c>
      <c r="M13803" t="s">
        <v>68</v>
      </c>
      <c r="N13803" t="s">
        <v>139</v>
      </c>
      <c r="O13803" t="s">
        <v>103</v>
      </c>
    </row>
    <row r="13804" spans="1:15" x14ac:dyDescent="0.3">
      <c r="A13804" t="s">
        <v>29</v>
      </c>
      <c r="B13804" t="s">
        <v>1649</v>
      </c>
      <c r="C13804">
        <v>125</v>
      </c>
      <c r="D13804" t="s">
        <v>900</v>
      </c>
      <c r="E13804" t="s">
        <v>1443</v>
      </c>
      <c r="F13804" t="s">
        <v>528</v>
      </c>
      <c r="G13804" t="s">
        <v>565</v>
      </c>
      <c r="H13804" t="s">
        <v>103</v>
      </c>
      <c r="I13804" t="s">
        <v>790</v>
      </c>
      <c r="J13804" t="s">
        <v>890</v>
      </c>
      <c r="K13804" t="s">
        <v>101</v>
      </c>
      <c r="L13804" t="s">
        <v>101</v>
      </c>
      <c r="M13804" t="s">
        <v>66</v>
      </c>
      <c r="N13804" t="s">
        <v>103</v>
      </c>
      <c r="O13804" t="s">
        <v>103</v>
      </c>
    </row>
    <row r="13805" spans="1:15" x14ac:dyDescent="0.3">
      <c r="A13805" t="s">
        <v>28</v>
      </c>
      <c r="B13805" t="s">
        <v>1648</v>
      </c>
      <c r="C13805">
        <v>59</v>
      </c>
      <c r="D13805" t="s">
        <v>516</v>
      </c>
      <c r="E13805" t="s">
        <v>622</v>
      </c>
      <c r="F13805" t="s">
        <v>463</v>
      </c>
      <c r="G13805" t="s">
        <v>131</v>
      </c>
      <c r="H13805" t="s">
        <v>103</v>
      </c>
      <c r="I13805" t="s">
        <v>1091</v>
      </c>
      <c r="J13805" t="s">
        <v>106</v>
      </c>
      <c r="K13805" t="s">
        <v>649</v>
      </c>
      <c r="L13805" t="s">
        <v>272</v>
      </c>
      <c r="M13805" t="s">
        <v>103</v>
      </c>
      <c r="N13805" t="s">
        <v>591</v>
      </c>
      <c r="O13805" t="s">
        <v>103</v>
      </c>
    </row>
    <row r="13806" spans="1:15" x14ac:dyDescent="0.3">
      <c r="A13806" t="s">
        <v>28</v>
      </c>
      <c r="B13806" t="s">
        <v>1649</v>
      </c>
      <c r="C13806">
        <v>173</v>
      </c>
      <c r="D13806" t="s">
        <v>553</v>
      </c>
      <c r="E13806" t="s">
        <v>902</v>
      </c>
      <c r="F13806" t="s">
        <v>820</v>
      </c>
      <c r="G13806" t="s">
        <v>525</v>
      </c>
      <c r="H13806" t="s">
        <v>120</v>
      </c>
      <c r="I13806" t="s">
        <v>1096</v>
      </c>
      <c r="J13806" t="s">
        <v>438</v>
      </c>
      <c r="K13806" t="s">
        <v>120</v>
      </c>
      <c r="L13806" t="s">
        <v>118</v>
      </c>
      <c r="M13806" t="s">
        <v>345</v>
      </c>
      <c r="N13806" t="s">
        <v>120</v>
      </c>
      <c r="O13806" t="s">
        <v>103</v>
      </c>
    </row>
    <row r="13807" spans="1:15" x14ac:dyDescent="0.3">
      <c r="A13807" t="s">
        <v>27</v>
      </c>
      <c r="B13807" t="s">
        <v>1648</v>
      </c>
      <c r="C13807">
        <v>39</v>
      </c>
      <c r="D13807" t="s">
        <v>103</v>
      </c>
      <c r="E13807" t="s">
        <v>2185</v>
      </c>
      <c r="F13807" t="s">
        <v>90</v>
      </c>
      <c r="G13807" t="s">
        <v>492</v>
      </c>
      <c r="H13807" t="s">
        <v>103</v>
      </c>
      <c r="I13807" t="s">
        <v>834</v>
      </c>
      <c r="J13807" t="s">
        <v>103</v>
      </c>
      <c r="K13807" t="s">
        <v>103</v>
      </c>
      <c r="L13807" t="s">
        <v>103</v>
      </c>
      <c r="M13807" t="s">
        <v>103</v>
      </c>
      <c r="N13807" t="s">
        <v>103</v>
      </c>
      <c r="O13807" t="s">
        <v>103</v>
      </c>
    </row>
    <row r="13808" spans="1:15" x14ac:dyDescent="0.3">
      <c r="A13808" t="s">
        <v>27</v>
      </c>
      <c r="B13808" t="s">
        <v>1649</v>
      </c>
      <c r="C13808">
        <v>148</v>
      </c>
      <c r="D13808" t="s">
        <v>245</v>
      </c>
      <c r="E13808" t="s">
        <v>1375</v>
      </c>
      <c r="F13808" t="s">
        <v>112</v>
      </c>
      <c r="G13808" t="s">
        <v>1204</v>
      </c>
      <c r="H13808" t="s">
        <v>245</v>
      </c>
      <c r="I13808" t="s">
        <v>831</v>
      </c>
      <c r="J13808" t="s">
        <v>91</v>
      </c>
      <c r="K13808" t="s">
        <v>103</v>
      </c>
      <c r="L13808" t="s">
        <v>493</v>
      </c>
      <c r="M13808" t="s">
        <v>103</v>
      </c>
      <c r="N13808" t="s">
        <v>103</v>
      </c>
      <c r="O13808" t="s">
        <v>95</v>
      </c>
    </row>
    <row r="13809" spans="1:15" x14ac:dyDescent="0.3">
      <c r="A13809" t="s">
        <v>41</v>
      </c>
      <c r="B13809" t="s">
        <v>1648</v>
      </c>
      <c r="C13809">
        <v>369</v>
      </c>
      <c r="D13809" t="s">
        <v>273</v>
      </c>
      <c r="E13809" t="s">
        <v>294</v>
      </c>
      <c r="F13809" t="s">
        <v>536</v>
      </c>
      <c r="G13809" t="s">
        <v>484</v>
      </c>
      <c r="H13809" t="s">
        <v>345</v>
      </c>
      <c r="I13809" t="s">
        <v>817</v>
      </c>
      <c r="J13809" t="s">
        <v>123</v>
      </c>
      <c r="K13809" t="s">
        <v>459</v>
      </c>
      <c r="L13809" t="s">
        <v>195</v>
      </c>
      <c r="M13809" t="s">
        <v>341</v>
      </c>
      <c r="N13809" t="s">
        <v>120</v>
      </c>
      <c r="O13809" t="s">
        <v>116</v>
      </c>
    </row>
    <row r="13810" spans="1:15" x14ac:dyDescent="0.3">
      <c r="A13810" t="s">
        <v>41</v>
      </c>
      <c r="B13810" t="s">
        <v>1649</v>
      </c>
      <c r="C13810">
        <v>709</v>
      </c>
      <c r="D13810" t="s">
        <v>829</v>
      </c>
      <c r="E13810" t="s">
        <v>263</v>
      </c>
      <c r="F13810" t="s">
        <v>459</v>
      </c>
      <c r="G13810" t="s">
        <v>667</v>
      </c>
      <c r="H13810" t="s">
        <v>66</v>
      </c>
      <c r="I13810" t="s">
        <v>351</v>
      </c>
      <c r="J13810" t="s">
        <v>511</v>
      </c>
      <c r="K13810" t="s">
        <v>270</v>
      </c>
      <c r="L13810" t="s">
        <v>558</v>
      </c>
      <c r="M13810" t="s">
        <v>97</v>
      </c>
      <c r="N13810" t="s">
        <v>91</v>
      </c>
      <c r="O13810" t="s">
        <v>91</v>
      </c>
    </row>
    <row r="13812" spans="1:15" x14ac:dyDescent="0.3">
      <c r="A13812" t="s">
        <v>2955</v>
      </c>
    </row>
    <row r="13813" spans="1:15" x14ac:dyDescent="0.3">
      <c r="A13813" t="s">
        <v>36</v>
      </c>
      <c r="B13813" t="s">
        <v>2756</v>
      </c>
      <c r="C13813" t="s">
        <v>24</v>
      </c>
      <c r="D13813" t="s">
        <v>2941</v>
      </c>
      <c r="E13813" t="s">
        <v>2942</v>
      </c>
      <c r="F13813" t="s">
        <v>2943</v>
      </c>
      <c r="G13813" t="s">
        <v>2944</v>
      </c>
      <c r="H13813" t="s">
        <v>2945</v>
      </c>
      <c r="I13813" t="s">
        <v>2946</v>
      </c>
      <c r="J13813" t="s">
        <v>2947</v>
      </c>
      <c r="K13813" t="s">
        <v>2948</v>
      </c>
      <c r="L13813" t="s">
        <v>2949</v>
      </c>
      <c r="M13813" t="s">
        <v>2950</v>
      </c>
      <c r="N13813" t="s">
        <v>2951</v>
      </c>
      <c r="O13813" t="s">
        <v>89</v>
      </c>
    </row>
    <row r="13814" spans="1:15" s="3" customFormat="1" x14ac:dyDescent="0.3">
      <c r="A13814" s="3" t="s">
        <v>25</v>
      </c>
      <c r="B13814" s="3" t="s">
        <v>2757</v>
      </c>
      <c r="C13814" s="3">
        <v>3</v>
      </c>
      <c r="D13814" s="3" t="s">
        <v>103</v>
      </c>
      <c r="E13814" s="3" t="s">
        <v>694</v>
      </c>
      <c r="F13814" s="3" t="s">
        <v>103</v>
      </c>
      <c r="G13814" s="3" t="s">
        <v>103</v>
      </c>
      <c r="H13814" s="3" t="s">
        <v>103</v>
      </c>
      <c r="I13814" s="3" t="s">
        <v>1064</v>
      </c>
      <c r="J13814" s="3" t="s">
        <v>627</v>
      </c>
      <c r="K13814" s="3" t="s">
        <v>103</v>
      </c>
      <c r="L13814" s="3" t="s">
        <v>103</v>
      </c>
      <c r="M13814" s="3" t="s">
        <v>103</v>
      </c>
      <c r="N13814" s="3" t="s">
        <v>103</v>
      </c>
      <c r="O13814" s="3" t="s">
        <v>103</v>
      </c>
    </row>
    <row r="13815" spans="1:15" x14ac:dyDescent="0.3">
      <c r="A13815" t="s">
        <v>25</v>
      </c>
      <c r="B13815" t="s">
        <v>2758</v>
      </c>
      <c r="C13815">
        <v>62</v>
      </c>
      <c r="D13815" t="s">
        <v>463</v>
      </c>
      <c r="E13815" t="s">
        <v>730</v>
      </c>
      <c r="F13815" t="s">
        <v>186</v>
      </c>
      <c r="G13815" t="s">
        <v>825</v>
      </c>
      <c r="H13815" t="s">
        <v>103</v>
      </c>
      <c r="I13815" t="s">
        <v>677</v>
      </c>
      <c r="J13815" t="s">
        <v>575</v>
      </c>
      <c r="K13815" t="s">
        <v>467</v>
      </c>
      <c r="L13815" t="s">
        <v>195</v>
      </c>
      <c r="M13815" t="s">
        <v>103</v>
      </c>
      <c r="N13815" t="s">
        <v>103</v>
      </c>
      <c r="O13815" t="s">
        <v>103</v>
      </c>
    </row>
    <row r="13816" spans="1:15" x14ac:dyDescent="0.3">
      <c r="A13816" t="s">
        <v>25</v>
      </c>
      <c r="B13816" t="s">
        <v>2759</v>
      </c>
      <c r="C13816">
        <v>66</v>
      </c>
      <c r="D13816" t="s">
        <v>809</v>
      </c>
      <c r="E13816" t="s">
        <v>410</v>
      </c>
      <c r="F13816" t="s">
        <v>103</v>
      </c>
      <c r="G13816" t="s">
        <v>687</v>
      </c>
      <c r="H13816" t="s">
        <v>103</v>
      </c>
      <c r="I13816" t="s">
        <v>1096</v>
      </c>
      <c r="J13816" t="s">
        <v>242</v>
      </c>
      <c r="K13816" t="s">
        <v>118</v>
      </c>
      <c r="L13816" t="s">
        <v>103</v>
      </c>
      <c r="M13816" t="s">
        <v>103</v>
      </c>
      <c r="N13816" t="s">
        <v>103</v>
      </c>
      <c r="O13816" t="s">
        <v>103</v>
      </c>
    </row>
    <row r="13817" spans="1:15" x14ac:dyDescent="0.3">
      <c r="A13817" t="s">
        <v>25</v>
      </c>
      <c r="B13817" t="s">
        <v>2760</v>
      </c>
      <c r="C13817">
        <v>63</v>
      </c>
      <c r="D13817" t="s">
        <v>106</v>
      </c>
      <c r="E13817" t="s">
        <v>823</v>
      </c>
      <c r="F13817" t="s">
        <v>98</v>
      </c>
      <c r="G13817" t="s">
        <v>270</v>
      </c>
      <c r="H13817" t="s">
        <v>103</v>
      </c>
      <c r="I13817" t="s">
        <v>226</v>
      </c>
      <c r="J13817" t="s">
        <v>126</v>
      </c>
      <c r="K13817" t="s">
        <v>103</v>
      </c>
      <c r="L13817" t="s">
        <v>33</v>
      </c>
      <c r="M13817" t="s">
        <v>438</v>
      </c>
      <c r="N13817" t="s">
        <v>103</v>
      </c>
      <c r="O13817" t="s">
        <v>103</v>
      </c>
    </row>
    <row r="13818" spans="1:15" x14ac:dyDescent="0.3">
      <c r="A13818" t="s">
        <v>25</v>
      </c>
      <c r="B13818" t="s">
        <v>308</v>
      </c>
      <c r="C13818">
        <v>2</v>
      </c>
      <c r="D13818" t="s">
        <v>103</v>
      </c>
      <c r="E13818" t="s">
        <v>192</v>
      </c>
      <c r="F13818" t="s">
        <v>103</v>
      </c>
      <c r="G13818" t="s">
        <v>103</v>
      </c>
      <c r="H13818" t="s">
        <v>103</v>
      </c>
      <c r="I13818" t="s">
        <v>192</v>
      </c>
      <c r="J13818" t="s">
        <v>103</v>
      </c>
      <c r="K13818" t="s">
        <v>103</v>
      </c>
      <c r="L13818" t="s">
        <v>103</v>
      </c>
      <c r="M13818" t="s">
        <v>103</v>
      </c>
      <c r="N13818" t="s">
        <v>103</v>
      </c>
      <c r="O13818" t="s">
        <v>103</v>
      </c>
    </row>
    <row r="13819" spans="1:15" s="3" customFormat="1" x14ac:dyDescent="0.3">
      <c r="A13819" s="3" t="s">
        <v>26</v>
      </c>
      <c r="B13819" s="3" t="s">
        <v>2757</v>
      </c>
      <c r="C13819" s="3">
        <v>4</v>
      </c>
      <c r="D13819" s="3" t="s">
        <v>192</v>
      </c>
      <c r="E13819" s="3" t="s">
        <v>929</v>
      </c>
      <c r="F13819" s="3" t="s">
        <v>103</v>
      </c>
      <c r="G13819" s="3" t="s">
        <v>441</v>
      </c>
      <c r="H13819" s="3" t="s">
        <v>103</v>
      </c>
      <c r="I13819" s="3" t="s">
        <v>929</v>
      </c>
      <c r="J13819" s="3" t="s">
        <v>103</v>
      </c>
      <c r="K13819" s="3" t="s">
        <v>103</v>
      </c>
      <c r="L13819" s="3" t="s">
        <v>103</v>
      </c>
      <c r="M13819" s="3" t="s">
        <v>103</v>
      </c>
      <c r="N13819" s="3" t="s">
        <v>103</v>
      </c>
      <c r="O13819" s="3" t="s">
        <v>103</v>
      </c>
    </row>
    <row r="13820" spans="1:15" x14ac:dyDescent="0.3">
      <c r="A13820" t="s">
        <v>26</v>
      </c>
      <c r="B13820" t="s">
        <v>2758</v>
      </c>
      <c r="C13820">
        <v>80</v>
      </c>
      <c r="D13820" t="s">
        <v>127</v>
      </c>
      <c r="E13820" t="s">
        <v>1066</v>
      </c>
      <c r="F13820" t="s">
        <v>64</v>
      </c>
      <c r="G13820" t="s">
        <v>553</v>
      </c>
      <c r="H13820" t="s">
        <v>103</v>
      </c>
      <c r="I13820" t="s">
        <v>364</v>
      </c>
      <c r="J13820" t="s">
        <v>571</v>
      </c>
      <c r="K13820" t="s">
        <v>103</v>
      </c>
      <c r="L13820" t="s">
        <v>467</v>
      </c>
      <c r="M13820" t="s">
        <v>282</v>
      </c>
      <c r="N13820" t="s">
        <v>103</v>
      </c>
      <c r="O13820" t="s">
        <v>216</v>
      </c>
    </row>
    <row r="13821" spans="1:15" x14ac:dyDescent="0.3">
      <c r="A13821" t="s">
        <v>26</v>
      </c>
      <c r="B13821" t="s">
        <v>2759</v>
      </c>
      <c r="C13821">
        <v>71</v>
      </c>
      <c r="D13821" t="s">
        <v>140</v>
      </c>
      <c r="E13821" t="s">
        <v>1581</v>
      </c>
      <c r="F13821" t="s">
        <v>482</v>
      </c>
      <c r="G13821" t="s">
        <v>619</v>
      </c>
      <c r="H13821" t="s">
        <v>103</v>
      </c>
      <c r="I13821" t="s">
        <v>1058</v>
      </c>
      <c r="J13821" t="s">
        <v>64</v>
      </c>
      <c r="K13821" t="s">
        <v>103</v>
      </c>
      <c r="L13821" t="s">
        <v>90</v>
      </c>
      <c r="M13821" t="s">
        <v>103</v>
      </c>
      <c r="N13821" t="s">
        <v>103</v>
      </c>
      <c r="O13821" t="s">
        <v>103</v>
      </c>
    </row>
    <row r="13822" spans="1:15" x14ac:dyDescent="0.3">
      <c r="A13822" t="s">
        <v>26</v>
      </c>
      <c r="B13822" t="s">
        <v>2760</v>
      </c>
      <c r="C13822">
        <v>48</v>
      </c>
      <c r="D13822" t="s">
        <v>807</v>
      </c>
      <c r="E13822" t="s">
        <v>1071</v>
      </c>
      <c r="F13822" t="s">
        <v>594</v>
      </c>
      <c r="G13822" t="s">
        <v>649</v>
      </c>
      <c r="H13822" t="s">
        <v>125</v>
      </c>
      <c r="I13822" t="s">
        <v>434</v>
      </c>
      <c r="J13822" t="s">
        <v>245</v>
      </c>
      <c r="K13822" t="s">
        <v>103</v>
      </c>
      <c r="L13822" t="s">
        <v>466</v>
      </c>
      <c r="M13822" t="s">
        <v>103</v>
      </c>
      <c r="N13822" t="s">
        <v>103</v>
      </c>
      <c r="O13822" t="s">
        <v>103</v>
      </c>
    </row>
    <row r="13823" spans="1:15" x14ac:dyDescent="0.3">
      <c r="A13823" t="s">
        <v>26</v>
      </c>
      <c r="B13823" t="s">
        <v>308</v>
      </c>
      <c r="C13823">
        <v>6</v>
      </c>
      <c r="D13823" t="s">
        <v>103</v>
      </c>
      <c r="E13823" t="s">
        <v>1220</v>
      </c>
      <c r="F13823" t="s">
        <v>103</v>
      </c>
      <c r="G13823" t="s">
        <v>687</v>
      </c>
      <c r="H13823" t="s">
        <v>103</v>
      </c>
      <c r="I13823" t="s">
        <v>600</v>
      </c>
      <c r="J13823" t="s">
        <v>103</v>
      </c>
      <c r="K13823" t="s">
        <v>103</v>
      </c>
      <c r="L13823" t="s">
        <v>103</v>
      </c>
      <c r="M13823" t="s">
        <v>103</v>
      </c>
      <c r="N13823" t="s">
        <v>103</v>
      </c>
      <c r="O13823" t="s">
        <v>103</v>
      </c>
    </row>
    <row r="13824" spans="1:15" s="3" customFormat="1" x14ac:dyDescent="0.3">
      <c r="A13824" s="3" t="s">
        <v>29</v>
      </c>
      <c r="B13824" s="3" t="s">
        <v>2757</v>
      </c>
      <c r="C13824" s="3">
        <v>7</v>
      </c>
      <c r="D13824" s="3" t="s">
        <v>1082</v>
      </c>
      <c r="E13824" s="3" t="s">
        <v>2109</v>
      </c>
      <c r="F13824" s="3" t="s">
        <v>175</v>
      </c>
      <c r="G13824" s="3" t="s">
        <v>175</v>
      </c>
      <c r="H13824" s="3" t="s">
        <v>103</v>
      </c>
      <c r="I13824" s="3" t="s">
        <v>660</v>
      </c>
      <c r="J13824" s="3" t="s">
        <v>103</v>
      </c>
      <c r="K13824" s="3" t="s">
        <v>271</v>
      </c>
      <c r="L13824" s="3" t="s">
        <v>103</v>
      </c>
      <c r="M13824" s="3" t="s">
        <v>103</v>
      </c>
      <c r="N13824" s="3" t="s">
        <v>103</v>
      </c>
      <c r="O13824" s="3" t="s">
        <v>103</v>
      </c>
    </row>
    <row r="13825" spans="1:15" x14ac:dyDescent="0.3">
      <c r="A13825" t="s">
        <v>29</v>
      </c>
      <c r="B13825" t="s">
        <v>2758</v>
      </c>
      <c r="C13825">
        <v>131</v>
      </c>
      <c r="D13825" t="s">
        <v>697</v>
      </c>
      <c r="E13825" t="s">
        <v>1379</v>
      </c>
      <c r="F13825" t="s">
        <v>132</v>
      </c>
      <c r="G13825" t="s">
        <v>539</v>
      </c>
      <c r="H13825" t="s">
        <v>468</v>
      </c>
      <c r="I13825" t="s">
        <v>1438</v>
      </c>
      <c r="J13825" t="s">
        <v>750</v>
      </c>
      <c r="K13825" t="s">
        <v>925</v>
      </c>
      <c r="L13825" t="s">
        <v>186</v>
      </c>
      <c r="M13825" t="s">
        <v>217</v>
      </c>
      <c r="N13825" t="s">
        <v>139</v>
      </c>
      <c r="O13825" t="s">
        <v>103</v>
      </c>
    </row>
    <row r="13826" spans="1:15" x14ac:dyDescent="0.3">
      <c r="A13826" t="s">
        <v>29</v>
      </c>
      <c r="B13826" t="s">
        <v>2759</v>
      </c>
      <c r="C13826">
        <v>66</v>
      </c>
      <c r="D13826" t="s">
        <v>695</v>
      </c>
      <c r="E13826" t="s">
        <v>796</v>
      </c>
      <c r="F13826" t="s">
        <v>750</v>
      </c>
      <c r="G13826" t="s">
        <v>1143</v>
      </c>
      <c r="H13826" t="s">
        <v>103</v>
      </c>
      <c r="I13826" t="s">
        <v>811</v>
      </c>
      <c r="J13826" t="s">
        <v>594</v>
      </c>
      <c r="K13826" t="s">
        <v>743</v>
      </c>
      <c r="L13826" t="s">
        <v>94</v>
      </c>
      <c r="M13826" t="s">
        <v>103</v>
      </c>
      <c r="N13826" t="s">
        <v>103</v>
      </c>
      <c r="O13826" t="s">
        <v>103</v>
      </c>
    </row>
    <row r="13827" spans="1:15" x14ac:dyDescent="0.3">
      <c r="A13827" t="s">
        <v>29</v>
      </c>
      <c r="B13827" t="s">
        <v>2760</v>
      </c>
      <c r="C13827">
        <v>45</v>
      </c>
      <c r="D13827" t="s">
        <v>515</v>
      </c>
      <c r="E13827" t="s">
        <v>1012</v>
      </c>
      <c r="F13827" t="s">
        <v>607</v>
      </c>
      <c r="G13827" t="s">
        <v>1090</v>
      </c>
      <c r="H13827" t="s">
        <v>103</v>
      </c>
      <c r="I13827" t="s">
        <v>298</v>
      </c>
      <c r="J13827" t="s">
        <v>167</v>
      </c>
      <c r="K13827" t="s">
        <v>114</v>
      </c>
      <c r="L13827" t="s">
        <v>649</v>
      </c>
      <c r="M13827" t="s">
        <v>103</v>
      </c>
      <c r="N13827" t="s">
        <v>103</v>
      </c>
      <c r="O13827" t="s">
        <v>103</v>
      </c>
    </row>
    <row r="13828" spans="1:15" x14ac:dyDescent="0.3">
      <c r="A13828" t="s">
        <v>29</v>
      </c>
      <c r="B13828" t="s">
        <v>308</v>
      </c>
      <c r="C13828">
        <v>5</v>
      </c>
      <c r="D13828" t="s">
        <v>376</v>
      </c>
      <c r="E13828" t="s">
        <v>192</v>
      </c>
      <c r="F13828" t="s">
        <v>376</v>
      </c>
      <c r="G13828" t="s">
        <v>376</v>
      </c>
      <c r="H13828" t="s">
        <v>103</v>
      </c>
      <c r="I13828" t="s">
        <v>156</v>
      </c>
      <c r="J13828" t="s">
        <v>376</v>
      </c>
      <c r="K13828" t="s">
        <v>519</v>
      </c>
      <c r="L13828" t="s">
        <v>103</v>
      </c>
      <c r="M13828" t="s">
        <v>519</v>
      </c>
      <c r="N13828" t="s">
        <v>103</v>
      </c>
      <c r="O13828" t="s">
        <v>103</v>
      </c>
    </row>
    <row r="13829" spans="1:15" s="3" customFormat="1" x14ac:dyDescent="0.3">
      <c r="A13829" s="3" t="s">
        <v>28</v>
      </c>
      <c r="B13829" s="3" t="s">
        <v>2757</v>
      </c>
      <c r="C13829" s="3">
        <v>11</v>
      </c>
      <c r="D13829" s="3" t="s">
        <v>103</v>
      </c>
      <c r="E13829" s="3" t="s">
        <v>192</v>
      </c>
      <c r="F13829" s="3" t="s">
        <v>103</v>
      </c>
      <c r="G13829" s="3" t="s">
        <v>103</v>
      </c>
      <c r="H13829" s="3" t="s">
        <v>103</v>
      </c>
      <c r="I13829" s="3" t="s">
        <v>473</v>
      </c>
      <c r="J13829" s="3" t="s">
        <v>103</v>
      </c>
      <c r="K13829" s="3" t="s">
        <v>103</v>
      </c>
      <c r="L13829" s="3" t="s">
        <v>103</v>
      </c>
      <c r="M13829" s="3" t="s">
        <v>103</v>
      </c>
      <c r="N13829" s="3" t="s">
        <v>103</v>
      </c>
      <c r="O13829" s="3" t="s">
        <v>103</v>
      </c>
    </row>
    <row r="13830" spans="1:15" x14ac:dyDescent="0.3">
      <c r="A13830" t="s">
        <v>28</v>
      </c>
      <c r="B13830" t="s">
        <v>2758</v>
      </c>
      <c r="C13830">
        <v>80</v>
      </c>
      <c r="D13830" t="s">
        <v>697</v>
      </c>
      <c r="E13830" t="s">
        <v>720</v>
      </c>
      <c r="F13830" t="s">
        <v>472</v>
      </c>
      <c r="G13830" t="s">
        <v>819</v>
      </c>
      <c r="H13830" t="s">
        <v>103</v>
      </c>
      <c r="I13830" t="s">
        <v>993</v>
      </c>
      <c r="J13830" t="s">
        <v>247</v>
      </c>
      <c r="K13830" t="s">
        <v>107</v>
      </c>
      <c r="L13830" t="s">
        <v>239</v>
      </c>
      <c r="M13830" t="s">
        <v>98</v>
      </c>
      <c r="N13830" t="s">
        <v>266</v>
      </c>
      <c r="O13830" t="s">
        <v>103</v>
      </c>
    </row>
    <row r="13831" spans="1:15" x14ac:dyDescent="0.3">
      <c r="A13831" t="s">
        <v>28</v>
      </c>
      <c r="B13831" t="s">
        <v>2759</v>
      </c>
      <c r="C13831">
        <v>75</v>
      </c>
      <c r="D13831" t="s">
        <v>259</v>
      </c>
      <c r="E13831" t="s">
        <v>1019</v>
      </c>
      <c r="F13831" t="s">
        <v>1213</v>
      </c>
      <c r="G13831" t="s">
        <v>31</v>
      </c>
      <c r="H13831" t="s">
        <v>239</v>
      </c>
      <c r="I13831" t="s">
        <v>34</v>
      </c>
      <c r="J13831" t="s">
        <v>114</v>
      </c>
      <c r="K13831" t="s">
        <v>216</v>
      </c>
      <c r="L13831" t="s">
        <v>93</v>
      </c>
      <c r="M13831" t="s">
        <v>282</v>
      </c>
      <c r="N13831" t="s">
        <v>103</v>
      </c>
      <c r="O13831" t="s">
        <v>103</v>
      </c>
    </row>
    <row r="13832" spans="1:15" x14ac:dyDescent="0.3">
      <c r="A13832" t="s">
        <v>28</v>
      </c>
      <c r="B13832" t="s">
        <v>2760</v>
      </c>
      <c r="C13832">
        <v>66</v>
      </c>
      <c r="D13832" t="s">
        <v>674</v>
      </c>
      <c r="E13832" t="s">
        <v>274</v>
      </c>
      <c r="F13832" t="s">
        <v>555</v>
      </c>
      <c r="G13832" t="s">
        <v>644</v>
      </c>
      <c r="H13832" t="s">
        <v>103</v>
      </c>
      <c r="I13832" t="s">
        <v>1064</v>
      </c>
      <c r="J13832" t="s">
        <v>112</v>
      </c>
      <c r="K13832" t="s">
        <v>128</v>
      </c>
      <c r="L13832" t="s">
        <v>201</v>
      </c>
      <c r="M13832" t="s">
        <v>95</v>
      </c>
      <c r="N13832" t="s">
        <v>239</v>
      </c>
      <c r="O13832" t="s">
        <v>103</v>
      </c>
    </row>
    <row r="13833" spans="1:15" x14ac:dyDescent="0.3">
      <c r="A13833" t="s">
        <v>27</v>
      </c>
      <c r="B13833" t="s">
        <v>2758</v>
      </c>
      <c r="C13833">
        <v>46</v>
      </c>
      <c r="D13833" t="s">
        <v>103</v>
      </c>
      <c r="E13833" t="s">
        <v>2010</v>
      </c>
      <c r="F13833" t="s">
        <v>743</v>
      </c>
      <c r="G13833" t="s">
        <v>556</v>
      </c>
      <c r="H13833" t="s">
        <v>103</v>
      </c>
      <c r="I13833" t="s">
        <v>799</v>
      </c>
      <c r="J13833" t="s">
        <v>103</v>
      </c>
      <c r="K13833" t="s">
        <v>103</v>
      </c>
      <c r="L13833" t="s">
        <v>208</v>
      </c>
      <c r="M13833" t="s">
        <v>103</v>
      </c>
      <c r="N13833" t="s">
        <v>103</v>
      </c>
      <c r="O13833" t="s">
        <v>128</v>
      </c>
    </row>
    <row r="13834" spans="1:15" x14ac:dyDescent="0.3">
      <c r="A13834" t="s">
        <v>27</v>
      </c>
      <c r="B13834" t="s">
        <v>2759</v>
      </c>
      <c r="C13834">
        <v>60</v>
      </c>
      <c r="D13834" t="s">
        <v>125</v>
      </c>
      <c r="E13834" t="s">
        <v>419</v>
      </c>
      <c r="F13834" t="s">
        <v>532</v>
      </c>
      <c r="G13834" t="s">
        <v>1011</v>
      </c>
      <c r="H13834" t="s">
        <v>103</v>
      </c>
      <c r="I13834" t="s">
        <v>1400</v>
      </c>
      <c r="J13834" t="s">
        <v>103</v>
      </c>
      <c r="K13834" t="s">
        <v>103</v>
      </c>
      <c r="L13834" t="s">
        <v>272</v>
      </c>
      <c r="M13834" t="s">
        <v>103</v>
      </c>
      <c r="N13834" t="s">
        <v>103</v>
      </c>
      <c r="O13834" t="s">
        <v>103</v>
      </c>
    </row>
    <row r="13835" spans="1:15" x14ac:dyDescent="0.3">
      <c r="A13835" t="s">
        <v>27</v>
      </c>
      <c r="B13835" t="s">
        <v>2760</v>
      </c>
      <c r="C13835">
        <v>79</v>
      </c>
      <c r="D13835" t="s">
        <v>103</v>
      </c>
      <c r="E13835" t="s">
        <v>1031</v>
      </c>
      <c r="F13835" t="s">
        <v>186</v>
      </c>
      <c r="G13835" t="s">
        <v>129</v>
      </c>
      <c r="H13835" t="s">
        <v>438</v>
      </c>
      <c r="I13835" t="s">
        <v>924</v>
      </c>
      <c r="J13835" t="s">
        <v>116</v>
      </c>
      <c r="K13835" t="s">
        <v>103</v>
      </c>
      <c r="L13835" t="s">
        <v>270</v>
      </c>
      <c r="M13835" t="s">
        <v>103</v>
      </c>
      <c r="N13835" t="s">
        <v>103</v>
      </c>
      <c r="O13835" t="s">
        <v>103</v>
      </c>
    </row>
    <row r="13836" spans="1:15" x14ac:dyDescent="0.3">
      <c r="A13836" t="s">
        <v>27</v>
      </c>
      <c r="B13836" t="s">
        <v>308</v>
      </c>
      <c r="C13836">
        <v>2</v>
      </c>
      <c r="D13836" t="s">
        <v>103</v>
      </c>
      <c r="E13836" t="s">
        <v>192</v>
      </c>
      <c r="F13836" t="s">
        <v>103</v>
      </c>
      <c r="G13836" t="s">
        <v>192</v>
      </c>
      <c r="H13836" t="s">
        <v>103</v>
      </c>
      <c r="I13836" t="s">
        <v>472</v>
      </c>
      <c r="J13836" t="s">
        <v>103</v>
      </c>
      <c r="K13836" t="s">
        <v>103</v>
      </c>
      <c r="L13836" t="s">
        <v>103</v>
      </c>
      <c r="M13836" t="s">
        <v>103</v>
      </c>
      <c r="N13836" t="s">
        <v>103</v>
      </c>
      <c r="O13836" t="s">
        <v>103</v>
      </c>
    </row>
    <row r="13837" spans="1:15" s="3" customFormat="1" x14ac:dyDescent="0.3">
      <c r="A13837" s="3" t="s">
        <v>41</v>
      </c>
      <c r="B13837" s="3" t="s">
        <v>2757</v>
      </c>
      <c r="C13837" s="3">
        <v>25</v>
      </c>
      <c r="D13837" s="3" t="s">
        <v>121</v>
      </c>
      <c r="E13837" s="3" t="s">
        <v>717</v>
      </c>
      <c r="F13837" s="3" t="s">
        <v>494</v>
      </c>
      <c r="G13837" s="3" t="s">
        <v>515</v>
      </c>
      <c r="H13837" s="3" t="s">
        <v>103</v>
      </c>
      <c r="I13837" s="3" t="s">
        <v>491</v>
      </c>
      <c r="J13837" s="3" t="s">
        <v>112</v>
      </c>
      <c r="K13837" s="3" t="s">
        <v>101</v>
      </c>
      <c r="L13837" s="3" t="s">
        <v>103</v>
      </c>
      <c r="M13837" s="3" t="s">
        <v>103</v>
      </c>
      <c r="N13837" s="3" t="s">
        <v>103</v>
      </c>
      <c r="O13837" s="3" t="s">
        <v>103</v>
      </c>
    </row>
    <row r="13838" spans="1:15" x14ac:dyDescent="0.3">
      <c r="A13838" t="s">
        <v>41</v>
      </c>
      <c r="B13838" t="s">
        <v>2758</v>
      </c>
      <c r="C13838">
        <v>399</v>
      </c>
      <c r="D13838" t="s">
        <v>570</v>
      </c>
      <c r="E13838" t="s">
        <v>1230</v>
      </c>
      <c r="F13838" t="s">
        <v>175</v>
      </c>
      <c r="G13838" t="s">
        <v>398</v>
      </c>
      <c r="H13838" t="s">
        <v>95</v>
      </c>
      <c r="I13838" t="s">
        <v>892</v>
      </c>
      <c r="J13838" t="s">
        <v>111</v>
      </c>
      <c r="K13838" t="s">
        <v>224</v>
      </c>
      <c r="L13838" t="s">
        <v>102</v>
      </c>
      <c r="M13838" t="s">
        <v>105</v>
      </c>
      <c r="N13838" t="s">
        <v>120</v>
      </c>
      <c r="O13838" t="s">
        <v>122</v>
      </c>
    </row>
    <row r="13839" spans="1:15" x14ac:dyDescent="0.3">
      <c r="A13839" t="s">
        <v>41</v>
      </c>
      <c r="B13839" t="s">
        <v>2759</v>
      </c>
      <c r="C13839">
        <v>338</v>
      </c>
      <c r="D13839" t="s">
        <v>518</v>
      </c>
      <c r="E13839" t="s">
        <v>1283</v>
      </c>
      <c r="F13839" t="s">
        <v>269</v>
      </c>
      <c r="G13839" t="s">
        <v>686</v>
      </c>
      <c r="H13839" t="s">
        <v>91</v>
      </c>
      <c r="I13839" t="s">
        <v>892</v>
      </c>
      <c r="J13839" t="s">
        <v>281</v>
      </c>
      <c r="K13839" t="s">
        <v>70</v>
      </c>
      <c r="L13839" t="s">
        <v>33</v>
      </c>
      <c r="M13839" t="s">
        <v>91</v>
      </c>
      <c r="N13839" t="s">
        <v>103</v>
      </c>
      <c r="O13839" t="s">
        <v>103</v>
      </c>
    </row>
    <row r="13840" spans="1:15" x14ac:dyDescent="0.3">
      <c r="A13840" t="s">
        <v>41</v>
      </c>
      <c r="B13840" t="s">
        <v>2760</v>
      </c>
      <c r="C13840">
        <v>301</v>
      </c>
      <c r="D13840" t="s">
        <v>469</v>
      </c>
      <c r="E13840" t="s">
        <v>1137</v>
      </c>
      <c r="F13840" t="s">
        <v>531</v>
      </c>
      <c r="G13840" t="s">
        <v>142</v>
      </c>
      <c r="H13840" t="s">
        <v>345</v>
      </c>
      <c r="I13840" t="s">
        <v>802</v>
      </c>
      <c r="J13840" t="s">
        <v>124</v>
      </c>
      <c r="K13840" t="s">
        <v>239</v>
      </c>
      <c r="L13840" t="s">
        <v>140</v>
      </c>
      <c r="M13840" t="s">
        <v>98</v>
      </c>
      <c r="N13840" t="s">
        <v>91</v>
      </c>
      <c r="O13840" t="s">
        <v>103</v>
      </c>
    </row>
    <row r="13841" spans="1:15" x14ac:dyDescent="0.3">
      <c r="A13841" t="s">
        <v>41</v>
      </c>
      <c r="B13841" t="s">
        <v>308</v>
      </c>
      <c r="C13841">
        <v>15</v>
      </c>
      <c r="D13841" t="s">
        <v>551</v>
      </c>
      <c r="E13841" t="s">
        <v>760</v>
      </c>
      <c r="F13841" t="s">
        <v>551</v>
      </c>
      <c r="G13841" t="s">
        <v>651</v>
      </c>
      <c r="H13841" t="s">
        <v>103</v>
      </c>
      <c r="I13841" t="s">
        <v>775</v>
      </c>
      <c r="J13841" t="s">
        <v>551</v>
      </c>
      <c r="K13841" t="s">
        <v>494</v>
      </c>
      <c r="L13841" t="s">
        <v>103</v>
      </c>
      <c r="M13841" t="s">
        <v>494</v>
      </c>
      <c r="N13841" t="s">
        <v>103</v>
      </c>
      <c r="O13841" t="s">
        <v>103</v>
      </c>
    </row>
    <row r="13843" spans="1:15" x14ac:dyDescent="0.3">
      <c r="A13843" t="s">
        <v>2956</v>
      </c>
    </row>
    <row r="13844" spans="1:15" x14ac:dyDescent="0.3">
      <c r="A13844" t="s">
        <v>36</v>
      </c>
      <c r="B13844" t="s">
        <v>310</v>
      </c>
      <c r="C13844" t="s">
        <v>24</v>
      </c>
      <c r="D13844" t="s">
        <v>2941</v>
      </c>
      <c r="E13844" t="s">
        <v>2942</v>
      </c>
      <c r="F13844" t="s">
        <v>2943</v>
      </c>
      <c r="G13844" t="s">
        <v>2944</v>
      </c>
      <c r="H13844" t="s">
        <v>2945</v>
      </c>
      <c r="I13844" t="s">
        <v>2946</v>
      </c>
      <c r="J13844" t="s">
        <v>2947</v>
      </c>
      <c r="K13844" t="s">
        <v>2948</v>
      </c>
      <c r="L13844" t="s">
        <v>2949</v>
      </c>
      <c r="M13844" t="s">
        <v>2950</v>
      </c>
      <c r="N13844" t="s">
        <v>2951</v>
      </c>
      <c r="O13844" t="s">
        <v>89</v>
      </c>
    </row>
    <row r="13845" spans="1:15" x14ac:dyDescent="0.3">
      <c r="A13845" t="s">
        <v>25</v>
      </c>
      <c r="B13845" t="s">
        <v>311</v>
      </c>
      <c r="C13845">
        <v>159</v>
      </c>
      <c r="D13845" t="s">
        <v>925</v>
      </c>
      <c r="E13845" t="s">
        <v>1397</v>
      </c>
      <c r="F13845" t="s">
        <v>208</v>
      </c>
      <c r="G13845" t="s">
        <v>469</v>
      </c>
      <c r="H13845" t="s">
        <v>103</v>
      </c>
      <c r="I13845" t="s">
        <v>391</v>
      </c>
      <c r="J13845" t="s">
        <v>126</v>
      </c>
      <c r="K13845" t="s">
        <v>93</v>
      </c>
      <c r="L13845" t="s">
        <v>257</v>
      </c>
      <c r="M13845" t="s">
        <v>110</v>
      </c>
      <c r="N13845" t="s">
        <v>103</v>
      </c>
      <c r="O13845" t="s">
        <v>103</v>
      </c>
    </row>
    <row r="13846" spans="1:15" x14ac:dyDescent="0.3">
      <c r="A13846" t="s">
        <v>25</v>
      </c>
      <c r="B13846" t="s">
        <v>312</v>
      </c>
      <c r="C13846">
        <v>33</v>
      </c>
      <c r="D13846" t="s">
        <v>743</v>
      </c>
      <c r="E13846" t="s">
        <v>1222</v>
      </c>
      <c r="F13846" t="s">
        <v>103</v>
      </c>
      <c r="G13846" t="s">
        <v>494</v>
      </c>
      <c r="H13846" t="s">
        <v>103</v>
      </c>
      <c r="I13846" t="s">
        <v>385</v>
      </c>
      <c r="J13846" t="s">
        <v>108</v>
      </c>
      <c r="K13846" t="s">
        <v>103</v>
      </c>
      <c r="L13846" t="s">
        <v>438</v>
      </c>
      <c r="M13846" t="s">
        <v>103</v>
      </c>
      <c r="N13846" t="s">
        <v>103</v>
      </c>
      <c r="O13846" t="s">
        <v>103</v>
      </c>
    </row>
    <row r="13847" spans="1:15" x14ac:dyDescent="0.3">
      <c r="A13847" t="s">
        <v>25</v>
      </c>
      <c r="B13847" t="s">
        <v>308</v>
      </c>
      <c r="C13847">
        <v>4</v>
      </c>
      <c r="D13847" t="s">
        <v>103</v>
      </c>
      <c r="E13847" t="s">
        <v>404</v>
      </c>
      <c r="F13847" t="s">
        <v>103</v>
      </c>
      <c r="G13847" t="s">
        <v>103</v>
      </c>
      <c r="H13847" t="s">
        <v>103</v>
      </c>
      <c r="I13847" t="s">
        <v>618</v>
      </c>
      <c r="J13847" t="s">
        <v>409</v>
      </c>
      <c r="K13847" t="s">
        <v>103</v>
      </c>
      <c r="L13847" t="s">
        <v>103</v>
      </c>
      <c r="M13847" t="s">
        <v>103</v>
      </c>
      <c r="N13847" t="s">
        <v>103</v>
      </c>
      <c r="O13847" t="s">
        <v>103</v>
      </c>
    </row>
    <row r="13848" spans="1:15" x14ac:dyDescent="0.3">
      <c r="A13848" t="s">
        <v>26</v>
      </c>
      <c r="B13848" t="s">
        <v>311</v>
      </c>
      <c r="C13848">
        <v>147</v>
      </c>
      <c r="D13848" t="s">
        <v>693</v>
      </c>
      <c r="E13848" t="s">
        <v>1034</v>
      </c>
      <c r="F13848" t="s">
        <v>33</v>
      </c>
      <c r="G13848" t="s">
        <v>1082</v>
      </c>
      <c r="H13848" t="s">
        <v>468</v>
      </c>
      <c r="I13848" t="s">
        <v>298</v>
      </c>
      <c r="J13848" t="s">
        <v>70</v>
      </c>
      <c r="K13848" t="s">
        <v>103</v>
      </c>
      <c r="L13848" t="s">
        <v>591</v>
      </c>
      <c r="M13848" t="s">
        <v>120</v>
      </c>
      <c r="N13848" t="s">
        <v>103</v>
      </c>
      <c r="O13848" t="s">
        <v>103</v>
      </c>
    </row>
    <row r="13849" spans="1:15" x14ac:dyDescent="0.3">
      <c r="A13849" t="s">
        <v>26</v>
      </c>
      <c r="B13849" t="s">
        <v>312</v>
      </c>
      <c r="C13849">
        <v>44</v>
      </c>
      <c r="D13849" t="s">
        <v>473</v>
      </c>
      <c r="E13849" t="s">
        <v>1558</v>
      </c>
      <c r="F13849" t="s">
        <v>117</v>
      </c>
      <c r="G13849" t="s">
        <v>483</v>
      </c>
      <c r="H13849" t="s">
        <v>103</v>
      </c>
      <c r="I13849" t="s">
        <v>1138</v>
      </c>
      <c r="J13849" t="s">
        <v>591</v>
      </c>
      <c r="K13849" t="s">
        <v>103</v>
      </c>
      <c r="L13849" t="s">
        <v>169</v>
      </c>
      <c r="M13849" t="s">
        <v>103</v>
      </c>
      <c r="N13849" t="s">
        <v>103</v>
      </c>
      <c r="O13849" t="s">
        <v>103</v>
      </c>
    </row>
    <row r="13850" spans="1:15" x14ac:dyDescent="0.3">
      <c r="A13850" t="s">
        <v>26</v>
      </c>
      <c r="B13850" t="s">
        <v>308</v>
      </c>
      <c r="C13850">
        <v>18</v>
      </c>
      <c r="D13850" t="s">
        <v>281</v>
      </c>
      <c r="E13850" t="s">
        <v>364</v>
      </c>
      <c r="F13850" t="s">
        <v>103</v>
      </c>
      <c r="G13850" t="s">
        <v>418</v>
      </c>
      <c r="H13850" t="s">
        <v>103</v>
      </c>
      <c r="I13850" t="s">
        <v>1071</v>
      </c>
      <c r="J13850" t="s">
        <v>103</v>
      </c>
      <c r="K13850" t="s">
        <v>103</v>
      </c>
      <c r="L13850" t="s">
        <v>531</v>
      </c>
      <c r="M13850" t="s">
        <v>103</v>
      </c>
      <c r="N13850" t="s">
        <v>103</v>
      </c>
      <c r="O13850" t="s">
        <v>607</v>
      </c>
    </row>
    <row r="13851" spans="1:15" x14ac:dyDescent="0.3">
      <c r="A13851" t="s">
        <v>29</v>
      </c>
      <c r="B13851" t="s">
        <v>311</v>
      </c>
      <c r="C13851">
        <v>195</v>
      </c>
      <c r="D13851" t="s">
        <v>727</v>
      </c>
      <c r="E13851" t="s">
        <v>1397</v>
      </c>
      <c r="F13851" t="s">
        <v>106</v>
      </c>
      <c r="G13851" t="s">
        <v>920</v>
      </c>
      <c r="H13851" t="s">
        <v>139</v>
      </c>
      <c r="I13851" t="s">
        <v>263</v>
      </c>
      <c r="J13851" t="s">
        <v>743</v>
      </c>
      <c r="K13851" t="s">
        <v>918</v>
      </c>
      <c r="L13851" t="s">
        <v>531</v>
      </c>
      <c r="M13851" t="s">
        <v>105</v>
      </c>
      <c r="N13851" t="s">
        <v>97</v>
      </c>
      <c r="O13851" t="s">
        <v>103</v>
      </c>
    </row>
    <row r="13852" spans="1:15" x14ac:dyDescent="0.3">
      <c r="A13852" t="s">
        <v>29</v>
      </c>
      <c r="B13852" t="s">
        <v>312</v>
      </c>
      <c r="C13852">
        <v>52</v>
      </c>
      <c r="D13852" t="s">
        <v>754</v>
      </c>
      <c r="E13852" t="s">
        <v>1378</v>
      </c>
      <c r="F13852" t="s">
        <v>275</v>
      </c>
      <c r="G13852" t="s">
        <v>131</v>
      </c>
      <c r="H13852" t="s">
        <v>103</v>
      </c>
      <c r="I13852" t="s">
        <v>1443</v>
      </c>
      <c r="J13852" t="s">
        <v>247</v>
      </c>
      <c r="K13852" t="s">
        <v>101</v>
      </c>
      <c r="L13852" t="s">
        <v>188</v>
      </c>
      <c r="M13852" t="s">
        <v>103</v>
      </c>
      <c r="N13852" t="s">
        <v>103</v>
      </c>
      <c r="O13852" t="s">
        <v>103</v>
      </c>
    </row>
    <row r="13853" spans="1:15" x14ac:dyDescent="0.3">
      <c r="A13853" t="s">
        <v>29</v>
      </c>
      <c r="B13853" t="s">
        <v>308</v>
      </c>
      <c r="C13853">
        <v>7</v>
      </c>
      <c r="D13853" t="s">
        <v>1213</v>
      </c>
      <c r="E13853" t="s">
        <v>276</v>
      </c>
      <c r="F13853" t="s">
        <v>1213</v>
      </c>
      <c r="G13853" t="s">
        <v>436</v>
      </c>
      <c r="H13853" t="s">
        <v>103</v>
      </c>
      <c r="I13853" t="s">
        <v>926</v>
      </c>
      <c r="J13853" t="s">
        <v>370</v>
      </c>
      <c r="K13853" t="s">
        <v>685</v>
      </c>
      <c r="L13853" t="s">
        <v>103</v>
      </c>
      <c r="M13853" t="s">
        <v>130</v>
      </c>
      <c r="N13853" t="s">
        <v>103</v>
      </c>
      <c r="O13853" t="s">
        <v>103</v>
      </c>
    </row>
    <row r="13854" spans="1:15" x14ac:dyDescent="0.3">
      <c r="A13854" t="s">
        <v>28</v>
      </c>
      <c r="B13854" t="s">
        <v>311</v>
      </c>
      <c r="C13854">
        <v>170</v>
      </c>
      <c r="D13854" t="s">
        <v>581</v>
      </c>
      <c r="E13854" t="s">
        <v>721</v>
      </c>
      <c r="F13854" t="s">
        <v>514</v>
      </c>
      <c r="G13854" t="s">
        <v>707</v>
      </c>
      <c r="H13854" t="s">
        <v>120</v>
      </c>
      <c r="I13854" t="s">
        <v>1294</v>
      </c>
      <c r="J13854" t="s">
        <v>127</v>
      </c>
      <c r="K13854" t="s">
        <v>102</v>
      </c>
      <c r="L13854" t="s">
        <v>64</v>
      </c>
      <c r="M13854" t="s">
        <v>116</v>
      </c>
      <c r="N13854" t="s">
        <v>105</v>
      </c>
      <c r="O13854" t="s">
        <v>103</v>
      </c>
    </row>
    <row r="13855" spans="1:15" x14ac:dyDescent="0.3">
      <c r="A13855" t="s">
        <v>28</v>
      </c>
      <c r="B13855" t="s">
        <v>312</v>
      </c>
      <c r="C13855">
        <v>61</v>
      </c>
      <c r="D13855" t="s">
        <v>645</v>
      </c>
      <c r="E13855" t="s">
        <v>238</v>
      </c>
      <c r="F13855" t="s">
        <v>435</v>
      </c>
      <c r="G13855" t="s">
        <v>132</v>
      </c>
      <c r="H13855" t="s">
        <v>103</v>
      </c>
      <c r="I13855" t="s">
        <v>303</v>
      </c>
      <c r="J13855" t="s">
        <v>345</v>
      </c>
      <c r="K13855" t="s">
        <v>103</v>
      </c>
      <c r="L13855" t="s">
        <v>341</v>
      </c>
      <c r="M13855" t="s">
        <v>257</v>
      </c>
      <c r="N13855" t="s">
        <v>103</v>
      </c>
      <c r="O13855" t="s">
        <v>103</v>
      </c>
    </row>
    <row r="13856" spans="1:15" x14ac:dyDescent="0.3">
      <c r="A13856" t="s">
        <v>28</v>
      </c>
      <c r="B13856" t="s">
        <v>308</v>
      </c>
      <c r="C13856">
        <v>1</v>
      </c>
      <c r="D13856" t="s">
        <v>103</v>
      </c>
      <c r="E13856" t="s">
        <v>192</v>
      </c>
      <c r="F13856" t="s">
        <v>103</v>
      </c>
      <c r="G13856" t="s">
        <v>103</v>
      </c>
      <c r="H13856" t="s">
        <v>103</v>
      </c>
      <c r="I13856" t="s">
        <v>103</v>
      </c>
      <c r="J13856" t="s">
        <v>103</v>
      </c>
      <c r="K13856" t="s">
        <v>103</v>
      </c>
      <c r="L13856" t="s">
        <v>103</v>
      </c>
      <c r="M13856" t="s">
        <v>103</v>
      </c>
      <c r="N13856" t="s">
        <v>103</v>
      </c>
      <c r="O13856" t="s">
        <v>103</v>
      </c>
    </row>
    <row r="13857" spans="1:15" x14ac:dyDescent="0.3">
      <c r="A13857" t="s">
        <v>27</v>
      </c>
      <c r="B13857" t="s">
        <v>311</v>
      </c>
      <c r="C13857">
        <v>155</v>
      </c>
      <c r="D13857" t="s">
        <v>103</v>
      </c>
      <c r="E13857" t="s">
        <v>406</v>
      </c>
      <c r="F13857" t="s">
        <v>615</v>
      </c>
      <c r="G13857" t="s">
        <v>626</v>
      </c>
      <c r="H13857" t="s">
        <v>216</v>
      </c>
      <c r="I13857" t="s">
        <v>1258</v>
      </c>
      <c r="J13857" t="s">
        <v>91</v>
      </c>
      <c r="K13857" t="s">
        <v>103</v>
      </c>
      <c r="L13857" t="s">
        <v>217</v>
      </c>
      <c r="M13857" t="s">
        <v>103</v>
      </c>
      <c r="N13857" t="s">
        <v>103</v>
      </c>
      <c r="O13857" t="s">
        <v>95</v>
      </c>
    </row>
    <row r="13858" spans="1:15" s="3" customFormat="1" x14ac:dyDescent="0.3">
      <c r="A13858" s="3" t="s">
        <v>27</v>
      </c>
      <c r="B13858" s="3" t="s">
        <v>312</v>
      </c>
      <c r="C13858" s="3">
        <v>30</v>
      </c>
      <c r="D13858" s="3" t="s">
        <v>482</v>
      </c>
      <c r="E13858" s="3" t="s">
        <v>233</v>
      </c>
      <c r="F13858" s="3" t="s">
        <v>273</v>
      </c>
      <c r="G13858" s="3" t="s">
        <v>645</v>
      </c>
      <c r="H13858" s="3" t="s">
        <v>103</v>
      </c>
      <c r="I13858" s="3" t="s">
        <v>1328</v>
      </c>
      <c r="J13858" s="3" t="s">
        <v>103</v>
      </c>
      <c r="K13858" s="3" t="s">
        <v>103</v>
      </c>
      <c r="L13858" s="3" t="s">
        <v>186</v>
      </c>
      <c r="M13858" s="3" t="s">
        <v>103</v>
      </c>
      <c r="N13858" s="3" t="s">
        <v>103</v>
      </c>
      <c r="O13858" s="3" t="s">
        <v>103</v>
      </c>
    </row>
    <row r="13859" spans="1:15" x14ac:dyDescent="0.3">
      <c r="A13859" t="s">
        <v>27</v>
      </c>
      <c r="B13859" t="s">
        <v>308</v>
      </c>
      <c r="C13859">
        <v>2</v>
      </c>
      <c r="D13859" t="s">
        <v>103</v>
      </c>
      <c r="E13859" t="s">
        <v>485</v>
      </c>
      <c r="F13859" t="s">
        <v>103</v>
      </c>
      <c r="G13859" t="s">
        <v>192</v>
      </c>
      <c r="H13859" t="s">
        <v>103</v>
      </c>
      <c r="I13859" t="s">
        <v>192</v>
      </c>
      <c r="J13859" t="s">
        <v>103</v>
      </c>
      <c r="K13859" t="s">
        <v>103</v>
      </c>
      <c r="L13859" t="s">
        <v>103</v>
      </c>
      <c r="M13859" t="s">
        <v>103</v>
      </c>
      <c r="N13859" t="s">
        <v>103</v>
      </c>
      <c r="O13859" t="s">
        <v>103</v>
      </c>
    </row>
    <row r="13860" spans="1:15" x14ac:dyDescent="0.3">
      <c r="A13860" t="s">
        <v>41</v>
      </c>
      <c r="B13860" t="s">
        <v>311</v>
      </c>
      <c r="C13860">
        <v>826</v>
      </c>
      <c r="D13860" t="s">
        <v>106</v>
      </c>
      <c r="E13860" t="s">
        <v>364</v>
      </c>
      <c r="F13860" t="s">
        <v>146</v>
      </c>
      <c r="G13860" t="s">
        <v>651</v>
      </c>
      <c r="H13860" t="s">
        <v>139</v>
      </c>
      <c r="I13860" t="s">
        <v>366</v>
      </c>
      <c r="J13860" t="s">
        <v>549</v>
      </c>
      <c r="K13860" t="s">
        <v>594</v>
      </c>
      <c r="L13860" t="s">
        <v>532</v>
      </c>
      <c r="M13860" t="s">
        <v>468</v>
      </c>
      <c r="N13860" t="s">
        <v>122</v>
      </c>
      <c r="O13860" t="s">
        <v>103</v>
      </c>
    </row>
    <row r="13861" spans="1:15" x14ac:dyDescent="0.3">
      <c r="A13861" t="s">
        <v>41</v>
      </c>
      <c r="B13861" t="s">
        <v>312</v>
      </c>
      <c r="C13861">
        <v>220</v>
      </c>
      <c r="D13861" t="s">
        <v>552</v>
      </c>
      <c r="E13861" t="s">
        <v>1398</v>
      </c>
      <c r="F13861" t="s">
        <v>809</v>
      </c>
      <c r="G13861" t="s">
        <v>475</v>
      </c>
      <c r="H13861" t="s">
        <v>103</v>
      </c>
      <c r="I13861" t="s">
        <v>378</v>
      </c>
      <c r="J13861" t="s">
        <v>190</v>
      </c>
      <c r="K13861" t="s">
        <v>438</v>
      </c>
      <c r="L13861" t="s">
        <v>278</v>
      </c>
      <c r="M13861" t="s">
        <v>66</v>
      </c>
      <c r="N13861" t="s">
        <v>103</v>
      </c>
      <c r="O13861" t="s">
        <v>103</v>
      </c>
    </row>
    <row r="13862" spans="1:15" x14ac:dyDescent="0.3">
      <c r="A13862" t="s">
        <v>41</v>
      </c>
      <c r="B13862" t="s">
        <v>308</v>
      </c>
      <c r="C13862">
        <v>32</v>
      </c>
      <c r="D13862" t="s">
        <v>536</v>
      </c>
      <c r="E13862" t="s">
        <v>784</v>
      </c>
      <c r="F13862" t="s">
        <v>601</v>
      </c>
      <c r="G13862" t="s">
        <v>357</v>
      </c>
      <c r="H13862" t="s">
        <v>103</v>
      </c>
      <c r="I13862" t="s">
        <v>502</v>
      </c>
      <c r="J13862" t="s">
        <v>515</v>
      </c>
      <c r="K13862" t="s">
        <v>254</v>
      </c>
      <c r="L13862" t="s">
        <v>467</v>
      </c>
      <c r="M13862" t="s">
        <v>114</v>
      </c>
      <c r="N13862" t="s">
        <v>103</v>
      </c>
      <c r="O13862" t="s">
        <v>125</v>
      </c>
    </row>
    <row r="13864" spans="1:15" x14ac:dyDescent="0.3">
      <c r="A13864" t="s">
        <v>2957</v>
      </c>
    </row>
    <row r="13865" spans="1:15" x14ac:dyDescent="0.3">
      <c r="A13865" t="s">
        <v>36</v>
      </c>
      <c r="B13865" t="s">
        <v>1233</v>
      </c>
      <c r="C13865" t="s">
        <v>24</v>
      </c>
      <c r="D13865" t="s">
        <v>2941</v>
      </c>
      <c r="E13865" t="s">
        <v>2942</v>
      </c>
      <c r="F13865" t="s">
        <v>2943</v>
      </c>
      <c r="G13865" t="s">
        <v>2944</v>
      </c>
      <c r="H13865" t="s">
        <v>2945</v>
      </c>
      <c r="I13865" t="s">
        <v>2946</v>
      </c>
      <c r="J13865" t="s">
        <v>2947</v>
      </c>
      <c r="K13865" t="s">
        <v>2948</v>
      </c>
      <c r="L13865" t="s">
        <v>2949</v>
      </c>
      <c r="M13865" t="s">
        <v>2950</v>
      </c>
      <c r="N13865" t="s">
        <v>2951</v>
      </c>
      <c r="O13865" t="s">
        <v>89</v>
      </c>
    </row>
    <row r="13866" spans="1:15" x14ac:dyDescent="0.3">
      <c r="A13866" t="s">
        <v>25</v>
      </c>
      <c r="B13866" t="s">
        <v>1234</v>
      </c>
      <c r="C13866">
        <v>116</v>
      </c>
      <c r="D13866" t="s">
        <v>813</v>
      </c>
      <c r="E13866" t="s">
        <v>1175</v>
      </c>
      <c r="F13866" t="s">
        <v>93</v>
      </c>
      <c r="G13866" t="s">
        <v>30</v>
      </c>
      <c r="H13866" t="s">
        <v>103</v>
      </c>
      <c r="I13866" t="s">
        <v>1231</v>
      </c>
      <c r="J13866" t="s">
        <v>543</v>
      </c>
      <c r="K13866" t="s">
        <v>120</v>
      </c>
      <c r="L13866" t="s">
        <v>216</v>
      </c>
      <c r="M13866" t="s">
        <v>468</v>
      </c>
      <c r="N13866" t="s">
        <v>103</v>
      </c>
      <c r="O13866" t="s">
        <v>103</v>
      </c>
    </row>
    <row r="13867" spans="1:15" s="3" customFormat="1" x14ac:dyDescent="0.3">
      <c r="A13867" s="3" t="s">
        <v>25</v>
      </c>
      <c r="B13867" s="3" t="s">
        <v>1235</v>
      </c>
      <c r="C13867" s="3">
        <v>13</v>
      </c>
      <c r="D13867" s="3" t="s">
        <v>30</v>
      </c>
      <c r="E13867" s="3" t="s">
        <v>1398</v>
      </c>
      <c r="F13867" s="3" t="s">
        <v>103</v>
      </c>
      <c r="G13867" s="3" t="s">
        <v>103</v>
      </c>
      <c r="H13867" s="3" t="s">
        <v>103</v>
      </c>
      <c r="I13867" s="3" t="s">
        <v>530</v>
      </c>
      <c r="J13867" s="3" t="s">
        <v>103</v>
      </c>
      <c r="K13867" s="3" t="s">
        <v>829</v>
      </c>
      <c r="L13867" s="3" t="s">
        <v>103</v>
      </c>
      <c r="M13867" s="3" t="s">
        <v>103</v>
      </c>
      <c r="N13867" s="3" t="s">
        <v>103</v>
      </c>
      <c r="O13867" s="3" t="s">
        <v>103</v>
      </c>
    </row>
    <row r="13868" spans="1:15" x14ac:dyDescent="0.3">
      <c r="A13868" t="s">
        <v>25</v>
      </c>
      <c r="B13868" t="s">
        <v>1237</v>
      </c>
      <c r="C13868">
        <v>67</v>
      </c>
      <c r="D13868" t="s">
        <v>463</v>
      </c>
      <c r="E13868" t="s">
        <v>410</v>
      </c>
      <c r="F13868" t="s">
        <v>98</v>
      </c>
      <c r="G13868" t="s">
        <v>94</v>
      </c>
      <c r="H13868" t="s">
        <v>103</v>
      </c>
      <c r="I13868" t="s">
        <v>443</v>
      </c>
      <c r="J13868" t="s">
        <v>94</v>
      </c>
      <c r="K13868" t="s">
        <v>66</v>
      </c>
      <c r="L13868" t="s">
        <v>278</v>
      </c>
      <c r="M13868" t="s">
        <v>468</v>
      </c>
      <c r="N13868" t="s">
        <v>103</v>
      </c>
      <c r="O13868" t="s">
        <v>103</v>
      </c>
    </row>
    <row r="13869" spans="1:15" x14ac:dyDescent="0.3">
      <c r="A13869" t="s">
        <v>26</v>
      </c>
      <c r="B13869" t="s">
        <v>1234</v>
      </c>
      <c r="C13869">
        <v>127</v>
      </c>
      <c r="D13869" t="s">
        <v>262</v>
      </c>
      <c r="E13869" t="s">
        <v>572</v>
      </c>
      <c r="F13869" t="s">
        <v>531</v>
      </c>
      <c r="G13869" t="s">
        <v>707</v>
      </c>
      <c r="H13869" t="s">
        <v>194</v>
      </c>
      <c r="I13869" t="s">
        <v>235</v>
      </c>
      <c r="J13869" t="s">
        <v>452</v>
      </c>
      <c r="K13869" t="s">
        <v>103</v>
      </c>
      <c r="L13869" t="s">
        <v>466</v>
      </c>
      <c r="M13869" t="s">
        <v>103</v>
      </c>
      <c r="N13869" t="s">
        <v>103</v>
      </c>
      <c r="O13869" t="s">
        <v>103</v>
      </c>
    </row>
    <row r="13870" spans="1:15" s="3" customFormat="1" x14ac:dyDescent="0.3">
      <c r="A13870" s="3" t="s">
        <v>26</v>
      </c>
      <c r="B13870" s="3" t="s">
        <v>1235</v>
      </c>
      <c r="C13870" s="3">
        <v>21</v>
      </c>
      <c r="D13870" s="3" t="s">
        <v>214</v>
      </c>
      <c r="E13870" s="3" t="s">
        <v>1025</v>
      </c>
      <c r="F13870" s="3" t="s">
        <v>482</v>
      </c>
      <c r="G13870" s="3" t="s">
        <v>1030</v>
      </c>
      <c r="H13870" s="3" t="s">
        <v>103</v>
      </c>
      <c r="I13870" s="3" t="s">
        <v>1373</v>
      </c>
      <c r="J13870" s="3" t="s">
        <v>60</v>
      </c>
      <c r="K13870" s="3" t="s">
        <v>103</v>
      </c>
      <c r="L13870" s="3" t="s">
        <v>103</v>
      </c>
      <c r="M13870" s="3" t="s">
        <v>102</v>
      </c>
      <c r="N13870" s="3" t="s">
        <v>103</v>
      </c>
      <c r="O13870" s="3" t="s">
        <v>662</v>
      </c>
    </row>
    <row r="13871" spans="1:15" x14ac:dyDescent="0.3">
      <c r="A13871" t="s">
        <v>26</v>
      </c>
      <c r="B13871" t="s">
        <v>1237</v>
      </c>
      <c r="C13871">
        <v>61</v>
      </c>
      <c r="D13871" t="s">
        <v>228</v>
      </c>
      <c r="E13871" t="s">
        <v>1680</v>
      </c>
      <c r="F13871" t="s">
        <v>266</v>
      </c>
      <c r="G13871" t="s">
        <v>484</v>
      </c>
      <c r="H13871" t="s">
        <v>103</v>
      </c>
      <c r="I13871" t="s">
        <v>260</v>
      </c>
      <c r="J13871" t="s">
        <v>103</v>
      </c>
      <c r="K13871" t="s">
        <v>103</v>
      </c>
      <c r="L13871" t="s">
        <v>452</v>
      </c>
      <c r="M13871" t="s">
        <v>103</v>
      </c>
      <c r="N13871" t="s">
        <v>103</v>
      </c>
      <c r="O13871" t="s">
        <v>103</v>
      </c>
    </row>
    <row r="13872" spans="1:15" x14ac:dyDescent="0.3">
      <c r="A13872" t="s">
        <v>29</v>
      </c>
      <c r="B13872" t="s">
        <v>1234</v>
      </c>
      <c r="C13872">
        <v>175</v>
      </c>
      <c r="D13872" t="s">
        <v>256</v>
      </c>
      <c r="E13872" t="s">
        <v>1420</v>
      </c>
      <c r="F13872" t="s">
        <v>131</v>
      </c>
      <c r="G13872" t="s">
        <v>539</v>
      </c>
      <c r="H13872" t="s">
        <v>103</v>
      </c>
      <c r="I13872" t="s">
        <v>1133</v>
      </c>
      <c r="J13872" t="s">
        <v>269</v>
      </c>
      <c r="K13872" t="s">
        <v>62</v>
      </c>
      <c r="L13872" t="s">
        <v>186</v>
      </c>
      <c r="M13872" t="s">
        <v>194</v>
      </c>
      <c r="N13872" t="s">
        <v>120</v>
      </c>
      <c r="O13872" t="s">
        <v>103</v>
      </c>
    </row>
    <row r="13873" spans="1:15" s="3" customFormat="1" x14ac:dyDescent="0.3">
      <c r="A13873" s="3" t="s">
        <v>29</v>
      </c>
      <c r="B13873" s="3" t="s">
        <v>1235</v>
      </c>
      <c r="C13873" s="3">
        <v>23</v>
      </c>
      <c r="D13873" s="3" t="s">
        <v>820</v>
      </c>
      <c r="E13873" s="3" t="s">
        <v>795</v>
      </c>
      <c r="F13873" s="3" t="s">
        <v>472</v>
      </c>
      <c r="G13873" s="3" t="s">
        <v>52</v>
      </c>
      <c r="H13873" s="3" t="s">
        <v>101</v>
      </c>
      <c r="I13873" s="3" t="s">
        <v>811</v>
      </c>
      <c r="J13873" s="3" t="s">
        <v>702</v>
      </c>
      <c r="K13873" s="3" t="s">
        <v>429</v>
      </c>
      <c r="L13873" s="3" t="s">
        <v>101</v>
      </c>
      <c r="M13873" s="3" t="s">
        <v>242</v>
      </c>
      <c r="N13873" s="3" t="s">
        <v>103</v>
      </c>
      <c r="O13873" s="3" t="s">
        <v>103</v>
      </c>
    </row>
    <row r="13874" spans="1:15" x14ac:dyDescent="0.3">
      <c r="A13874" t="s">
        <v>29</v>
      </c>
      <c r="B13874" t="s">
        <v>1237</v>
      </c>
      <c r="C13874">
        <v>56</v>
      </c>
      <c r="D13874" t="s">
        <v>707</v>
      </c>
      <c r="E13874" t="s">
        <v>302</v>
      </c>
      <c r="F13874" t="s">
        <v>555</v>
      </c>
      <c r="G13874" t="s">
        <v>234</v>
      </c>
      <c r="H13874" t="s">
        <v>103</v>
      </c>
      <c r="I13874" t="s">
        <v>1393</v>
      </c>
      <c r="J13874" t="s">
        <v>700</v>
      </c>
      <c r="K13874" t="s">
        <v>90</v>
      </c>
      <c r="L13874" t="s">
        <v>137</v>
      </c>
      <c r="M13874" t="s">
        <v>116</v>
      </c>
      <c r="N13874" t="s">
        <v>103</v>
      </c>
      <c r="O13874" t="s">
        <v>103</v>
      </c>
    </row>
    <row r="13875" spans="1:15" x14ac:dyDescent="0.3">
      <c r="A13875" t="s">
        <v>28</v>
      </c>
      <c r="B13875" t="s">
        <v>1234</v>
      </c>
      <c r="C13875">
        <v>90</v>
      </c>
      <c r="D13875" t="s">
        <v>250</v>
      </c>
      <c r="E13875" t="s">
        <v>1305</v>
      </c>
      <c r="F13875" t="s">
        <v>875</v>
      </c>
      <c r="G13875" t="s">
        <v>1084</v>
      </c>
      <c r="H13875" t="s">
        <v>103</v>
      </c>
      <c r="I13875" t="s">
        <v>1358</v>
      </c>
      <c r="J13875" t="s">
        <v>262</v>
      </c>
      <c r="K13875" t="s">
        <v>64</v>
      </c>
      <c r="L13875" t="s">
        <v>615</v>
      </c>
      <c r="M13875" t="s">
        <v>103</v>
      </c>
      <c r="N13875" t="s">
        <v>194</v>
      </c>
      <c r="O13875" t="s">
        <v>103</v>
      </c>
    </row>
    <row r="13876" spans="1:15" s="3" customFormat="1" x14ac:dyDescent="0.3">
      <c r="A13876" s="3" t="s">
        <v>28</v>
      </c>
      <c r="B13876" s="3" t="s">
        <v>1235</v>
      </c>
      <c r="C13876" s="3">
        <v>16</v>
      </c>
      <c r="D13876" s="3" t="s">
        <v>113</v>
      </c>
      <c r="E13876" s="3" t="s">
        <v>598</v>
      </c>
      <c r="F13876" s="3" t="s">
        <v>103</v>
      </c>
      <c r="G13876" s="3" t="s">
        <v>485</v>
      </c>
      <c r="H13876" s="3" t="s">
        <v>103</v>
      </c>
      <c r="I13876" s="3" t="s">
        <v>1294</v>
      </c>
      <c r="J13876" s="3" t="s">
        <v>557</v>
      </c>
      <c r="K13876" s="3" t="s">
        <v>515</v>
      </c>
      <c r="L13876" s="3" t="s">
        <v>103</v>
      </c>
      <c r="M13876" s="3" t="s">
        <v>103</v>
      </c>
      <c r="N13876" s="3" t="s">
        <v>700</v>
      </c>
      <c r="O13876" s="3" t="s">
        <v>103</v>
      </c>
    </row>
    <row r="13877" spans="1:15" x14ac:dyDescent="0.3">
      <c r="A13877" t="s">
        <v>28</v>
      </c>
      <c r="B13877" t="s">
        <v>1237</v>
      </c>
      <c r="C13877">
        <v>126</v>
      </c>
      <c r="D13877" t="s">
        <v>688</v>
      </c>
      <c r="E13877" t="s">
        <v>246</v>
      </c>
      <c r="F13877" t="s">
        <v>658</v>
      </c>
      <c r="G13877" t="s">
        <v>727</v>
      </c>
      <c r="H13877" t="s">
        <v>139</v>
      </c>
      <c r="I13877" t="s">
        <v>1215</v>
      </c>
      <c r="J13877" t="s">
        <v>93</v>
      </c>
      <c r="K13877" t="s">
        <v>139</v>
      </c>
      <c r="L13877" t="s">
        <v>245</v>
      </c>
      <c r="M13877" t="s">
        <v>239</v>
      </c>
      <c r="N13877" t="s">
        <v>103</v>
      </c>
      <c r="O13877" t="s">
        <v>103</v>
      </c>
    </row>
    <row r="13878" spans="1:15" x14ac:dyDescent="0.3">
      <c r="A13878" t="s">
        <v>27</v>
      </c>
      <c r="B13878" t="s">
        <v>1234</v>
      </c>
      <c r="C13878">
        <v>97</v>
      </c>
      <c r="D13878" t="s">
        <v>103</v>
      </c>
      <c r="E13878" t="s">
        <v>235</v>
      </c>
      <c r="F13878" t="s">
        <v>113</v>
      </c>
      <c r="G13878" t="s">
        <v>698</v>
      </c>
      <c r="H13878" t="s">
        <v>103</v>
      </c>
      <c r="I13878" t="s">
        <v>2109</v>
      </c>
      <c r="J13878" t="s">
        <v>103</v>
      </c>
      <c r="K13878" t="s">
        <v>103</v>
      </c>
      <c r="L13878" t="s">
        <v>270</v>
      </c>
      <c r="M13878" t="s">
        <v>103</v>
      </c>
      <c r="N13878" t="s">
        <v>103</v>
      </c>
      <c r="O13878" t="s">
        <v>282</v>
      </c>
    </row>
    <row r="13879" spans="1:15" s="3" customFormat="1" x14ac:dyDescent="0.3">
      <c r="A13879" s="3" t="s">
        <v>27</v>
      </c>
      <c r="B13879" s="3" t="s">
        <v>1235</v>
      </c>
      <c r="C13879" s="3">
        <v>5</v>
      </c>
      <c r="D13879" s="3" t="s">
        <v>103</v>
      </c>
      <c r="E13879" s="3" t="s">
        <v>1018</v>
      </c>
      <c r="F13879" s="3" t="s">
        <v>103</v>
      </c>
      <c r="G13879" s="3" t="s">
        <v>1240</v>
      </c>
      <c r="H13879" s="3" t="s">
        <v>103</v>
      </c>
      <c r="I13879" s="3" t="s">
        <v>513</v>
      </c>
      <c r="J13879" s="3" t="s">
        <v>103</v>
      </c>
      <c r="K13879" s="3" t="s">
        <v>103</v>
      </c>
      <c r="L13879" s="3" t="s">
        <v>103</v>
      </c>
      <c r="M13879" s="3" t="s">
        <v>103</v>
      </c>
      <c r="N13879" s="3" t="s">
        <v>103</v>
      </c>
      <c r="O13879" s="3" t="s">
        <v>103</v>
      </c>
    </row>
    <row r="13880" spans="1:15" x14ac:dyDescent="0.3">
      <c r="A13880" t="s">
        <v>27</v>
      </c>
      <c r="B13880" t="s">
        <v>1237</v>
      </c>
      <c r="C13880">
        <v>85</v>
      </c>
      <c r="D13880" t="s">
        <v>195</v>
      </c>
      <c r="E13880" t="s">
        <v>1221</v>
      </c>
      <c r="F13880" t="s">
        <v>254</v>
      </c>
      <c r="G13880" t="s">
        <v>656</v>
      </c>
      <c r="H13880" t="s">
        <v>272</v>
      </c>
      <c r="I13880" t="s">
        <v>620</v>
      </c>
      <c r="J13880" t="s">
        <v>116</v>
      </c>
      <c r="K13880" t="s">
        <v>103</v>
      </c>
      <c r="L13880" t="s">
        <v>270</v>
      </c>
      <c r="M13880" t="s">
        <v>103</v>
      </c>
      <c r="N13880" t="s">
        <v>103</v>
      </c>
      <c r="O13880" t="s">
        <v>103</v>
      </c>
    </row>
    <row r="13881" spans="1:15" x14ac:dyDescent="0.3">
      <c r="A13881" t="s">
        <v>41</v>
      </c>
      <c r="B13881" t="s">
        <v>1234</v>
      </c>
      <c r="C13881">
        <v>605</v>
      </c>
      <c r="D13881" t="s">
        <v>273</v>
      </c>
      <c r="E13881" t="s">
        <v>229</v>
      </c>
      <c r="F13881" t="s">
        <v>146</v>
      </c>
      <c r="G13881" t="s">
        <v>754</v>
      </c>
      <c r="H13881" t="s">
        <v>116</v>
      </c>
      <c r="I13881" t="s">
        <v>835</v>
      </c>
      <c r="J13881" t="s">
        <v>254</v>
      </c>
      <c r="K13881" t="s">
        <v>133</v>
      </c>
      <c r="L13881" t="s">
        <v>186</v>
      </c>
      <c r="M13881" t="s">
        <v>98</v>
      </c>
      <c r="N13881" t="s">
        <v>122</v>
      </c>
      <c r="O13881" t="s">
        <v>91</v>
      </c>
    </row>
    <row r="13882" spans="1:15" x14ac:dyDescent="0.3">
      <c r="A13882" t="s">
        <v>41</v>
      </c>
      <c r="B13882" t="s">
        <v>1235</v>
      </c>
      <c r="C13882">
        <v>78</v>
      </c>
      <c r="D13882" t="s">
        <v>570</v>
      </c>
      <c r="E13882" t="s">
        <v>419</v>
      </c>
      <c r="F13882" t="s">
        <v>119</v>
      </c>
      <c r="G13882" t="s">
        <v>301</v>
      </c>
      <c r="H13882" t="s">
        <v>467</v>
      </c>
      <c r="I13882" t="s">
        <v>924</v>
      </c>
      <c r="J13882" t="s">
        <v>516</v>
      </c>
      <c r="K13882" t="s">
        <v>485</v>
      </c>
      <c r="L13882" t="s">
        <v>467</v>
      </c>
      <c r="M13882" t="s">
        <v>32</v>
      </c>
      <c r="N13882" t="s">
        <v>95</v>
      </c>
      <c r="O13882" t="s">
        <v>239</v>
      </c>
    </row>
    <row r="13883" spans="1:15" x14ac:dyDescent="0.3">
      <c r="A13883" t="s">
        <v>41</v>
      </c>
      <c r="B13883" t="s">
        <v>1237</v>
      </c>
      <c r="C13883">
        <v>395</v>
      </c>
      <c r="D13883" t="s">
        <v>474</v>
      </c>
      <c r="E13883" t="s">
        <v>1362</v>
      </c>
      <c r="F13883" t="s">
        <v>481</v>
      </c>
      <c r="G13883" t="s">
        <v>706</v>
      </c>
      <c r="H13883" t="s">
        <v>122</v>
      </c>
      <c r="I13883" t="s">
        <v>419</v>
      </c>
      <c r="J13883" t="s">
        <v>531</v>
      </c>
      <c r="K13883" t="s">
        <v>68</v>
      </c>
      <c r="L13883" t="s">
        <v>452</v>
      </c>
      <c r="M13883" t="s">
        <v>120</v>
      </c>
      <c r="N13883" t="s">
        <v>103</v>
      </c>
      <c r="O13883" t="s">
        <v>103</v>
      </c>
    </row>
    <row r="13885" spans="1:15" x14ac:dyDescent="0.3">
      <c r="A13885" t="s">
        <v>2958</v>
      </c>
    </row>
    <row r="13886" spans="1:15" x14ac:dyDescent="0.3">
      <c r="A13886" t="s">
        <v>36</v>
      </c>
      <c r="B13886" t="s">
        <v>2764</v>
      </c>
      <c r="C13886" t="s">
        <v>24</v>
      </c>
      <c r="D13886" t="s">
        <v>2941</v>
      </c>
      <c r="E13886" t="s">
        <v>2942</v>
      </c>
      <c r="F13886" t="s">
        <v>2943</v>
      </c>
      <c r="G13886" t="s">
        <v>2944</v>
      </c>
      <c r="H13886" t="s">
        <v>2945</v>
      </c>
      <c r="I13886" t="s">
        <v>2946</v>
      </c>
      <c r="J13886" t="s">
        <v>2947</v>
      </c>
      <c r="K13886" t="s">
        <v>2948</v>
      </c>
      <c r="L13886" t="s">
        <v>2949</v>
      </c>
      <c r="M13886" t="s">
        <v>2950</v>
      </c>
      <c r="N13886" t="s">
        <v>2951</v>
      </c>
      <c r="O13886" t="s">
        <v>89</v>
      </c>
    </row>
    <row r="13887" spans="1:15" s="3" customFormat="1" x14ac:dyDescent="0.3">
      <c r="A13887" s="3" t="s">
        <v>25</v>
      </c>
      <c r="B13887" s="3" t="s">
        <v>2765</v>
      </c>
      <c r="C13887" s="3">
        <v>8</v>
      </c>
      <c r="D13887" s="3" t="s">
        <v>688</v>
      </c>
      <c r="E13887" s="3" t="s">
        <v>1327</v>
      </c>
      <c r="F13887" s="3" t="s">
        <v>103</v>
      </c>
      <c r="G13887" s="3" t="s">
        <v>50</v>
      </c>
      <c r="H13887" s="3" t="s">
        <v>103</v>
      </c>
      <c r="I13887" s="3" t="s">
        <v>1329</v>
      </c>
      <c r="J13887" s="3" t="s">
        <v>103</v>
      </c>
      <c r="K13887" s="3" t="s">
        <v>103</v>
      </c>
      <c r="L13887" s="3" t="s">
        <v>103</v>
      </c>
      <c r="M13887" s="3" t="s">
        <v>103</v>
      </c>
      <c r="N13887" s="3" t="s">
        <v>103</v>
      </c>
      <c r="O13887" s="3" t="s">
        <v>103</v>
      </c>
    </row>
    <row r="13888" spans="1:15" s="3" customFormat="1" x14ac:dyDescent="0.3">
      <c r="A13888" s="3" t="s">
        <v>25</v>
      </c>
      <c r="B13888" s="3" t="s">
        <v>585</v>
      </c>
      <c r="C13888" s="3">
        <v>4</v>
      </c>
      <c r="D13888" s="3" t="s">
        <v>284</v>
      </c>
      <c r="E13888" s="3" t="s">
        <v>606</v>
      </c>
      <c r="F13888" s="3" t="s">
        <v>103</v>
      </c>
      <c r="G13888" s="3" t="s">
        <v>376</v>
      </c>
      <c r="H13888" s="3" t="s">
        <v>103</v>
      </c>
      <c r="I13888" s="3" t="s">
        <v>781</v>
      </c>
      <c r="J13888" s="3" t="s">
        <v>103</v>
      </c>
      <c r="K13888" s="3" t="s">
        <v>103</v>
      </c>
      <c r="L13888" s="3" t="s">
        <v>103</v>
      </c>
      <c r="M13888" s="3" t="s">
        <v>103</v>
      </c>
      <c r="N13888" s="3" t="s">
        <v>103</v>
      </c>
      <c r="O13888" s="3" t="s">
        <v>103</v>
      </c>
    </row>
    <row r="13889" spans="1:15" s="3" customFormat="1" x14ac:dyDescent="0.3">
      <c r="A13889" s="3" t="s">
        <v>25</v>
      </c>
      <c r="B13889" s="3" t="s">
        <v>586</v>
      </c>
      <c r="C13889" s="3">
        <v>5</v>
      </c>
      <c r="D13889" s="3" t="s">
        <v>103</v>
      </c>
      <c r="E13889" s="3" t="s">
        <v>375</v>
      </c>
      <c r="F13889" s="3" t="s">
        <v>103</v>
      </c>
      <c r="G13889" s="3" t="s">
        <v>103</v>
      </c>
      <c r="H13889" s="3" t="s">
        <v>103</v>
      </c>
      <c r="I13889" s="3" t="s">
        <v>192</v>
      </c>
      <c r="J13889" s="3" t="s">
        <v>103</v>
      </c>
      <c r="K13889" s="3" t="s">
        <v>103</v>
      </c>
      <c r="L13889" s="3" t="s">
        <v>103</v>
      </c>
      <c r="M13889" s="3" t="s">
        <v>103</v>
      </c>
      <c r="N13889" s="3" t="s">
        <v>103</v>
      </c>
      <c r="O13889" s="3" t="s">
        <v>103</v>
      </c>
    </row>
    <row r="13890" spans="1:15" s="3" customFormat="1" x14ac:dyDescent="0.3">
      <c r="A13890" s="3" t="s">
        <v>25</v>
      </c>
      <c r="B13890" s="3" t="s">
        <v>588</v>
      </c>
      <c r="C13890" s="3">
        <v>10</v>
      </c>
      <c r="D13890" s="3" t="s">
        <v>94</v>
      </c>
      <c r="E13890" s="3" t="s">
        <v>465</v>
      </c>
      <c r="F13890" s="3" t="s">
        <v>103</v>
      </c>
      <c r="G13890" s="3" t="s">
        <v>474</v>
      </c>
      <c r="H13890" s="3" t="s">
        <v>103</v>
      </c>
      <c r="I13890" s="3" t="s">
        <v>775</v>
      </c>
      <c r="J13890" s="3" t="s">
        <v>103</v>
      </c>
      <c r="K13890" s="3" t="s">
        <v>103</v>
      </c>
      <c r="L13890" s="3" t="s">
        <v>103</v>
      </c>
      <c r="M13890" s="3" t="s">
        <v>103</v>
      </c>
      <c r="N13890" s="3" t="s">
        <v>103</v>
      </c>
      <c r="O13890" s="3" t="s">
        <v>103</v>
      </c>
    </row>
    <row r="13891" spans="1:15" x14ac:dyDescent="0.3">
      <c r="A13891" t="s">
        <v>25</v>
      </c>
      <c r="B13891" t="s">
        <v>2766</v>
      </c>
      <c r="C13891">
        <v>169</v>
      </c>
      <c r="D13891" t="s">
        <v>164</v>
      </c>
      <c r="E13891" t="s">
        <v>1175</v>
      </c>
      <c r="F13891" t="s">
        <v>341</v>
      </c>
      <c r="G13891" t="s">
        <v>150</v>
      </c>
      <c r="H13891" t="s">
        <v>103</v>
      </c>
      <c r="I13891" t="s">
        <v>226</v>
      </c>
      <c r="J13891" t="s">
        <v>99</v>
      </c>
      <c r="K13891" t="s">
        <v>329</v>
      </c>
      <c r="L13891" t="s">
        <v>195</v>
      </c>
      <c r="M13891" t="s">
        <v>194</v>
      </c>
      <c r="N13891" t="s">
        <v>103</v>
      </c>
      <c r="O13891" t="s">
        <v>103</v>
      </c>
    </row>
    <row r="13892" spans="1:15" s="3" customFormat="1" x14ac:dyDescent="0.3">
      <c r="A13892" s="3" t="s">
        <v>26</v>
      </c>
      <c r="B13892" s="3" t="s">
        <v>2765</v>
      </c>
      <c r="C13892" s="3">
        <v>10</v>
      </c>
      <c r="D13892" s="3" t="s">
        <v>275</v>
      </c>
      <c r="E13892" s="3" t="s">
        <v>1581</v>
      </c>
      <c r="F13892" s="3" t="s">
        <v>103</v>
      </c>
      <c r="G13892" s="3" t="s">
        <v>651</v>
      </c>
      <c r="H13892" s="3" t="s">
        <v>331</v>
      </c>
      <c r="I13892" s="3" t="s">
        <v>1439</v>
      </c>
      <c r="J13892" s="3" t="s">
        <v>103</v>
      </c>
      <c r="K13892" s="3" t="s">
        <v>103</v>
      </c>
      <c r="L13892" s="3" t="s">
        <v>103</v>
      </c>
      <c r="M13892" s="3" t="s">
        <v>103</v>
      </c>
      <c r="N13892" s="3" t="s">
        <v>103</v>
      </c>
      <c r="O13892" s="3" t="s">
        <v>103</v>
      </c>
    </row>
    <row r="13893" spans="1:15" s="3" customFormat="1" x14ac:dyDescent="0.3">
      <c r="A13893" s="3" t="s">
        <v>26</v>
      </c>
      <c r="B13893" s="3" t="s">
        <v>586</v>
      </c>
      <c r="C13893" s="3">
        <v>1</v>
      </c>
      <c r="D13893" s="3" t="s">
        <v>103</v>
      </c>
      <c r="E13893" s="3" t="s">
        <v>103</v>
      </c>
      <c r="F13893" s="3" t="s">
        <v>103</v>
      </c>
      <c r="G13893" s="3" t="s">
        <v>103</v>
      </c>
      <c r="H13893" s="3" t="s">
        <v>103</v>
      </c>
      <c r="I13893" s="3" t="s">
        <v>192</v>
      </c>
      <c r="J13893" s="3" t="s">
        <v>103</v>
      </c>
      <c r="K13893" s="3" t="s">
        <v>103</v>
      </c>
      <c r="L13893" s="3" t="s">
        <v>103</v>
      </c>
      <c r="M13893" s="3" t="s">
        <v>103</v>
      </c>
      <c r="N13893" s="3" t="s">
        <v>103</v>
      </c>
      <c r="O13893" s="3" t="s">
        <v>103</v>
      </c>
    </row>
    <row r="13894" spans="1:15" s="3" customFormat="1" x14ac:dyDescent="0.3">
      <c r="A13894" s="3" t="s">
        <v>26</v>
      </c>
      <c r="B13894" s="3" t="s">
        <v>587</v>
      </c>
      <c r="C13894" s="3">
        <v>6</v>
      </c>
      <c r="D13894" s="3" t="s">
        <v>103</v>
      </c>
      <c r="E13894" s="3" t="s">
        <v>355</v>
      </c>
      <c r="F13894" s="3" t="s">
        <v>103</v>
      </c>
      <c r="G13894" s="3" t="s">
        <v>873</v>
      </c>
      <c r="H13894" s="3" t="s">
        <v>103</v>
      </c>
      <c r="I13894" s="3" t="s">
        <v>1153</v>
      </c>
      <c r="J13894" s="3" t="s">
        <v>103</v>
      </c>
      <c r="K13894" s="3" t="s">
        <v>103</v>
      </c>
      <c r="L13894" s="3" t="s">
        <v>103</v>
      </c>
      <c r="M13894" s="3" t="s">
        <v>103</v>
      </c>
      <c r="N13894" s="3" t="s">
        <v>103</v>
      </c>
      <c r="O13894" s="3" t="s">
        <v>103</v>
      </c>
    </row>
    <row r="13895" spans="1:15" s="3" customFormat="1" x14ac:dyDescent="0.3">
      <c r="A13895" s="3" t="s">
        <v>26</v>
      </c>
      <c r="B13895" s="3" t="s">
        <v>588</v>
      </c>
      <c r="C13895" s="3">
        <v>2</v>
      </c>
      <c r="D13895" s="3" t="s">
        <v>103</v>
      </c>
      <c r="E13895" s="3" t="s">
        <v>103</v>
      </c>
      <c r="F13895" s="3" t="s">
        <v>103</v>
      </c>
      <c r="G13895" s="3" t="s">
        <v>372</v>
      </c>
      <c r="H13895" s="3" t="s">
        <v>103</v>
      </c>
      <c r="I13895" s="3" t="s">
        <v>573</v>
      </c>
      <c r="J13895" s="3" t="s">
        <v>103</v>
      </c>
      <c r="K13895" s="3" t="s">
        <v>103</v>
      </c>
      <c r="L13895" s="3" t="s">
        <v>103</v>
      </c>
      <c r="M13895" s="3" t="s">
        <v>103</v>
      </c>
      <c r="N13895" s="3" t="s">
        <v>103</v>
      </c>
      <c r="O13895" s="3" t="s">
        <v>103</v>
      </c>
    </row>
    <row r="13896" spans="1:15" x14ac:dyDescent="0.3">
      <c r="A13896" t="s">
        <v>26</v>
      </c>
      <c r="B13896" t="s">
        <v>2766</v>
      </c>
      <c r="C13896">
        <v>190</v>
      </c>
      <c r="D13896" t="s">
        <v>117</v>
      </c>
      <c r="E13896" t="s">
        <v>1327</v>
      </c>
      <c r="F13896" t="s">
        <v>531</v>
      </c>
      <c r="G13896" t="s">
        <v>484</v>
      </c>
      <c r="H13896" t="s">
        <v>103</v>
      </c>
      <c r="I13896" t="s">
        <v>924</v>
      </c>
      <c r="J13896" t="s">
        <v>284</v>
      </c>
      <c r="K13896" t="s">
        <v>103</v>
      </c>
      <c r="L13896" t="s">
        <v>452</v>
      </c>
      <c r="M13896" t="s">
        <v>122</v>
      </c>
      <c r="N13896" t="s">
        <v>103</v>
      </c>
      <c r="O13896" t="s">
        <v>95</v>
      </c>
    </row>
    <row r="13897" spans="1:15" s="3" customFormat="1" x14ac:dyDescent="0.3">
      <c r="A13897" s="3" t="s">
        <v>29</v>
      </c>
      <c r="B13897" s="3" t="s">
        <v>2765</v>
      </c>
      <c r="C13897" s="3">
        <v>13</v>
      </c>
      <c r="D13897" s="3" t="s">
        <v>474</v>
      </c>
      <c r="E13897" s="3" t="s">
        <v>1096</v>
      </c>
      <c r="F13897" s="3" t="s">
        <v>142</v>
      </c>
      <c r="G13897" s="3" t="s">
        <v>376</v>
      </c>
      <c r="H13897" s="3" t="s">
        <v>103</v>
      </c>
      <c r="I13897" s="3" t="s">
        <v>655</v>
      </c>
      <c r="J13897" s="3" t="s">
        <v>123</v>
      </c>
      <c r="K13897" s="3" t="s">
        <v>807</v>
      </c>
      <c r="L13897" s="3" t="s">
        <v>571</v>
      </c>
      <c r="M13897" s="3" t="s">
        <v>103</v>
      </c>
      <c r="N13897" s="3" t="s">
        <v>103</v>
      </c>
      <c r="O13897" s="3" t="s">
        <v>103</v>
      </c>
    </row>
    <row r="13898" spans="1:15" s="3" customFormat="1" x14ac:dyDescent="0.3">
      <c r="A13898" s="3" t="s">
        <v>29</v>
      </c>
      <c r="B13898" s="3" t="s">
        <v>585</v>
      </c>
      <c r="C13898" s="3">
        <v>5</v>
      </c>
      <c r="D13898" s="3" t="s">
        <v>1558</v>
      </c>
      <c r="E13898" s="3" t="s">
        <v>1137</v>
      </c>
      <c r="F13898" s="3" t="s">
        <v>1295</v>
      </c>
      <c r="G13898" s="3" t="s">
        <v>259</v>
      </c>
      <c r="H13898" s="3" t="s">
        <v>103</v>
      </c>
      <c r="I13898" s="3" t="s">
        <v>937</v>
      </c>
      <c r="J13898" s="3" t="s">
        <v>103</v>
      </c>
      <c r="K13898" s="3" t="s">
        <v>103</v>
      </c>
      <c r="L13898" s="3" t="s">
        <v>103</v>
      </c>
      <c r="M13898" s="3" t="s">
        <v>103</v>
      </c>
      <c r="N13898" s="3" t="s">
        <v>103</v>
      </c>
      <c r="O13898" s="3" t="s">
        <v>103</v>
      </c>
    </row>
    <row r="13899" spans="1:15" s="3" customFormat="1" x14ac:dyDescent="0.3">
      <c r="A13899" s="3" t="s">
        <v>29</v>
      </c>
      <c r="B13899" s="3" t="s">
        <v>586</v>
      </c>
      <c r="C13899" s="3">
        <v>2</v>
      </c>
      <c r="D13899" s="3" t="s">
        <v>103</v>
      </c>
      <c r="E13899" s="3" t="s">
        <v>795</v>
      </c>
      <c r="F13899" s="3" t="s">
        <v>795</v>
      </c>
      <c r="G13899" s="3" t="s">
        <v>103</v>
      </c>
      <c r="H13899" s="3" t="s">
        <v>103</v>
      </c>
      <c r="I13899" s="3" t="s">
        <v>192</v>
      </c>
      <c r="J13899" s="3" t="s">
        <v>103</v>
      </c>
      <c r="K13899" s="3" t="s">
        <v>103</v>
      </c>
      <c r="L13899" s="3" t="s">
        <v>103</v>
      </c>
      <c r="M13899" s="3" t="s">
        <v>103</v>
      </c>
      <c r="N13899" s="3" t="s">
        <v>103</v>
      </c>
      <c r="O13899" s="3" t="s">
        <v>103</v>
      </c>
    </row>
    <row r="13900" spans="1:15" s="3" customFormat="1" x14ac:dyDescent="0.3">
      <c r="A13900" s="3" t="s">
        <v>29</v>
      </c>
      <c r="B13900" s="3" t="s">
        <v>587</v>
      </c>
      <c r="C13900" s="3">
        <v>2</v>
      </c>
      <c r="D13900" s="3" t="s">
        <v>431</v>
      </c>
      <c r="E13900" s="3" t="s">
        <v>192</v>
      </c>
      <c r="F13900" s="3" t="s">
        <v>431</v>
      </c>
      <c r="G13900" s="3" t="s">
        <v>431</v>
      </c>
      <c r="H13900" s="3" t="s">
        <v>103</v>
      </c>
      <c r="I13900" s="3" t="s">
        <v>192</v>
      </c>
      <c r="J13900" s="3" t="s">
        <v>431</v>
      </c>
      <c r="K13900" s="3" t="s">
        <v>103</v>
      </c>
      <c r="L13900" s="3" t="s">
        <v>431</v>
      </c>
      <c r="M13900" s="3" t="s">
        <v>103</v>
      </c>
      <c r="N13900" s="3" t="s">
        <v>103</v>
      </c>
      <c r="O13900" s="3" t="s">
        <v>103</v>
      </c>
    </row>
    <row r="13901" spans="1:15" s="3" customFormat="1" x14ac:dyDescent="0.3">
      <c r="A13901" s="3" t="s">
        <v>29</v>
      </c>
      <c r="B13901" s="3" t="s">
        <v>588</v>
      </c>
      <c r="C13901" s="3">
        <v>9</v>
      </c>
      <c r="D13901" s="3" t="s">
        <v>567</v>
      </c>
      <c r="E13901" s="3" t="s">
        <v>814</v>
      </c>
      <c r="F13901" s="3" t="s">
        <v>31</v>
      </c>
      <c r="G13901" s="3" t="s">
        <v>230</v>
      </c>
      <c r="H13901" s="3" t="s">
        <v>103</v>
      </c>
      <c r="I13901" s="3" t="s">
        <v>400</v>
      </c>
      <c r="J13901" s="3" t="s">
        <v>463</v>
      </c>
      <c r="K13901" s="3" t="s">
        <v>463</v>
      </c>
      <c r="L13901" s="3" t="s">
        <v>463</v>
      </c>
      <c r="M13901" s="3" t="s">
        <v>695</v>
      </c>
      <c r="N13901" s="3" t="s">
        <v>463</v>
      </c>
      <c r="O13901" s="3" t="s">
        <v>103</v>
      </c>
    </row>
    <row r="13902" spans="1:15" x14ac:dyDescent="0.3">
      <c r="A13902" t="s">
        <v>29</v>
      </c>
      <c r="B13902" t="s">
        <v>2766</v>
      </c>
      <c r="C13902">
        <v>223</v>
      </c>
      <c r="D13902" t="s">
        <v>155</v>
      </c>
      <c r="E13902" t="s">
        <v>403</v>
      </c>
      <c r="F13902" t="s">
        <v>162</v>
      </c>
      <c r="G13902" t="s">
        <v>398</v>
      </c>
      <c r="H13902" t="s">
        <v>95</v>
      </c>
      <c r="I13902" t="s">
        <v>1354</v>
      </c>
      <c r="J13902" t="s">
        <v>918</v>
      </c>
      <c r="K13902" t="s">
        <v>481</v>
      </c>
      <c r="L13902" t="s">
        <v>32</v>
      </c>
      <c r="M13902" t="s">
        <v>282</v>
      </c>
      <c r="N13902" t="s">
        <v>103</v>
      </c>
      <c r="O13902" t="s">
        <v>103</v>
      </c>
    </row>
    <row r="13903" spans="1:15" s="3" customFormat="1" x14ac:dyDescent="0.3">
      <c r="A13903" s="3" t="s">
        <v>28</v>
      </c>
      <c r="B13903" s="3" t="s">
        <v>2765</v>
      </c>
      <c r="C13903" s="3">
        <v>4</v>
      </c>
      <c r="D13903" s="3" t="s">
        <v>103</v>
      </c>
      <c r="E13903" s="3" t="s">
        <v>1680</v>
      </c>
      <c r="F13903" s="3" t="s">
        <v>103</v>
      </c>
      <c r="G13903" s="3" t="s">
        <v>103</v>
      </c>
      <c r="H13903" s="3" t="s">
        <v>103</v>
      </c>
      <c r="I13903" s="3" t="s">
        <v>717</v>
      </c>
      <c r="J13903" s="3" t="s">
        <v>103</v>
      </c>
      <c r="K13903" s="3" t="s">
        <v>103</v>
      </c>
      <c r="L13903" s="3" t="s">
        <v>103</v>
      </c>
      <c r="M13903" s="3" t="s">
        <v>103</v>
      </c>
      <c r="N13903" s="3" t="s">
        <v>103</v>
      </c>
      <c r="O13903" s="3" t="s">
        <v>103</v>
      </c>
    </row>
    <row r="13904" spans="1:15" s="3" customFormat="1" x14ac:dyDescent="0.3">
      <c r="A13904" s="3" t="s">
        <v>28</v>
      </c>
      <c r="B13904" s="3" t="s">
        <v>585</v>
      </c>
      <c r="C13904" s="3">
        <v>7</v>
      </c>
      <c r="D13904" s="3" t="s">
        <v>396</v>
      </c>
      <c r="E13904" s="3" t="s">
        <v>204</v>
      </c>
      <c r="F13904" s="3" t="s">
        <v>103</v>
      </c>
      <c r="G13904" s="3" t="s">
        <v>103</v>
      </c>
      <c r="H13904" s="3" t="s">
        <v>103</v>
      </c>
      <c r="I13904" s="3" t="s">
        <v>884</v>
      </c>
      <c r="J13904" s="3" t="s">
        <v>687</v>
      </c>
      <c r="K13904" s="3" t="s">
        <v>687</v>
      </c>
      <c r="L13904" s="3" t="s">
        <v>103</v>
      </c>
      <c r="M13904" s="3" t="s">
        <v>103</v>
      </c>
      <c r="N13904" s="3" t="s">
        <v>103</v>
      </c>
      <c r="O13904" s="3" t="s">
        <v>103</v>
      </c>
    </row>
    <row r="13905" spans="1:15" s="3" customFormat="1" x14ac:dyDescent="0.3">
      <c r="A13905" s="3" t="s">
        <v>28</v>
      </c>
      <c r="B13905" s="3" t="s">
        <v>586</v>
      </c>
      <c r="C13905" s="3">
        <v>4</v>
      </c>
      <c r="D13905" s="3" t="s">
        <v>1043</v>
      </c>
      <c r="E13905" s="3" t="s">
        <v>985</v>
      </c>
      <c r="F13905" s="3" t="s">
        <v>1043</v>
      </c>
      <c r="G13905" s="3" t="s">
        <v>103</v>
      </c>
      <c r="H13905" s="3" t="s">
        <v>103</v>
      </c>
      <c r="I13905" s="3" t="s">
        <v>379</v>
      </c>
      <c r="J13905" s="3" t="s">
        <v>103</v>
      </c>
      <c r="K13905" s="3" t="s">
        <v>103</v>
      </c>
      <c r="L13905" s="3" t="s">
        <v>103</v>
      </c>
      <c r="M13905" s="3" t="s">
        <v>103</v>
      </c>
      <c r="N13905" s="3" t="s">
        <v>103</v>
      </c>
      <c r="O13905" s="3" t="s">
        <v>103</v>
      </c>
    </row>
    <row r="13906" spans="1:15" s="3" customFormat="1" x14ac:dyDescent="0.3">
      <c r="A13906" s="3" t="s">
        <v>28</v>
      </c>
      <c r="B13906" s="3" t="s">
        <v>587</v>
      </c>
      <c r="C13906" s="3">
        <v>9</v>
      </c>
      <c r="D13906" s="3" t="s">
        <v>103</v>
      </c>
      <c r="E13906" s="3" t="s">
        <v>192</v>
      </c>
      <c r="F13906" s="3" t="s">
        <v>103</v>
      </c>
      <c r="G13906" s="3" t="s">
        <v>224</v>
      </c>
      <c r="H13906" s="3" t="s">
        <v>103</v>
      </c>
      <c r="I13906" s="3" t="s">
        <v>672</v>
      </c>
      <c r="J13906" s="3" t="s">
        <v>103</v>
      </c>
      <c r="K13906" s="3" t="s">
        <v>103</v>
      </c>
      <c r="L13906" s="3" t="s">
        <v>103</v>
      </c>
      <c r="M13906" s="3" t="s">
        <v>190</v>
      </c>
      <c r="N13906" s="3" t="s">
        <v>103</v>
      </c>
      <c r="O13906" s="3" t="s">
        <v>103</v>
      </c>
    </row>
    <row r="13907" spans="1:15" s="3" customFormat="1" x14ac:dyDescent="0.3">
      <c r="A13907" s="3" t="s">
        <v>28</v>
      </c>
      <c r="B13907" s="3" t="s">
        <v>588</v>
      </c>
      <c r="C13907" s="3">
        <v>18</v>
      </c>
      <c r="D13907" s="3" t="s">
        <v>551</v>
      </c>
      <c r="E13907" s="3" t="s">
        <v>774</v>
      </c>
      <c r="F13907" s="3" t="s">
        <v>420</v>
      </c>
      <c r="G13907" s="3" t="s">
        <v>124</v>
      </c>
      <c r="H13907" s="3" t="s">
        <v>103</v>
      </c>
      <c r="I13907" s="3" t="s">
        <v>838</v>
      </c>
      <c r="J13907" s="3" t="s">
        <v>558</v>
      </c>
      <c r="K13907" s="3" t="s">
        <v>103</v>
      </c>
      <c r="L13907" s="3" t="s">
        <v>102</v>
      </c>
      <c r="M13907" s="3" t="s">
        <v>188</v>
      </c>
      <c r="N13907" s="3" t="s">
        <v>103</v>
      </c>
      <c r="O13907" s="3" t="s">
        <v>103</v>
      </c>
    </row>
    <row r="13908" spans="1:15" x14ac:dyDescent="0.3">
      <c r="A13908" t="s">
        <v>28</v>
      </c>
      <c r="B13908" t="s">
        <v>2766</v>
      </c>
      <c r="C13908">
        <v>190</v>
      </c>
      <c r="D13908" t="s">
        <v>921</v>
      </c>
      <c r="E13908" t="s">
        <v>725</v>
      </c>
      <c r="F13908" t="s">
        <v>478</v>
      </c>
      <c r="G13908" t="s">
        <v>825</v>
      </c>
      <c r="H13908" t="s">
        <v>120</v>
      </c>
      <c r="I13908" t="s">
        <v>1555</v>
      </c>
      <c r="J13908" t="s">
        <v>466</v>
      </c>
      <c r="K13908" t="s">
        <v>257</v>
      </c>
      <c r="L13908" t="s">
        <v>270</v>
      </c>
      <c r="M13908" t="s">
        <v>116</v>
      </c>
      <c r="N13908" t="s">
        <v>216</v>
      </c>
      <c r="O13908" t="s">
        <v>103</v>
      </c>
    </row>
    <row r="13909" spans="1:15" x14ac:dyDescent="0.3">
      <c r="A13909" t="s">
        <v>27</v>
      </c>
      <c r="B13909" t="s">
        <v>2765</v>
      </c>
      <c r="C13909">
        <v>50</v>
      </c>
      <c r="D13909" t="s">
        <v>103</v>
      </c>
      <c r="E13909" t="s">
        <v>260</v>
      </c>
      <c r="F13909" t="s">
        <v>103</v>
      </c>
      <c r="G13909" t="s">
        <v>99</v>
      </c>
      <c r="H13909" t="s">
        <v>64</v>
      </c>
      <c r="I13909" t="s">
        <v>1305</v>
      </c>
      <c r="J13909" t="s">
        <v>103</v>
      </c>
      <c r="K13909" t="s">
        <v>103</v>
      </c>
      <c r="L13909" t="s">
        <v>103</v>
      </c>
      <c r="M13909" t="s">
        <v>103</v>
      </c>
      <c r="N13909" t="s">
        <v>103</v>
      </c>
      <c r="O13909" t="s">
        <v>103</v>
      </c>
    </row>
    <row r="13910" spans="1:15" s="3" customFormat="1" x14ac:dyDescent="0.3">
      <c r="A13910" s="3" t="s">
        <v>27</v>
      </c>
      <c r="B13910" s="3" t="s">
        <v>585</v>
      </c>
      <c r="C13910" s="3">
        <v>1</v>
      </c>
      <c r="D13910" s="3" t="s">
        <v>103</v>
      </c>
      <c r="E13910" s="3" t="s">
        <v>192</v>
      </c>
      <c r="F13910" s="3" t="s">
        <v>192</v>
      </c>
      <c r="G13910" s="3" t="s">
        <v>103</v>
      </c>
      <c r="H13910" s="3" t="s">
        <v>103</v>
      </c>
      <c r="I13910" s="3" t="s">
        <v>103</v>
      </c>
      <c r="J13910" s="3" t="s">
        <v>103</v>
      </c>
      <c r="K13910" s="3" t="s">
        <v>103</v>
      </c>
      <c r="L13910" s="3" t="s">
        <v>103</v>
      </c>
      <c r="M13910" s="3" t="s">
        <v>103</v>
      </c>
      <c r="N13910" s="3" t="s">
        <v>103</v>
      </c>
      <c r="O13910" s="3" t="s">
        <v>103</v>
      </c>
    </row>
    <row r="13911" spans="1:15" s="3" customFormat="1" x14ac:dyDescent="0.3">
      <c r="A13911" s="3" t="s">
        <v>27</v>
      </c>
      <c r="B13911" s="3" t="s">
        <v>586</v>
      </c>
      <c r="C13911" s="3">
        <v>1</v>
      </c>
      <c r="D13911" s="3" t="s">
        <v>103</v>
      </c>
      <c r="E13911" s="3" t="s">
        <v>103</v>
      </c>
      <c r="F13911" s="3" t="s">
        <v>103</v>
      </c>
      <c r="G13911" s="3" t="s">
        <v>103</v>
      </c>
      <c r="H13911" s="3" t="s">
        <v>103</v>
      </c>
      <c r="I13911" s="3" t="s">
        <v>192</v>
      </c>
      <c r="J13911" s="3" t="s">
        <v>103</v>
      </c>
      <c r="K13911" s="3" t="s">
        <v>103</v>
      </c>
      <c r="L13911" s="3" t="s">
        <v>103</v>
      </c>
      <c r="M13911" s="3" t="s">
        <v>103</v>
      </c>
      <c r="N13911" s="3" t="s">
        <v>103</v>
      </c>
      <c r="O13911" s="3" t="s">
        <v>103</v>
      </c>
    </row>
    <row r="13912" spans="1:15" s="3" customFormat="1" x14ac:dyDescent="0.3">
      <c r="A13912" s="3" t="s">
        <v>27</v>
      </c>
      <c r="B13912" s="3" t="s">
        <v>588</v>
      </c>
      <c r="C13912" s="3">
        <v>1</v>
      </c>
      <c r="D13912" s="3" t="s">
        <v>103</v>
      </c>
      <c r="E13912" s="3" t="s">
        <v>192</v>
      </c>
      <c r="F13912" s="3" t="s">
        <v>103</v>
      </c>
      <c r="G13912" s="3" t="s">
        <v>103</v>
      </c>
      <c r="H13912" s="3" t="s">
        <v>103</v>
      </c>
      <c r="I13912" s="3" t="s">
        <v>192</v>
      </c>
      <c r="J13912" s="3" t="s">
        <v>103</v>
      </c>
      <c r="K13912" s="3" t="s">
        <v>103</v>
      </c>
      <c r="L13912" s="3" t="s">
        <v>103</v>
      </c>
      <c r="M13912" s="3" t="s">
        <v>103</v>
      </c>
      <c r="N13912" s="3" t="s">
        <v>103</v>
      </c>
      <c r="O13912" s="3" t="s">
        <v>103</v>
      </c>
    </row>
    <row r="13913" spans="1:15" x14ac:dyDescent="0.3">
      <c r="A13913" t="s">
        <v>27</v>
      </c>
      <c r="B13913" t="s">
        <v>2766</v>
      </c>
      <c r="C13913">
        <v>134</v>
      </c>
      <c r="D13913" t="s">
        <v>341</v>
      </c>
      <c r="E13913" t="s">
        <v>835</v>
      </c>
      <c r="F13913" t="s">
        <v>571</v>
      </c>
      <c r="G13913" t="s">
        <v>540</v>
      </c>
      <c r="H13913" t="s">
        <v>95</v>
      </c>
      <c r="I13913" t="s">
        <v>817</v>
      </c>
      <c r="J13913" t="s">
        <v>66</v>
      </c>
      <c r="K13913" t="s">
        <v>103</v>
      </c>
      <c r="L13913" t="s">
        <v>186</v>
      </c>
      <c r="M13913" t="s">
        <v>103</v>
      </c>
      <c r="N13913" t="s">
        <v>103</v>
      </c>
      <c r="O13913" t="s">
        <v>139</v>
      </c>
    </row>
    <row r="13914" spans="1:15" x14ac:dyDescent="0.3">
      <c r="A13914" t="s">
        <v>41</v>
      </c>
      <c r="B13914" t="s">
        <v>2765</v>
      </c>
      <c r="C13914">
        <v>85</v>
      </c>
      <c r="D13914" t="s">
        <v>148</v>
      </c>
      <c r="E13914" t="s">
        <v>722</v>
      </c>
      <c r="F13914" t="s">
        <v>190</v>
      </c>
      <c r="G13914" t="s">
        <v>522</v>
      </c>
      <c r="H13914" t="s">
        <v>493</v>
      </c>
      <c r="I13914" t="s">
        <v>795</v>
      </c>
      <c r="J13914" t="s">
        <v>591</v>
      </c>
      <c r="K13914" t="s">
        <v>531</v>
      </c>
      <c r="L13914" t="s">
        <v>68</v>
      </c>
      <c r="M13914" t="s">
        <v>103</v>
      </c>
      <c r="N13914" t="s">
        <v>103</v>
      </c>
      <c r="O13914" t="s">
        <v>103</v>
      </c>
    </row>
    <row r="13915" spans="1:15" s="3" customFormat="1" x14ac:dyDescent="0.3">
      <c r="A13915" s="3" t="s">
        <v>41</v>
      </c>
      <c r="B13915" s="3" t="s">
        <v>585</v>
      </c>
      <c r="C13915" s="3">
        <v>17</v>
      </c>
      <c r="D13915" s="3" t="s">
        <v>562</v>
      </c>
      <c r="E13915" s="3" t="s">
        <v>1171</v>
      </c>
      <c r="F13915" s="3" t="s">
        <v>129</v>
      </c>
      <c r="G13915" s="3" t="s">
        <v>927</v>
      </c>
      <c r="H13915" s="3" t="s">
        <v>103</v>
      </c>
      <c r="I13915" s="3" t="s">
        <v>1013</v>
      </c>
      <c r="J13915" s="3" t="s">
        <v>438</v>
      </c>
      <c r="K13915" s="3" t="s">
        <v>438</v>
      </c>
      <c r="L13915" s="3" t="s">
        <v>103</v>
      </c>
      <c r="M13915" s="3" t="s">
        <v>103</v>
      </c>
      <c r="N13915" s="3" t="s">
        <v>103</v>
      </c>
      <c r="O13915" s="3" t="s">
        <v>103</v>
      </c>
    </row>
    <row r="13916" spans="1:15" s="3" customFormat="1" x14ac:dyDescent="0.3">
      <c r="A13916" s="3" t="s">
        <v>41</v>
      </c>
      <c r="B13916" s="3" t="s">
        <v>586</v>
      </c>
      <c r="C13916" s="3">
        <v>13</v>
      </c>
      <c r="D13916" s="3" t="s">
        <v>531</v>
      </c>
      <c r="E13916" s="3" t="s">
        <v>1545</v>
      </c>
      <c r="F13916" s="3" t="s">
        <v>565</v>
      </c>
      <c r="G13916" s="3" t="s">
        <v>103</v>
      </c>
      <c r="H13916" s="3" t="s">
        <v>103</v>
      </c>
      <c r="I13916" s="3" t="s">
        <v>597</v>
      </c>
      <c r="J13916" s="3" t="s">
        <v>103</v>
      </c>
      <c r="K13916" s="3" t="s">
        <v>103</v>
      </c>
      <c r="L13916" s="3" t="s">
        <v>103</v>
      </c>
      <c r="M13916" s="3" t="s">
        <v>103</v>
      </c>
      <c r="N13916" s="3" t="s">
        <v>103</v>
      </c>
      <c r="O13916" s="3" t="s">
        <v>103</v>
      </c>
    </row>
    <row r="13917" spans="1:15" s="3" customFormat="1" x14ac:dyDescent="0.3">
      <c r="A13917" s="3" t="s">
        <v>41</v>
      </c>
      <c r="B13917" s="3" t="s">
        <v>587</v>
      </c>
      <c r="C13917" s="3">
        <v>17</v>
      </c>
      <c r="D13917" s="3" t="s">
        <v>809</v>
      </c>
      <c r="E13917" s="3" t="s">
        <v>811</v>
      </c>
      <c r="F13917" s="3" t="s">
        <v>809</v>
      </c>
      <c r="G13917" s="3" t="s">
        <v>1197</v>
      </c>
      <c r="H13917" s="3" t="s">
        <v>103</v>
      </c>
      <c r="I13917" s="3" t="s">
        <v>704</v>
      </c>
      <c r="J13917" s="3" t="s">
        <v>809</v>
      </c>
      <c r="K13917" s="3" t="s">
        <v>103</v>
      </c>
      <c r="L13917" s="3" t="s">
        <v>809</v>
      </c>
      <c r="M13917" s="3" t="s">
        <v>341</v>
      </c>
      <c r="N13917" s="3" t="s">
        <v>103</v>
      </c>
      <c r="O13917" s="3" t="s">
        <v>103</v>
      </c>
    </row>
    <row r="13918" spans="1:15" x14ac:dyDescent="0.3">
      <c r="A13918" t="s">
        <v>41</v>
      </c>
      <c r="B13918" t="s">
        <v>588</v>
      </c>
      <c r="C13918">
        <v>40</v>
      </c>
      <c r="D13918" t="s">
        <v>654</v>
      </c>
      <c r="E13918" t="s">
        <v>410</v>
      </c>
      <c r="F13918" t="s">
        <v>46</v>
      </c>
      <c r="G13918" t="s">
        <v>702</v>
      </c>
      <c r="H13918" t="s">
        <v>103</v>
      </c>
      <c r="I13918" t="s">
        <v>835</v>
      </c>
      <c r="J13918" t="s">
        <v>94</v>
      </c>
      <c r="K13918" t="s">
        <v>558</v>
      </c>
      <c r="L13918" t="s">
        <v>531</v>
      </c>
      <c r="M13918" t="s">
        <v>123</v>
      </c>
      <c r="N13918" t="s">
        <v>558</v>
      </c>
      <c r="O13918" t="s">
        <v>103</v>
      </c>
    </row>
    <row r="13919" spans="1:15" x14ac:dyDescent="0.3">
      <c r="A13919" t="s">
        <v>41</v>
      </c>
      <c r="B13919" t="s">
        <v>2766</v>
      </c>
      <c r="C13919">
        <v>906</v>
      </c>
      <c r="D13919" t="s">
        <v>687</v>
      </c>
      <c r="E13919" t="s">
        <v>794</v>
      </c>
      <c r="F13919" t="s">
        <v>543</v>
      </c>
      <c r="G13919" t="s">
        <v>505</v>
      </c>
      <c r="H13919" t="s">
        <v>122</v>
      </c>
      <c r="I13919" t="s">
        <v>394</v>
      </c>
      <c r="J13919" t="s">
        <v>137</v>
      </c>
      <c r="K13919" t="s">
        <v>452</v>
      </c>
      <c r="L13919" t="s">
        <v>615</v>
      </c>
      <c r="M13919" t="s">
        <v>139</v>
      </c>
      <c r="N13919" t="s">
        <v>91</v>
      </c>
      <c r="O13919" t="s">
        <v>66</v>
      </c>
    </row>
    <row r="13921" spans="1:15" x14ac:dyDescent="0.3">
      <c r="A13921" t="s">
        <v>2959</v>
      </c>
    </row>
    <row r="13922" spans="1:15" x14ac:dyDescent="0.3">
      <c r="A13922" t="s">
        <v>36</v>
      </c>
      <c r="B13922" t="s">
        <v>2768</v>
      </c>
      <c r="C13922" t="s">
        <v>24</v>
      </c>
      <c r="D13922" t="s">
        <v>2941</v>
      </c>
      <c r="E13922" t="s">
        <v>2942</v>
      </c>
      <c r="F13922" t="s">
        <v>2943</v>
      </c>
      <c r="G13922" t="s">
        <v>2944</v>
      </c>
      <c r="H13922" t="s">
        <v>2945</v>
      </c>
      <c r="I13922" t="s">
        <v>2946</v>
      </c>
      <c r="J13922" t="s">
        <v>2947</v>
      </c>
      <c r="K13922" t="s">
        <v>2948</v>
      </c>
      <c r="L13922" t="s">
        <v>2949</v>
      </c>
      <c r="M13922" t="s">
        <v>2950</v>
      </c>
      <c r="N13922" t="s">
        <v>2951</v>
      </c>
      <c r="O13922" t="s">
        <v>89</v>
      </c>
    </row>
    <row r="13923" spans="1:15" s="3" customFormat="1" x14ac:dyDescent="0.3">
      <c r="A13923" s="3" t="s">
        <v>25</v>
      </c>
      <c r="B13923" s="3" t="s">
        <v>638</v>
      </c>
      <c r="C13923" s="3">
        <v>4</v>
      </c>
      <c r="D13923" s="3" t="s">
        <v>284</v>
      </c>
      <c r="E13923" s="3" t="s">
        <v>606</v>
      </c>
      <c r="F13923" s="3" t="s">
        <v>103</v>
      </c>
      <c r="G13923" s="3" t="s">
        <v>376</v>
      </c>
      <c r="H13923" s="3" t="s">
        <v>103</v>
      </c>
      <c r="I13923" s="3" t="s">
        <v>781</v>
      </c>
      <c r="J13923" s="3" t="s">
        <v>103</v>
      </c>
      <c r="K13923" s="3" t="s">
        <v>103</v>
      </c>
      <c r="L13923" s="3" t="s">
        <v>103</v>
      </c>
      <c r="M13923" s="3" t="s">
        <v>103</v>
      </c>
      <c r="N13923" s="3" t="s">
        <v>103</v>
      </c>
      <c r="O13923" s="3" t="s">
        <v>103</v>
      </c>
    </row>
    <row r="13924" spans="1:15" s="3" customFormat="1" x14ac:dyDescent="0.3">
      <c r="A13924" s="3" t="s">
        <v>25</v>
      </c>
      <c r="B13924" s="3" t="s">
        <v>639</v>
      </c>
      <c r="C13924" s="3">
        <v>7</v>
      </c>
      <c r="D13924" s="3" t="s">
        <v>136</v>
      </c>
      <c r="E13924" s="3" t="s">
        <v>929</v>
      </c>
      <c r="F13924" s="3" t="s">
        <v>103</v>
      </c>
      <c r="G13924" s="3" t="s">
        <v>683</v>
      </c>
      <c r="H13924" s="3" t="s">
        <v>103</v>
      </c>
      <c r="I13924" s="3" t="s">
        <v>1137</v>
      </c>
      <c r="J13924" s="3" t="s">
        <v>103</v>
      </c>
      <c r="K13924" s="3" t="s">
        <v>103</v>
      </c>
      <c r="L13924" s="3" t="s">
        <v>103</v>
      </c>
      <c r="M13924" s="3" t="s">
        <v>103</v>
      </c>
      <c r="N13924" s="3" t="s">
        <v>103</v>
      </c>
      <c r="O13924" s="3" t="s">
        <v>103</v>
      </c>
    </row>
    <row r="13925" spans="1:15" s="3" customFormat="1" x14ac:dyDescent="0.3">
      <c r="A13925" s="3" t="s">
        <v>25</v>
      </c>
      <c r="B13925" s="3" t="s">
        <v>640</v>
      </c>
      <c r="C13925" s="3">
        <v>4</v>
      </c>
      <c r="D13925" s="3" t="s">
        <v>103</v>
      </c>
      <c r="E13925" s="3" t="s">
        <v>666</v>
      </c>
      <c r="F13925" s="3" t="s">
        <v>103</v>
      </c>
      <c r="G13925" s="3" t="s">
        <v>103</v>
      </c>
      <c r="H13925" s="3" t="s">
        <v>103</v>
      </c>
      <c r="I13925" s="3" t="s">
        <v>192</v>
      </c>
      <c r="J13925" s="3" t="s">
        <v>103</v>
      </c>
      <c r="K13925" s="3" t="s">
        <v>103</v>
      </c>
      <c r="L13925" s="3" t="s">
        <v>103</v>
      </c>
      <c r="M13925" s="3" t="s">
        <v>103</v>
      </c>
      <c r="N13925" s="3" t="s">
        <v>103</v>
      </c>
      <c r="O13925" s="3" t="s">
        <v>103</v>
      </c>
    </row>
    <row r="13926" spans="1:15" s="3" customFormat="1" x14ac:dyDescent="0.3">
      <c r="A13926" s="3" t="s">
        <v>25</v>
      </c>
      <c r="B13926" s="3" t="s">
        <v>2765</v>
      </c>
      <c r="C13926" s="3">
        <v>1</v>
      </c>
      <c r="D13926" s="3" t="s">
        <v>103</v>
      </c>
      <c r="E13926" s="3" t="s">
        <v>103</v>
      </c>
      <c r="F13926" s="3" t="s">
        <v>103</v>
      </c>
      <c r="G13926" s="3" t="s">
        <v>103</v>
      </c>
      <c r="H13926" s="3" t="s">
        <v>103</v>
      </c>
      <c r="I13926" s="3" t="s">
        <v>192</v>
      </c>
      <c r="J13926" s="3" t="s">
        <v>103</v>
      </c>
      <c r="K13926" s="3" t="s">
        <v>103</v>
      </c>
      <c r="L13926" s="3" t="s">
        <v>103</v>
      </c>
      <c r="M13926" s="3" t="s">
        <v>103</v>
      </c>
      <c r="N13926" s="3" t="s">
        <v>103</v>
      </c>
      <c r="O13926" s="3" t="s">
        <v>103</v>
      </c>
    </row>
    <row r="13927" spans="1:15" s="3" customFormat="1" x14ac:dyDescent="0.3">
      <c r="A13927" s="3" t="s">
        <v>25</v>
      </c>
      <c r="B13927" s="3" t="s">
        <v>641</v>
      </c>
      <c r="C13927" s="3">
        <v>1</v>
      </c>
      <c r="D13927" s="3" t="s">
        <v>103</v>
      </c>
      <c r="E13927" s="3" t="s">
        <v>192</v>
      </c>
      <c r="F13927" s="3" t="s">
        <v>103</v>
      </c>
      <c r="G13927" s="3" t="s">
        <v>103</v>
      </c>
      <c r="H13927" s="3" t="s">
        <v>103</v>
      </c>
      <c r="I13927" s="3" t="s">
        <v>192</v>
      </c>
      <c r="J13927" s="3" t="s">
        <v>103</v>
      </c>
      <c r="K13927" s="3" t="s">
        <v>103</v>
      </c>
      <c r="L13927" s="3" t="s">
        <v>103</v>
      </c>
      <c r="M13927" s="3" t="s">
        <v>103</v>
      </c>
      <c r="N13927" s="3" t="s">
        <v>103</v>
      </c>
      <c r="O13927" s="3" t="s">
        <v>103</v>
      </c>
    </row>
    <row r="13928" spans="1:15" s="3" customFormat="1" x14ac:dyDescent="0.3">
      <c r="A13928" s="3" t="s">
        <v>25</v>
      </c>
      <c r="B13928" s="3" t="s">
        <v>2769</v>
      </c>
      <c r="C13928" s="3">
        <v>2</v>
      </c>
      <c r="D13928" s="3" t="s">
        <v>103</v>
      </c>
      <c r="E13928" s="3" t="s">
        <v>1203</v>
      </c>
      <c r="F13928" s="3" t="s">
        <v>103</v>
      </c>
      <c r="G13928" s="3" t="s">
        <v>103</v>
      </c>
      <c r="H13928" s="3" t="s">
        <v>103</v>
      </c>
      <c r="I13928" s="3" t="s">
        <v>192</v>
      </c>
      <c r="J13928" s="3" t="s">
        <v>103</v>
      </c>
      <c r="K13928" s="3" t="s">
        <v>103</v>
      </c>
      <c r="L13928" s="3" t="s">
        <v>103</v>
      </c>
      <c r="M13928" s="3" t="s">
        <v>103</v>
      </c>
      <c r="N13928" s="3" t="s">
        <v>103</v>
      </c>
      <c r="O13928" s="3" t="s">
        <v>103</v>
      </c>
    </row>
    <row r="13929" spans="1:15" x14ac:dyDescent="0.3">
      <c r="A13929" t="s">
        <v>25</v>
      </c>
      <c r="B13929" t="s">
        <v>308</v>
      </c>
      <c r="C13929">
        <v>177</v>
      </c>
      <c r="D13929" t="s">
        <v>488</v>
      </c>
      <c r="E13929" t="s">
        <v>1375</v>
      </c>
      <c r="F13929" t="s">
        <v>105</v>
      </c>
      <c r="G13929" t="s">
        <v>925</v>
      </c>
      <c r="H13929" t="s">
        <v>103</v>
      </c>
      <c r="I13929" t="s">
        <v>411</v>
      </c>
      <c r="J13929" t="s">
        <v>137</v>
      </c>
      <c r="K13929" t="s">
        <v>208</v>
      </c>
      <c r="L13929" t="s">
        <v>64</v>
      </c>
      <c r="M13929" t="s">
        <v>468</v>
      </c>
      <c r="N13929" t="s">
        <v>103</v>
      </c>
      <c r="O13929" t="s">
        <v>103</v>
      </c>
    </row>
    <row r="13930" spans="1:15" s="3" customFormat="1" x14ac:dyDescent="0.3">
      <c r="A13930" s="3" t="s">
        <v>26</v>
      </c>
      <c r="B13930" s="3" t="s">
        <v>639</v>
      </c>
      <c r="C13930" s="3">
        <v>6</v>
      </c>
      <c r="D13930" s="3" t="s">
        <v>103</v>
      </c>
      <c r="E13930" s="3" t="s">
        <v>685</v>
      </c>
      <c r="F13930" s="3" t="s">
        <v>103</v>
      </c>
      <c r="G13930" s="3" t="s">
        <v>1295</v>
      </c>
      <c r="H13930" s="3" t="s">
        <v>103</v>
      </c>
      <c r="I13930" s="3" t="s">
        <v>867</v>
      </c>
      <c r="J13930" s="3" t="s">
        <v>103</v>
      </c>
      <c r="K13930" s="3" t="s">
        <v>103</v>
      </c>
      <c r="L13930" s="3" t="s">
        <v>103</v>
      </c>
      <c r="M13930" s="3" t="s">
        <v>103</v>
      </c>
      <c r="N13930" s="3" t="s">
        <v>103</v>
      </c>
      <c r="O13930" s="3" t="s">
        <v>103</v>
      </c>
    </row>
    <row r="13931" spans="1:15" s="3" customFormat="1" x14ac:dyDescent="0.3">
      <c r="A13931" s="3" t="s">
        <v>26</v>
      </c>
      <c r="B13931" s="3" t="s">
        <v>640</v>
      </c>
      <c r="C13931" s="3">
        <v>1</v>
      </c>
      <c r="D13931" s="3" t="s">
        <v>103</v>
      </c>
      <c r="E13931" s="3" t="s">
        <v>103</v>
      </c>
      <c r="F13931" s="3" t="s">
        <v>103</v>
      </c>
      <c r="G13931" s="3" t="s">
        <v>103</v>
      </c>
      <c r="H13931" s="3" t="s">
        <v>103</v>
      </c>
      <c r="I13931" s="3" t="s">
        <v>192</v>
      </c>
      <c r="J13931" s="3" t="s">
        <v>103</v>
      </c>
      <c r="K13931" s="3" t="s">
        <v>103</v>
      </c>
      <c r="L13931" s="3" t="s">
        <v>103</v>
      </c>
      <c r="M13931" s="3" t="s">
        <v>103</v>
      </c>
      <c r="N13931" s="3" t="s">
        <v>103</v>
      </c>
      <c r="O13931" s="3" t="s">
        <v>103</v>
      </c>
    </row>
    <row r="13932" spans="1:15" s="3" customFormat="1" x14ac:dyDescent="0.3">
      <c r="A13932" s="3" t="s">
        <v>26</v>
      </c>
      <c r="B13932" s="3" t="s">
        <v>641</v>
      </c>
      <c r="C13932" s="3">
        <v>2</v>
      </c>
      <c r="D13932" s="3" t="s">
        <v>103</v>
      </c>
      <c r="E13932" s="3" t="s">
        <v>400</v>
      </c>
      <c r="F13932" s="3" t="s">
        <v>103</v>
      </c>
      <c r="G13932" s="3" t="s">
        <v>399</v>
      </c>
      <c r="H13932" s="3" t="s">
        <v>103</v>
      </c>
      <c r="I13932" s="3" t="s">
        <v>103</v>
      </c>
      <c r="J13932" s="3" t="s">
        <v>103</v>
      </c>
      <c r="K13932" s="3" t="s">
        <v>103</v>
      </c>
      <c r="L13932" s="3" t="s">
        <v>103</v>
      </c>
      <c r="M13932" s="3" t="s">
        <v>103</v>
      </c>
      <c r="N13932" s="3" t="s">
        <v>103</v>
      </c>
      <c r="O13932" s="3" t="s">
        <v>103</v>
      </c>
    </row>
    <row r="13933" spans="1:15" x14ac:dyDescent="0.3">
      <c r="A13933" t="s">
        <v>26</v>
      </c>
      <c r="B13933" t="s">
        <v>308</v>
      </c>
      <c r="C13933">
        <v>200</v>
      </c>
      <c r="D13933" t="s">
        <v>517</v>
      </c>
      <c r="E13933" t="s">
        <v>395</v>
      </c>
      <c r="F13933" t="s">
        <v>232</v>
      </c>
      <c r="G13933" t="s">
        <v>484</v>
      </c>
      <c r="H13933" t="s">
        <v>98</v>
      </c>
      <c r="I13933" t="s">
        <v>502</v>
      </c>
      <c r="J13933" t="s">
        <v>214</v>
      </c>
      <c r="K13933" t="s">
        <v>103</v>
      </c>
      <c r="L13933" t="s">
        <v>558</v>
      </c>
      <c r="M13933" t="s">
        <v>122</v>
      </c>
      <c r="N13933" t="s">
        <v>103</v>
      </c>
      <c r="O13933" t="s">
        <v>120</v>
      </c>
    </row>
    <row r="13934" spans="1:15" s="3" customFormat="1" x14ac:dyDescent="0.3">
      <c r="A13934" s="3" t="s">
        <v>29</v>
      </c>
      <c r="B13934" s="3" t="s">
        <v>638</v>
      </c>
      <c r="C13934" s="3">
        <v>3</v>
      </c>
      <c r="D13934" s="3" t="s">
        <v>882</v>
      </c>
      <c r="E13934" s="3" t="s">
        <v>1555</v>
      </c>
      <c r="F13934" s="3" t="s">
        <v>390</v>
      </c>
      <c r="G13934" s="3" t="s">
        <v>390</v>
      </c>
      <c r="H13934" s="3" t="s">
        <v>103</v>
      </c>
      <c r="I13934" s="3" t="s">
        <v>390</v>
      </c>
      <c r="J13934" s="3" t="s">
        <v>103</v>
      </c>
      <c r="K13934" s="3" t="s">
        <v>103</v>
      </c>
      <c r="L13934" s="3" t="s">
        <v>103</v>
      </c>
      <c r="M13934" s="3" t="s">
        <v>103</v>
      </c>
      <c r="N13934" s="3" t="s">
        <v>103</v>
      </c>
      <c r="O13934" s="3" t="s">
        <v>103</v>
      </c>
    </row>
    <row r="13935" spans="1:15" s="3" customFormat="1" x14ac:dyDescent="0.3">
      <c r="A13935" s="3" t="s">
        <v>29</v>
      </c>
      <c r="B13935" s="3" t="s">
        <v>639</v>
      </c>
      <c r="C13935" s="3">
        <v>2</v>
      </c>
      <c r="D13935" s="3" t="s">
        <v>1087</v>
      </c>
      <c r="E13935" s="3" t="s">
        <v>192</v>
      </c>
      <c r="F13935" s="3" t="s">
        <v>103</v>
      </c>
      <c r="G13935" s="3" t="s">
        <v>103</v>
      </c>
      <c r="H13935" s="3" t="s">
        <v>103</v>
      </c>
      <c r="I13935" s="3" t="s">
        <v>192</v>
      </c>
      <c r="J13935" s="3" t="s">
        <v>103</v>
      </c>
      <c r="K13935" s="3" t="s">
        <v>103</v>
      </c>
      <c r="L13935" s="3" t="s">
        <v>103</v>
      </c>
      <c r="M13935" s="3" t="s">
        <v>103</v>
      </c>
      <c r="N13935" s="3" t="s">
        <v>103</v>
      </c>
      <c r="O13935" s="3" t="s">
        <v>103</v>
      </c>
    </row>
    <row r="13936" spans="1:15" s="3" customFormat="1" x14ac:dyDescent="0.3">
      <c r="A13936" s="3" t="s">
        <v>29</v>
      </c>
      <c r="B13936" s="3" t="s">
        <v>640</v>
      </c>
      <c r="C13936" s="3">
        <v>5</v>
      </c>
      <c r="D13936" s="3" t="s">
        <v>144</v>
      </c>
      <c r="E13936" s="3" t="s">
        <v>1545</v>
      </c>
      <c r="F13936" s="3" t="s">
        <v>579</v>
      </c>
      <c r="G13936" s="3" t="s">
        <v>144</v>
      </c>
      <c r="H13936" s="3" t="s">
        <v>103</v>
      </c>
      <c r="I13936" s="3" t="s">
        <v>395</v>
      </c>
      <c r="J13936" s="3" t="s">
        <v>103</v>
      </c>
      <c r="K13936" s="3" t="s">
        <v>103</v>
      </c>
      <c r="L13936" s="3" t="s">
        <v>103</v>
      </c>
      <c r="M13936" s="3" t="s">
        <v>1637</v>
      </c>
      <c r="N13936" s="3" t="s">
        <v>103</v>
      </c>
      <c r="O13936" s="3" t="s">
        <v>103</v>
      </c>
    </row>
    <row r="13937" spans="1:15" s="3" customFormat="1" x14ac:dyDescent="0.3">
      <c r="A13937" s="3" t="s">
        <v>29</v>
      </c>
      <c r="B13937" s="3" t="s">
        <v>2765</v>
      </c>
      <c r="C13937" s="3">
        <v>4</v>
      </c>
      <c r="D13937" s="3" t="s">
        <v>1018</v>
      </c>
      <c r="E13937" s="3" t="s">
        <v>192</v>
      </c>
      <c r="F13937" s="3" t="s">
        <v>735</v>
      </c>
      <c r="G13937" s="3" t="s">
        <v>1018</v>
      </c>
      <c r="H13937" s="3" t="s">
        <v>103</v>
      </c>
      <c r="I13937" s="3" t="s">
        <v>192</v>
      </c>
      <c r="J13937" s="3" t="s">
        <v>1018</v>
      </c>
      <c r="K13937" s="3" t="s">
        <v>705</v>
      </c>
      <c r="L13937" s="3" t="s">
        <v>1018</v>
      </c>
      <c r="M13937" s="3" t="s">
        <v>103</v>
      </c>
      <c r="N13937" s="3" t="s">
        <v>705</v>
      </c>
      <c r="O13937" s="3" t="s">
        <v>103</v>
      </c>
    </row>
    <row r="13938" spans="1:15" s="3" customFormat="1" x14ac:dyDescent="0.3">
      <c r="A13938" s="3" t="s">
        <v>29</v>
      </c>
      <c r="B13938" s="3" t="s">
        <v>641</v>
      </c>
      <c r="C13938" s="3">
        <v>3</v>
      </c>
      <c r="D13938" s="3" t="s">
        <v>103</v>
      </c>
      <c r="E13938" s="3" t="s">
        <v>1044</v>
      </c>
      <c r="F13938" s="3" t="s">
        <v>464</v>
      </c>
      <c r="G13938" s="3" t="s">
        <v>670</v>
      </c>
      <c r="H13938" s="3" t="s">
        <v>103</v>
      </c>
      <c r="I13938" s="3" t="s">
        <v>670</v>
      </c>
      <c r="J13938" s="3" t="s">
        <v>103</v>
      </c>
      <c r="K13938" s="3" t="s">
        <v>103</v>
      </c>
      <c r="L13938" s="3" t="s">
        <v>103</v>
      </c>
      <c r="M13938" s="3" t="s">
        <v>103</v>
      </c>
      <c r="N13938" s="3" t="s">
        <v>103</v>
      </c>
      <c r="O13938" s="3" t="s">
        <v>103</v>
      </c>
    </row>
    <row r="13939" spans="1:15" s="3" customFormat="1" x14ac:dyDescent="0.3">
      <c r="A13939" s="3" t="s">
        <v>29</v>
      </c>
      <c r="B13939" s="3" t="s">
        <v>2769</v>
      </c>
      <c r="C13939" s="3">
        <v>1</v>
      </c>
      <c r="D13939" s="3" t="s">
        <v>192</v>
      </c>
      <c r="E13939" s="3" t="s">
        <v>192</v>
      </c>
      <c r="F13939" s="3" t="s">
        <v>103</v>
      </c>
      <c r="G13939" s="3" t="s">
        <v>103</v>
      </c>
      <c r="H13939" s="3" t="s">
        <v>103</v>
      </c>
      <c r="I13939" s="3" t="s">
        <v>192</v>
      </c>
      <c r="J13939" s="3" t="s">
        <v>103</v>
      </c>
      <c r="K13939" s="3" t="s">
        <v>103</v>
      </c>
      <c r="L13939" s="3" t="s">
        <v>103</v>
      </c>
      <c r="M13939" s="3" t="s">
        <v>103</v>
      </c>
      <c r="N13939" s="3" t="s">
        <v>103</v>
      </c>
      <c r="O13939" s="3" t="s">
        <v>103</v>
      </c>
    </row>
    <row r="13940" spans="1:15" x14ac:dyDescent="0.3">
      <c r="A13940" t="s">
        <v>29</v>
      </c>
      <c r="B13940" t="s">
        <v>308</v>
      </c>
      <c r="C13940">
        <v>236</v>
      </c>
      <c r="D13940" t="s">
        <v>548</v>
      </c>
      <c r="E13940" t="s">
        <v>1047</v>
      </c>
      <c r="F13940" t="s">
        <v>750</v>
      </c>
      <c r="G13940" t="s">
        <v>1143</v>
      </c>
      <c r="H13940" t="s">
        <v>95</v>
      </c>
      <c r="I13940" t="s">
        <v>905</v>
      </c>
      <c r="J13940" t="s">
        <v>544</v>
      </c>
      <c r="K13940" t="s">
        <v>244</v>
      </c>
      <c r="L13940" t="s">
        <v>284</v>
      </c>
      <c r="M13940" t="s">
        <v>282</v>
      </c>
      <c r="N13940" t="s">
        <v>103</v>
      </c>
      <c r="O13940" t="s">
        <v>103</v>
      </c>
    </row>
    <row r="13941" spans="1:15" s="3" customFormat="1" x14ac:dyDescent="0.3">
      <c r="A13941" s="3" t="s">
        <v>28</v>
      </c>
      <c r="B13941" s="3" t="s">
        <v>638</v>
      </c>
      <c r="C13941" s="3">
        <v>8</v>
      </c>
      <c r="D13941" s="3" t="s">
        <v>530</v>
      </c>
      <c r="E13941" s="3" t="s">
        <v>806</v>
      </c>
      <c r="F13941" s="3" t="s">
        <v>103</v>
      </c>
      <c r="G13941" s="3" t="s">
        <v>119</v>
      </c>
      <c r="H13941" s="3" t="s">
        <v>103</v>
      </c>
      <c r="I13941" s="3" t="s">
        <v>592</v>
      </c>
      <c r="J13941" s="3" t="s">
        <v>131</v>
      </c>
      <c r="K13941" s="3" t="s">
        <v>131</v>
      </c>
      <c r="L13941" s="3" t="s">
        <v>103</v>
      </c>
      <c r="M13941" s="3" t="s">
        <v>103</v>
      </c>
      <c r="N13941" s="3" t="s">
        <v>103</v>
      </c>
      <c r="O13941" s="3" t="s">
        <v>103</v>
      </c>
    </row>
    <row r="13942" spans="1:15" s="3" customFormat="1" x14ac:dyDescent="0.3">
      <c r="A13942" s="3" t="s">
        <v>28</v>
      </c>
      <c r="B13942" s="3" t="s">
        <v>639</v>
      </c>
      <c r="C13942" s="3">
        <v>11</v>
      </c>
      <c r="D13942" s="3" t="s">
        <v>571</v>
      </c>
      <c r="E13942" s="3" t="s">
        <v>192</v>
      </c>
      <c r="F13942" s="3" t="s">
        <v>478</v>
      </c>
      <c r="G13942" s="3" t="s">
        <v>103</v>
      </c>
      <c r="H13942" s="3" t="s">
        <v>103</v>
      </c>
      <c r="I13942" s="3" t="s">
        <v>919</v>
      </c>
      <c r="J13942" s="3" t="s">
        <v>103</v>
      </c>
      <c r="K13942" s="3" t="s">
        <v>103</v>
      </c>
      <c r="L13942" s="3" t="s">
        <v>103</v>
      </c>
      <c r="M13942" s="3" t="s">
        <v>662</v>
      </c>
      <c r="N13942" s="3" t="s">
        <v>103</v>
      </c>
      <c r="O13942" s="3" t="s">
        <v>103</v>
      </c>
    </row>
    <row r="13943" spans="1:15" s="3" customFormat="1" x14ac:dyDescent="0.3">
      <c r="A13943" s="3" t="s">
        <v>28</v>
      </c>
      <c r="B13943" s="3" t="s">
        <v>640</v>
      </c>
      <c r="C13943" s="3">
        <v>10</v>
      </c>
      <c r="D13943" s="3" t="s">
        <v>479</v>
      </c>
      <c r="E13943" s="3" t="s">
        <v>769</v>
      </c>
      <c r="F13943" s="3" t="s">
        <v>275</v>
      </c>
      <c r="G13943" s="3" t="s">
        <v>275</v>
      </c>
      <c r="H13943" s="3" t="s">
        <v>103</v>
      </c>
      <c r="I13943" s="3" t="s">
        <v>795</v>
      </c>
      <c r="J13943" s="3" t="s">
        <v>544</v>
      </c>
      <c r="K13943" s="3" t="s">
        <v>103</v>
      </c>
      <c r="L13943" s="3" t="s">
        <v>494</v>
      </c>
      <c r="M13943" s="3" t="s">
        <v>108</v>
      </c>
      <c r="N13943" s="3" t="s">
        <v>103</v>
      </c>
      <c r="O13943" s="3" t="s">
        <v>103</v>
      </c>
    </row>
    <row r="13944" spans="1:15" s="3" customFormat="1" x14ac:dyDescent="0.3">
      <c r="A13944" s="3" t="s">
        <v>28</v>
      </c>
      <c r="B13944" s="3" t="s">
        <v>2765</v>
      </c>
      <c r="C13944" s="3">
        <v>2</v>
      </c>
      <c r="D13944" s="3" t="s">
        <v>103</v>
      </c>
      <c r="E13944" s="3" t="s">
        <v>192</v>
      </c>
      <c r="F13944" s="3" t="s">
        <v>103</v>
      </c>
      <c r="G13944" s="3" t="s">
        <v>103</v>
      </c>
      <c r="H13944" s="3" t="s">
        <v>103</v>
      </c>
      <c r="I13944" s="3" t="s">
        <v>492</v>
      </c>
      <c r="J13944" s="3" t="s">
        <v>103</v>
      </c>
      <c r="K13944" s="3" t="s">
        <v>103</v>
      </c>
      <c r="L13944" s="3" t="s">
        <v>103</v>
      </c>
      <c r="M13944" s="3" t="s">
        <v>103</v>
      </c>
      <c r="N13944" s="3" t="s">
        <v>103</v>
      </c>
      <c r="O13944" s="3" t="s">
        <v>103</v>
      </c>
    </row>
    <row r="13945" spans="1:15" s="3" customFormat="1" x14ac:dyDescent="0.3">
      <c r="A13945" s="3" t="s">
        <v>28</v>
      </c>
      <c r="B13945" s="3" t="s">
        <v>641</v>
      </c>
      <c r="C13945" s="3">
        <v>5</v>
      </c>
      <c r="D13945" s="3" t="s">
        <v>685</v>
      </c>
      <c r="E13945" s="3" t="s">
        <v>1317</v>
      </c>
      <c r="F13945" s="3" t="s">
        <v>1039</v>
      </c>
      <c r="G13945" s="3" t="s">
        <v>103</v>
      </c>
      <c r="H13945" s="3" t="s">
        <v>103</v>
      </c>
      <c r="I13945" s="3" t="s">
        <v>685</v>
      </c>
      <c r="J13945" s="3" t="s">
        <v>103</v>
      </c>
      <c r="K13945" s="3" t="s">
        <v>103</v>
      </c>
      <c r="L13945" s="3" t="s">
        <v>103</v>
      </c>
      <c r="M13945" s="3" t="s">
        <v>103</v>
      </c>
      <c r="N13945" s="3" t="s">
        <v>103</v>
      </c>
      <c r="O13945" s="3" t="s">
        <v>103</v>
      </c>
    </row>
    <row r="13946" spans="1:15" s="3" customFormat="1" x14ac:dyDescent="0.3">
      <c r="A13946" s="3" t="s">
        <v>28</v>
      </c>
      <c r="B13946" s="3" t="s">
        <v>2769</v>
      </c>
      <c r="C13946" s="3">
        <v>2</v>
      </c>
      <c r="D13946" s="3" t="s">
        <v>103</v>
      </c>
      <c r="E13946" s="3" t="s">
        <v>192</v>
      </c>
      <c r="F13946" s="3" t="s">
        <v>103</v>
      </c>
      <c r="G13946" s="3" t="s">
        <v>103</v>
      </c>
      <c r="H13946" s="3" t="s">
        <v>103</v>
      </c>
      <c r="I13946" s="3" t="s">
        <v>103</v>
      </c>
      <c r="J13946" s="3" t="s">
        <v>103</v>
      </c>
      <c r="K13946" s="3" t="s">
        <v>103</v>
      </c>
      <c r="L13946" s="3" t="s">
        <v>103</v>
      </c>
      <c r="M13946" s="3" t="s">
        <v>103</v>
      </c>
      <c r="N13946" s="3" t="s">
        <v>103</v>
      </c>
      <c r="O13946" s="3" t="s">
        <v>103</v>
      </c>
    </row>
    <row r="13947" spans="1:15" x14ac:dyDescent="0.3">
      <c r="A13947" t="s">
        <v>28</v>
      </c>
      <c r="B13947" t="s">
        <v>308</v>
      </c>
      <c r="C13947">
        <v>194</v>
      </c>
      <c r="D13947" t="s">
        <v>684</v>
      </c>
      <c r="E13947" t="s">
        <v>161</v>
      </c>
      <c r="F13947" t="s">
        <v>789</v>
      </c>
      <c r="G13947" t="s">
        <v>505</v>
      </c>
      <c r="H13947" t="s">
        <v>120</v>
      </c>
      <c r="I13947" t="s">
        <v>572</v>
      </c>
      <c r="J13947" t="s">
        <v>531</v>
      </c>
      <c r="K13947" t="s">
        <v>257</v>
      </c>
      <c r="L13947" t="s">
        <v>64</v>
      </c>
      <c r="M13947" t="s">
        <v>116</v>
      </c>
      <c r="N13947" t="s">
        <v>216</v>
      </c>
      <c r="O13947" t="s">
        <v>103</v>
      </c>
    </row>
    <row r="13948" spans="1:15" s="3" customFormat="1" x14ac:dyDescent="0.3">
      <c r="A13948" s="3" t="s">
        <v>27</v>
      </c>
      <c r="B13948" s="3" t="s">
        <v>638</v>
      </c>
      <c r="C13948" s="3">
        <v>1</v>
      </c>
      <c r="D13948" s="3" t="s">
        <v>103</v>
      </c>
      <c r="E13948" s="3" t="s">
        <v>192</v>
      </c>
      <c r="F13948" s="3" t="s">
        <v>192</v>
      </c>
      <c r="G13948" s="3" t="s">
        <v>103</v>
      </c>
      <c r="H13948" s="3" t="s">
        <v>103</v>
      </c>
      <c r="I13948" s="3" t="s">
        <v>103</v>
      </c>
      <c r="J13948" s="3" t="s">
        <v>103</v>
      </c>
      <c r="K13948" s="3" t="s">
        <v>103</v>
      </c>
      <c r="L13948" s="3" t="s">
        <v>103</v>
      </c>
      <c r="M13948" s="3" t="s">
        <v>103</v>
      </c>
      <c r="N13948" s="3" t="s">
        <v>103</v>
      </c>
      <c r="O13948" s="3" t="s">
        <v>103</v>
      </c>
    </row>
    <row r="13949" spans="1:15" s="3" customFormat="1" x14ac:dyDescent="0.3">
      <c r="A13949" s="3" t="s">
        <v>27</v>
      </c>
      <c r="B13949" s="3" t="s">
        <v>2765</v>
      </c>
      <c r="C13949" s="3">
        <v>1</v>
      </c>
      <c r="D13949" s="3" t="s">
        <v>103</v>
      </c>
      <c r="E13949" s="3" t="s">
        <v>192</v>
      </c>
      <c r="F13949" s="3" t="s">
        <v>103</v>
      </c>
      <c r="G13949" s="3" t="s">
        <v>103</v>
      </c>
      <c r="H13949" s="3" t="s">
        <v>103</v>
      </c>
      <c r="I13949" s="3" t="s">
        <v>192</v>
      </c>
      <c r="J13949" s="3" t="s">
        <v>103</v>
      </c>
      <c r="K13949" s="3" t="s">
        <v>103</v>
      </c>
      <c r="L13949" s="3" t="s">
        <v>103</v>
      </c>
      <c r="M13949" s="3" t="s">
        <v>103</v>
      </c>
      <c r="N13949" s="3" t="s">
        <v>103</v>
      </c>
      <c r="O13949" s="3" t="s">
        <v>103</v>
      </c>
    </row>
    <row r="13950" spans="1:15" s="3" customFormat="1" x14ac:dyDescent="0.3">
      <c r="A13950" s="3" t="s">
        <v>27</v>
      </c>
      <c r="B13950" s="3" t="s">
        <v>641</v>
      </c>
      <c r="C13950" s="3">
        <v>1</v>
      </c>
      <c r="D13950" s="3" t="s">
        <v>103</v>
      </c>
      <c r="E13950" s="3" t="s">
        <v>103</v>
      </c>
      <c r="F13950" s="3" t="s">
        <v>103</v>
      </c>
      <c r="G13950" s="3" t="s">
        <v>103</v>
      </c>
      <c r="H13950" s="3" t="s">
        <v>103</v>
      </c>
      <c r="I13950" s="3" t="s">
        <v>192</v>
      </c>
      <c r="J13950" s="3" t="s">
        <v>103</v>
      </c>
      <c r="K13950" s="3" t="s">
        <v>103</v>
      </c>
      <c r="L13950" s="3" t="s">
        <v>103</v>
      </c>
      <c r="M13950" s="3" t="s">
        <v>103</v>
      </c>
      <c r="N13950" s="3" t="s">
        <v>103</v>
      </c>
      <c r="O13950" s="3" t="s">
        <v>103</v>
      </c>
    </row>
    <row r="13951" spans="1:15" x14ac:dyDescent="0.3">
      <c r="A13951" t="s">
        <v>27</v>
      </c>
      <c r="B13951" t="s">
        <v>308</v>
      </c>
      <c r="C13951">
        <v>184</v>
      </c>
      <c r="D13951" t="s">
        <v>194</v>
      </c>
      <c r="E13951" t="s">
        <v>1379</v>
      </c>
      <c r="F13951" t="s">
        <v>206</v>
      </c>
      <c r="G13951" t="s">
        <v>560</v>
      </c>
      <c r="H13951" t="s">
        <v>110</v>
      </c>
      <c r="I13951" t="s">
        <v>785</v>
      </c>
      <c r="J13951" t="s">
        <v>91</v>
      </c>
      <c r="K13951" t="s">
        <v>103</v>
      </c>
      <c r="L13951" t="s">
        <v>270</v>
      </c>
      <c r="M13951" t="s">
        <v>103</v>
      </c>
      <c r="N13951" t="s">
        <v>103</v>
      </c>
      <c r="O13951" t="s">
        <v>120</v>
      </c>
    </row>
    <row r="13952" spans="1:15" s="3" customFormat="1" x14ac:dyDescent="0.3">
      <c r="A13952" s="3" t="s">
        <v>41</v>
      </c>
      <c r="B13952" s="3" t="s">
        <v>638</v>
      </c>
      <c r="C13952" s="3">
        <v>16</v>
      </c>
      <c r="D13952" s="3" t="s">
        <v>387</v>
      </c>
      <c r="E13952" s="3" t="s">
        <v>1373</v>
      </c>
      <c r="F13952" s="3" t="s">
        <v>695</v>
      </c>
      <c r="G13952" s="3" t="s">
        <v>480</v>
      </c>
      <c r="H13952" s="3" t="s">
        <v>103</v>
      </c>
      <c r="I13952" s="3" t="s">
        <v>937</v>
      </c>
      <c r="J13952" s="3" t="s">
        <v>113</v>
      </c>
      <c r="K13952" s="3" t="s">
        <v>113</v>
      </c>
      <c r="L13952" s="3" t="s">
        <v>103</v>
      </c>
      <c r="M13952" s="3" t="s">
        <v>103</v>
      </c>
      <c r="N13952" s="3" t="s">
        <v>103</v>
      </c>
      <c r="O13952" s="3" t="s">
        <v>103</v>
      </c>
    </row>
    <row r="13953" spans="1:15" s="3" customFormat="1" x14ac:dyDescent="0.3">
      <c r="A13953" s="3" t="s">
        <v>41</v>
      </c>
      <c r="B13953" s="3" t="s">
        <v>639</v>
      </c>
      <c r="C13953" s="3">
        <v>26</v>
      </c>
      <c r="D13953" s="3" t="s">
        <v>171</v>
      </c>
      <c r="E13953" s="3" t="s">
        <v>298</v>
      </c>
      <c r="F13953" s="3" t="s">
        <v>32</v>
      </c>
      <c r="G13953" s="3" t="s">
        <v>539</v>
      </c>
      <c r="H13953" s="3" t="s">
        <v>103</v>
      </c>
      <c r="I13953" s="3" t="s">
        <v>252</v>
      </c>
      <c r="J13953" s="3" t="s">
        <v>103</v>
      </c>
      <c r="K13953" s="3" t="s">
        <v>103</v>
      </c>
      <c r="L13953" s="3" t="s">
        <v>103</v>
      </c>
      <c r="M13953" s="3" t="s">
        <v>468</v>
      </c>
      <c r="N13953" s="3" t="s">
        <v>103</v>
      </c>
      <c r="O13953" s="3" t="s">
        <v>103</v>
      </c>
    </row>
    <row r="13954" spans="1:15" s="3" customFormat="1" x14ac:dyDescent="0.3">
      <c r="A13954" s="3" t="s">
        <v>41</v>
      </c>
      <c r="B13954" s="3" t="s">
        <v>640</v>
      </c>
      <c r="C13954" s="3">
        <v>20</v>
      </c>
      <c r="D13954" s="3" t="s">
        <v>890</v>
      </c>
      <c r="E13954" s="3" t="s">
        <v>538</v>
      </c>
      <c r="F13954" s="3" t="s">
        <v>809</v>
      </c>
      <c r="G13954" s="3" t="s">
        <v>649</v>
      </c>
      <c r="H13954" s="3" t="s">
        <v>103</v>
      </c>
      <c r="I13954" s="3" t="s">
        <v>1037</v>
      </c>
      <c r="J13954" s="3" t="s">
        <v>341</v>
      </c>
      <c r="K13954" s="3" t="s">
        <v>103</v>
      </c>
      <c r="L13954" s="3" t="s">
        <v>345</v>
      </c>
      <c r="M13954" s="3" t="s">
        <v>259</v>
      </c>
      <c r="N13954" s="3" t="s">
        <v>103</v>
      </c>
      <c r="O13954" s="3" t="s">
        <v>103</v>
      </c>
    </row>
    <row r="13955" spans="1:15" s="3" customFormat="1" x14ac:dyDescent="0.3">
      <c r="A13955" s="3" t="s">
        <v>41</v>
      </c>
      <c r="B13955" s="3" t="s">
        <v>2765</v>
      </c>
      <c r="C13955" s="3">
        <v>8</v>
      </c>
      <c r="D13955" s="3" t="s">
        <v>369</v>
      </c>
      <c r="E13955" s="3" t="s">
        <v>632</v>
      </c>
      <c r="F13955" s="3" t="s">
        <v>1180</v>
      </c>
      <c r="G13955" s="3" t="s">
        <v>369</v>
      </c>
      <c r="H13955" s="3" t="s">
        <v>103</v>
      </c>
      <c r="I13955" s="3" t="s">
        <v>867</v>
      </c>
      <c r="J13955" s="3" t="s">
        <v>369</v>
      </c>
      <c r="K13955" s="3" t="s">
        <v>660</v>
      </c>
      <c r="L13955" s="3" t="s">
        <v>369</v>
      </c>
      <c r="M13955" s="3" t="s">
        <v>103</v>
      </c>
      <c r="N13955" s="3" t="s">
        <v>660</v>
      </c>
      <c r="O13955" s="3" t="s">
        <v>103</v>
      </c>
    </row>
    <row r="13956" spans="1:15" s="3" customFormat="1" x14ac:dyDescent="0.3">
      <c r="A13956" s="3" t="s">
        <v>41</v>
      </c>
      <c r="B13956" s="3" t="s">
        <v>641</v>
      </c>
      <c r="C13956" s="3">
        <v>12</v>
      </c>
      <c r="D13956" s="3" t="s">
        <v>33</v>
      </c>
      <c r="E13956" s="3" t="s">
        <v>406</v>
      </c>
      <c r="F13956" s="3" t="s">
        <v>129</v>
      </c>
      <c r="G13956" s="3" t="s">
        <v>1143</v>
      </c>
      <c r="H13956" s="3" t="s">
        <v>103</v>
      </c>
      <c r="I13956" s="3" t="s">
        <v>645</v>
      </c>
      <c r="J13956" s="3" t="s">
        <v>103</v>
      </c>
      <c r="K13956" s="3" t="s">
        <v>103</v>
      </c>
      <c r="L13956" s="3" t="s">
        <v>103</v>
      </c>
      <c r="M13956" s="3" t="s">
        <v>103</v>
      </c>
      <c r="N13956" s="3" t="s">
        <v>103</v>
      </c>
      <c r="O13956" s="3" t="s">
        <v>103</v>
      </c>
    </row>
    <row r="13957" spans="1:15" s="3" customFormat="1" x14ac:dyDescent="0.3">
      <c r="A13957" s="3" t="s">
        <v>41</v>
      </c>
      <c r="B13957" s="3" t="s">
        <v>2769</v>
      </c>
      <c r="C13957" s="3">
        <v>5</v>
      </c>
      <c r="D13957" s="3" t="s">
        <v>1082</v>
      </c>
      <c r="E13957" s="3" t="s">
        <v>1546</v>
      </c>
      <c r="F13957" s="3" t="s">
        <v>103</v>
      </c>
      <c r="G13957" s="3" t="s">
        <v>103</v>
      </c>
      <c r="H13957" s="3" t="s">
        <v>103</v>
      </c>
      <c r="I13957" s="3" t="s">
        <v>203</v>
      </c>
      <c r="J13957" s="3" t="s">
        <v>103</v>
      </c>
      <c r="K13957" s="3" t="s">
        <v>103</v>
      </c>
      <c r="L13957" s="3" t="s">
        <v>103</v>
      </c>
      <c r="M13957" s="3" t="s">
        <v>103</v>
      </c>
      <c r="N13957" s="3" t="s">
        <v>103</v>
      </c>
      <c r="O13957" s="3" t="s">
        <v>103</v>
      </c>
    </row>
    <row r="13958" spans="1:15" x14ac:dyDescent="0.3">
      <c r="A13958" t="s">
        <v>41</v>
      </c>
      <c r="B13958" t="s">
        <v>308</v>
      </c>
      <c r="C13958">
        <v>991</v>
      </c>
      <c r="D13958" t="s">
        <v>1319</v>
      </c>
      <c r="E13958" t="s">
        <v>801</v>
      </c>
      <c r="F13958" t="s">
        <v>652</v>
      </c>
      <c r="G13958" t="s">
        <v>975</v>
      </c>
      <c r="H13958" t="s">
        <v>120</v>
      </c>
      <c r="I13958" t="s">
        <v>690</v>
      </c>
      <c r="J13958" t="s">
        <v>262</v>
      </c>
      <c r="K13958" t="s">
        <v>452</v>
      </c>
      <c r="L13958" t="s">
        <v>532</v>
      </c>
      <c r="M13958" t="s">
        <v>139</v>
      </c>
      <c r="N13958" t="s">
        <v>91</v>
      </c>
      <c r="O13958" t="s">
        <v>66</v>
      </c>
    </row>
    <row r="13960" spans="1:15" x14ac:dyDescent="0.3">
      <c r="A13960" t="s">
        <v>2960</v>
      </c>
    </row>
    <row r="13961" spans="1:15" x14ac:dyDescent="0.3">
      <c r="A13961" t="s">
        <v>36</v>
      </c>
      <c r="B13961" t="s">
        <v>2771</v>
      </c>
      <c r="C13961" t="s">
        <v>24</v>
      </c>
      <c r="D13961" t="s">
        <v>2941</v>
      </c>
      <c r="E13961" t="s">
        <v>2942</v>
      </c>
      <c r="F13961" t="s">
        <v>2943</v>
      </c>
      <c r="G13961" t="s">
        <v>2944</v>
      </c>
      <c r="H13961" t="s">
        <v>2945</v>
      </c>
      <c r="I13961" t="s">
        <v>2946</v>
      </c>
      <c r="J13961" t="s">
        <v>2947</v>
      </c>
      <c r="K13961" t="s">
        <v>2948</v>
      </c>
      <c r="L13961" t="s">
        <v>2949</v>
      </c>
      <c r="M13961" t="s">
        <v>2950</v>
      </c>
      <c r="N13961" t="s">
        <v>2951</v>
      </c>
      <c r="O13961" t="s">
        <v>89</v>
      </c>
    </row>
    <row r="13962" spans="1:15" s="3" customFormat="1" x14ac:dyDescent="0.3">
      <c r="A13962" s="3" t="s">
        <v>25</v>
      </c>
      <c r="B13962" s="3" t="s">
        <v>2772</v>
      </c>
      <c r="C13962" s="3">
        <v>1</v>
      </c>
      <c r="D13962" s="3" t="s">
        <v>103</v>
      </c>
      <c r="E13962" s="3" t="s">
        <v>192</v>
      </c>
      <c r="F13962" s="3" t="s">
        <v>103</v>
      </c>
      <c r="G13962" s="3" t="s">
        <v>103</v>
      </c>
      <c r="H13962" s="3" t="s">
        <v>103</v>
      </c>
      <c r="I13962" s="3" t="s">
        <v>103</v>
      </c>
      <c r="J13962" s="3" t="s">
        <v>103</v>
      </c>
      <c r="K13962" s="3" t="s">
        <v>103</v>
      </c>
      <c r="L13962" s="3" t="s">
        <v>192</v>
      </c>
      <c r="M13962" s="3" t="s">
        <v>103</v>
      </c>
      <c r="N13962" s="3" t="s">
        <v>103</v>
      </c>
      <c r="O13962" s="3" t="s">
        <v>103</v>
      </c>
    </row>
    <row r="13963" spans="1:15" s="3" customFormat="1" x14ac:dyDescent="0.3">
      <c r="A13963" s="3" t="s">
        <v>25</v>
      </c>
      <c r="B13963" s="3" t="s">
        <v>2773</v>
      </c>
      <c r="C13963" s="3">
        <v>3</v>
      </c>
      <c r="D13963" s="3" t="s">
        <v>103</v>
      </c>
      <c r="E13963" s="3" t="s">
        <v>508</v>
      </c>
      <c r="F13963" s="3" t="s">
        <v>103</v>
      </c>
      <c r="G13963" s="3" t="s">
        <v>103</v>
      </c>
      <c r="H13963" s="3" t="s">
        <v>103</v>
      </c>
      <c r="I13963" s="3" t="s">
        <v>508</v>
      </c>
      <c r="J13963" s="3" t="s">
        <v>1576</v>
      </c>
      <c r="K13963" s="3" t="s">
        <v>103</v>
      </c>
      <c r="L13963" s="3" t="s">
        <v>103</v>
      </c>
      <c r="M13963" s="3" t="s">
        <v>103</v>
      </c>
      <c r="N13963" s="3" t="s">
        <v>103</v>
      </c>
      <c r="O13963" s="3" t="s">
        <v>103</v>
      </c>
    </row>
    <row r="13964" spans="1:15" s="3" customFormat="1" x14ac:dyDescent="0.3">
      <c r="A13964" s="3" t="s">
        <v>25</v>
      </c>
      <c r="B13964" s="3" t="s">
        <v>2774</v>
      </c>
      <c r="C13964" s="3">
        <v>5</v>
      </c>
      <c r="D13964" s="3" t="s">
        <v>103</v>
      </c>
      <c r="E13964" s="3" t="s">
        <v>802</v>
      </c>
      <c r="F13964" s="3" t="s">
        <v>103</v>
      </c>
      <c r="G13964" s="3" t="s">
        <v>103</v>
      </c>
      <c r="H13964" s="3" t="s">
        <v>103</v>
      </c>
      <c r="I13964" s="3" t="s">
        <v>426</v>
      </c>
      <c r="J13964" s="3" t="s">
        <v>103</v>
      </c>
      <c r="K13964" s="3" t="s">
        <v>103</v>
      </c>
      <c r="L13964" s="3" t="s">
        <v>654</v>
      </c>
      <c r="M13964" s="3" t="s">
        <v>103</v>
      </c>
      <c r="N13964" s="3" t="s">
        <v>103</v>
      </c>
      <c r="O13964" s="3" t="s">
        <v>103</v>
      </c>
    </row>
    <row r="13965" spans="1:15" s="3" customFormat="1" x14ac:dyDescent="0.3">
      <c r="A13965" s="3" t="s">
        <v>25</v>
      </c>
      <c r="B13965" s="3" t="s">
        <v>2775</v>
      </c>
      <c r="C13965" s="3">
        <v>12</v>
      </c>
      <c r="D13965" s="3" t="s">
        <v>459</v>
      </c>
      <c r="E13965" s="3" t="s">
        <v>263</v>
      </c>
      <c r="F13965" s="3" t="s">
        <v>103</v>
      </c>
      <c r="G13965" s="3" t="s">
        <v>604</v>
      </c>
      <c r="H13965" s="3" t="s">
        <v>103</v>
      </c>
      <c r="I13965" s="3" t="s">
        <v>1241</v>
      </c>
      <c r="J13965" s="3" t="s">
        <v>481</v>
      </c>
      <c r="K13965" s="3" t="s">
        <v>103</v>
      </c>
      <c r="L13965" s="3" t="s">
        <v>103</v>
      </c>
      <c r="M13965" s="3" t="s">
        <v>136</v>
      </c>
      <c r="N13965" s="3" t="s">
        <v>103</v>
      </c>
      <c r="O13965" s="3" t="s">
        <v>103</v>
      </c>
    </row>
    <row r="13966" spans="1:15" s="3" customFormat="1" x14ac:dyDescent="0.3">
      <c r="A13966" s="3" t="s">
        <v>25</v>
      </c>
      <c r="B13966" s="3" t="s">
        <v>2776</v>
      </c>
      <c r="C13966" s="3">
        <v>27</v>
      </c>
      <c r="D13966" s="3" t="s">
        <v>99</v>
      </c>
      <c r="E13966" s="3" t="s">
        <v>769</v>
      </c>
      <c r="F13966" s="3" t="s">
        <v>257</v>
      </c>
      <c r="G13966" s="3" t="s">
        <v>1143</v>
      </c>
      <c r="H13966" s="3" t="s">
        <v>103</v>
      </c>
      <c r="I13966" s="3" t="s">
        <v>500</v>
      </c>
      <c r="J13966" s="3" t="s">
        <v>103</v>
      </c>
      <c r="K13966" s="3" t="s">
        <v>103</v>
      </c>
      <c r="L13966" s="3" t="s">
        <v>591</v>
      </c>
      <c r="M13966" s="3" t="s">
        <v>103</v>
      </c>
      <c r="N13966" s="3" t="s">
        <v>103</v>
      </c>
      <c r="O13966" s="3" t="s">
        <v>103</v>
      </c>
    </row>
    <row r="13967" spans="1:15" x14ac:dyDescent="0.3">
      <c r="A13967" t="s">
        <v>25</v>
      </c>
      <c r="B13967" t="s">
        <v>2777</v>
      </c>
      <c r="C13967">
        <v>75</v>
      </c>
      <c r="D13967" t="s">
        <v>629</v>
      </c>
      <c r="E13967" t="s">
        <v>593</v>
      </c>
      <c r="F13967" t="s">
        <v>257</v>
      </c>
      <c r="G13967" t="s">
        <v>925</v>
      </c>
      <c r="H13967" t="s">
        <v>103</v>
      </c>
      <c r="I13967" t="s">
        <v>635</v>
      </c>
      <c r="J13967" t="s">
        <v>566</v>
      </c>
      <c r="K13967" t="s">
        <v>270</v>
      </c>
      <c r="L13967" t="s">
        <v>118</v>
      </c>
      <c r="M13967" t="s">
        <v>103</v>
      </c>
      <c r="N13967" t="s">
        <v>103</v>
      </c>
      <c r="O13967" t="s">
        <v>103</v>
      </c>
    </row>
    <row r="13968" spans="1:15" x14ac:dyDescent="0.3">
      <c r="A13968" t="s">
        <v>25</v>
      </c>
      <c r="B13968" t="s">
        <v>2778</v>
      </c>
      <c r="C13968">
        <v>71</v>
      </c>
      <c r="D13968" t="s">
        <v>927</v>
      </c>
      <c r="E13968" t="s">
        <v>1292</v>
      </c>
      <c r="F13968" t="s">
        <v>98</v>
      </c>
      <c r="G13968" t="s">
        <v>90</v>
      </c>
      <c r="H13968" t="s">
        <v>103</v>
      </c>
      <c r="I13968" t="s">
        <v>1558</v>
      </c>
      <c r="J13968" t="s">
        <v>188</v>
      </c>
      <c r="K13968" t="s">
        <v>341</v>
      </c>
      <c r="L13968" t="s">
        <v>103</v>
      </c>
      <c r="M13968" t="s">
        <v>345</v>
      </c>
      <c r="N13968" t="s">
        <v>103</v>
      </c>
      <c r="O13968" t="s">
        <v>103</v>
      </c>
    </row>
    <row r="13969" spans="1:15" s="3" customFormat="1" x14ac:dyDescent="0.3">
      <c r="A13969" s="3" t="s">
        <v>25</v>
      </c>
      <c r="B13969" s="3" t="s">
        <v>223</v>
      </c>
      <c r="C13969" s="3">
        <v>1</v>
      </c>
      <c r="D13969" s="3" t="s">
        <v>103</v>
      </c>
      <c r="E13969" s="3" t="s">
        <v>192</v>
      </c>
      <c r="F13969" s="3" t="s">
        <v>103</v>
      </c>
      <c r="G13969" s="3" t="s">
        <v>103</v>
      </c>
      <c r="H13969" s="3" t="s">
        <v>103</v>
      </c>
      <c r="I13969" s="3" t="s">
        <v>103</v>
      </c>
      <c r="J13969" s="3" t="s">
        <v>103</v>
      </c>
      <c r="K13969" s="3" t="s">
        <v>103</v>
      </c>
      <c r="L13969" s="3" t="s">
        <v>103</v>
      </c>
      <c r="M13969" s="3" t="s">
        <v>103</v>
      </c>
      <c r="N13969" s="3" t="s">
        <v>103</v>
      </c>
      <c r="O13969" s="3" t="s">
        <v>103</v>
      </c>
    </row>
    <row r="13970" spans="1:15" x14ac:dyDescent="0.3">
      <c r="A13970" t="s">
        <v>25</v>
      </c>
      <c r="B13970" t="s">
        <v>308</v>
      </c>
      <c r="C13970">
        <v>1</v>
      </c>
      <c r="D13970" t="s">
        <v>103</v>
      </c>
      <c r="E13970" t="s">
        <v>192</v>
      </c>
      <c r="F13970" t="s">
        <v>103</v>
      </c>
      <c r="G13970" t="s">
        <v>103</v>
      </c>
      <c r="H13970" t="s">
        <v>103</v>
      </c>
      <c r="I13970" t="s">
        <v>192</v>
      </c>
      <c r="J13970" t="s">
        <v>103</v>
      </c>
      <c r="K13970" t="s">
        <v>103</v>
      </c>
      <c r="L13970" t="s">
        <v>103</v>
      </c>
      <c r="M13970" t="s">
        <v>103</v>
      </c>
      <c r="N13970" t="s">
        <v>103</v>
      </c>
      <c r="O13970" t="s">
        <v>103</v>
      </c>
    </row>
    <row r="13971" spans="1:15" s="3" customFormat="1" x14ac:dyDescent="0.3">
      <c r="A13971" s="3" t="s">
        <v>26</v>
      </c>
      <c r="B13971" s="3" t="s">
        <v>2772</v>
      </c>
      <c r="C13971" s="3">
        <v>1</v>
      </c>
      <c r="D13971" s="3" t="s">
        <v>103</v>
      </c>
      <c r="E13971" s="3" t="s">
        <v>192</v>
      </c>
      <c r="F13971" s="3" t="s">
        <v>192</v>
      </c>
      <c r="G13971" s="3" t="s">
        <v>103</v>
      </c>
      <c r="H13971" s="3" t="s">
        <v>103</v>
      </c>
      <c r="I13971" s="3" t="s">
        <v>103</v>
      </c>
      <c r="J13971" s="3" t="s">
        <v>192</v>
      </c>
      <c r="K13971" s="3" t="s">
        <v>103</v>
      </c>
      <c r="L13971" s="3" t="s">
        <v>103</v>
      </c>
      <c r="M13971" s="3" t="s">
        <v>103</v>
      </c>
      <c r="N13971" s="3" t="s">
        <v>103</v>
      </c>
      <c r="O13971" s="3" t="s">
        <v>103</v>
      </c>
    </row>
    <row r="13972" spans="1:15" s="3" customFormat="1" x14ac:dyDescent="0.3">
      <c r="A13972" s="3" t="s">
        <v>26</v>
      </c>
      <c r="B13972" s="3" t="s">
        <v>2773</v>
      </c>
      <c r="C13972" s="3">
        <v>2</v>
      </c>
      <c r="D13972" s="3" t="s">
        <v>103</v>
      </c>
      <c r="E13972" s="3" t="s">
        <v>192</v>
      </c>
      <c r="F13972" s="3" t="s">
        <v>103</v>
      </c>
      <c r="G13972" s="3" t="s">
        <v>103</v>
      </c>
      <c r="H13972" s="3" t="s">
        <v>103</v>
      </c>
      <c r="I13972" s="3" t="s">
        <v>414</v>
      </c>
      <c r="J13972" s="3" t="s">
        <v>103</v>
      </c>
      <c r="K13972" s="3" t="s">
        <v>103</v>
      </c>
      <c r="L13972" s="3" t="s">
        <v>103</v>
      </c>
      <c r="M13972" s="3" t="s">
        <v>103</v>
      </c>
      <c r="N13972" s="3" t="s">
        <v>103</v>
      </c>
      <c r="O13972" s="3" t="s">
        <v>103</v>
      </c>
    </row>
    <row r="13973" spans="1:15" s="3" customFormat="1" x14ac:dyDescent="0.3">
      <c r="A13973" s="3" t="s">
        <v>26</v>
      </c>
      <c r="B13973" s="3" t="s">
        <v>2774</v>
      </c>
      <c r="C13973" s="3">
        <v>13</v>
      </c>
      <c r="D13973" s="3" t="s">
        <v>103</v>
      </c>
      <c r="E13973" s="3" t="s">
        <v>1418</v>
      </c>
      <c r="F13973" s="3" t="s">
        <v>575</v>
      </c>
      <c r="G13973" s="3" t="s">
        <v>1068</v>
      </c>
      <c r="H13973" s="3" t="s">
        <v>103</v>
      </c>
      <c r="I13973" s="3" t="s">
        <v>260</v>
      </c>
      <c r="J13973" s="3" t="s">
        <v>103</v>
      </c>
      <c r="K13973" s="3" t="s">
        <v>103</v>
      </c>
      <c r="L13973" s="3" t="s">
        <v>103</v>
      </c>
      <c r="M13973" s="3" t="s">
        <v>103</v>
      </c>
      <c r="N13973" s="3" t="s">
        <v>103</v>
      </c>
      <c r="O13973" s="3" t="s">
        <v>103</v>
      </c>
    </row>
    <row r="13974" spans="1:15" s="3" customFormat="1" x14ac:dyDescent="0.3">
      <c r="A13974" s="3" t="s">
        <v>26</v>
      </c>
      <c r="B13974" s="3" t="s">
        <v>2775</v>
      </c>
      <c r="C13974" s="3">
        <v>17</v>
      </c>
      <c r="D13974" s="3" t="s">
        <v>131</v>
      </c>
      <c r="E13974" s="3" t="s">
        <v>377</v>
      </c>
      <c r="F13974" s="3" t="s">
        <v>94</v>
      </c>
      <c r="G13974" s="3" t="s">
        <v>119</v>
      </c>
      <c r="H13974" s="3" t="s">
        <v>103</v>
      </c>
      <c r="I13974" s="3" t="s">
        <v>1230</v>
      </c>
      <c r="J13974" s="3" t="s">
        <v>558</v>
      </c>
      <c r="K13974" s="3" t="s">
        <v>103</v>
      </c>
      <c r="L13974" s="3" t="s">
        <v>119</v>
      </c>
      <c r="M13974" s="3" t="s">
        <v>103</v>
      </c>
      <c r="N13974" s="3" t="s">
        <v>103</v>
      </c>
      <c r="O13974" s="3" t="s">
        <v>103</v>
      </c>
    </row>
    <row r="13975" spans="1:15" x14ac:dyDescent="0.3">
      <c r="A13975" t="s">
        <v>26</v>
      </c>
      <c r="B13975" t="s">
        <v>2776</v>
      </c>
      <c r="C13975">
        <v>39</v>
      </c>
      <c r="D13975" t="s">
        <v>62</v>
      </c>
      <c r="E13975" t="s">
        <v>1065</v>
      </c>
      <c r="F13975" t="s">
        <v>206</v>
      </c>
      <c r="G13975" t="s">
        <v>1082</v>
      </c>
      <c r="H13975" t="s">
        <v>591</v>
      </c>
      <c r="I13975" t="s">
        <v>728</v>
      </c>
      <c r="J13975" t="s">
        <v>113</v>
      </c>
      <c r="K13975" t="s">
        <v>103</v>
      </c>
      <c r="L13975" t="s">
        <v>93</v>
      </c>
      <c r="M13975" t="s">
        <v>103</v>
      </c>
      <c r="N13975" t="s">
        <v>103</v>
      </c>
      <c r="O13975" t="s">
        <v>103</v>
      </c>
    </row>
    <row r="13976" spans="1:15" x14ac:dyDescent="0.3">
      <c r="A13976" t="s">
        <v>26</v>
      </c>
      <c r="B13976" t="s">
        <v>2777</v>
      </c>
      <c r="C13976">
        <v>78</v>
      </c>
      <c r="D13976" t="s">
        <v>117</v>
      </c>
      <c r="E13976" t="s">
        <v>1245</v>
      </c>
      <c r="F13976" t="s">
        <v>107</v>
      </c>
      <c r="G13976" t="s">
        <v>579</v>
      </c>
      <c r="H13976" t="s">
        <v>103</v>
      </c>
      <c r="I13976" t="s">
        <v>406</v>
      </c>
      <c r="J13976" t="s">
        <v>112</v>
      </c>
      <c r="K13976" t="s">
        <v>103</v>
      </c>
      <c r="L13976" t="s">
        <v>890</v>
      </c>
      <c r="M13976" t="s">
        <v>345</v>
      </c>
      <c r="N13976" t="s">
        <v>103</v>
      </c>
      <c r="O13976" t="s">
        <v>103</v>
      </c>
    </row>
    <row r="13977" spans="1:15" x14ac:dyDescent="0.3">
      <c r="A13977" t="s">
        <v>26</v>
      </c>
      <c r="B13977" t="s">
        <v>2778</v>
      </c>
      <c r="C13977">
        <v>57</v>
      </c>
      <c r="D13977" t="s">
        <v>175</v>
      </c>
      <c r="E13977" t="s">
        <v>1039</v>
      </c>
      <c r="F13977" t="s">
        <v>284</v>
      </c>
      <c r="G13977" t="s">
        <v>138</v>
      </c>
      <c r="H13977" t="s">
        <v>103</v>
      </c>
      <c r="I13977" t="s">
        <v>372</v>
      </c>
      <c r="J13977" t="s">
        <v>64</v>
      </c>
      <c r="K13977" t="s">
        <v>103</v>
      </c>
      <c r="L13977" t="s">
        <v>208</v>
      </c>
      <c r="M13977" t="s">
        <v>103</v>
      </c>
      <c r="N13977" t="s">
        <v>103</v>
      </c>
      <c r="O13977" t="s">
        <v>93</v>
      </c>
    </row>
    <row r="13978" spans="1:15" x14ac:dyDescent="0.3">
      <c r="A13978" t="s">
        <v>26</v>
      </c>
      <c r="B13978" t="s">
        <v>308</v>
      </c>
      <c r="C13978">
        <v>2</v>
      </c>
      <c r="D13978" t="s">
        <v>103</v>
      </c>
      <c r="E13978" t="s">
        <v>1205</v>
      </c>
      <c r="F13978" t="s">
        <v>103</v>
      </c>
      <c r="G13978" t="s">
        <v>103</v>
      </c>
      <c r="H13978" t="s">
        <v>103</v>
      </c>
      <c r="I13978" t="s">
        <v>1018</v>
      </c>
      <c r="J13978" t="s">
        <v>103</v>
      </c>
      <c r="K13978" t="s">
        <v>103</v>
      </c>
      <c r="L13978" t="s">
        <v>103</v>
      </c>
      <c r="M13978" t="s">
        <v>103</v>
      </c>
      <c r="N13978" t="s">
        <v>103</v>
      </c>
      <c r="O13978" t="s">
        <v>103</v>
      </c>
    </row>
    <row r="13979" spans="1:15" s="3" customFormat="1" x14ac:dyDescent="0.3">
      <c r="A13979" s="3" t="s">
        <v>29</v>
      </c>
      <c r="B13979" s="3" t="s">
        <v>2772</v>
      </c>
      <c r="C13979" s="3">
        <v>1</v>
      </c>
      <c r="D13979" s="3" t="s">
        <v>192</v>
      </c>
      <c r="E13979" s="3" t="s">
        <v>192</v>
      </c>
      <c r="F13979" s="3" t="s">
        <v>192</v>
      </c>
      <c r="G13979" s="3" t="s">
        <v>192</v>
      </c>
      <c r="H13979" s="3" t="s">
        <v>103</v>
      </c>
      <c r="I13979" s="3" t="s">
        <v>192</v>
      </c>
      <c r="J13979" s="3" t="s">
        <v>103</v>
      </c>
      <c r="K13979" s="3" t="s">
        <v>103</v>
      </c>
      <c r="L13979" s="3" t="s">
        <v>103</v>
      </c>
      <c r="M13979" s="3" t="s">
        <v>103</v>
      </c>
      <c r="N13979" s="3" t="s">
        <v>103</v>
      </c>
      <c r="O13979" s="3" t="s">
        <v>103</v>
      </c>
    </row>
    <row r="13980" spans="1:15" s="3" customFormat="1" x14ac:dyDescent="0.3">
      <c r="A13980" s="3" t="s">
        <v>29</v>
      </c>
      <c r="B13980" s="3" t="s">
        <v>2773</v>
      </c>
      <c r="C13980" s="3">
        <v>3</v>
      </c>
      <c r="D13980" s="3" t="s">
        <v>1425</v>
      </c>
      <c r="E13980" s="3" t="s">
        <v>192</v>
      </c>
      <c r="F13980" s="3" t="s">
        <v>207</v>
      </c>
      <c r="G13980" s="3" t="s">
        <v>1425</v>
      </c>
      <c r="H13980" s="3" t="s">
        <v>103</v>
      </c>
      <c r="I13980" s="3" t="s">
        <v>207</v>
      </c>
      <c r="J13980" s="3" t="s">
        <v>103</v>
      </c>
      <c r="K13980" s="3" t="s">
        <v>103</v>
      </c>
      <c r="L13980" s="3" t="s">
        <v>103</v>
      </c>
      <c r="M13980" s="3" t="s">
        <v>103</v>
      </c>
      <c r="N13980" s="3" t="s">
        <v>103</v>
      </c>
      <c r="O13980" s="3" t="s">
        <v>103</v>
      </c>
    </row>
    <row r="13981" spans="1:15" s="3" customFormat="1" x14ac:dyDescent="0.3">
      <c r="A13981" s="3" t="s">
        <v>29</v>
      </c>
      <c r="B13981" s="3" t="s">
        <v>2774</v>
      </c>
      <c r="C13981" s="3">
        <v>11</v>
      </c>
      <c r="D13981" s="3" t="s">
        <v>31</v>
      </c>
      <c r="E13981" s="3" t="s">
        <v>741</v>
      </c>
      <c r="F13981" s="3" t="s">
        <v>479</v>
      </c>
      <c r="G13981" s="3" t="s">
        <v>534</v>
      </c>
      <c r="H13981" s="3" t="s">
        <v>103</v>
      </c>
      <c r="I13981" s="3" t="s">
        <v>622</v>
      </c>
      <c r="J13981" s="3" t="s">
        <v>103</v>
      </c>
      <c r="K13981" s="3" t="s">
        <v>103</v>
      </c>
      <c r="L13981" s="3" t="s">
        <v>103</v>
      </c>
      <c r="M13981" s="3" t="s">
        <v>103</v>
      </c>
      <c r="N13981" s="3" t="s">
        <v>103</v>
      </c>
      <c r="O13981" s="3" t="s">
        <v>103</v>
      </c>
    </row>
    <row r="13982" spans="1:15" s="3" customFormat="1" x14ac:dyDescent="0.3">
      <c r="A13982" s="3" t="s">
        <v>29</v>
      </c>
      <c r="B13982" s="3" t="s">
        <v>2775</v>
      </c>
      <c r="C13982" s="3">
        <v>15</v>
      </c>
      <c r="D13982" s="3" t="s">
        <v>488</v>
      </c>
      <c r="E13982" s="3" t="s">
        <v>741</v>
      </c>
      <c r="F13982" s="3" t="s">
        <v>1196</v>
      </c>
      <c r="G13982" s="3" t="s">
        <v>1224</v>
      </c>
      <c r="H13982" s="3" t="s">
        <v>103</v>
      </c>
      <c r="I13982" s="3" t="s">
        <v>1209</v>
      </c>
      <c r="J13982" s="3" t="s">
        <v>488</v>
      </c>
      <c r="K13982" s="3" t="s">
        <v>103</v>
      </c>
      <c r="L13982" s="3" t="s">
        <v>169</v>
      </c>
      <c r="M13982" s="3" t="s">
        <v>103</v>
      </c>
      <c r="N13982" s="3" t="s">
        <v>103</v>
      </c>
      <c r="O13982" s="3" t="s">
        <v>103</v>
      </c>
    </row>
    <row r="13983" spans="1:15" x14ac:dyDescent="0.3">
      <c r="A13983" t="s">
        <v>29</v>
      </c>
      <c r="B13983" t="s">
        <v>2776</v>
      </c>
      <c r="C13983">
        <v>33</v>
      </c>
      <c r="D13983" t="s">
        <v>574</v>
      </c>
      <c r="E13983" t="s">
        <v>1094</v>
      </c>
      <c r="F13983" t="s">
        <v>48</v>
      </c>
      <c r="G13983" t="s">
        <v>458</v>
      </c>
      <c r="H13983" t="s">
        <v>103</v>
      </c>
      <c r="I13983" t="s">
        <v>426</v>
      </c>
      <c r="J13983" t="s">
        <v>60</v>
      </c>
      <c r="K13983" t="s">
        <v>214</v>
      </c>
      <c r="L13983" t="s">
        <v>70</v>
      </c>
      <c r="M13983" t="s">
        <v>266</v>
      </c>
      <c r="N13983" t="s">
        <v>103</v>
      </c>
      <c r="O13983" t="s">
        <v>103</v>
      </c>
    </row>
    <row r="13984" spans="1:15" x14ac:dyDescent="0.3">
      <c r="A13984" t="s">
        <v>29</v>
      </c>
      <c r="B13984" t="s">
        <v>2777</v>
      </c>
      <c r="C13984">
        <v>99</v>
      </c>
      <c r="D13984" t="s">
        <v>516</v>
      </c>
      <c r="E13984" t="s">
        <v>1321</v>
      </c>
      <c r="F13984" t="s">
        <v>115</v>
      </c>
      <c r="G13984" t="s">
        <v>539</v>
      </c>
      <c r="H13984" t="s">
        <v>103</v>
      </c>
      <c r="I13984" t="s">
        <v>2111</v>
      </c>
      <c r="J13984" t="s">
        <v>925</v>
      </c>
      <c r="K13984" t="s">
        <v>475</v>
      </c>
      <c r="L13984" t="s">
        <v>32</v>
      </c>
      <c r="M13984" t="s">
        <v>345</v>
      </c>
      <c r="N13984" t="s">
        <v>103</v>
      </c>
      <c r="O13984" t="s">
        <v>103</v>
      </c>
    </row>
    <row r="13985" spans="1:15" x14ac:dyDescent="0.3">
      <c r="A13985" t="s">
        <v>29</v>
      </c>
      <c r="B13985" t="s">
        <v>2778</v>
      </c>
      <c r="C13985">
        <v>91</v>
      </c>
      <c r="D13985" t="s">
        <v>1084</v>
      </c>
      <c r="E13985" t="s">
        <v>814</v>
      </c>
      <c r="F13985" t="s">
        <v>481</v>
      </c>
      <c r="G13985" t="s">
        <v>548</v>
      </c>
      <c r="H13985" t="s">
        <v>105</v>
      </c>
      <c r="I13985" t="s">
        <v>1362</v>
      </c>
      <c r="J13985" t="s">
        <v>131</v>
      </c>
      <c r="K13985" t="s">
        <v>750</v>
      </c>
      <c r="L13985" t="s">
        <v>662</v>
      </c>
      <c r="M13985" t="s">
        <v>118</v>
      </c>
      <c r="N13985" t="s">
        <v>345</v>
      </c>
      <c r="O13985" t="s">
        <v>103</v>
      </c>
    </row>
    <row r="13986" spans="1:15" x14ac:dyDescent="0.3">
      <c r="A13986" t="s">
        <v>29</v>
      </c>
      <c r="B13986" t="s">
        <v>308</v>
      </c>
      <c r="C13986">
        <v>1</v>
      </c>
      <c r="D13986" t="s">
        <v>103</v>
      </c>
      <c r="E13986" t="s">
        <v>192</v>
      </c>
      <c r="F13986" t="s">
        <v>103</v>
      </c>
      <c r="G13986" t="s">
        <v>192</v>
      </c>
      <c r="H13986" t="s">
        <v>103</v>
      </c>
      <c r="I13986" t="s">
        <v>103</v>
      </c>
      <c r="J13986" t="s">
        <v>103</v>
      </c>
      <c r="K13986" t="s">
        <v>103</v>
      </c>
      <c r="L13986" t="s">
        <v>192</v>
      </c>
      <c r="M13986" t="s">
        <v>103</v>
      </c>
      <c r="N13986" t="s">
        <v>103</v>
      </c>
      <c r="O13986" t="s">
        <v>103</v>
      </c>
    </row>
    <row r="13987" spans="1:15" s="3" customFormat="1" x14ac:dyDescent="0.3">
      <c r="A13987" s="3" t="s">
        <v>28</v>
      </c>
      <c r="B13987" s="3" t="s">
        <v>2772</v>
      </c>
      <c r="C13987" s="3">
        <v>28</v>
      </c>
      <c r="D13987" s="3" t="s">
        <v>604</v>
      </c>
      <c r="E13987" s="3" t="s">
        <v>625</v>
      </c>
      <c r="F13987" s="3" t="s">
        <v>574</v>
      </c>
      <c r="G13987" s="3" t="s">
        <v>103</v>
      </c>
      <c r="H13987" s="3" t="s">
        <v>103</v>
      </c>
      <c r="I13987" s="3" t="s">
        <v>509</v>
      </c>
      <c r="J13987" s="3" t="s">
        <v>217</v>
      </c>
      <c r="K13987" s="3" t="s">
        <v>103</v>
      </c>
      <c r="L13987" s="3" t="s">
        <v>103</v>
      </c>
      <c r="M13987" s="3" t="s">
        <v>128</v>
      </c>
      <c r="N13987" s="3" t="s">
        <v>103</v>
      </c>
      <c r="O13987" s="3" t="s">
        <v>103</v>
      </c>
    </row>
    <row r="13988" spans="1:15" x14ac:dyDescent="0.3">
      <c r="A13988" t="s">
        <v>28</v>
      </c>
      <c r="B13988" t="s">
        <v>2773</v>
      </c>
      <c r="C13988">
        <v>55</v>
      </c>
      <c r="D13988" t="s">
        <v>1292</v>
      </c>
      <c r="E13988" t="s">
        <v>283</v>
      </c>
      <c r="F13988" t="s">
        <v>1212</v>
      </c>
      <c r="G13988" t="s">
        <v>1210</v>
      </c>
      <c r="H13988" t="s">
        <v>103</v>
      </c>
      <c r="I13988" t="s">
        <v>234</v>
      </c>
      <c r="J13988" t="s">
        <v>124</v>
      </c>
      <c r="K13988" t="s">
        <v>124</v>
      </c>
      <c r="L13988" t="s">
        <v>257</v>
      </c>
      <c r="M13988" t="s">
        <v>64</v>
      </c>
      <c r="N13988" t="s">
        <v>214</v>
      </c>
      <c r="O13988" t="s">
        <v>103</v>
      </c>
    </row>
    <row r="13989" spans="1:15" s="3" customFormat="1" x14ac:dyDescent="0.3">
      <c r="A13989" s="3" t="s">
        <v>28</v>
      </c>
      <c r="B13989" s="3" t="s">
        <v>2774</v>
      </c>
      <c r="C13989" s="3">
        <v>24</v>
      </c>
      <c r="D13989" s="3" t="s">
        <v>890</v>
      </c>
      <c r="E13989" s="3" t="s">
        <v>246</v>
      </c>
      <c r="F13989" s="3" t="s">
        <v>162</v>
      </c>
      <c r="G13989" s="3" t="s">
        <v>570</v>
      </c>
      <c r="H13989" s="3" t="s">
        <v>103</v>
      </c>
      <c r="I13989" s="3" t="s">
        <v>2185</v>
      </c>
      <c r="J13989" s="3" t="s">
        <v>107</v>
      </c>
      <c r="K13989" s="3" t="s">
        <v>103</v>
      </c>
      <c r="L13989" s="3" t="s">
        <v>201</v>
      </c>
      <c r="M13989" s="3" t="s">
        <v>103</v>
      </c>
      <c r="N13989" s="3" t="s">
        <v>103</v>
      </c>
      <c r="O13989" s="3" t="s">
        <v>103</v>
      </c>
    </row>
    <row r="13990" spans="1:15" x14ac:dyDescent="0.3">
      <c r="A13990" t="s">
        <v>28</v>
      </c>
      <c r="B13990" t="s">
        <v>2775</v>
      </c>
      <c r="C13990">
        <v>32</v>
      </c>
      <c r="D13990" t="s">
        <v>754</v>
      </c>
      <c r="E13990" t="s">
        <v>1019</v>
      </c>
      <c r="F13990" t="s">
        <v>230</v>
      </c>
      <c r="G13990" t="s">
        <v>702</v>
      </c>
      <c r="H13990" t="s">
        <v>103</v>
      </c>
      <c r="I13990" t="s">
        <v>405</v>
      </c>
      <c r="J13990" t="s">
        <v>531</v>
      </c>
      <c r="K13990" t="s">
        <v>103</v>
      </c>
      <c r="L13990" t="s">
        <v>188</v>
      </c>
      <c r="M13990" t="s">
        <v>103</v>
      </c>
      <c r="N13990" t="s">
        <v>188</v>
      </c>
      <c r="O13990" t="s">
        <v>103</v>
      </c>
    </row>
    <row r="13991" spans="1:15" s="3" customFormat="1" x14ac:dyDescent="0.3">
      <c r="A13991" s="3" t="s">
        <v>28</v>
      </c>
      <c r="B13991" s="3" t="s">
        <v>2776</v>
      </c>
      <c r="C13991" s="3">
        <v>27</v>
      </c>
      <c r="D13991" s="3" t="s">
        <v>30</v>
      </c>
      <c r="E13991" s="3" t="s">
        <v>1368</v>
      </c>
      <c r="F13991" s="3" t="s">
        <v>123</v>
      </c>
      <c r="G13991" s="3" t="s">
        <v>169</v>
      </c>
      <c r="H13991" s="3" t="s">
        <v>103</v>
      </c>
      <c r="I13991" s="3" t="s">
        <v>419</v>
      </c>
      <c r="J13991" s="3" t="s">
        <v>103</v>
      </c>
      <c r="K13991" s="3" t="s">
        <v>103</v>
      </c>
      <c r="L13991" s="3" t="s">
        <v>110</v>
      </c>
      <c r="M13991" s="3" t="s">
        <v>103</v>
      </c>
      <c r="N13991" s="3" t="s">
        <v>103</v>
      </c>
      <c r="O13991" s="3" t="s">
        <v>103</v>
      </c>
    </row>
    <row r="13992" spans="1:15" x14ac:dyDescent="0.3">
      <c r="A13992" t="s">
        <v>28</v>
      </c>
      <c r="B13992" t="s">
        <v>2777</v>
      </c>
      <c r="C13992">
        <v>38</v>
      </c>
      <c r="D13992" t="s">
        <v>99</v>
      </c>
      <c r="E13992" t="s">
        <v>618</v>
      </c>
      <c r="F13992" t="s">
        <v>544</v>
      </c>
      <c r="G13992" t="s">
        <v>569</v>
      </c>
      <c r="H13992" t="s">
        <v>217</v>
      </c>
      <c r="I13992" t="s">
        <v>736</v>
      </c>
      <c r="J13992" t="s">
        <v>247</v>
      </c>
      <c r="K13992" t="s">
        <v>70</v>
      </c>
      <c r="L13992" t="s">
        <v>278</v>
      </c>
      <c r="M13992" t="s">
        <v>103</v>
      </c>
      <c r="N13992" t="s">
        <v>103</v>
      </c>
      <c r="O13992" t="s">
        <v>103</v>
      </c>
    </row>
    <row r="13993" spans="1:15" s="3" customFormat="1" x14ac:dyDescent="0.3">
      <c r="A13993" s="3" t="s">
        <v>28</v>
      </c>
      <c r="B13993" s="3" t="s">
        <v>2778</v>
      </c>
      <c r="C13993" s="3">
        <v>26</v>
      </c>
      <c r="D13993" s="3" t="s">
        <v>467</v>
      </c>
      <c r="E13993" s="3" t="s">
        <v>53</v>
      </c>
      <c r="F13993" s="3" t="s">
        <v>103</v>
      </c>
      <c r="G13993" s="3" t="s">
        <v>275</v>
      </c>
      <c r="H13993" s="3" t="s">
        <v>103</v>
      </c>
      <c r="I13993" s="3" t="s">
        <v>1059</v>
      </c>
      <c r="J13993" s="3" t="s">
        <v>544</v>
      </c>
      <c r="K13993" s="3" t="s">
        <v>103</v>
      </c>
      <c r="L13993" s="3" t="s">
        <v>103</v>
      </c>
      <c r="M13993" s="3" t="s">
        <v>103</v>
      </c>
      <c r="N13993" s="3" t="s">
        <v>103</v>
      </c>
      <c r="O13993" s="3" t="s">
        <v>103</v>
      </c>
    </row>
    <row r="13994" spans="1:15" x14ac:dyDescent="0.3">
      <c r="A13994" t="s">
        <v>28</v>
      </c>
      <c r="B13994" t="s">
        <v>308</v>
      </c>
      <c r="C13994">
        <v>2</v>
      </c>
      <c r="D13994" t="s">
        <v>619</v>
      </c>
      <c r="E13994" t="s">
        <v>502</v>
      </c>
      <c r="F13994" t="s">
        <v>502</v>
      </c>
      <c r="G13994" t="s">
        <v>619</v>
      </c>
      <c r="H13994" t="s">
        <v>103</v>
      </c>
      <c r="I13994" t="s">
        <v>192</v>
      </c>
      <c r="J13994" t="s">
        <v>619</v>
      </c>
      <c r="K13994" t="s">
        <v>619</v>
      </c>
      <c r="L13994" t="s">
        <v>103</v>
      </c>
      <c r="M13994" t="s">
        <v>103</v>
      </c>
      <c r="N13994" t="s">
        <v>103</v>
      </c>
      <c r="O13994" t="s">
        <v>103</v>
      </c>
    </row>
    <row r="13995" spans="1:15" s="3" customFormat="1" x14ac:dyDescent="0.3">
      <c r="A13995" s="3" t="s">
        <v>27</v>
      </c>
      <c r="B13995" s="3" t="s">
        <v>2772</v>
      </c>
      <c r="C13995" s="3">
        <v>3</v>
      </c>
      <c r="D13995" s="3" t="s">
        <v>103</v>
      </c>
      <c r="E13995" s="3" t="s">
        <v>192</v>
      </c>
      <c r="F13995" s="3" t="s">
        <v>103</v>
      </c>
      <c r="G13995" s="3" t="s">
        <v>249</v>
      </c>
      <c r="H13995" s="3" t="s">
        <v>103</v>
      </c>
      <c r="I13995" s="3" t="s">
        <v>409</v>
      </c>
      <c r="J13995" s="3" t="s">
        <v>103</v>
      </c>
      <c r="K13995" s="3" t="s">
        <v>103</v>
      </c>
      <c r="L13995" s="3" t="s">
        <v>103</v>
      </c>
      <c r="M13995" s="3" t="s">
        <v>103</v>
      </c>
      <c r="N13995" s="3" t="s">
        <v>103</v>
      </c>
      <c r="O13995" s="3" t="s">
        <v>103</v>
      </c>
    </row>
    <row r="13996" spans="1:15" s="3" customFormat="1" x14ac:dyDescent="0.3">
      <c r="A13996" s="3" t="s">
        <v>27</v>
      </c>
      <c r="B13996" s="3" t="s">
        <v>2773</v>
      </c>
      <c r="C13996" s="3">
        <v>6</v>
      </c>
      <c r="D13996" s="3" t="s">
        <v>103</v>
      </c>
      <c r="E13996" s="3" t="s">
        <v>1226</v>
      </c>
      <c r="F13996" s="3" t="s">
        <v>103</v>
      </c>
      <c r="G13996" s="3" t="s">
        <v>993</v>
      </c>
      <c r="H13996" s="3" t="s">
        <v>103</v>
      </c>
      <c r="I13996" s="3" t="s">
        <v>1404</v>
      </c>
      <c r="J13996" s="3" t="s">
        <v>103</v>
      </c>
      <c r="K13996" s="3" t="s">
        <v>103</v>
      </c>
      <c r="L13996" s="3" t="s">
        <v>103</v>
      </c>
      <c r="M13996" s="3" t="s">
        <v>103</v>
      </c>
      <c r="N13996" s="3" t="s">
        <v>103</v>
      </c>
      <c r="O13996" s="3" t="s">
        <v>103</v>
      </c>
    </row>
    <row r="13997" spans="1:15" s="3" customFormat="1" x14ac:dyDescent="0.3">
      <c r="A13997" s="3" t="s">
        <v>27</v>
      </c>
      <c r="B13997" s="3" t="s">
        <v>2774</v>
      </c>
      <c r="C13997" s="3">
        <v>12</v>
      </c>
      <c r="D13997" s="3" t="s">
        <v>103</v>
      </c>
      <c r="E13997" s="3" t="s">
        <v>1135</v>
      </c>
      <c r="F13997" s="3" t="s">
        <v>750</v>
      </c>
      <c r="G13997" s="3" t="s">
        <v>565</v>
      </c>
      <c r="H13997" s="3" t="s">
        <v>92</v>
      </c>
      <c r="I13997" s="3" t="s">
        <v>1356</v>
      </c>
      <c r="J13997" s="3" t="s">
        <v>103</v>
      </c>
      <c r="K13997" s="3" t="s">
        <v>103</v>
      </c>
      <c r="L13997" s="3" t="s">
        <v>103</v>
      </c>
      <c r="M13997" s="3" t="s">
        <v>103</v>
      </c>
      <c r="N13997" s="3" t="s">
        <v>103</v>
      </c>
      <c r="O13997" s="3" t="s">
        <v>103</v>
      </c>
    </row>
    <row r="13998" spans="1:15" s="3" customFormat="1" x14ac:dyDescent="0.3">
      <c r="A13998" s="3" t="s">
        <v>27</v>
      </c>
      <c r="B13998" s="3" t="s">
        <v>2775</v>
      </c>
      <c r="C13998" s="3">
        <v>24</v>
      </c>
      <c r="D13998" s="3" t="s">
        <v>103</v>
      </c>
      <c r="E13998" s="3" t="s">
        <v>834</v>
      </c>
      <c r="F13998" s="3" t="s">
        <v>103</v>
      </c>
      <c r="G13998" s="3" t="s">
        <v>129</v>
      </c>
      <c r="H13998" s="3" t="s">
        <v>103</v>
      </c>
      <c r="I13998" s="3" t="s">
        <v>751</v>
      </c>
      <c r="J13998" s="3" t="s">
        <v>103</v>
      </c>
      <c r="K13998" s="3" t="s">
        <v>103</v>
      </c>
      <c r="L13998" s="3" t="s">
        <v>195</v>
      </c>
      <c r="M13998" s="3" t="s">
        <v>103</v>
      </c>
      <c r="N13998" s="3" t="s">
        <v>103</v>
      </c>
      <c r="O13998" s="3" t="s">
        <v>103</v>
      </c>
    </row>
    <row r="13999" spans="1:15" x14ac:dyDescent="0.3">
      <c r="A13999" t="s">
        <v>27</v>
      </c>
      <c r="B13999" t="s">
        <v>2776</v>
      </c>
      <c r="C13999">
        <v>33</v>
      </c>
      <c r="D13999" t="s">
        <v>103</v>
      </c>
      <c r="E13999" t="s">
        <v>487</v>
      </c>
      <c r="F13999" t="s">
        <v>66</v>
      </c>
      <c r="G13999" t="s">
        <v>50</v>
      </c>
      <c r="H13999" t="s">
        <v>195</v>
      </c>
      <c r="I13999" t="s">
        <v>45</v>
      </c>
      <c r="J13999" t="s">
        <v>95</v>
      </c>
      <c r="K13999" t="s">
        <v>103</v>
      </c>
      <c r="L13999" t="s">
        <v>102</v>
      </c>
      <c r="M13999" t="s">
        <v>103</v>
      </c>
      <c r="N13999" t="s">
        <v>103</v>
      </c>
      <c r="O13999" t="s">
        <v>103</v>
      </c>
    </row>
    <row r="14000" spans="1:15" x14ac:dyDescent="0.3">
      <c r="A14000" t="s">
        <v>27</v>
      </c>
      <c r="B14000" t="s">
        <v>2777</v>
      </c>
      <c r="C14000">
        <v>56</v>
      </c>
      <c r="D14000" t="s">
        <v>615</v>
      </c>
      <c r="E14000" t="s">
        <v>696</v>
      </c>
      <c r="F14000" t="s">
        <v>521</v>
      </c>
      <c r="G14000" t="s">
        <v>541</v>
      </c>
      <c r="H14000" t="s">
        <v>103</v>
      </c>
      <c r="I14000" t="s">
        <v>703</v>
      </c>
      <c r="J14000" t="s">
        <v>103</v>
      </c>
      <c r="K14000" t="s">
        <v>103</v>
      </c>
      <c r="L14000" t="s">
        <v>91</v>
      </c>
      <c r="M14000" t="s">
        <v>103</v>
      </c>
      <c r="N14000" t="s">
        <v>103</v>
      </c>
      <c r="O14000" t="s">
        <v>208</v>
      </c>
    </row>
    <row r="14001" spans="1:15" x14ac:dyDescent="0.3">
      <c r="A14001" t="s">
        <v>27</v>
      </c>
      <c r="B14001" t="s">
        <v>2778</v>
      </c>
      <c r="C14001">
        <v>45</v>
      </c>
      <c r="D14001" t="s">
        <v>103</v>
      </c>
      <c r="E14001" t="s">
        <v>1423</v>
      </c>
      <c r="F14001" t="s">
        <v>93</v>
      </c>
      <c r="G14001" t="s">
        <v>535</v>
      </c>
      <c r="H14001" t="s">
        <v>103</v>
      </c>
      <c r="I14001" t="s">
        <v>1032</v>
      </c>
      <c r="J14001" t="s">
        <v>103</v>
      </c>
      <c r="K14001" t="s">
        <v>103</v>
      </c>
      <c r="L14001" t="s">
        <v>511</v>
      </c>
      <c r="M14001" t="s">
        <v>103</v>
      </c>
      <c r="N14001" t="s">
        <v>103</v>
      </c>
      <c r="O14001" t="s">
        <v>103</v>
      </c>
    </row>
    <row r="14002" spans="1:15" s="3" customFormat="1" x14ac:dyDescent="0.3">
      <c r="A14002" s="3" t="s">
        <v>27</v>
      </c>
      <c r="B14002" s="3" t="s">
        <v>308</v>
      </c>
      <c r="C14002" s="3">
        <v>8</v>
      </c>
      <c r="D14002" s="3" t="s">
        <v>103</v>
      </c>
      <c r="E14002" s="3" t="s">
        <v>391</v>
      </c>
      <c r="F14002" s="3" t="s">
        <v>103</v>
      </c>
      <c r="G14002" s="3" t="s">
        <v>104</v>
      </c>
      <c r="H14002" s="3" t="s">
        <v>103</v>
      </c>
      <c r="I14002" s="3" t="s">
        <v>857</v>
      </c>
      <c r="J14002" s="3" t="s">
        <v>103</v>
      </c>
      <c r="K14002" s="3" t="s">
        <v>103</v>
      </c>
      <c r="L14002" s="3" t="s">
        <v>103</v>
      </c>
      <c r="M14002" s="3" t="s">
        <v>103</v>
      </c>
      <c r="N14002" s="3" t="s">
        <v>103</v>
      </c>
      <c r="O14002" s="3" t="s">
        <v>103</v>
      </c>
    </row>
    <row r="14003" spans="1:15" x14ac:dyDescent="0.3">
      <c r="A14003" t="s">
        <v>41</v>
      </c>
      <c r="B14003" t="s">
        <v>2772</v>
      </c>
      <c r="C14003">
        <v>34</v>
      </c>
      <c r="D14003" t="s">
        <v>530</v>
      </c>
      <c r="E14003" t="s">
        <v>289</v>
      </c>
      <c r="F14003" t="s">
        <v>498</v>
      </c>
      <c r="G14003" t="s">
        <v>829</v>
      </c>
      <c r="H14003" t="s">
        <v>103</v>
      </c>
      <c r="I14003" t="s">
        <v>1015</v>
      </c>
      <c r="J14003" t="s">
        <v>482</v>
      </c>
      <c r="K14003" t="s">
        <v>103</v>
      </c>
      <c r="L14003" t="s">
        <v>140</v>
      </c>
      <c r="M14003" t="s">
        <v>239</v>
      </c>
      <c r="N14003" t="s">
        <v>103</v>
      </c>
      <c r="O14003" t="s">
        <v>103</v>
      </c>
    </row>
    <row r="14004" spans="1:15" x14ac:dyDescent="0.3">
      <c r="A14004" t="s">
        <v>41</v>
      </c>
      <c r="B14004" t="s">
        <v>2773</v>
      </c>
      <c r="C14004">
        <v>69</v>
      </c>
      <c r="D14004" t="s">
        <v>299</v>
      </c>
      <c r="E14004" t="s">
        <v>751</v>
      </c>
      <c r="F14004" t="s">
        <v>393</v>
      </c>
      <c r="G14004" t="s">
        <v>510</v>
      </c>
      <c r="H14004" t="s">
        <v>103</v>
      </c>
      <c r="I14004" t="s">
        <v>399</v>
      </c>
      <c r="J14004" t="s">
        <v>247</v>
      </c>
      <c r="K14004" t="s">
        <v>113</v>
      </c>
      <c r="L14004" t="s">
        <v>239</v>
      </c>
      <c r="M14004" t="s">
        <v>216</v>
      </c>
      <c r="N14004" t="s">
        <v>266</v>
      </c>
      <c r="O14004" t="s">
        <v>103</v>
      </c>
    </row>
    <row r="14005" spans="1:15" x14ac:dyDescent="0.3">
      <c r="A14005" t="s">
        <v>41</v>
      </c>
      <c r="B14005" t="s">
        <v>2774</v>
      </c>
      <c r="C14005">
        <v>65</v>
      </c>
      <c r="D14005" t="s">
        <v>157</v>
      </c>
      <c r="E14005" t="s">
        <v>787</v>
      </c>
      <c r="F14005" t="s">
        <v>171</v>
      </c>
      <c r="G14005" t="s">
        <v>1088</v>
      </c>
      <c r="H14005" t="s">
        <v>282</v>
      </c>
      <c r="I14005" t="s">
        <v>905</v>
      </c>
      <c r="J14005" t="s">
        <v>120</v>
      </c>
      <c r="K14005" t="s">
        <v>103</v>
      </c>
      <c r="L14005" t="s">
        <v>217</v>
      </c>
      <c r="M14005" t="s">
        <v>103</v>
      </c>
      <c r="N14005" t="s">
        <v>103</v>
      </c>
      <c r="O14005" t="s">
        <v>103</v>
      </c>
    </row>
    <row r="14006" spans="1:15" x14ac:dyDescent="0.3">
      <c r="A14006" t="s">
        <v>41</v>
      </c>
      <c r="B14006" t="s">
        <v>2775</v>
      </c>
      <c r="C14006">
        <v>100</v>
      </c>
      <c r="D14006" t="s">
        <v>271</v>
      </c>
      <c r="E14006" t="s">
        <v>1142</v>
      </c>
      <c r="F14006" t="s">
        <v>521</v>
      </c>
      <c r="G14006" t="s">
        <v>1008</v>
      </c>
      <c r="H14006" t="s">
        <v>103</v>
      </c>
      <c r="I14006" t="s">
        <v>690</v>
      </c>
      <c r="J14006" t="s">
        <v>254</v>
      </c>
      <c r="K14006" t="s">
        <v>103</v>
      </c>
      <c r="L14006" t="s">
        <v>101</v>
      </c>
      <c r="M14006" t="s">
        <v>105</v>
      </c>
      <c r="N14006" t="s">
        <v>97</v>
      </c>
      <c r="O14006" t="s">
        <v>103</v>
      </c>
    </row>
    <row r="14007" spans="1:15" x14ac:dyDescent="0.3">
      <c r="A14007" t="s">
        <v>41</v>
      </c>
      <c r="B14007" t="s">
        <v>2776</v>
      </c>
      <c r="C14007">
        <v>159</v>
      </c>
      <c r="D14007" t="s">
        <v>474</v>
      </c>
      <c r="E14007" t="s">
        <v>1397</v>
      </c>
      <c r="F14007" t="s">
        <v>169</v>
      </c>
      <c r="G14007" t="s">
        <v>230</v>
      </c>
      <c r="H14007" t="s">
        <v>194</v>
      </c>
      <c r="I14007" t="s">
        <v>924</v>
      </c>
      <c r="J14007" t="s">
        <v>107</v>
      </c>
      <c r="K14007" t="s">
        <v>341</v>
      </c>
      <c r="L14007" t="s">
        <v>188</v>
      </c>
      <c r="M14007" t="s">
        <v>345</v>
      </c>
      <c r="N14007" t="s">
        <v>103</v>
      </c>
      <c r="O14007" t="s">
        <v>103</v>
      </c>
    </row>
    <row r="14008" spans="1:15" x14ac:dyDescent="0.3">
      <c r="A14008" t="s">
        <v>41</v>
      </c>
      <c r="B14008" t="s">
        <v>2777</v>
      </c>
      <c r="C14008">
        <v>346</v>
      </c>
      <c r="D14008" t="s">
        <v>244</v>
      </c>
      <c r="E14008" t="s">
        <v>229</v>
      </c>
      <c r="F14008" t="s">
        <v>601</v>
      </c>
      <c r="G14008" t="s">
        <v>789</v>
      </c>
      <c r="H14008" t="s">
        <v>91</v>
      </c>
      <c r="I14008" t="s">
        <v>419</v>
      </c>
      <c r="J14008" t="s">
        <v>119</v>
      </c>
      <c r="K14008" t="s">
        <v>90</v>
      </c>
      <c r="L14008" t="s">
        <v>281</v>
      </c>
      <c r="M14008" t="s">
        <v>139</v>
      </c>
      <c r="N14008" t="s">
        <v>103</v>
      </c>
      <c r="O14008" t="s">
        <v>91</v>
      </c>
    </row>
    <row r="14009" spans="1:15" x14ac:dyDescent="0.3">
      <c r="A14009" t="s">
        <v>41</v>
      </c>
      <c r="B14009" t="s">
        <v>2778</v>
      </c>
      <c r="C14009">
        <v>290</v>
      </c>
      <c r="D14009" t="s">
        <v>155</v>
      </c>
      <c r="E14009" t="s">
        <v>730</v>
      </c>
      <c r="F14009" t="s">
        <v>494</v>
      </c>
      <c r="G14009" t="s">
        <v>476</v>
      </c>
      <c r="H14009" t="s">
        <v>98</v>
      </c>
      <c r="I14009" t="s">
        <v>1243</v>
      </c>
      <c r="J14009" t="s">
        <v>482</v>
      </c>
      <c r="K14009" t="s">
        <v>242</v>
      </c>
      <c r="L14009" t="s">
        <v>493</v>
      </c>
      <c r="M14009" t="s">
        <v>239</v>
      </c>
      <c r="N14009" t="s">
        <v>120</v>
      </c>
      <c r="O14009" t="s">
        <v>122</v>
      </c>
    </row>
    <row r="14010" spans="1:15" s="3" customFormat="1" x14ac:dyDescent="0.3">
      <c r="A14010" s="3" t="s">
        <v>41</v>
      </c>
      <c r="B14010" s="3" t="s">
        <v>223</v>
      </c>
      <c r="C14010" s="3">
        <v>1</v>
      </c>
      <c r="D14010" s="3" t="s">
        <v>103</v>
      </c>
      <c r="E14010" s="3" t="s">
        <v>192</v>
      </c>
      <c r="F14010" s="3" t="s">
        <v>103</v>
      </c>
      <c r="G14010" s="3" t="s">
        <v>103</v>
      </c>
      <c r="H14010" s="3" t="s">
        <v>103</v>
      </c>
      <c r="I14010" s="3" t="s">
        <v>103</v>
      </c>
      <c r="J14010" s="3" t="s">
        <v>103</v>
      </c>
      <c r="K14010" s="3" t="s">
        <v>103</v>
      </c>
      <c r="L14010" s="3" t="s">
        <v>103</v>
      </c>
      <c r="M14010" s="3" t="s">
        <v>103</v>
      </c>
      <c r="N14010" s="3" t="s">
        <v>103</v>
      </c>
      <c r="O14010" s="3" t="s">
        <v>103</v>
      </c>
    </row>
    <row r="14011" spans="1:15" x14ac:dyDescent="0.3">
      <c r="A14011" t="s">
        <v>41</v>
      </c>
      <c r="B14011" t="s">
        <v>308</v>
      </c>
      <c r="C14011">
        <v>14</v>
      </c>
      <c r="D14011" t="s">
        <v>128</v>
      </c>
      <c r="E14011" t="s">
        <v>419</v>
      </c>
      <c r="F14011" t="s">
        <v>107</v>
      </c>
      <c r="G14011" t="s">
        <v>1084</v>
      </c>
      <c r="H14011" t="s">
        <v>103</v>
      </c>
      <c r="I14011" t="s">
        <v>1209</v>
      </c>
      <c r="J14011" t="s">
        <v>128</v>
      </c>
      <c r="K14011" t="s">
        <v>128</v>
      </c>
      <c r="L14011" t="s">
        <v>268</v>
      </c>
      <c r="M14011" t="s">
        <v>103</v>
      </c>
      <c r="N14011" t="s">
        <v>103</v>
      </c>
      <c r="O14011" t="s">
        <v>103</v>
      </c>
    </row>
    <row r="14013" spans="1:15" x14ac:dyDescent="0.3">
      <c r="A14013" t="s">
        <v>2961</v>
      </c>
    </row>
    <row r="14014" spans="1:15" x14ac:dyDescent="0.3">
      <c r="A14014" t="s">
        <v>36</v>
      </c>
      <c r="B14014" t="s">
        <v>197</v>
      </c>
      <c r="C14014" t="s">
        <v>24</v>
      </c>
      <c r="D14014" t="s">
        <v>2941</v>
      </c>
      <c r="E14014" t="s">
        <v>2942</v>
      </c>
      <c r="F14014" t="s">
        <v>2943</v>
      </c>
      <c r="G14014" t="s">
        <v>2944</v>
      </c>
      <c r="H14014" t="s">
        <v>2945</v>
      </c>
      <c r="I14014" t="s">
        <v>2946</v>
      </c>
      <c r="J14014" t="s">
        <v>2947</v>
      </c>
      <c r="K14014" t="s">
        <v>2948</v>
      </c>
      <c r="L14014" t="s">
        <v>2949</v>
      </c>
      <c r="M14014" t="s">
        <v>2950</v>
      </c>
      <c r="N14014" t="s">
        <v>2951</v>
      </c>
      <c r="O14014" t="s">
        <v>89</v>
      </c>
    </row>
    <row r="14015" spans="1:15" x14ac:dyDescent="0.3">
      <c r="A14015" t="s">
        <v>25</v>
      </c>
      <c r="B14015" t="s">
        <v>198</v>
      </c>
      <c r="C14015">
        <v>60</v>
      </c>
      <c r="D14015" t="s">
        <v>615</v>
      </c>
      <c r="E14015" t="s">
        <v>1558</v>
      </c>
      <c r="F14015" t="s">
        <v>284</v>
      </c>
      <c r="G14015" t="s">
        <v>269</v>
      </c>
      <c r="H14015" t="s">
        <v>103</v>
      </c>
      <c r="I14015" t="s">
        <v>1088</v>
      </c>
      <c r="J14015" t="s">
        <v>155</v>
      </c>
      <c r="K14015" t="s">
        <v>257</v>
      </c>
      <c r="L14015" t="s">
        <v>103</v>
      </c>
      <c r="M14015" t="s">
        <v>64</v>
      </c>
      <c r="N14015" t="s">
        <v>103</v>
      </c>
      <c r="O14015" t="s">
        <v>103</v>
      </c>
    </row>
    <row r="14016" spans="1:15" x14ac:dyDescent="0.3">
      <c r="A14016" t="s">
        <v>25</v>
      </c>
      <c r="B14016" t="s">
        <v>199</v>
      </c>
      <c r="C14016">
        <v>136</v>
      </c>
      <c r="D14016" t="s">
        <v>515</v>
      </c>
      <c r="E14016" t="s">
        <v>979</v>
      </c>
      <c r="F14016" t="s">
        <v>122</v>
      </c>
      <c r="G14016" t="s">
        <v>475</v>
      </c>
      <c r="H14016" t="s">
        <v>103</v>
      </c>
      <c r="I14016" t="s">
        <v>1555</v>
      </c>
      <c r="J14016" t="s">
        <v>201</v>
      </c>
      <c r="K14016" t="s">
        <v>216</v>
      </c>
      <c r="L14016" t="s">
        <v>102</v>
      </c>
      <c r="M14016" t="s">
        <v>97</v>
      </c>
      <c r="N14016" t="s">
        <v>103</v>
      </c>
      <c r="O14016" t="s">
        <v>103</v>
      </c>
    </row>
    <row r="14017" spans="1:15" s="3" customFormat="1" x14ac:dyDescent="0.3">
      <c r="A14017" s="3" t="s">
        <v>26</v>
      </c>
      <c r="B14017" s="3" t="s">
        <v>198</v>
      </c>
      <c r="C14017" s="3">
        <v>16</v>
      </c>
      <c r="D14017" s="3" t="s">
        <v>1083</v>
      </c>
      <c r="E14017" s="3" t="s">
        <v>692</v>
      </c>
      <c r="F14017" s="3" t="s">
        <v>148</v>
      </c>
      <c r="G14017" s="3" t="s">
        <v>1008</v>
      </c>
      <c r="H14017" s="3" t="s">
        <v>103</v>
      </c>
      <c r="I14017" s="3" t="s">
        <v>808</v>
      </c>
      <c r="J14017" s="3" t="s">
        <v>103</v>
      </c>
      <c r="K14017" s="3" t="s">
        <v>103</v>
      </c>
      <c r="L14017" s="3" t="s">
        <v>103</v>
      </c>
      <c r="M14017" s="3" t="s">
        <v>103</v>
      </c>
      <c r="N14017" s="3" t="s">
        <v>103</v>
      </c>
      <c r="O14017" s="3" t="s">
        <v>103</v>
      </c>
    </row>
    <row r="14018" spans="1:15" x14ac:dyDescent="0.3">
      <c r="A14018" t="s">
        <v>26</v>
      </c>
      <c r="B14018" t="s">
        <v>199</v>
      </c>
      <c r="C14018">
        <v>193</v>
      </c>
      <c r="D14018" t="s">
        <v>459</v>
      </c>
      <c r="E14018" t="s">
        <v>1327</v>
      </c>
      <c r="F14018" t="s">
        <v>281</v>
      </c>
      <c r="G14018" t="s">
        <v>684</v>
      </c>
      <c r="H14018" t="s">
        <v>98</v>
      </c>
      <c r="I14018" t="s">
        <v>502</v>
      </c>
      <c r="J14018" t="s">
        <v>32</v>
      </c>
      <c r="K14018" t="s">
        <v>103</v>
      </c>
      <c r="L14018" t="s">
        <v>232</v>
      </c>
      <c r="M14018" t="s">
        <v>122</v>
      </c>
      <c r="N14018" t="s">
        <v>103</v>
      </c>
      <c r="O14018" t="s">
        <v>95</v>
      </c>
    </row>
    <row r="14019" spans="1:15" x14ac:dyDescent="0.3">
      <c r="A14019" t="s">
        <v>29</v>
      </c>
      <c r="B14019" t="s">
        <v>198</v>
      </c>
      <c r="C14019">
        <v>93</v>
      </c>
      <c r="D14019" t="s">
        <v>644</v>
      </c>
      <c r="E14019" t="s">
        <v>787</v>
      </c>
      <c r="F14019" t="s">
        <v>554</v>
      </c>
      <c r="G14019" t="s">
        <v>789</v>
      </c>
      <c r="H14019" t="s">
        <v>105</v>
      </c>
      <c r="I14019" t="s">
        <v>1374</v>
      </c>
      <c r="J14019" t="s">
        <v>160</v>
      </c>
      <c r="K14019" t="s">
        <v>807</v>
      </c>
      <c r="L14019" t="s">
        <v>119</v>
      </c>
      <c r="M14019" t="s">
        <v>615</v>
      </c>
      <c r="N14019" t="s">
        <v>468</v>
      </c>
      <c r="O14019" t="s">
        <v>103</v>
      </c>
    </row>
    <row r="14020" spans="1:15" x14ac:dyDescent="0.3">
      <c r="A14020" t="s">
        <v>29</v>
      </c>
      <c r="B14020" t="s">
        <v>199</v>
      </c>
      <c r="C14020">
        <v>161</v>
      </c>
      <c r="D14020" t="s">
        <v>555</v>
      </c>
      <c r="E14020" t="s">
        <v>377</v>
      </c>
      <c r="F14020" t="s">
        <v>144</v>
      </c>
      <c r="G14020" t="s">
        <v>234</v>
      </c>
      <c r="H14020" t="s">
        <v>103</v>
      </c>
      <c r="I14020" t="s">
        <v>1362</v>
      </c>
      <c r="J14020" t="s">
        <v>146</v>
      </c>
      <c r="K14020" t="s">
        <v>601</v>
      </c>
      <c r="L14020" t="s">
        <v>257</v>
      </c>
      <c r="M14020" t="s">
        <v>91</v>
      </c>
      <c r="N14020" t="s">
        <v>103</v>
      </c>
      <c r="O14020" t="s">
        <v>103</v>
      </c>
    </row>
    <row r="14021" spans="1:15" x14ac:dyDescent="0.3">
      <c r="A14021" t="s">
        <v>28</v>
      </c>
      <c r="B14021" t="s">
        <v>198</v>
      </c>
      <c r="C14021">
        <v>62</v>
      </c>
      <c r="D14021" t="s">
        <v>126</v>
      </c>
      <c r="E14021" t="s">
        <v>302</v>
      </c>
      <c r="F14021" t="s">
        <v>927</v>
      </c>
      <c r="G14021" t="s">
        <v>975</v>
      </c>
      <c r="H14021" t="s">
        <v>103</v>
      </c>
      <c r="I14021" t="s">
        <v>302</v>
      </c>
      <c r="J14021" t="s">
        <v>140</v>
      </c>
      <c r="K14021" t="s">
        <v>103</v>
      </c>
      <c r="L14021" t="s">
        <v>103</v>
      </c>
      <c r="M14021" t="s">
        <v>103</v>
      </c>
      <c r="N14021" t="s">
        <v>103</v>
      </c>
      <c r="O14021" t="s">
        <v>103</v>
      </c>
    </row>
    <row r="14022" spans="1:15" x14ac:dyDescent="0.3">
      <c r="A14022" t="s">
        <v>28</v>
      </c>
      <c r="B14022" t="s">
        <v>199</v>
      </c>
      <c r="C14022">
        <v>170</v>
      </c>
      <c r="D14022" t="s">
        <v>1088</v>
      </c>
      <c r="E14022" t="s">
        <v>885</v>
      </c>
      <c r="F14022" t="s">
        <v>1198</v>
      </c>
      <c r="G14022" t="s">
        <v>727</v>
      </c>
      <c r="H14022" t="s">
        <v>95</v>
      </c>
      <c r="I14022" t="s">
        <v>1091</v>
      </c>
      <c r="J14022" t="s">
        <v>232</v>
      </c>
      <c r="K14022" t="s">
        <v>493</v>
      </c>
      <c r="L14022" t="s">
        <v>493</v>
      </c>
      <c r="M14022" t="s">
        <v>468</v>
      </c>
      <c r="N14022" t="s">
        <v>341</v>
      </c>
      <c r="O14022" t="s">
        <v>103</v>
      </c>
    </row>
    <row r="14023" spans="1:15" x14ac:dyDescent="0.3">
      <c r="A14023" t="s">
        <v>27</v>
      </c>
      <c r="B14023" t="s">
        <v>198</v>
      </c>
      <c r="C14023">
        <v>102</v>
      </c>
      <c r="D14023" t="s">
        <v>103</v>
      </c>
      <c r="E14023" t="s">
        <v>377</v>
      </c>
      <c r="F14023" t="s">
        <v>467</v>
      </c>
      <c r="G14023" t="s">
        <v>413</v>
      </c>
      <c r="H14023" t="s">
        <v>98</v>
      </c>
      <c r="I14023" t="s">
        <v>374</v>
      </c>
      <c r="J14023" t="s">
        <v>103</v>
      </c>
      <c r="K14023" t="s">
        <v>103</v>
      </c>
      <c r="L14023" t="s">
        <v>107</v>
      </c>
      <c r="M14023" t="s">
        <v>103</v>
      </c>
      <c r="N14023" t="s">
        <v>103</v>
      </c>
      <c r="O14023" t="s">
        <v>103</v>
      </c>
    </row>
    <row r="14024" spans="1:15" x14ac:dyDescent="0.3">
      <c r="A14024" t="s">
        <v>27</v>
      </c>
      <c r="B14024" t="s">
        <v>199</v>
      </c>
      <c r="C14024">
        <v>85</v>
      </c>
      <c r="D14024" t="s">
        <v>266</v>
      </c>
      <c r="E14024" t="s">
        <v>1578</v>
      </c>
      <c r="F14024" t="s">
        <v>693</v>
      </c>
      <c r="G14024" t="s">
        <v>485</v>
      </c>
      <c r="H14024" t="s">
        <v>105</v>
      </c>
      <c r="I14024" t="s">
        <v>2104</v>
      </c>
      <c r="J14024" t="s">
        <v>66</v>
      </c>
      <c r="K14024" t="s">
        <v>103</v>
      </c>
      <c r="L14024" t="s">
        <v>468</v>
      </c>
      <c r="M14024" t="s">
        <v>103</v>
      </c>
      <c r="N14024" t="s">
        <v>103</v>
      </c>
      <c r="O14024" t="s">
        <v>468</v>
      </c>
    </row>
    <row r="14025" spans="1:15" x14ac:dyDescent="0.3">
      <c r="A14025" t="s">
        <v>41</v>
      </c>
      <c r="B14025" t="s">
        <v>198</v>
      </c>
      <c r="C14025">
        <v>333</v>
      </c>
      <c r="D14025" t="s">
        <v>1319</v>
      </c>
      <c r="E14025" t="s">
        <v>439</v>
      </c>
      <c r="F14025" t="s">
        <v>550</v>
      </c>
      <c r="G14025" t="s">
        <v>547</v>
      </c>
      <c r="H14025" t="s">
        <v>468</v>
      </c>
      <c r="I14025" t="s">
        <v>948</v>
      </c>
      <c r="J14025" t="s">
        <v>813</v>
      </c>
      <c r="K14025" t="s">
        <v>459</v>
      </c>
      <c r="L14025" t="s">
        <v>101</v>
      </c>
      <c r="M14025" t="s">
        <v>272</v>
      </c>
      <c r="N14025" t="s">
        <v>95</v>
      </c>
      <c r="O14025" t="s">
        <v>103</v>
      </c>
    </row>
    <row r="14026" spans="1:15" x14ac:dyDescent="0.3">
      <c r="A14026" t="s">
        <v>41</v>
      </c>
      <c r="B14026" t="s">
        <v>199</v>
      </c>
      <c r="C14026">
        <v>745</v>
      </c>
      <c r="D14026" t="s">
        <v>550</v>
      </c>
      <c r="E14026" t="s">
        <v>1374</v>
      </c>
      <c r="F14026" t="s">
        <v>224</v>
      </c>
      <c r="G14026" t="s">
        <v>409</v>
      </c>
      <c r="H14026" t="s">
        <v>122</v>
      </c>
      <c r="I14026" t="s">
        <v>260</v>
      </c>
      <c r="J14026" t="s">
        <v>607</v>
      </c>
      <c r="K14026" t="s">
        <v>113</v>
      </c>
      <c r="L14026" t="s">
        <v>125</v>
      </c>
      <c r="M14026" t="s">
        <v>122</v>
      </c>
      <c r="N14026" t="s">
        <v>91</v>
      </c>
      <c r="O14026" t="s">
        <v>66</v>
      </c>
    </row>
    <row r="14028" spans="1:15" x14ac:dyDescent="0.3">
      <c r="A14028" t="s">
        <v>2962</v>
      </c>
    </row>
    <row r="14029" spans="1:15" x14ac:dyDescent="0.3">
      <c r="A14029" t="s">
        <v>36</v>
      </c>
      <c r="B14029" t="s">
        <v>24</v>
      </c>
      <c r="C14029" t="s">
        <v>2963</v>
      </c>
      <c r="D14029" t="s">
        <v>2964</v>
      </c>
      <c r="E14029" t="s">
        <v>2965</v>
      </c>
      <c r="F14029" t="s">
        <v>2966</v>
      </c>
      <c r="G14029" t="s">
        <v>2967</v>
      </c>
      <c r="H14029" t="s">
        <v>2968</v>
      </c>
      <c r="I14029" t="s">
        <v>2969</v>
      </c>
      <c r="J14029" t="s">
        <v>1195</v>
      </c>
    </row>
    <row r="14030" spans="1:15" x14ac:dyDescent="0.3">
      <c r="A14030" t="s">
        <v>25</v>
      </c>
      <c r="B14030">
        <v>413</v>
      </c>
      <c r="C14030" t="s">
        <v>190</v>
      </c>
      <c r="D14030" t="s">
        <v>875</v>
      </c>
      <c r="E14030" t="s">
        <v>130</v>
      </c>
      <c r="F14030" t="s">
        <v>33</v>
      </c>
      <c r="G14030" t="s">
        <v>601</v>
      </c>
      <c r="H14030" t="s">
        <v>667</v>
      </c>
      <c r="I14030" t="s">
        <v>103</v>
      </c>
      <c r="J14030" t="s">
        <v>1215</v>
      </c>
    </row>
    <row r="14031" spans="1:15" x14ac:dyDescent="0.3">
      <c r="A14031" t="s">
        <v>26</v>
      </c>
      <c r="B14031">
        <v>477</v>
      </c>
      <c r="C14031" t="s">
        <v>254</v>
      </c>
      <c r="D14031" t="s">
        <v>707</v>
      </c>
      <c r="E14031" t="s">
        <v>482</v>
      </c>
      <c r="F14031" t="s">
        <v>511</v>
      </c>
      <c r="G14031" t="s">
        <v>254</v>
      </c>
      <c r="H14031" t="s">
        <v>577</v>
      </c>
      <c r="I14031" t="s">
        <v>103</v>
      </c>
      <c r="J14031" t="s">
        <v>1054</v>
      </c>
    </row>
    <row r="14032" spans="1:15" x14ac:dyDescent="0.3">
      <c r="A14032" t="s">
        <v>29</v>
      </c>
      <c r="B14032">
        <v>530</v>
      </c>
      <c r="C14032" t="s">
        <v>140</v>
      </c>
      <c r="D14032" t="s">
        <v>520</v>
      </c>
      <c r="E14032" t="s">
        <v>30</v>
      </c>
      <c r="F14032" t="s">
        <v>133</v>
      </c>
      <c r="G14032" t="s">
        <v>268</v>
      </c>
      <c r="H14032" t="s">
        <v>548</v>
      </c>
      <c r="I14032" t="s">
        <v>103</v>
      </c>
      <c r="J14032" t="s">
        <v>1212</v>
      </c>
    </row>
    <row r="14033" spans="1:11" x14ac:dyDescent="0.3">
      <c r="A14033" t="s">
        <v>28</v>
      </c>
      <c r="B14033">
        <v>317</v>
      </c>
      <c r="C14033" t="s">
        <v>262</v>
      </c>
      <c r="D14033" t="s">
        <v>31</v>
      </c>
      <c r="E14033" t="s">
        <v>33</v>
      </c>
      <c r="F14033" t="s">
        <v>64</v>
      </c>
      <c r="G14033" t="s">
        <v>201</v>
      </c>
      <c r="H14033" t="s">
        <v>1219</v>
      </c>
      <c r="I14033" t="s">
        <v>103</v>
      </c>
      <c r="J14033" t="s">
        <v>1238</v>
      </c>
    </row>
    <row r="14034" spans="1:11" x14ac:dyDescent="0.3">
      <c r="A14034" t="s">
        <v>27</v>
      </c>
      <c r="B14034">
        <v>300</v>
      </c>
      <c r="C14034" t="s">
        <v>95</v>
      </c>
      <c r="D14034" t="s">
        <v>1050</v>
      </c>
      <c r="E14034" t="s">
        <v>127</v>
      </c>
      <c r="F14034" t="s">
        <v>194</v>
      </c>
      <c r="G14034" t="s">
        <v>68</v>
      </c>
      <c r="H14034" t="s">
        <v>144</v>
      </c>
      <c r="I14034" t="s">
        <v>103</v>
      </c>
      <c r="J14034" t="s">
        <v>810</v>
      </c>
    </row>
    <row r="14035" spans="1:11" x14ac:dyDescent="0.3">
      <c r="A14035" t="s">
        <v>41</v>
      </c>
      <c r="B14035">
        <v>2037</v>
      </c>
      <c r="C14035" t="s">
        <v>101</v>
      </c>
      <c r="D14035" t="s">
        <v>31</v>
      </c>
      <c r="E14035" t="s">
        <v>524</v>
      </c>
      <c r="F14035" t="s">
        <v>70</v>
      </c>
      <c r="G14035" t="s">
        <v>918</v>
      </c>
      <c r="H14035" t="s">
        <v>1083</v>
      </c>
      <c r="I14035" t="s">
        <v>103</v>
      </c>
      <c r="J14035" t="s">
        <v>416</v>
      </c>
    </row>
    <row r="14037" spans="1:11" x14ac:dyDescent="0.3">
      <c r="A14037" t="s">
        <v>2970</v>
      </c>
    </row>
    <row r="14038" spans="1:11" x14ac:dyDescent="0.3">
      <c r="A14038" t="s">
        <v>36</v>
      </c>
      <c r="B14038" t="s">
        <v>307</v>
      </c>
      <c r="C14038" t="s">
        <v>24</v>
      </c>
      <c r="D14038" t="s">
        <v>2963</v>
      </c>
      <c r="E14038" t="s">
        <v>2964</v>
      </c>
      <c r="F14038" t="s">
        <v>2965</v>
      </c>
      <c r="G14038" t="s">
        <v>2966</v>
      </c>
      <c r="H14038" t="s">
        <v>2967</v>
      </c>
      <c r="I14038" t="s">
        <v>2968</v>
      </c>
      <c r="J14038" t="s">
        <v>2969</v>
      </c>
      <c r="K14038" t="s">
        <v>1195</v>
      </c>
    </row>
    <row r="14039" spans="1:11" x14ac:dyDescent="0.3">
      <c r="A14039" t="s">
        <v>25</v>
      </c>
      <c r="B14039" t="s">
        <v>291</v>
      </c>
      <c r="C14039">
        <v>156</v>
      </c>
      <c r="D14039" t="s">
        <v>70</v>
      </c>
      <c r="E14039" t="s">
        <v>581</v>
      </c>
      <c r="F14039" t="s">
        <v>680</v>
      </c>
      <c r="G14039" t="s">
        <v>113</v>
      </c>
      <c r="H14039" t="s">
        <v>124</v>
      </c>
      <c r="I14039" t="s">
        <v>522</v>
      </c>
      <c r="J14039" t="s">
        <v>103</v>
      </c>
      <c r="K14039" t="s">
        <v>1356</v>
      </c>
    </row>
    <row r="14040" spans="1:11" x14ac:dyDescent="0.3">
      <c r="A14040" t="s">
        <v>25</v>
      </c>
      <c r="B14040" t="s">
        <v>292</v>
      </c>
      <c r="C14040">
        <v>253</v>
      </c>
      <c r="D14040" t="s">
        <v>127</v>
      </c>
      <c r="E14040" t="s">
        <v>259</v>
      </c>
      <c r="F14040" t="s">
        <v>247</v>
      </c>
      <c r="G14040" t="s">
        <v>70</v>
      </c>
      <c r="H14040" t="s">
        <v>652</v>
      </c>
      <c r="I14040" t="s">
        <v>525</v>
      </c>
      <c r="J14040" t="s">
        <v>103</v>
      </c>
      <c r="K14040" t="s">
        <v>1021</v>
      </c>
    </row>
    <row r="14041" spans="1:11" x14ac:dyDescent="0.3">
      <c r="A14041" t="s">
        <v>25</v>
      </c>
      <c r="B14041" t="s">
        <v>308</v>
      </c>
      <c r="C14041">
        <v>4</v>
      </c>
      <c r="D14041" t="s">
        <v>103</v>
      </c>
      <c r="E14041" t="s">
        <v>693</v>
      </c>
      <c r="F14041" t="s">
        <v>103</v>
      </c>
      <c r="G14041" t="s">
        <v>103</v>
      </c>
      <c r="H14041" t="s">
        <v>103</v>
      </c>
      <c r="I14041" t="s">
        <v>103</v>
      </c>
      <c r="J14041" t="s">
        <v>103</v>
      </c>
      <c r="K14041" t="s">
        <v>240</v>
      </c>
    </row>
    <row r="14042" spans="1:11" x14ac:dyDescent="0.3">
      <c r="A14042" t="s">
        <v>26</v>
      </c>
      <c r="B14042" t="s">
        <v>291</v>
      </c>
      <c r="C14042">
        <v>122</v>
      </c>
      <c r="D14042" t="s">
        <v>278</v>
      </c>
      <c r="E14042" t="s">
        <v>472</v>
      </c>
      <c r="F14042" t="s">
        <v>254</v>
      </c>
      <c r="G14042" t="s">
        <v>188</v>
      </c>
      <c r="H14042" t="s">
        <v>111</v>
      </c>
      <c r="I14042" t="s">
        <v>920</v>
      </c>
      <c r="J14042" t="s">
        <v>103</v>
      </c>
      <c r="K14042" t="s">
        <v>993</v>
      </c>
    </row>
    <row r="14043" spans="1:11" x14ac:dyDescent="0.3">
      <c r="A14043" t="s">
        <v>26</v>
      </c>
      <c r="B14043" t="s">
        <v>292</v>
      </c>
      <c r="C14043">
        <v>352</v>
      </c>
      <c r="D14043" t="s">
        <v>146</v>
      </c>
      <c r="E14043" t="s">
        <v>646</v>
      </c>
      <c r="F14043" t="s">
        <v>629</v>
      </c>
      <c r="G14043" t="s">
        <v>126</v>
      </c>
      <c r="H14043" t="s">
        <v>575</v>
      </c>
      <c r="I14043" t="s">
        <v>484</v>
      </c>
      <c r="J14043" t="s">
        <v>103</v>
      </c>
      <c r="K14043" t="s">
        <v>513</v>
      </c>
    </row>
    <row r="14044" spans="1:11" x14ac:dyDescent="0.3">
      <c r="A14044" t="s">
        <v>26</v>
      </c>
      <c r="B14044" t="s">
        <v>308</v>
      </c>
      <c r="C14044">
        <v>3</v>
      </c>
      <c r="D14044" t="s">
        <v>103</v>
      </c>
      <c r="E14044" t="s">
        <v>1202</v>
      </c>
      <c r="F14044" t="s">
        <v>103</v>
      </c>
      <c r="G14044" t="s">
        <v>699</v>
      </c>
      <c r="H14044" t="s">
        <v>921</v>
      </c>
      <c r="I14044" t="s">
        <v>921</v>
      </c>
      <c r="J14044" t="s">
        <v>103</v>
      </c>
      <c r="K14044" t="s">
        <v>103</v>
      </c>
    </row>
    <row r="14045" spans="1:11" x14ac:dyDescent="0.3">
      <c r="A14045" t="s">
        <v>29</v>
      </c>
      <c r="B14045" t="s">
        <v>291</v>
      </c>
      <c r="C14045">
        <v>205</v>
      </c>
      <c r="D14045" t="s">
        <v>68</v>
      </c>
      <c r="E14045" t="s">
        <v>805</v>
      </c>
      <c r="F14045" t="s">
        <v>475</v>
      </c>
      <c r="G14045" t="s">
        <v>125</v>
      </c>
      <c r="H14045" t="s">
        <v>50</v>
      </c>
      <c r="I14045" t="s">
        <v>479</v>
      </c>
      <c r="J14045" t="s">
        <v>103</v>
      </c>
      <c r="K14045" t="s">
        <v>443</v>
      </c>
    </row>
    <row r="14046" spans="1:11" x14ac:dyDescent="0.3">
      <c r="A14046" t="s">
        <v>29</v>
      </c>
      <c r="B14046" t="s">
        <v>292</v>
      </c>
      <c r="C14046">
        <v>325</v>
      </c>
      <c r="D14046" t="s">
        <v>254</v>
      </c>
      <c r="E14046" t="s">
        <v>461</v>
      </c>
      <c r="F14046" t="s">
        <v>525</v>
      </c>
      <c r="G14046" t="s">
        <v>251</v>
      </c>
      <c r="H14046" t="s">
        <v>1319</v>
      </c>
      <c r="I14046" t="s">
        <v>50</v>
      </c>
      <c r="J14046" t="s">
        <v>103</v>
      </c>
      <c r="K14046" t="s">
        <v>573</v>
      </c>
    </row>
    <row r="14047" spans="1:11" x14ac:dyDescent="0.3">
      <c r="A14047" t="s">
        <v>28</v>
      </c>
      <c r="B14047" t="s">
        <v>291</v>
      </c>
      <c r="C14047">
        <v>114</v>
      </c>
      <c r="D14047" t="s">
        <v>107</v>
      </c>
      <c r="E14047" t="s">
        <v>646</v>
      </c>
      <c r="F14047" t="s">
        <v>112</v>
      </c>
      <c r="G14047" t="s">
        <v>341</v>
      </c>
      <c r="H14047" t="s">
        <v>125</v>
      </c>
      <c r="I14047" t="s">
        <v>813</v>
      </c>
      <c r="J14047" t="s">
        <v>103</v>
      </c>
      <c r="K14047" t="s">
        <v>1172</v>
      </c>
    </row>
    <row r="14048" spans="1:11" x14ac:dyDescent="0.3">
      <c r="A14048" t="s">
        <v>28</v>
      </c>
      <c r="B14048" t="s">
        <v>292</v>
      </c>
      <c r="C14048">
        <v>191</v>
      </c>
      <c r="D14048" t="s">
        <v>244</v>
      </c>
      <c r="E14048" t="s">
        <v>295</v>
      </c>
      <c r="F14048" t="s">
        <v>591</v>
      </c>
      <c r="G14048" t="s">
        <v>125</v>
      </c>
      <c r="H14048" t="s">
        <v>214</v>
      </c>
      <c r="I14048" t="s">
        <v>461</v>
      </c>
      <c r="J14048" t="s">
        <v>103</v>
      </c>
      <c r="K14048" t="s">
        <v>424</v>
      </c>
    </row>
    <row r="14049" spans="1:11" x14ac:dyDescent="0.3">
      <c r="A14049" t="s">
        <v>28</v>
      </c>
      <c r="B14049" t="s">
        <v>308</v>
      </c>
      <c r="C14049">
        <v>12</v>
      </c>
      <c r="D14049" t="s">
        <v>466</v>
      </c>
      <c r="E14049" t="s">
        <v>654</v>
      </c>
      <c r="F14049" t="s">
        <v>517</v>
      </c>
      <c r="G14049" t="s">
        <v>103</v>
      </c>
      <c r="H14049" t="s">
        <v>482</v>
      </c>
      <c r="I14049" t="s">
        <v>1093</v>
      </c>
      <c r="J14049" t="s">
        <v>103</v>
      </c>
      <c r="K14049" t="s">
        <v>236</v>
      </c>
    </row>
    <row r="14050" spans="1:11" x14ac:dyDescent="0.3">
      <c r="A14050" t="s">
        <v>27</v>
      </c>
      <c r="B14050" t="s">
        <v>291</v>
      </c>
      <c r="C14050">
        <v>95</v>
      </c>
      <c r="D14050" t="s">
        <v>103</v>
      </c>
      <c r="E14050" t="s">
        <v>1083</v>
      </c>
      <c r="F14050" t="s">
        <v>117</v>
      </c>
      <c r="G14050" t="s">
        <v>103</v>
      </c>
      <c r="H14050" t="s">
        <v>341</v>
      </c>
      <c r="I14050" t="s">
        <v>494</v>
      </c>
      <c r="J14050" t="s">
        <v>103</v>
      </c>
      <c r="K14050" t="s">
        <v>1369</v>
      </c>
    </row>
    <row r="14051" spans="1:11" x14ac:dyDescent="0.3">
      <c r="A14051" t="s">
        <v>27</v>
      </c>
      <c r="B14051" t="s">
        <v>292</v>
      </c>
      <c r="C14051">
        <v>198</v>
      </c>
      <c r="D14051" t="s">
        <v>282</v>
      </c>
      <c r="E14051" t="s">
        <v>352</v>
      </c>
      <c r="F14051" t="s">
        <v>140</v>
      </c>
      <c r="G14051" t="s">
        <v>105</v>
      </c>
      <c r="H14051" t="s">
        <v>493</v>
      </c>
      <c r="I14051" t="s">
        <v>173</v>
      </c>
      <c r="J14051" t="s">
        <v>103</v>
      </c>
      <c r="K14051" t="s">
        <v>930</v>
      </c>
    </row>
    <row r="14052" spans="1:11" x14ac:dyDescent="0.3">
      <c r="A14052" t="s">
        <v>27</v>
      </c>
      <c r="B14052" t="s">
        <v>308</v>
      </c>
      <c r="C14052">
        <v>7</v>
      </c>
      <c r="D14052" t="s">
        <v>103</v>
      </c>
      <c r="E14052" t="s">
        <v>535</v>
      </c>
      <c r="F14052" t="s">
        <v>103</v>
      </c>
      <c r="G14052" t="s">
        <v>103</v>
      </c>
      <c r="H14052" t="s">
        <v>103</v>
      </c>
      <c r="I14052" t="s">
        <v>103</v>
      </c>
      <c r="J14052" t="s">
        <v>103</v>
      </c>
      <c r="K14052" t="s">
        <v>748</v>
      </c>
    </row>
    <row r="14053" spans="1:11" x14ac:dyDescent="0.3">
      <c r="A14053" t="s">
        <v>41</v>
      </c>
      <c r="B14053" t="s">
        <v>291</v>
      </c>
      <c r="C14053">
        <v>692</v>
      </c>
      <c r="D14053" t="s">
        <v>114</v>
      </c>
      <c r="E14053" t="s">
        <v>658</v>
      </c>
      <c r="F14053" t="s">
        <v>162</v>
      </c>
      <c r="G14053" t="s">
        <v>125</v>
      </c>
      <c r="H14053" t="s">
        <v>925</v>
      </c>
      <c r="I14053" t="s">
        <v>1219</v>
      </c>
      <c r="J14053" t="s">
        <v>103</v>
      </c>
      <c r="K14053" t="s">
        <v>362</v>
      </c>
    </row>
    <row r="14054" spans="1:11" x14ac:dyDescent="0.3">
      <c r="A14054" t="s">
        <v>41</v>
      </c>
      <c r="B14054" t="s">
        <v>292</v>
      </c>
      <c r="C14054">
        <v>1319</v>
      </c>
      <c r="D14054" t="s">
        <v>262</v>
      </c>
      <c r="E14054" t="s">
        <v>1143</v>
      </c>
      <c r="F14054" t="s">
        <v>518</v>
      </c>
      <c r="G14054" t="s">
        <v>594</v>
      </c>
      <c r="H14054" t="s">
        <v>463</v>
      </c>
      <c r="I14054" t="s">
        <v>789</v>
      </c>
      <c r="J14054" t="s">
        <v>103</v>
      </c>
      <c r="K14054" t="s">
        <v>512</v>
      </c>
    </row>
    <row r="14055" spans="1:11" x14ac:dyDescent="0.3">
      <c r="A14055" t="s">
        <v>41</v>
      </c>
      <c r="B14055" t="s">
        <v>308</v>
      </c>
      <c r="C14055">
        <v>26</v>
      </c>
      <c r="D14055" t="s">
        <v>105</v>
      </c>
      <c r="E14055" t="s">
        <v>582</v>
      </c>
      <c r="F14055" t="s">
        <v>68</v>
      </c>
      <c r="G14055" t="s">
        <v>737</v>
      </c>
      <c r="H14055" t="s">
        <v>482</v>
      </c>
      <c r="I14055" t="s">
        <v>475</v>
      </c>
      <c r="J14055" t="s">
        <v>103</v>
      </c>
      <c r="K14055" t="s">
        <v>1055</v>
      </c>
    </row>
    <row r="14057" spans="1:11" x14ac:dyDescent="0.3">
      <c r="A14057" t="s">
        <v>2971</v>
      </c>
    </row>
    <row r="14058" spans="1:11" x14ac:dyDescent="0.3">
      <c r="A14058" t="s">
        <v>36</v>
      </c>
      <c r="B14058" t="s">
        <v>763</v>
      </c>
      <c r="C14058" t="s">
        <v>24</v>
      </c>
      <c r="D14058" t="s">
        <v>2963</v>
      </c>
      <c r="E14058" t="s">
        <v>2964</v>
      </c>
      <c r="F14058" t="s">
        <v>2965</v>
      </c>
      <c r="G14058" t="s">
        <v>2966</v>
      </c>
      <c r="H14058" t="s">
        <v>2967</v>
      </c>
      <c r="I14058" t="s">
        <v>2968</v>
      </c>
      <c r="J14058" t="s">
        <v>2969</v>
      </c>
      <c r="K14058" t="s">
        <v>1195</v>
      </c>
    </row>
    <row r="14059" spans="1:11" x14ac:dyDescent="0.3">
      <c r="A14059" t="s">
        <v>25</v>
      </c>
      <c r="B14059" t="s">
        <v>764</v>
      </c>
      <c r="C14059">
        <v>31</v>
      </c>
      <c r="D14059" t="s">
        <v>100</v>
      </c>
      <c r="E14059" t="s">
        <v>578</v>
      </c>
      <c r="F14059" t="s">
        <v>195</v>
      </c>
      <c r="G14059" t="s">
        <v>103</v>
      </c>
      <c r="H14059" t="s">
        <v>70</v>
      </c>
      <c r="I14059" t="s">
        <v>543</v>
      </c>
      <c r="J14059" t="s">
        <v>103</v>
      </c>
      <c r="K14059" t="s">
        <v>717</v>
      </c>
    </row>
    <row r="14060" spans="1:11" x14ac:dyDescent="0.3">
      <c r="A14060" t="s">
        <v>25</v>
      </c>
      <c r="B14060" t="s">
        <v>765</v>
      </c>
      <c r="C14060">
        <v>279</v>
      </c>
      <c r="D14060" t="s">
        <v>558</v>
      </c>
      <c r="E14060" t="s">
        <v>667</v>
      </c>
      <c r="F14060" t="s">
        <v>528</v>
      </c>
      <c r="G14060" t="s">
        <v>188</v>
      </c>
      <c r="H14060" t="s">
        <v>737</v>
      </c>
      <c r="I14060" t="s">
        <v>754</v>
      </c>
      <c r="J14060" t="s">
        <v>103</v>
      </c>
      <c r="K14060" t="s">
        <v>424</v>
      </c>
    </row>
    <row r="14061" spans="1:11" x14ac:dyDescent="0.3">
      <c r="A14061" t="s">
        <v>25</v>
      </c>
      <c r="B14061" t="s">
        <v>767</v>
      </c>
      <c r="C14061">
        <v>103</v>
      </c>
      <c r="D14061" t="s">
        <v>137</v>
      </c>
      <c r="E14061" t="s">
        <v>561</v>
      </c>
      <c r="F14061" t="s">
        <v>693</v>
      </c>
      <c r="G14061" t="s">
        <v>247</v>
      </c>
      <c r="H14061" t="s">
        <v>111</v>
      </c>
      <c r="I14061" t="s">
        <v>547</v>
      </c>
      <c r="J14061" t="s">
        <v>103</v>
      </c>
      <c r="K14061" t="s">
        <v>96</v>
      </c>
    </row>
    <row r="14062" spans="1:11" x14ac:dyDescent="0.3">
      <c r="A14062" t="s">
        <v>26</v>
      </c>
      <c r="B14062" t="s">
        <v>764</v>
      </c>
      <c r="C14062">
        <v>58</v>
      </c>
      <c r="D14062" t="s">
        <v>495</v>
      </c>
      <c r="E14062" t="s">
        <v>699</v>
      </c>
      <c r="F14062" t="s">
        <v>208</v>
      </c>
      <c r="G14062" t="s">
        <v>103</v>
      </c>
      <c r="H14062" t="s">
        <v>105</v>
      </c>
      <c r="I14062" t="s">
        <v>148</v>
      </c>
      <c r="J14062" t="s">
        <v>103</v>
      </c>
      <c r="K14062" t="s">
        <v>34</v>
      </c>
    </row>
    <row r="14063" spans="1:11" x14ac:dyDescent="0.3">
      <c r="A14063" t="s">
        <v>26</v>
      </c>
      <c r="B14063" t="s">
        <v>765</v>
      </c>
      <c r="C14063">
        <v>278</v>
      </c>
      <c r="D14063" t="s">
        <v>112</v>
      </c>
      <c r="E14063" t="s">
        <v>518</v>
      </c>
      <c r="F14063" t="s">
        <v>918</v>
      </c>
      <c r="G14063" t="s">
        <v>493</v>
      </c>
      <c r="H14063" t="s">
        <v>205</v>
      </c>
      <c r="I14063" t="s">
        <v>129</v>
      </c>
      <c r="J14063" t="s">
        <v>103</v>
      </c>
      <c r="K14063" t="s">
        <v>934</v>
      </c>
    </row>
    <row r="14064" spans="1:11" x14ac:dyDescent="0.3">
      <c r="A14064" t="s">
        <v>26</v>
      </c>
      <c r="B14064" t="s">
        <v>767</v>
      </c>
      <c r="C14064">
        <v>141</v>
      </c>
      <c r="D14064" t="s">
        <v>152</v>
      </c>
      <c r="E14064" t="s">
        <v>435</v>
      </c>
      <c r="F14064" t="s">
        <v>140</v>
      </c>
      <c r="G14064" t="s">
        <v>578</v>
      </c>
      <c r="H14064" t="s">
        <v>171</v>
      </c>
      <c r="I14064" t="s">
        <v>644</v>
      </c>
      <c r="J14064" t="s">
        <v>103</v>
      </c>
      <c r="K14064" t="s">
        <v>458</v>
      </c>
    </row>
    <row r="14065" spans="1:11" s="3" customFormat="1" x14ac:dyDescent="0.3">
      <c r="A14065" s="3" t="s">
        <v>29</v>
      </c>
      <c r="B14065" s="3" t="s">
        <v>764</v>
      </c>
      <c r="C14065" s="3">
        <v>11</v>
      </c>
      <c r="D14065" s="3" t="s">
        <v>629</v>
      </c>
      <c r="E14065" s="3" t="s">
        <v>103</v>
      </c>
      <c r="F14065" s="3" t="s">
        <v>103</v>
      </c>
      <c r="G14065" s="3" t="s">
        <v>103</v>
      </c>
      <c r="H14065" s="3" t="s">
        <v>651</v>
      </c>
      <c r="I14065" s="3" t="s">
        <v>186</v>
      </c>
      <c r="J14065" s="3" t="s">
        <v>103</v>
      </c>
      <c r="K14065" s="3" t="s">
        <v>1046</v>
      </c>
    </row>
    <row r="14066" spans="1:11" x14ac:dyDescent="0.3">
      <c r="A14066" t="s">
        <v>29</v>
      </c>
      <c r="B14066" t="s">
        <v>765</v>
      </c>
      <c r="C14066">
        <v>365</v>
      </c>
      <c r="D14066" t="s">
        <v>186</v>
      </c>
      <c r="E14066" t="s">
        <v>295</v>
      </c>
      <c r="F14066" t="s">
        <v>264</v>
      </c>
      <c r="G14066" t="s">
        <v>532</v>
      </c>
      <c r="H14066" t="s">
        <v>275</v>
      </c>
      <c r="I14066" t="s">
        <v>734</v>
      </c>
      <c r="J14066" t="s">
        <v>103</v>
      </c>
      <c r="K14066" t="s">
        <v>416</v>
      </c>
    </row>
    <row r="14067" spans="1:11" x14ac:dyDescent="0.3">
      <c r="A14067" t="s">
        <v>29</v>
      </c>
      <c r="B14067" t="s">
        <v>767</v>
      </c>
      <c r="C14067">
        <v>154</v>
      </c>
      <c r="D14067" t="s">
        <v>700</v>
      </c>
      <c r="E14067" t="s">
        <v>505</v>
      </c>
      <c r="F14067" t="s">
        <v>142</v>
      </c>
      <c r="G14067" t="s">
        <v>126</v>
      </c>
      <c r="H14067" t="s">
        <v>526</v>
      </c>
      <c r="I14067" t="s">
        <v>250</v>
      </c>
      <c r="J14067" t="s">
        <v>103</v>
      </c>
      <c r="K14067" t="s">
        <v>858</v>
      </c>
    </row>
    <row r="14068" spans="1:11" s="3" customFormat="1" x14ac:dyDescent="0.3">
      <c r="A14068" s="3" t="s">
        <v>28</v>
      </c>
      <c r="B14068" s="3" t="s">
        <v>764</v>
      </c>
      <c r="C14068" s="3">
        <v>20</v>
      </c>
      <c r="D14068" s="3" t="s">
        <v>805</v>
      </c>
      <c r="E14068" s="3" t="s">
        <v>604</v>
      </c>
      <c r="F14068" s="3" t="s">
        <v>103</v>
      </c>
      <c r="G14068" s="3" t="s">
        <v>103</v>
      </c>
      <c r="H14068" s="3" t="s">
        <v>571</v>
      </c>
      <c r="I14068" s="3" t="s">
        <v>230</v>
      </c>
      <c r="J14068" s="3" t="s">
        <v>103</v>
      </c>
      <c r="K14068" s="3" t="s">
        <v>129</v>
      </c>
    </row>
    <row r="14069" spans="1:11" x14ac:dyDescent="0.3">
      <c r="A14069" t="s">
        <v>28</v>
      </c>
      <c r="B14069" t="s">
        <v>765</v>
      </c>
      <c r="C14069">
        <v>260</v>
      </c>
      <c r="D14069" t="s">
        <v>251</v>
      </c>
      <c r="E14069" t="s">
        <v>667</v>
      </c>
      <c r="F14069" t="s">
        <v>113</v>
      </c>
      <c r="G14069" t="s">
        <v>105</v>
      </c>
      <c r="H14069" t="s">
        <v>272</v>
      </c>
      <c r="I14069" t="s">
        <v>50</v>
      </c>
      <c r="J14069" t="s">
        <v>103</v>
      </c>
      <c r="K14069" t="s">
        <v>410</v>
      </c>
    </row>
    <row r="14070" spans="1:11" x14ac:dyDescent="0.3">
      <c r="A14070" t="s">
        <v>28</v>
      </c>
      <c r="B14070" t="s">
        <v>767</v>
      </c>
      <c r="C14070">
        <v>37</v>
      </c>
      <c r="D14070" t="s">
        <v>528</v>
      </c>
      <c r="E14070" t="s">
        <v>382</v>
      </c>
      <c r="F14070" t="s">
        <v>813</v>
      </c>
      <c r="G14070" t="s">
        <v>115</v>
      </c>
      <c r="H14070" t="s">
        <v>104</v>
      </c>
      <c r="I14070" t="s">
        <v>1038</v>
      </c>
      <c r="J14070" t="s">
        <v>103</v>
      </c>
      <c r="K14070" t="s">
        <v>1043</v>
      </c>
    </row>
    <row r="14071" spans="1:11" s="3" customFormat="1" x14ac:dyDescent="0.3">
      <c r="A14071" s="3" t="s">
        <v>27</v>
      </c>
      <c r="B14071" s="3" t="s">
        <v>764</v>
      </c>
      <c r="C14071" s="3">
        <v>29</v>
      </c>
      <c r="D14071" s="3" t="s">
        <v>103</v>
      </c>
      <c r="E14071" s="3" t="s">
        <v>30</v>
      </c>
      <c r="F14071" s="3" t="s">
        <v>452</v>
      </c>
      <c r="G14071" s="3" t="s">
        <v>103</v>
      </c>
      <c r="H14071" s="3" t="s">
        <v>278</v>
      </c>
      <c r="I14071" s="3" t="s">
        <v>157</v>
      </c>
      <c r="J14071" s="3" t="s">
        <v>103</v>
      </c>
      <c r="K14071" s="3" t="s">
        <v>1578</v>
      </c>
    </row>
    <row r="14072" spans="1:11" x14ac:dyDescent="0.3">
      <c r="A14072" t="s">
        <v>27</v>
      </c>
      <c r="B14072" t="s">
        <v>765</v>
      </c>
      <c r="C14072">
        <v>209</v>
      </c>
      <c r="D14072" t="s">
        <v>345</v>
      </c>
      <c r="E14072" t="s">
        <v>489</v>
      </c>
      <c r="F14072" t="s">
        <v>254</v>
      </c>
      <c r="G14072" t="s">
        <v>139</v>
      </c>
      <c r="H14072" t="s">
        <v>341</v>
      </c>
      <c r="I14072" t="s">
        <v>262</v>
      </c>
      <c r="J14072" t="s">
        <v>103</v>
      </c>
      <c r="K14072" t="s">
        <v>1053</v>
      </c>
    </row>
    <row r="14073" spans="1:11" x14ac:dyDescent="0.3">
      <c r="A14073" t="s">
        <v>27</v>
      </c>
      <c r="B14073" t="s">
        <v>767</v>
      </c>
      <c r="C14073">
        <v>62</v>
      </c>
      <c r="D14073" t="s">
        <v>103</v>
      </c>
      <c r="E14073" t="s">
        <v>373</v>
      </c>
      <c r="F14073" t="s">
        <v>284</v>
      </c>
      <c r="G14073" t="s">
        <v>68</v>
      </c>
      <c r="H14073" t="s">
        <v>133</v>
      </c>
      <c r="I14073" t="s">
        <v>805</v>
      </c>
      <c r="J14073" t="s">
        <v>103</v>
      </c>
      <c r="K14073" t="s">
        <v>1098</v>
      </c>
    </row>
    <row r="14074" spans="1:11" x14ac:dyDescent="0.3">
      <c r="A14074" t="s">
        <v>41</v>
      </c>
      <c r="B14074" t="s">
        <v>764</v>
      </c>
      <c r="C14074">
        <v>149</v>
      </c>
      <c r="D14074" t="s">
        <v>481</v>
      </c>
      <c r="E14074" t="s">
        <v>31</v>
      </c>
      <c r="F14074" t="s">
        <v>93</v>
      </c>
      <c r="G14074" t="s">
        <v>103</v>
      </c>
      <c r="H14074" t="s">
        <v>594</v>
      </c>
      <c r="I14074" t="s">
        <v>544</v>
      </c>
      <c r="J14074" t="s">
        <v>103</v>
      </c>
      <c r="K14074" t="s">
        <v>374</v>
      </c>
    </row>
    <row r="14075" spans="1:11" x14ac:dyDescent="0.3">
      <c r="A14075" t="s">
        <v>41</v>
      </c>
      <c r="B14075" t="s">
        <v>765</v>
      </c>
      <c r="C14075">
        <v>1391</v>
      </c>
      <c r="D14075" t="s">
        <v>214</v>
      </c>
      <c r="E14075" t="s">
        <v>646</v>
      </c>
      <c r="F14075" t="s">
        <v>807</v>
      </c>
      <c r="G14075" t="s">
        <v>188</v>
      </c>
      <c r="H14075" t="s">
        <v>119</v>
      </c>
      <c r="I14075" t="s">
        <v>695</v>
      </c>
      <c r="J14075" t="s">
        <v>103</v>
      </c>
      <c r="K14075" t="s">
        <v>359</v>
      </c>
    </row>
    <row r="14076" spans="1:11" x14ac:dyDescent="0.3">
      <c r="A14076" t="s">
        <v>41</v>
      </c>
      <c r="B14076" t="s">
        <v>767</v>
      </c>
      <c r="C14076">
        <v>497</v>
      </c>
      <c r="D14076" t="s">
        <v>463</v>
      </c>
      <c r="E14076" t="s">
        <v>1203</v>
      </c>
      <c r="F14076" t="s">
        <v>813</v>
      </c>
      <c r="G14076" t="s">
        <v>62</v>
      </c>
      <c r="H14076" t="s">
        <v>682</v>
      </c>
      <c r="I14076" t="s">
        <v>398</v>
      </c>
      <c r="J14076" t="s">
        <v>103</v>
      </c>
      <c r="K14076" t="s">
        <v>303</v>
      </c>
    </row>
    <row r="14078" spans="1:11" x14ac:dyDescent="0.3">
      <c r="A14078" t="s">
        <v>2972</v>
      </c>
    </row>
    <row r="14079" spans="1:11" x14ac:dyDescent="0.3">
      <c r="A14079" t="s">
        <v>36</v>
      </c>
      <c r="B14079" t="s">
        <v>1647</v>
      </c>
      <c r="C14079" t="s">
        <v>24</v>
      </c>
      <c r="D14079" t="s">
        <v>2963</v>
      </c>
      <c r="E14079" t="s">
        <v>2964</v>
      </c>
      <c r="F14079" t="s">
        <v>2965</v>
      </c>
      <c r="G14079" t="s">
        <v>2966</v>
      </c>
      <c r="H14079" t="s">
        <v>2967</v>
      </c>
      <c r="I14079" t="s">
        <v>2968</v>
      </c>
      <c r="J14079" t="s">
        <v>2969</v>
      </c>
      <c r="K14079" t="s">
        <v>1195</v>
      </c>
    </row>
    <row r="14080" spans="1:11" x14ac:dyDescent="0.3">
      <c r="A14080" t="s">
        <v>25</v>
      </c>
      <c r="B14080" t="s">
        <v>1648</v>
      </c>
      <c r="C14080">
        <v>143</v>
      </c>
      <c r="D14080" t="s">
        <v>517</v>
      </c>
      <c r="E14080" t="s">
        <v>1070</v>
      </c>
      <c r="F14080" t="s">
        <v>108</v>
      </c>
      <c r="G14080" t="s">
        <v>148</v>
      </c>
      <c r="H14080" t="s">
        <v>157</v>
      </c>
      <c r="I14080" t="s">
        <v>48</v>
      </c>
      <c r="J14080" t="s">
        <v>103</v>
      </c>
      <c r="K14080" t="s">
        <v>454</v>
      </c>
    </row>
    <row r="14081" spans="1:11" x14ac:dyDescent="0.3">
      <c r="A14081" t="s">
        <v>25</v>
      </c>
      <c r="B14081" t="s">
        <v>1649</v>
      </c>
      <c r="C14081">
        <v>270</v>
      </c>
      <c r="D14081" t="s">
        <v>113</v>
      </c>
      <c r="E14081" t="s">
        <v>514</v>
      </c>
      <c r="F14081" t="s">
        <v>106</v>
      </c>
      <c r="G14081" t="s">
        <v>120</v>
      </c>
      <c r="H14081" t="s">
        <v>494</v>
      </c>
      <c r="I14081" t="s">
        <v>569</v>
      </c>
      <c r="J14081" t="s">
        <v>103</v>
      </c>
      <c r="K14081" t="s">
        <v>1556</v>
      </c>
    </row>
    <row r="14082" spans="1:11" x14ac:dyDescent="0.3">
      <c r="A14082" t="s">
        <v>26</v>
      </c>
      <c r="B14082" t="s">
        <v>1648</v>
      </c>
      <c r="C14082">
        <v>153</v>
      </c>
      <c r="D14082" t="s">
        <v>469</v>
      </c>
      <c r="E14082" t="s">
        <v>301</v>
      </c>
      <c r="F14082" t="s">
        <v>549</v>
      </c>
      <c r="G14082" t="s">
        <v>756</v>
      </c>
      <c r="H14082" t="s">
        <v>175</v>
      </c>
      <c r="I14082" t="s">
        <v>138</v>
      </c>
      <c r="J14082" t="s">
        <v>103</v>
      </c>
      <c r="K14082" t="s">
        <v>457</v>
      </c>
    </row>
    <row r="14083" spans="1:11" x14ac:dyDescent="0.3">
      <c r="A14083" t="s">
        <v>26</v>
      </c>
      <c r="B14083" t="s">
        <v>1649</v>
      </c>
      <c r="C14083">
        <v>324</v>
      </c>
      <c r="D14083" t="s">
        <v>281</v>
      </c>
      <c r="E14083" t="s">
        <v>819</v>
      </c>
      <c r="F14083" t="s">
        <v>693</v>
      </c>
      <c r="G14083" t="s">
        <v>103</v>
      </c>
      <c r="H14083" t="s">
        <v>94</v>
      </c>
      <c r="I14083" t="s">
        <v>654</v>
      </c>
      <c r="J14083" t="s">
        <v>103</v>
      </c>
      <c r="K14083" t="s">
        <v>527</v>
      </c>
    </row>
    <row r="14084" spans="1:11" x14ac:dyDescent="0.3">
      <c r="A14084" t="s">
        <v>29</v>
      </c>
      <c r="B14084" t="s">
        <v>1648</v>
      </c>
      <c r="C14084">
        <v>252</v>
      </c>
      <c r="D14084" t="s">
        <v>244</v>
      </c>
      <c r="E14084" t="s">
        <v>685</v>
      </c>
      <c r="F14084" t="s">
        <v>927</v>
      </c>
      <c r="G14084" t="s">
        <v>652</v>
      </c>
      <c r="H14084" t="s">
        <v>580</v>
      </c>
      <c r="I14084" t="s">
        <v>565</v>
      </c>
      <c r="J14084" t="s">
        <v>103</v>
      </c>
      <c r="K14084" t="s">
        <v>674</v>
      </c>
    </row>
    <row r="14085" spans="1:11" x14ac:dyDescent="0.3">
      <c r="A14085" t="s">
        <v>29</v>
      </c>
      <c r="B14085" t="s">
        <v>1649</v>
      </c>
      <c r="C14085">
        <v>278</v>
      </c>
      <c r="D14085" t="s">
        <v>105</v>
      </c>
      <c r="E14085" t="s">
        <v>568</v>
      </c>
      <c r="F14085" t="s">
        <v>142</v>
      </c>
      <c r="G14085" t="s">
        <v>345</v>
      </c>
      <c r="H14085" t="s">
        <v>516</v>
      </c>
      <c r="I14085" t="s">
        <v>92</v>
      </c>
      <c r="J14085" t="s">
        <v>103</v>
      </c>
      <c r="K14085" t="s">
        <v>572</v>
      </c>
    </row>
    <row r="14086" spans="1:11" x14ac:dyDescent="0.3">
      <c r="A14086" t="s">
        <v>28</v>
      </c>
      <c r="B14086" t="s">
        <v>1648</v>
      </c>
      <c r="C14086">
        <v>77</v>
      </c>
      <c r="D14086" t="s">
        <v>543</v>
      </c>
      <c r="E14086" t="s">
        <v>525</v>
      </c>
      <c r="F14086" t="s">
        <v>466</v>
      </c>
      <c r="G14086" t="s">
        <v>214</v>
      </c>
      <c r="H14086" t="s">
        <v>99</v>
      </c>
      <c r="I14086" t="s">
        <v>754</v>
      </c>
      <c r="J14086" t="s">
        <v>103</v>
      </c>
      <c r="K14086" t="s">
        <v>371</v>
      </c>
    </row>
    <row r="14087" spans="1:11" x14ac:dyDescent="0.3">
      <c r="A14087" t="s">
        <v>28</v>
      </c>
      <c r="B14087" t="s">
        <v>1649</v>
      </c>
      <c r="C14087">
        <v>240</v>
      </c>
      <c r="D14087" t="s">
        <v>90</v>
      </c>
      <c r="E14087" t="s">
        <v>746</v>
      </c>
      <c r="F14087" t="s">
        <v>532</v>
      </c>
      <c r="G14087" t="s">
        <v>128</v>
      </c>
      <c r="H14087" t="s">
        <v>68</v>
      </c>
      <c r="I14087" t="s">
        <v>552</v>
      </c>
      <c r="J14087" t="s">
        <v>103</v>
      </c>
      <c r="K14087" t="s">
        <v>441</v>
      </c>
    </row>
    <row r="14088" spans="1:11" x14ac:dyDescent="0.3">
      <c r="A14088" t="s">
        <v>27</v>
      </c>
      <c r="B14088" t="s">
        <v>1648</v>
      </c>
      <c r="C14088">
        <v>64</v>
      </c>
      <c r="D14088" t="s">
        <v>195</v>
      </c>
      <c r="E14088" t="s">
        <v>396</v>
      </c>
      <c r="F14088" t="s">
        <v>110</v>
      </c>
      <c r="G14088" t="s">
        <v>133</v>
      </c>
      <c r="H14088" t="s">
        <v>195</v>
      </c>
      <c r="I14088" t="s">
        <v>809</v>
      </c>
      <c r="J14088" t="s">
        <v>103</v>
      </c>
      <c r="K14088" t="s">
        <v>1250</v>
      </c>
    </row>
    <row r="14089" spans="1:11" x14ac:dyDescent="0.3">
      <c r="A14089" t="s">
        <v>27</v>
      </c>
      <c r="B14089" t="s">
        <v>1649</v>
      </c>
      <c r="C14089">
        <v>236</v>
      </c>
      <c r="D14089" t="s">
        <v>103</v>
      </c>
      <c r="E14089" t="s">
        <v>698</v>
      </c>
      <c r="F14089" t="s">
        <v>99</v>
      </c>
      <c r="G14089" t="s">
        <v>103</v>
      </c>
      <c r="H14089" t="s">
        <v>272</v>
      </c>
      <c r="I14089" t="s">
        <v>244</v>
      </c>
      <c r="J14089" t="s">
        <v>103</v>
      </c>
      <c r="K14089" t="s">
        <v>1549</v>
      </c>
    </row>
    <row r="14090" spans="1:11" x14ac:dyDescent="0.3">
      <c r="A14090" t="s">
        <v>41</v>
      </c>
      <c r="B14090" t="s">
        <v>1648</v>
      </c>
      <c r="C14090">
        <v>689</v>
      </c>
      <c r="D14090" t="s">
        <v>918</v>
      </c>
      <c r="E14090" t="s">
        <v>645</v>
      </c>
      <c r="F14090" t="s">
        <v>275</v>
      </c>
      <c r="G14090" t="s">
        <v>700</v>
      </c>
      <c r="H14090" t="s">
        <v>550</v>
      </c>
      <c r="I14090" t="s">
        <v>295</v>
      </c>
      <c r="J14090" t="s">
        <v>103</v>
      </c>
      <c r="K14090" t="s">
        <v>541</v>
      </c>
    </row>
    <row r="14091" spans="1:11" x14ac:dyDescent="0.3">
      <c r="A14091" t="s">
        <v>41</v>
      </c>
      <c r="B14091" t="s">
        <v>1649</v>
      </c>
      <c r="C14091">
        <v>1348</v>
      </c>
      <c r="D14091" t="s">
        <v>102</v>
      </c>
      <c r="E14091" t="s">
        <v>552</v>
      </c>
      <c r="F14091" t="s">
        <v>566</v>
      </c>
      <c r="G14091" t="s">
        <v>95</v>
      </c>
      <c r="H14091" t="s">
        <v>693</v>
      </c>
      <c r="I14091" t="s">
        <v>680</v>
      </c>
      <c r="J14091" t="s">
        <v>103</v>
      </c>
      <c r="K14091" t="s">
        <v>1067</v>
      </c>
    </row>
    <row r="14093" spans="1:11" x14ac:dyDescent="0.3">
      <c r="A14093" t="s">
        <v>2973</v>
      </c>
    </row>
    <row r="14094" spans="1:11" x14ac:dyDescent="0.3">
      <c r="A14094" t="s">
        <v>36</v>
      </c>
      <c r="B14094" t="s">
        <v>2756</v>
      </c>
      <c r="C14094" t="s">
        <v>24</v>
      </c>
      <c r="D14094" t="s">
        <v>2963</v>
      </c>
      <c r="E14094" t="s">
        <v>2964</v>
      </c>
      <c r="F14094" t="s">
        <v>2965</v>
      </c>
      <c r="G14094" t="s">
        <v>2966</v>
      </c>
      <c r="H14094" t="s">
        <v>2967</v>
      </c>
      <c r="I14094" t="s">
        <v>2968</v>
      </c>
      <c r="J14094" t="s">
        <v>2969</v>
      </c>
      <c r="K14094" t="s">
        <v>1195</v>
      </c>
    </row>
    <row r="14095" spans="1:11" s="3" customFormat="1" x14ac:dyDescent="0.3">
      <c r="A14095" s="3" t="s">
        <v>25</v>
      </c>
      <c r="B14095" s="3" t="s">
        <v>2757</v>
      </c>
      <c r="C14095" s="3">
        <v>13</v>
      </c>
      <c r="D14095" s="3" t="s">
        <v>295</v>
      </c>
      <c r="E14095" s="3" t="s">
        <v>919</v>
      </c>
      <c r="F14095" s="3" t="s">
        <v>571</v>
      </c>
      <c r="G14095" s="3" t="s">
        <v>103</v>
      </c>
      <c r="H14095" s="3" t="s">
        <v>94</v>
      </c>
      <c r="I14095" s="3" t="s">
        <v>459</v>
      </c>
      <c r="J14095" s="3" t="s">
        <v>103</v>
      </c>
      <c r="K14095" s="3" t="s">
        <v>1558</v>
      </c>
    </row>
    <row r="14096" spans="1:11" x14ac:dyDescent="0.3">
      <c r="A14096" t="s">
        <v>25</v>
      </c>
      <c r="B14096" t="s">
        <v>2758</v>
      </c>
      <c r="C14096">
        <v>135</v>
      </c>
      <c r="D14096" t="s">
        <v>452</v>
      </c>
      <c r="E14096" t="s">
        <v>647</v>
      </c>
      <c r="F14096" t="s">
        <v>278</v>
      </c>
      <c r="G14096" t="s">
        <v>571</v>
      </c>
      <c r="H14096" t="s">
        <v>152</v>
      </c>
      <c r="I14096" t="s">
        <v>672</v>
      </c>
      <c r="J14096" t="s">
        <v>103</v>
      </c>
      <c r="K14096" t="s">
        <v>443</v>
      </c>
    </row>
    <row r="14097" spans="1:11" x14ac:dyDescent="0.3">
      <c r="A14097" t="s">
        <v>25</v>
      </c>
      <c r="B14097" t="s">
        <v>2759</v>
      </c>
      <c r="C14097">
        <v>135</v>
      </c>
      <c r="D14097" t="s">
        <v>113</v>
      </c>
      <c r="E14097" t="s">
        <v>409</v>
      </c>
      <c r="F14097" t="s">
        <v>271</v>
      </c>
      <c r="G14097" t="s">
        <v>493</v>
      </c>
      <c r="H14097" t="s">
        <v>62</v>
      </c>
      <c r="I14097" t="s">
        <v>581</v>
      </c>
      <c r="J14097" t="s">
        <v>103</v>
      </c>
      <c r="K14097" t="s">
        <v>387</v>
      </c>
    </row>
    <row r="14098" spans="1:11" x14ac:dyDescent="0.3">
      <c r="A14098" t="s">
        <v>25</v>
      </c>
      <c r="B14098" t="s">
        <v>2760</v>
      </c>
      <c r="C14098">
        <v>122</v>
      </c>
      <c r="D14098" t="s">
        <v>737</v>
      </c>
      <c r="E14098" t="s">
        <v>526</v>
      </c>
      <c r="F14098" t="s">
        <v>658</v>
      </c>
      <c r="G14098" t="s">
        <v>128</v>
      </c>
      <c r="H14098" t="s">
        <v>467</v>
      </c>
      <c r="I14098" t="s">
        <v>457</v>
      </c>
      <c r="J14098" t="s">
        <v>103</v>
      </c>
      <c r="K14098" t="s">
        <v>1236</v>
      </c>
    </row>
    <row r="14099" spans="1:11" x14ac:dyDescent="0.3">
      <c r="A14099" t="s">
        <v>25</v>
      </c>
      <c r="B14099" t="s">
        <v>308</v>
      </c>
      <c r="C14099">
        <v>8</v>
      </c>
      <c r="D14099" t="s">
        <v>281</v>
      </c>
      <c r="E14099" t="s">
        <v>544</v>
      </c>
      <c r="F14099" t="s">
        <v>544</v>
      </c>
      <c r="G14099" t="s">
        <v>890</v>
      </c>
      <c r="H14099" t="s">
        <v>813</v>
      </c>
      <c r="I14099" t="s">
        <v>103</v>
      </c>
      <c r="J14099" t="s">
        <v>103</v>
      </c>
      <c r="K14099" t="s">
        <v>395</v>
      </c>
    </row>
    <row r="14100" spans="1:11" s="3" customFormat="1" x14ac:dyDescent="0.3">
      <c r="A14100" s="3" t="s">
        <v>26</v>
      </c>
      <c r="B14100" s="3" t="s">
        <v>2757</v>
      </c>
      <c r="C14100" s="3">
        <v>17</v>
      </c>
      <c r="D14100" s="3" t="s">
        <v>393</v>
      </c>
      <c r="E14100" s="3" t="s">
        <v>381</v>
      </c>
      <c r="F14100" s="3" t="s">
        <v>112</v>
      </c>
      <c r="G14100" s="3" t="s">
        <v>103</v>
      </c>
      <c r="H14100" s="3" t="s">
        <v>662</v>
      </c>
      <c r="I14100" s="3" t="s">
        <v>50</v>
      </c>
      <c r="J14100" s="3" t="s">
        <v>103</v>
      </c>
      <c r="K14100" s="3" t="s">
        <v>169</v>
      </c>
    </row>
    <row r="14101" spans="1:11" x14ac:dyDescent="0.3">
      <c r="A14101" t="s">
        <v>26</v>
      </c>
      <c r="B14101" t="s">
        <v>2758</v>
      </c>
      <c r="C14101">
        <v>194</v>
      </c>
      <c r="D14101" t="s">
        <v>463</v>
      </c>
      <c r="E14101" t="s">
        <v>503</v>
      </c>
      <c r="F14101" t="s">
        <v>206</v>
      </c>
      <c r="G14101" t="s">
        <v>750</v>
      </c>
      <c r="H14101" t="s">
        <v>117</v>
      </c>
      <c r="I14101" t="s">
        <v>301</v>
      </c>
      <c r="J14101" t="s">
        <v>103</v>
      </c>
      <c r="K14101" t="s">
        <v>357</v>
      </c>
    </row>
    <row r="14102" spans="1:11" x14ac:dyDescent="0.3">
      <c r="A14102" t="s">
        <v>26</v>
      </c>
      <c r="B14102" t="s">
        <v>2759</v>
      </c>
      <c r="C14102">
        <v>143</v>
      </c>
      <c r="D14102" t="s">
        <v>33</v>
      </c>
      <c r="E14102" t="s">
        <v>1319</v>
      </c>
      <c r="F14102" t="s">
        <v>169</v>
      </c>
      <c r="G14102" t="s">
        <v>468</v>
      </c>
      <c r="H14102" t="s">
        <v>108</v>
      </c>
      <c r="I14102" t="s">
        <v>875</v>
      </c>
      <c r="J14102" t="s">
        <v>103</v>
      </c>
      <c r="K14102" t="s">
        <v>1199</v>
      </c>
    </row>
    <row r="14103" spans="1:11" x14ac:dyDescent="0.3">
      <c r="A14103" t="s">
        <v>26</v>
      </c>
      <c r="B14103" t="s">
        <v>2760</v>
      </c>
      <c r="C14103">
        <v>112</v>
      </c>
      <c r="D14103" t="s">
        <v>68</v>
      </c>
      <c r="E14103" t="s">
        <v>459</v>
      </c>
      <c r="F14103" t="s">
        <v>150</v>
      </c>
      <c r="G14103" t="s">
        <v>103</v>
      </c>
      <c r="H14103" t="s">
        <v>466</v>
      </c>
      <c r="I14103" t="s">
        <v>691</v>
      </c>
      <c r="J14103" t="s">
        <v>103</v>
      </c>
      <c r="K14103" t="s">
        <v>793</v>
      </c>
    </row>
    <row r="14104" spans="1:11" x14ac:dyDescent="0.3">
      <c r="A14104" t="s">
        <v>26</v>
      </c>
      <c r="B14104" t="s">
        <v>308</v>
      </c>
      <c r="C14104">
        <v>11</v>
      </c>
      <c r="D14104" t="s">
        <v>256</v>
      </c>
      <c r="E14104" t="s">
        <v>382</v>
      </c>
      <c r="F14104" t="s">
        <v>578</v>
      </c>
      <c r="G14104" t="s">
        <v>548</v>
      </c>
      <c r="H14104" t="s">
        <v>152</v>
      </c>
      <c r="I14104" t="s">
        <v>486</v>
      </c>
      <c r="J14104" t="s">
        <v>103</v>
      </c>
      <c r="K14104" t="s">
        <v>46</v>
      </c>
    </row>
    <row r="14105" spans="1:11" s="3" customFormat="1" x14ac:dyDescent="0.3">
      <c r="A14105" s="3" t="s">
        <v>29</v>
      </c>
      <c r="B14105" s="3" t="s">
        <v>2757</v>
      </c>
      <c r="C14105" s="3">
        <v>15</v>
      </c>
      <c r="D14105" s="3" t="s">
        <v>517</v>
      </c>
      <c r="E14105" s="3" t="s">
        <v>517</v>
      </c>
      <c r="F14105" s="3" t="s">
        <v>261</v>
      </c>
      <c r="G14105" s="3" t="s">
        <v>486</v>
      </c>
      <c r="H14105" s="3" t="s">
        <v>558</v>
      </c>
      <c r="I14105" s="3" t="s">
        <v>256</v>
      </c>
      <c r="J14105" s="3" t="s">
        <v>103</v>
      </c>
      <c r="K14105" s="3" t="s">
        <v>458</v>
      </c>
    </row>
    <row r="14106" spans="1:11" x14ac:dyDescent="0.3">
      <c r="A14106" t="s">
        <v>29</v>
      </c>
      <c r="B14106" t="s">
        <v>2758</v>
      </c>
      <c r="C14106">
        <v>245</v>
      </c>
      <c r="D14106" t="s">
        <v>536</v>
      </c>
      <c r="E14106" t="s">
        <v>556</v>
      </c>
      <c r="F14106" t="s">
        <v>526</v>
      </c>
      <c r="G14106" t="s">
        <v>124</v>
      </c>
      <c r="H14106" t="s">
        <v>30</v>
      </c>
      <c r="I14106" t="s">
        <v>581</v>
      </c>
      <c r="J14106" t="s">
        <v>103</v>
      </c>
      <c r="K14106" t="s">
        <v>893</v>
      </c>
    </row>
    <row r="14107" spans="1:11" x14ac:dyDescent="0.3">
      <c r="A14107" t="s">
        <v>29</v>
      </c>
      <c r="B14107" t="s">
        <v>2759</v>
      </c>
      <c r="C14107">
        <v>139</v>
      </c>
      <c r="D14107" t="s">
        <v>239</v>
      </c>
      <c r="E14107" t="s">
        <v>684</v>
      </c>
      <c r="F14107" t="s">
        <v>528</v>
      </c>
      <c r="G14107" t="s">
        <v>217</v>
      </c>
      <c r="H14107" t="s">
        <v>150</v>
      </c>
      <c r="I14107" t="s">
        <v>148</v>
      </c>
      <c r="J14107" t="s">
        <v>103</v>
      </c>
      <c r="K14107" t="s">
        <v>1199</v>
      </c>
    </row>
    <row r="14108" spans="1:11" x14ac:dyDescent="0.3">
      <c r="A14108" t="s">
        <v>29</v>
      </c>
      <c r="B14108" t="s">
        <v>2760</v>
      </c>
      <c r="C14108">
        <v>122</v>
      </c>
      <c r="D14108" t="s">
        <v>245</v>
      </c>
      <c r="E14108" t="s">
        <v>155</v>
      </c>
      <c r="F14108" t="s">
        <v>646</v>
      </c>
      <c r="G14108" t="s">
        <v>467</v>
      </c>
      <c r="H14108" t="s">
        <v>485</v>
      </c>
      <c r="I14108" t="s">
        <v>555</v>
      </c>
      <c r="J14108" t="s">
        <v>103</v>
      </c>
      <c r="K14108" t="s">
        <v>1054</v>
      </c>
    </row>
    <row r="14109" spans="1:11" x14ac:dyDescent="0.3">
      <c r="A14109" t="s">
        <v>29</v>
      </c>
      <c r="B14109" t="s">
        <v>308</v>
      </c>
      <c r="C14109">
        <v>9</v>
      </c>
      <c r="D14109" t="s">
        <v>103</v>
      </c>
      <c r="E14109" t="s">
        <v>264</v>
      </c>
      <c r="F14109" t="s">
        <v>435</v>
      </c>
      <c r="G14109" t="s">
        <v>103</v>
      </c>
      <c r="H14109" t="s">
        <v>700</v>
      </c>
      <c r="I14109" t="s">
        <v>474</v>
      </c>
      <c r="J14109" t="s">
        <v>103</v>
      </c>
      <c r="K14109" t="s">
        <v>1028</v>
      </c>
    </row>
    <row r="14110" spans="1:11" x14ac:dyDescent="0.3">
      <c r="A14110" t="s">
        <v>28</v>
      </c>
      <c r="B14110" t="s">
        <v>2757</v>
      </c>
      <c r="C14110">
        <v>31</v>
      </c>
      <c r="D14110" t="s">
        <v>627</v>
      </c>
      <c r="E14110" t="s">
        <v>96</v>
      </c>
      <c r="F14110" t="s">
        <v>103</v>
      </c>
      <c r="G14110" t="s">
        <v>30</v>
      </c>
      <c r="H14110" t="s">
        <v>127</v>
      </c>
      <c r="I14110" t="s">
        <v>1210</v>
      </c>
      <c r="J14110" t="s">
        <v>103</v>
      </c>
      <c r="K14110" t="s">
        <v>507</v>
      </c>
    </row>
    <row r="14111" spans="1:11" x14ac:dyDescent="0.3">
      <c r="A14111" t="s">
        <v>28</v>
      </c>
      <c r="B14111" t="s">
        <v>2758</v>
      </c>
      <c r="C14111">
        <v>100</v>
      </c>
      <c r="D14111" t="s">
        <v>33</v>
      </c>
      <c r="E14111" t="s">
        <v>574</v>
      </c>
      <c r="F14111" t="s">
        <v>188</v>
      </c>
      <c r="G14111" t="s">
        <v>68</v>
      </c>
      <c r="H14111" t="s">
        <v>205</v>
      </c>
      <c r="I14111" t="s">
        <v>579</v>
      </c>
      <c r="J14111" t="s">
        <v>103</v>
      </c>
      <c r="K14111" t="s">
        <v>431</v>
      </c>
    </row>
    <row r="14112" spans="1:11" x14ac:dyDescent="0.3">
      <c r="A14112" t="s">
        <v>28</v>
      </c>
      <c r="B14112" t="s">
        <v>2759</v>
      </c>
      <c r="C14112">
        <v>104</v>
      </c>
      <c r="D14112" t="s">
        <v>99</v>
      </c>
      <c r="E14112" t="s">
        <v>1206</v>
      </c>
      <c r="F14112" t="s">
        <v>206</v>
      </c>
      <c r="G14112" t="s">
        <v>139</v>
      </c>
      <c r="H14112" t="s">
        <v>114</v>
      </c>
      <c r="I14112" t="s">
        <v>652</v>
      </c>
      <c r="J14112" t="s">
        <v>103</v>
      </c>
      <c r="K14112" t="s">
        <v>392</v>
      </c>
    </row>
    <row r="14113" spans="1:11" x14ac:dyDescent="0.3">
      <c r="A14113" t="s">
        <v>28</v>
      </c>
      <c r="B14113" t="s">
        <v>2760</v>
      </c>
      <c r="C14113">
        <v>82</v>
      </c>
      <c r="D14113" t="s">
        <v>114</v>
      </c>
      <c r="E14113" t="s">
        <v>254</v>
      </c>
      <c r="F14113" t="s">
        <v>206</v>
      </c>
      <c r="G14113" t="s">
        <v>97</v>
      </c>
      <c r="H14113" t="s">
        <v>95</v>
      </c>
      <c r="I14113" t="s">
        <v>647</v>
      </c>
      <c r="J14113" t="s">
        <v>103</v>
      </c>
      <c r="K14113" t="s">
        <v>1294</v>
      </c>
    </row>
    <row r="14114" spans="1:11" s="3" customFormat="1" x14ac:dyDescent="0.3">
      <c r="A14114" s="3" t="s">
        <v>27</v>
      </c>
      <c r="B14114" s="3" t="s">
        <v>2757</v>
      </c>
      <c r="C14114" s="3">
        <v>2</v>
      </c>
      <c r="D14114" s="3" t="s">
        <v>103</v>
      </c>
      <c r="E14114" s="3" t="s">
        <v>654</v>
      </c>
      <c r="F14114" s="3" t="s">
        <v>103</v>
      </c>
      <c r="G14114" s="3" t="s">
        <v>103</v>
      </c>
      <c r="H14114" s="3" t="s">
        <v>103</v>
      </c>
      <c r="I14114" s="3" t="s">
        <v>103</v>
      </c>
      <c r="J14114" s="3" t="s">
        <v>103</v>
      </c>
      <c r="K14114" s="3" t="s">
        <v>437</v>
      </c>
    </row>
    <row r="14115" spans="1:11" x14ac:dyDescent="0.3">
      <c r="A14115" t="s">
        <v>27</v>
      </c>
      <c r="B14115" t="s">
        <v>2758</v>
      </c>
      <c r="C14115">
        <v>86</v>
      </c>
      <c r="D14115" t="s">
        <v>128</v>
      </c>
      <c r="E14115" t="s">
        <v>542</v>
      </c>
      <c r="F14115" t="s">
        <v>466</v>
      </c>
      <c r="G14115" t="s">
        <v>107</v>
      </c>
      <c r="H14115" t="s">
        <v>70</v>
      </c>
      <c r="I14115" t="s">
        <v>925</v>
      </c>
      <c r="J14115" t="s">
        <v>103</v>
      </c>
      <c r="K14115" t="s">
        <v>1426</v>
      </c>
    </row>
    <row r="14116" spans="1:11" x14ac:dyDescent="0.3">
      <c r="A14116" t="s">
        <v>27</v>
      </c>
      <c r="B14116" t="s">
        <v>2759</v>
      </c>
      <c r="C14116">
        <v>82</v>
      </c>
      <c r="D14116" t="s">
        <v>103</v>
      </c>
      <c r="E14116" t="s">
        <v>677</v>
      </c>
      <c r="F14116" t="s">
        <v>466</v>
      </c>
      <c r="G14116" t="s">
        <v>103</v>
      </c>
      <c r="H14116" t="s">
        <v>493</v>
      </c>
      <c r="I14116" t="s">
        <v>682</v>
      </c>
      <c r="J14116" t="s">
        <v>103</v>
      </c>
      <c r="K14116" t="s">
        <v>1060</v>
      </c>
    </row>
    <row r="14117" spans="1:11" x14ac:dyDescent="0.3">
      <c r="A14117" t="s">
        <v>27</v>
      </c>
      <c r="B14117" t="s">
        <v>2760</v>
      </c>
      <c r="C14117">
        <v>128</v>
      </c>
      <c r="D14117" t="s">
        <v>103</v>
      </c>
      <c r="E14117" t="s">
        <v>685</v>
      </c>
      <c r="F14117" t="s">
        <v>146</v>
      </c>
      <c r="G14117" t="s">
        <v>103</v>
      </c>
      <c r="H14117" t="s">
        <v>98</v>
      </c>
      <c r="I14117" t="s">
        <v>242</v>
      </c>
      <c r="J14117" t="s">
        <v>103</v>
      </c>
      <c r="K14117" t="s">
        <v>249</v>
      </c>
    </row>
    <row r="14118" spans="1:11" x14ac:dyDescent="0.3">
      <c r="A14118" t="s">
        <v>27</v>
      </c>
      <c r="B14118" t="s">
        <v>308</v>
      </c>
      <c r="C14118">
        <v>2</v>
      </c>
      <c r="D14118" t="s">
        <v>103</v>
      </c>
      <c r="E14118" t="s">
        <v>103</v>
      </c>
      <c r="F14118" t="s">
        <v>103</v>
      </c>
      <c r="G14118" t="s">
        <v>103</v>
      </c>
      <c r="H14118" t="s">
        <v>103</v>
      </c>
      <c r="I14118" t="s">
        <v>103</v>
      </c>
      <c r="J14118" t="s">
        <v>103</v>
      </c>
      <c r="K14118" t="s">
        <v>192</v>
      </c>
    </row>
    <row r="14119" spans="1:11" x14ac:dyDescent="0.3">
      <c r="A14119" t="s">
        <v>41</v>
      </c>
      <c r="B14119" t="s">
        <v>2757</v>
      </c>
      <c r="C14119">
        <v>78</v>
      </c>
      <c r="D14119" t="s">
        <v>409</v>
      </c>
      <c r="E14119" t="s">
        <v>604</v>
      </c>
      <c r="F14119" t="s">
        <v>528</v>
      </c>
      <c r="G14119" t="s">
        <v>62</v>
      </c>
      <c r="H14119" t="s">
        <v>452</v>
      </c>
      <c r="I14119" t="s">
        <v>732</v>
      </c>
      <c r="J14119" t="s">
        <v>103</v>
      </c>
      <c r="K14119" t="s">
        <v>559</v>
      </c>
    </row>
    <row r="14120" spans="1:11" x14ac:dyDescent="0.3">
      <c r="A14120" t="s">
        <v>41</v>
      </c>
      <c r="B14120" t="s">
        <v>2758</v>
      </c>
      <c r="C14120">
        <v>760</v>
      </c>
      <c r="D14120" t="s">
        <v>62</v>
      </c>
      <c r="E14120" t="s">
        <v>477</v>
      </c>
      <c r="F14120" t="s">
        <v>175</v>
      </c>
      <c r="G14120" t="s">
        <v>601</v>
      </c>
      <c r="H14120" t="s">
        <v>275</v>
      </c>
      <c r="I14120" t="s">
        <v>975</v>
      </c>
      <c r="J14120" t="s">
        <v>103</v>
      </c>
      <c r="K14120" t="s">
        <v>421</v>
      </c>
    </row>
    <row r="14121" spans="1:11" x14ac:dyDescent="0.3">
      <c r="A14121" t="s">
        <v>41</v>
      </c>
      <c r="B14121" t="s">
        <v>2759</v>
      </c>
      <c r="C14121">
        <v>603</v>
      </c>
      <c r="D14121" t="s">
        <v>467</v>
      </c>
      <c r="E14121" t="s">
        <v>691</v>
      </c>
      <c r="F14121" t="s">
        <v>271</v>
      </c>
      <c r="G14121" t="s">
        <v>128</v>
      </c>
      <c r="H14121" t="s">
        <v>543</v>
      </c>
      <c r="I14121" t="s">
        <v>483</v>
      </c>
      <c r="J14121" t="s">
        <v>103</v>
      </c>
      <c r="K14121" t="s">
        <v>1220</v>
      </c>
    </row>
    <row r="14122" spans="1:11" x14ac:dyDescent="0.3">
      <c r="A14122" t="s">
        <v>41</v>
      </c>
      <c r="B14122" t="s">
        <v>2760</v>
      </c>
      <c r="C14122">
        <v>566</v>
      </c>
      <c r="D14122" t="s">
        <v>125</v>
      </c>
      <c r="E14122" t="s">
        <v>228</v>
      </c>
      <c r="F14122" t="s">
        <v>514</v>
      </c>
      <c r="G14122" t="s">
        <v>341</v>
      </c>
      <c r="H14122" t="s">
        <v>693</v>
      </c>
      <c r="I14122" t="s">
        <v>554</v>
      </c>
      <c r="J14122" t="s">
        <v>103</v>
      </c>
      <c r="K14122" t="s">
        <v>487</v>
      </c>
    </row>
    <row r="14123" spans="1:11" x14ac:dyDescent="0.3">
      <c r="A14123" t="s">
        <v>41</v>
      </c>
      <c r="B14123" t="s">
        <v>308</v>
      </c>
      <c r="C14123">
        <v>30</v>
      </c>
      <c r="D14123" t="s">
        <v>126</v>
      </c>
      <c r="E14123" t="s">
        <v>667</v>
      </c>
      <c r="F14123" t="s">
        <v>476</v>
      </c>
      <c r="G14123" t="s">
        <v>137</v>
      </c>
      <c r="H14123" t="s">
        <v>271</v>
      </c>
      <c r="I14123" t="s">
        <v>150</v>
      </c>
      <c r="J14123" t="s">
        <v>103</v>
      </c>
      <c r="K14123" t="s">
        <v>420</v>
      </c>
    </row>
    <row r="14125" spans="1:11" x14ac:dyDescent="0.3">
      <c r="A14125" t="s">
        <v>2974</v>
      </c>
    </row>
    <row r="14126" spans="1:11" x14ac:dyDescent="0.3">
      <c r="A14126" t="s">
        <v>36</v>
      </c>
      <c r="B14126" t="s">
        <v>310</v>
      </c>
      <c r="C14126" t="s">
        <v>24</v>
      </c>
      <c r="D14126" t="s">
        <v>2963</v>
      </c>
      <c r="E14126" t="s">
        <v>2964</v>
      </c>
      <c r="F14126" t="s">
        <v>2965</v>
      </c>
      <c r="G14126" t="s">
        <v>2966</v>
      </c>
      <c r="H14126" t="s">
        <v>2967</v>
      </c>
      <c r="I14126" t="s">
        <v>2968</v>
      </c>
      <c r="J14126" t="s">
        <v>2969</v>
      </c>
      <c r="K14126" t="s">
        <v>1195</v>
      </c>
    </row>
    <row r="14127" spans="1:11" x14ac:dyDescent="0.3">
      <c r="A14127" t="s">
        <v>25</v>
      </c>
      <c r="B14127" t="s">
        <v>311</v>
      </c>
      <c r="C14127">
        <v>324</v>
      </c>
      <c r="D14127" t="s">
        <v>511</v>
      </c>
      <c r="E14127" t="s">
        <v>503</v>
      </c>
      <c r="F14127" t="s">
        <v>488</v>
      </c>
      <c r="G14127" t="s">
        <v>112</v>
      </c>
      <c r="H14127" t="s">
        <v>693</v>
      </c>
      <c r="I14127" t="s">
        <v>525</v>
      </c>
      <c r="J14127" t="s">
        <v>103</v>
      </c>
      <c r="K14127" t="s">
        <v>1559</v>
      </c>
    </row>
    <row r="14128" spans="1:11" x14ac:dyDescent="0.3">
      <c r="A14128" t="s">
        <v>25</v>
      </c>
      <c r="B14128" t="s">
        <v>312</v>
      </c>
      <c r="C14128">
        <v>79</v>
      </c>
      <c r="D14128" t="s">
        <v>531</v>
      </c>
      <c r="E14128" t="s">
        <v>469</v>
      </c>
      <c r="F14128" t="s">
        <v>224</v>
      </c>
      <c r="G14128" t="s">
        <v>216</v>
      </c>
      <c r="H14128" t="s">
        <v>94</v>
      </c>
      <c r="I14128" t="s">
        <v>539</v>
      </c>
      <c r="J14128" t="s">
        <v>103</v>
      </c>
      <c r="K14128" t="s">
        <v>300</v>
      </c>
    </row>
    <row r="14129" spans="1:11" x14ac:dyDescent="0.3">
      <c r="A14129" t="s">
        <v>25</v>
      </c>
      <c r="B14129" t="s">
        <v>308</v>
      </c>
      <c r="C14129">
        <v>10</v>
      </c>
      <c r="D14129" t="s">
        <v>591</v>
      </c>
      <c r="E14129" t="s">
        <v>247</v>
      </c>
      <c r="F14129" t="s">
        <v>247</v>
      </c>
      <c r="G14129" t="s">
        <v>108</v>
      </c>
      <c r="H14129" t="s">
        <v>135</v>
      </c>
      <c r="I14129" t="s">
        <v>103</v>
      </c>
      <c r="J14129" t="s">
        <v>103</v>
      </c>
      <c r="K14129" t="s">
        <v>1037</v>
      </c>
    </row>
    <row r="14130" spans="1:11" x14ac:dyDescent="0.3">
      <c r="A14130" t="s">
        <v>26</v>
      </c>
      <c r="B14130" t="s">
        <v>311</v>
      </c>
      <c r="C14130">
        <v>343</v>
      </c>
      <c r="D14130" t="s">
        <v>575</v>
      </c>
      <c r="E14130" t="s">
        <v>548</v>
      </c>
      <c r="F14130" t="s">
        <v>482</v>
      </c>
      <c r="G14130" t="s">
        <v>101</v>
      </c>
      <c r="H14130" t="s">
        <v>135</v>
      </c>
      <c r="I14130" t="s">
        <v>1227</v>
      </c>
      <c r="J14130" t="s">
        <v>103</v>
      </c>
      <c r="K14130" t="s">
        <v>676</v>
      </c>
    </row>
    <row r="14131" spans="1:11" x14ac:dyDescent="0.3">
      <c r="A14131" t="s">
        <v>26</v>
      </c>
      <c r="B14131" t="s">
        <v>312</v>
      </c>
      <c r="C14131">
        <v>96</v>
      </c>
      <c r="D14131" t="s">
        <v>157</v>
      </c>
      <c r="E14131" t="s">
        <v>301</v>
      </c>
      <c r="F14131" t="s">
        <v>467</v>
      </c>
      <c r="G14131" t="s">
        <v>64</v>
      </c>
      <c r="H14131" t="s">
        <v>60</v>
      </c>
      <c r="I14131" t="s">
        <v>264</v>
      </c>
      <c r="J14131" t="s">
        <v>103</v>
      </c>
      <c r="K14131" t="s">
        <v>404</v>
      </c>
    </row>
    <row r="14132" spans="1:11" x14ac:dyDescent="0.3">
      <c r="A14132" t="s">
        <v>26</v>
      </c>
      <c r="B14132" t="s">
        <v>308</v>
      </c>
      <c r="C14132">
        <v>38</v>
      </c>
      <c r="D14132" t="s">
        <v>244</v>
      </c>
      <c r="E14132" t="s">
        <v>461</v>
      </c>
      <c r="F14132" t="s">
        <v>707</v>
      </c>
      <c r="G14132" t="s">
        <v>160</v>
      </c>
      <c r="H14132" t="s">
        <v>188</v>
      </c>
      <c r="I14132" t="s">
        <v>104</v>
      </c>
      <c r="J14132" t="s">
        <v>103</v>
      </c>
      <c r="K14132" t="s">
        <v>573</v>
      </c>
    </row>
    <row r="14133" spans="1:11" x14ac:dyDescent="0.3">
      <c r="A14133" t="s">
        <v>29</v>
      </c>
      <c r="B14133" t="s">
        <v>311</v>
      </c>
      <c r="C14133">
        <v>414</v>
      </c>
      <c r="D14133" t="s">
        <v>494</v>
      </c>
      <c r="E14133" t="s">
        <v>295</v>
      </c>
      <c r="F14133" t="s">
        <v>1198</v>
      </c>
      <c r="G14133" t="s">
        <v>94</v>
      </c>
      <c r="H14133" t="s">
        <v>273</v>
      </c>
      <c r="I14133" t="s">
        <v>48</v>
      </c>
      <c r="J14133" t="s">
        <v>103</v>
      </c>
      <c r="K14133" t="s">
        <v>1205</v>
      </c>
    </row>
    <row r="14134" spans="1:11" x14ac:dyDescent="0.3">
      <c r="A14134" t="s">
        <v>29</v>
      </c>
      <c r="B14134" t="s">
        <v>312</v>
      </c>
      <c r="C14134">
        <v>103</v>
      </c>
      <c r="D14134" t="s">
        <v>438</v>
      </c>
      <c r="E14134" t="s">
        <v>706</v>
      </c>
      <c r="F14134" t="s">
        <v>700</v>
      </c>
      <c r="G14134" t="s">
        <v>105</v>
      </c>
      <c r="H14134" t="s">
        <v>1084</v>
      </c>
      <c r="I14134" t="s">
        <v>1198</v>
      </c>
      <c r="J14134" t="s">
        <v>103</v>
      </c>
      <c r="K14134" t="s">
        <v>1028</v>
      </c>
    </row>
    <row r="14135" spans="1:11" x14ac:dyDescent="0.3">
      <c r="A14135" t="s">
        <v>29</v>
      </c>
      <c r="B14135" t="s">
        <v>308</v>
      </c>
      <c r="C14135">
        <v>13</v>
      </c>
      <c r="D14135" t="s">
        <v>251</v>
      </c>
      <c r="E14135" t="s">
        <v>649</v>
      </c>
      <c r="F14135" t="s">
        <v>480</v>
      </c>
      <c r="G14135" t="s">
        <v>103</v>
      </c>
      <c r="H14135" t="s">
        <v>1084</v>
      </c>
      <c r="I14135" t="s">
        <v>477</v>
      </c>
      <c r="J14135" t="s">
        <v>103</v>
      </c>
      <c r="K14135" t="s">
        <v>577</v>
      </c>
    </row>
    <row r="14136" spans="1:11" x14ac:dyDescent="0.3">
      <c r="A14136" t="s">
        <v>28</v>
      </c>
      <c r="B14136" t="s">
        <v>311</v>
      </c>
      <c r="C14136">
        <v>223</v>
      </c>
      <c r="D14136" t="s">
        <v>94</v>
      </c>
      <c r="E14136" t="s">
        <v>1084</v>
      </c>
      <c r="F14136" t="s">
        <v>113</v>
      </c>
      <c r="G14136" t="s">
        <v>239</v>
      </c>
      <c r="H14136" t="s">
        <v>266</v>
      </c>
      <c r="I14136" t="s">
        <v>264</v>
      </c>
      <c r="J14136" t="s">
        <v>103</v>
      </c>
      <c r="K14136" t="s">
        <v>349</v>
      </c>
    </row>
    <row r="14137" spans="1:11" x14ac:dyDescent="0.3">
      <c r="A14137" t="s">
        <v>28</v>
      </c>
      <c r="B14137" t="s">
        <v>312</v>
      </c>
      <c r="C14137">
        <v>93</v>
      </c>
      <c r="D14137" t="s">
        <v>750</v>
      </c>
      <c r="E14137" t="s">
        <v>577</v>
      </c>
      <c r="F14137" t="s">
        <v>251</v>
      </c>
      <c r="G14137" t="s">
        <v>662</v>
      </c>
      <c r="H14137" t="s">
        <v>693</v>
      </c>
      <c r="I14137" t="s">
        <v>732</v>
      </c>
      <c r="J14137" t="s">
        <v>103</v>
      </c>
      <c r="K14137" t="s">
        <v>431</v>
      </c>
    </row>
    <row r="14138" spans="1:11" x14ac:dyDescent="0.3">
      <c r="A14138" t="s">
        <v>28</v>
      </c>
      <c r="B14138" t="s">
        <v>308</v>
      </c>
      <c r="C14138">
        <v>1</v>
      </c>
      <c r="D14138" t="s">
        <v>192</v>
      </c>
      <c r="E14138" t="s">
        <v>192</v>
      </c>
      <c r="F14138" t="s">
        <v>103</v>
      </c>
      <c r="G14138" t="s">
        <v>192</v>
      </c>
      <c r="H14138" t="s">
        <v>103</v>
      </c>
      <c r="I14138" t="s">
        <v>192</v>
      </c>
      <c r="J14138" t="s">
        <v>103</v>
      </c>
      <c r="K14138" t="s">
        <v>103</v>
      </c>
    </row>
    <row r="14139" spans="1:11" x14ac:dyDescent="0.3">
      <c r="A14139" t="s">
        <v>27</v>
      </c>
      <c r="B14139" t="s">
        <v>311</v>
      </c>
      <c r="C14139">
        <v>237</v>
      </c>
      <c r="D14139" t="s">
        <v>98</v>
      </c>
      <c r="E14139" t="s">
        <v>1097</v>
      </c>
      <c r="F14139" t="s">
        <v>190</v>
      </c>
      <c r="G14139" t="s">
        <v>216</v>
      </c>
      <c r="H14139" t="s">
        <v>102</v>
      </c>
      <c r="I14139" t="s">
        <v>536</v>
      </c>
      <c r="J14139" t="s">
        <v>103</v>
      </c>
      <c r="K14139" t="s">
        <v>368</v>
      </c>
    </row>
    <row r="14140" spans="1:11" x14ac:dyDescent="0.3">
      <c r="A14140" t="s">
        <v>27</v>
      </c>
      <c r="B14140" t="s">
        <v>312</v>
      </c>
      <c r="C14140">
        <v>60</v>
      </c>
      <c r="D14140" t="s">
        <v>103</v>
      </c>
      <c r="E14140" t="s">
        <v>683</v>
      </c>
      <c r="F14140" t="s">
        <v>144</v>
      </c>
      <c r="G14140" t="s">
        <v>103</v>
      </c>
      <c r="H14140" t="s">
        <v>194</v>
      </c>
      <c r="I14140" t="s">
        <v>275</v>
      </c>
      <c r="J14140" t="s">
        <v>103</v>
      </c>
      <c r="K14140" t="s">
        <v>349</v>
      </c>
    </row>
    <row r="14141" spans="1:11" x14ac:dyDescent="0.3">
      <c r="A14141" t="s">
        <v>27</v>
      </c>
      <c r="B14141" t="s">
        <v>308</v>
      </c>
      <c r="C14141">
        <v>3</v>
      </c>
      <c r="D14141" t="s">
        <v>103</v>
      </c>
      <c r="E14141" t="s">
        <v>103</v>
      </c>
      <c r="F14141" t="s">
        <v>103</v>
      </c>
      <c r="G14141" t="s">
        <v>103</v>
      </c>
      <c r="H14141" t="s">
        <v>103</v>
      </c>
      <c r="I14141" t="s">
        <v>103</v>
      </c>
      <c r="J14141" t="s">
        <v>103</v>
      </c>
      <c r="K14141" t="s">
        <v>192</v>
      </c>
    </row>
    <row r="14142" spans="1:11" x14ac:dyDescent="0.3">
      <c r="A14142" t="s">
        <v>41</v>
      </c>
      <c r="B14142" t="s">
        <v>311</v>
      </c>
      <c r="C14142">
        <v>1541</v>
      </c>
      <c r="D14142" t="s">
        <v>101</v>
      </c>
      <c r="E14142" t="s">
        <v>746</v>
      </c>
      <c r="F14142" t="s">
        <v>275</v>
      </c>
      <c r="G14142" t="s">
        <v>206</v>
      </c>
      <c r="H14142" t="s">
        <v>481</v>
      </c>
      <c r="I14142" t="s">
        <v>707</v>
      </c>
      <c r="J14142" t="s">
        <v>103</v>
      </c>
      <c r="K14142" t="s">
        <v>390</v>
      </c>
    </row>
    <row r="14143" spans="1:11" x14ac:dyDescent="0.3">
      <c r="A14143" t="s">
        <v>41</v>
      </c>
      <c r="B14143" t="s">
        <v>312</v>
      </c>
      <c r="C14143">
        <v>431</v>
      </c>
      <c r="D14143" t="s">
        <v>94</v>
      </c>
      <c r="E14143" t="s">
        <v>702</v>
      </c>
      <c r="F14143" t="s">
        <v>482</v>
      </c>
      <c r="G14143" t="s">
        <v>93</v>
      </c>
      <c r="H14143" t="s">
        <v>495</v>
      </c>
      <c r="I14143" t="s">
        <v>789</v>
      </c>
      <c r="J14143" t="s">
        <v>103</v>
      </c>
      <c r="K14143" t="s">
        <v>1208</v>
      </c>
    </row>
    <row r="14144" spans="1:11" x14ac:dyDescent="0.3">
      <c r="A14144" t="s">
        <v>41</v>
      </c>
      <c r="B14144" t="s">
        <v>308</v>
      </c>
      <c r="C14144">
        <v>65</v>
      </c>
      <c r="D14144" t="s">
        <v>629</v>
      </c>
      <c r="E14144" t="s">
        <v>471</v>
      </c>
      <c r="F14144" t="s">
        <v>658</v>
      </c>
      <c r="G14144" t="s">
        <v>543</v>
      </c>
      <c r="H14144" t="s">
        <v>652</v>
      </c>
      <c r="I14144" t="s">
        <v>162</v>
      </c>
      <c r="J14144" t="s">
        <v>103</v>
      </c>
      <c r="K14144" t="s">
        <v>677</v>
      </c>
    </row>
    <row r="14146" spans="1:11" x14ac:dyDescent="0.3">
      <c r="A14146" t="s">
        <v>2975</v>
      </c>
    </row>
    <row r="14147" spans="1:11" x14ac:dyDescent="0.3">
      <c r="A14147" t="s">
        <v>36</v>
      </c>
      <c r="B14147" t="s">
        <v>1233</v>
      </c>
      <c r="C14147" t="s">
        <v>24</v>
      </c>
      <c r="D14147" t="s">
        <v>2963</v>
      </c>
      <c r="E14147" t="s">
        <v>2964</v>
      </c>
      <c r="F14147" t="s">
        <v>2965</v>
      </c>
      <c r="G14147" t="s">
        <v>2966</v>
      </c>
      <c r="H14147" t="s">
        <v>2967</v>
      </c>
      <c r="I14147" t="s">
        <v>2968</v>
      </c>
      <c r="J14147" t="s">
        <v>2969</v>
      </c>
      <c r="K14147" t="s">
        <v>1195</v>
      </c>
    </row>
    <row r="14148" spans="1:11" x14ac:dyDescent="0.3">
      <c r="A14148" t="s">
        <v>25</v>
      </c>
      <c r="B14148" t="s">
        <v>1234</v>
      </c>
      <c r="C14148">
        <v>256</v>
      </c>
      <c r="D14148" t="s">
        <v>135</v>
      </c>
      <c r="E14148" t="s">
        <v>1204</v>
      </c>
      <c r="F14148" t="s">
        <v>809</v>
      </c>
      <c r="G14148" t="s">
        <v>494</v>
      </c>
      <c r="H14148" t="s">
        <v>743</v>
      </c>
      <c r="I14148" t="s">
        <v>409</v>
      </c>
      <c r="J14148" t="s">
        <v>103</v>
      </c>
      <c r="K14148" t="s">
        <v>1028</v>
      </c>
    </row>
    <row r="14149" spans="1:11" s="3" customFormat="1" x14ac:dyDescent="0.3">
      <c r="A14149" s="3" t="s">
        <v>25</v>
      </c>
      <c r="B14149" s="3" t="s">
        <v>1235</v>
      </c>
      <c r="C14149" s="3">
        <v>25</v>
      </c>
      <c r="D14149" s="3" t="s">
        <v>105</v>
      </c>
      <c r="E14149" s="3" t="s">
        <v>132</v>
      </c>
      <c r="F14149" s="3" t="s">
        <v>148</v>
      </c>
      <c r="G14149" s="3" t="s">
        <v>493</v>
      </c>
      <c r="H14149" s="3" t="s">
        <v>750</v>
      </c>
      <c r="I14149" s="3" t="s">
        <v>476</v>
      </c>
      <c r="J14149" s="3" t="s">
        <v>103</v>
      </c>
      <c r="K14149" s="3" t="s">
        <v>1260</v>
      </c>
    </row>
    <row r="14150" spans="1:11" x14ac:dyDescent="0.3">
      <c r="A14150" t="s">
        <v>25</v>
      </c>
      <c r="B14150" t="s">
        <v>1237</v>
      </c>
      <c r="C14150">
        <v>132</v>
      </c>
      <c r="D14150" t="s">
        <v>468</v>
      </c>
      <c r="E14150" t="s">
        <v>524</v>
      </c>
      <c r="F14150" t="s">
        <v>517</v>
      </c>
      <c r="G14150" t="s">
        <v>103</v>
      </c>
      <c r="H14150" t="s">
        <v>110</v>
      </c>
      <c r="I14150" t="s">
        <v>727</v>
      </c>
      <c r="J14150" t="s">
        <v>103</v>
      </c>
      <c r="K14150" t="s">
        <v>1321</v>
      </c>
    </row>
    <row r="14151" spans="1:11" x14ac:dyDescent="0.3">
      <c r="A14151" t="s">
        <v>26</v>
      </c>
      <c r="B14151" t="s">
        <v>1234</v>
      </c>
      <c r="C14151">
        <v>296</v>
      </c>
      <c r="D14151" t="s">
        <v>594</v>
      </c>
      <c r="E14151" t="s">
        <v>264</v>
      </c>
      <c r="F14151" t="s">
        <v>190</v>
      </c>
      <c r="G14151" t="s">
        <v>254</v>
      </c>
      <c r="H14151" t="s">
        <v>254</v>
      </c>
      <c r="I14151" t="s">
        <v>504</v>
      </c>
      <c r="J14151" t="s">
        <v>103</v>
      </c>
      <c r="K14151" t="s">
        <v>1091</v>
      </c>
    </row>
    <row r="14152" spans="1:11" x14ac:dyDescent="0.3">
      <c r="A14152" t="s">
        <v>26</v>
      </c>
      <c r="B14152" t="s">
        <v>1235</v>
      </c>
      <c r="C14152">
        <v>37</v>
      </c>
      <c r="D14152" t="s">
        <v>1223</v>
      </c>
      <c r="E14152" t="s">
        <v>1229</v>
      </c>
      <c r="F14152" t="s">
        <v>144</v>
      </c>
      <c r="G14152" t="s">
        <v>521</v>
      </c>
      <c r="H14152" t="s">
        <v>569</v>
      </c>
      <c r="I14152" t="s">
        <v>512</v>
      </c>
      <c r="J14152" t="s">
        <v>103</v>
      </c>
      <c r="K14152" t="s">
        <v>526</v>
      </c>
    </row>
    <row r="14153" spans="1:11" x14ac:dyDescent="0.3">
      <c r="A14153" t="s">
        <v>26</v>
      </c>
      <c r="B14153" t="s">
        <v>1237</v>
      </c>
      <c r="C14153">
        <v>144</v>
      </c>
      <c r="D14153" t="s">
        <v>127</v>
      </c>
      <c r="E14153" t="s">
        <v>514</v>
      </c>
      <c r="F14153" t="s">
        <v>171</v>
      </c>
      <c r="G14153" t="s">
        <v>103</v>
      </c>
      <c r="H14153" t="s">
        <v>114</v>
      </c>
      <c r="I14153" t="s">
        <v>680</v>
      </c>
      <c r="J14153" t="s">
        <v>103</v>
      </c>
      <c r="K14153" t="s">
        <v>1067</v>
      </c>
    </row>
    <row r="14154" spans="1:11" x14ac:dyDescent="0.3">
      <c r="A14154" t="s">
        <v>29</v>
      </c>
      <c r="B14154" t="s">
        <v>1234</v>
      </c>
      <c r="C14154">
        <v>372</v>
      </c>
      <c r="D14154" t="s">
        <v>205</v>
      </c>
      <c r="E14154" t="s">
        <v>746</v>
      </c>
      <c r="F14154" t="s">
        <v>264</v>
      </c>
      <c r="G14154" t="s">
        <v>531</v>
      </c>
      <c r="H14154" t="s">
        <v>680</v>
      </c>
      <c r="I14154" t="s">
        <v>732</v>
      </c>
      <c r="J14154" t="s">
        <v>103</v>
      </c>
      <c r="K14154" t="s">
        <v>663</v>
      </c>
    </row>
    <row r="14155" spans="1:11" x14ac:dyDescent="0.3">
      <c r="A14155" t="s">
        <v>29</v>
      </c>
      <c r="B14155" t="s">
        <v>1235</v>
      </c>
      <c r="C14155">
        <v>38</v>
      </c>
      <c r="D14155" t="s">
        <v>60</v>
      </c>
      <c r="E14155" t="s">
        <v>1088</v>
      </c>
      <c r="F14155" t="s">
        <v>813</v>
      </c>
      <c r="G14155" t="s">
        <v>104</v>
      </c>
      <c r="H14155" t="s">
        <v>680</v>
      </c>
      <c r="I14155" t="s">
        <v>561</v>
      </c>
      <c r="J14155" t="s">
        <v>103</v>
      </c>
      <c r="K14155" t="s">
        <v>505</v>
      </c>
    </row>
    <row r="14156" spans="1:11" x14ac:dyDescent="0.3">
      <c r="A14156" t="s">
        <v>29</v>
      </c>
      <c r="B14156" t="s">
        <v>1237</v>
      </c>
      <c r="C14156">
        <v>120</v>
      </c>
      <c r="D14156" t="s">
        <v>245</v>
      </c>
      <c r="E14156" t="s">
        <v>1219</v>
      </c>
      <c r="F14156" t="s">
        <v>485</v>
      </c>
      <c r="G14156" t="s">
        <v>345</v>
      </c>
      <c r="H14156" t="s">
        <v>463</v>
      </c>
      <c r="I14156" t="s">
        <v>119</v>
      </c>
      <c r="J14156" t="s">
        <v>103</v>
      </c>
      <c r="K14156" t="s">
        <v>1329</v>
      </c>
    </row>
    <row r="14157" spans="1:11" x14ac:dyDescent="0.3">
      <c r="A14157" t="s">
        <v>28</v>
      </c>
      <c r="B14157" t="s">
        <v>1234</v>
      </c>
      <c r="C14157">
        <v>126</v>
      </c>
      <c r="D14157" t="s">
        <v>117</v>
      </c>
      <c r="E14157" t="s">
        <v>900</v>
      </c>
      <c r="F14157" t="s">
        <v>662</v>
      </c>
      <c r="G14157" t="s">
        <v>133</v>
      </c>
      <c r="H14157" t="s">
        <v>33</v>
      </c>
      <c r="I14157" t="s">
        <v>106</v>
      </c>
      <c r="J14157" t="s">
        <v>103</v>
      </c>
      <c r="K14157" t="s">
        <v>1278</v>
      </c>
    </row>
    <row r="14158" spans="1:11" s="3" customFormat="1" x14ac:dyDescent="0.3">
      <c r="A14158" s="3" t="s">
        <v>28</v>
      </c>
      <c r="B14158" s="3" t="s">
        <v>1235</v>
      </c>
      <c r="C14158" s="3">
        <v>17</v>
      </c>
      <c r="D14158" s="3" t="s">
        <v>516</v>
      </c>
      <c r="E14158" s="3" t="s">
        <v>423</v>
      </c>
      <c r="F14158" s="3" t="s">
        <v>62</v>
      </c>
      <c r="G14158" s="3" t="s">
        <v>103</v>
      </c>
      <c r="H14158" s="3" t="s">
        <v>62</v>
      </c>
      <c r="I14158" s="3" t="s">
        <v>1637</v>
      </c>
      <c r="J14158" s="3" t="s">
        <v>103</v>
      </c>
      <c r="K14158" s="3" t="s">
        <v>1093</v>
      </c>
    </row>
    <row r="14159" spans="1:11" x14ac:dyDescent="0.3">
      <c r="A14159" t="s">
        <v>28</v>
      </c>
      <c r="B14159" t="s">
        <v>1237</v>
      </c>
      <c r="C14159">
        <v>174</v>
      </c>
      <c r="D14159" t="s">
        <v>190</v>
      </c>
      <c r="E14159" t="s">
        <v>557</v>
      </c>
      <c r="F14159" t="s">
        <v>188</v>
      </c>
      <c r="G14159" t="s">
        <v>194</v>
      </c>
      <c r="H14159" t="s">
        <v>102</v>
      </c>
      <c r="I14159" t="s">
        <v>644</v>
      </c>
      <c r="J14159" t="s">
        <v>103</v>
      </c>
      <c r="K14159" t="s">
        <v>1067</v>
      </c>
    </row>
    <row r="14160" spans="1:11" x14ac:dyDescent="0.3">
      <c r="A14160" t="s">
        <v>27</v>
      </c>
      <c r="B14160" t="s">
        <v>1234</v>
      </c>
      <c r="C14160">
        <v>149</v>
      </c>
      <c r="D14160" t="s">
        <v>194</v>
      </c>
      <c r="E14160" t="s">
        <v>1011</v>
      </c>
      <c r="F14160" t="s">
        <v>452</v>
      </c>
      <c r="G14160" t="s">
        <v>118</v>
      </c>
      <c r="H14160" t="s">
        <v>272</v>
      </c>
      <c r="I14160" t="s">
        <v>488</v>
      </c>
      <c r="J14160" t="s">
        <v>103</v>
      </c>
      <c r="K14160" t="s">
        <v>1546</v>
      </c>
    </row>
    <row r="14161" spans="1:11" s="3" customFormat="1" x14ac:dyDescent="0.3">
      <c r="A14161" s="3" t="s">
        <v>27</v>
      </c>
      <c r="B14161" s="3" t="s">
        <v>1235</v>
      </c>
      <c r="C14161" s="3">
        <v>10</v>
      </c>
      <c r="D14161" s="3" t="s">
        <v>103</v>
      </c>
      <c r="E14161" s="3" t="s">
        <v>658</v>
      </c>
      <c r="F14161" s="3" t="s">
        <v>103</v>
      </c>
      <c r="G14161" s="3" t="s">
        <v>103</v>
      </c>
      <c r="H14161" s="3" t="s">
        <v>103</v>
      </c>
      <c r="I14161" s="3" t="s">
        <v>829</v>
      </c>
      <c r="J14161" s="3" t="s">
        <v>103</v>
      </c>
      <c r="K14161" s="3" t="s">
        <v>366</v>
      </c>
    </row>
    <row r="14162" spans="1:11" x14ac:dyDescent="0.3">
      <c r="A14162" t="s">
        <v>27</v>
      </c>
      <c r="B14162" t="s">
        <v>1237</v>
      </c>
      <c r="C14162">
        <v>141</v>
      </c>
      <c r="D14162" t="s">
        <v>103</v>
      </c>
      <c r="E14162" t="s">
        <v>121</v>
      </c>
      <c r="F14162" t="s">
        <v>543</v>
      </c>
      <c r="G14162" t="s">
        <v>103</v>
      </c>
      <c r="H14162" t="s">
        <v>467</v>
      </c>
      <c r="I14162" t="s">
        <v>459</v>
      </c>
      <c r="J14162" t="s">
        <v>103</v>
      </c>
      <c r="K14162" t="s">
        <v>400</v>
      </c>
    </row>
    <row r="14163" spans="1:11" x14ac:dyDescent="0.3">
      <c r="A14163" t="s">
        <v>41</v>
      </c>
      <c r="B14163" t="s">
        <v>1234</v>
      </c>
      <c r="C14163">
        <v>1199</v>
      </c>
      <c r="D14163" t="s">
        <v>126</v>
      </c>
      <c r="E14163" t="s">
        <v>565</v>
      </c>
      <c r="F14163" t="s">
        <v>106</v>
      </c>
      <c r="G14163" t="s">
        <v>607</v>
      </c>
      <c r="H14163" t="s">
        <v>162</v>
      </c>
      <c r="I14163" t="s">
        <v>805</v>
      </c>
      <c r="J14163" t="s">
        <v>103</v>
      </c>
      <c r="K14163" t="s">
        <v>427</v>
      </c>
    </row>
    <row r="14164" spans="1:11" x14ac:dyDescent="0.3">
      <c r="A14164" t="s">
        <v>41</v>
      </c>
      <c r="B14164" t="s">
        <v>1235</v>
      </c>
      <c r="C14164">
        <v>127</v>
      </c>
      <c r="D14164" t="s">
        <v>164</v>
      </c>
      <c r="E14164" t="s">
        <v>1206</v>
      </c>
      <c r="F14164" t="s">
        <v>144</v>
      </c>
      <c r="G14164" t="s">
        <v>123</v>
      </c>
      <c r="H14164" t="s">
        <v>132</v>
      </c>
      <c r="I14164" t="s">
        <v>679</v>
      </c>
      <c r="J14164" t="s">
        <v>103</v>
      </c>
      <c r="K14164" t="s">
        <v>301</v>
      </c>
    </row>
    <row r="14165" spans="1:11" x14ac:dyDescent="0.3">
      <c r="A14165" t="s">
        <v>41</v>
      </c>
      <c r="B14165" t="s">
        <v>1237</v>
      </c>
      <c r="C14165">
        <v>711</v>
      </c>
      <c r="D14165" t="s">
        <v>438</v>
      </c>
      <c r="E14165" t="s">
        <v>479</v>
      </c>
      <c r="F14165" t="s">
        <v>150</v>
      </c>
      <c r="G14165" t="s">
        <v>97</v>
      </c>
      <c r="H14165" t="s">
        <v>452</v>
      </c>
      <c r="I14165" t="s">
        <v>515</v>
      </c>
      <c r="J14165" t="s">
        <v>103</v>
      </c>
      <c r="K14165" t="s">
        <v>1394</v>
      </c>
    </row>
    <row r="14167" spans="1:11" x14ac:dyDescent="0.3">
      <c r="A14167" t="s">
        <v>2976</v>
      </c>
    </row>
    <row r="14168" spans="1:11" x14ac:dyDescent="0.3">
      <c r="A14168" t="s">
        <v>36</v>
      </c>
      <c r="B14168" t="s">
        <v>2764</v>
      </c>
      <c r="C14168" t="s">
        <v>24</v>
      </c>
      <c r="D14168" t="s">
        <v>2963</v>
      </c>
      <c r="E14168" t="s">
        <v>2964</v>
      </c>
      <c r="F14168" t="s">
        <v>2965</v>
      </c>
      <c r="G14168" t="s">
        <v>2966</v>
      </c>
      <c r="H14168" t="s">
        <v>2967</v>
      </c>
      <c r="I14168" t="s">
        <v>2968</v>
      </c>
      <c r="J14168" t="s">
        <v>2969</v>
      </c>
      <c r="K14168" t="s">
        <v>1195</v>
      </c>
    </row>
    <row r="14169" spans="1:11" s="3" customFormat="1" x14ac:dyDescent="0.3">
      <c r="A14169" s="3" t="s">
        <v>25</v>
      </c>
      <c r="B14169" s="3" t="s">
        <v>2765</v>
      </c>
      <c r="C14169" s="3">
        <v>16</v>
      </c>
      <c r="D14169" s="3" t="s">
        <v>103</v>
      </c>
      <c r="E14169" s="3" t="s">
        <v>1227</v>
      </c>
      <c r="F14169" s="3" t="s">
        <v>687</v>
      </c>
      <c r="G14169" s="3" t="s">
        <v>251</v>
      </c>
      <c r="H14169" s="3" t="s">
        <v>70</v>
      </c>
      <c r="I14169" s="3" t="s">
        <v>577</v>
      </c>
      <c r="J14169" s="3" t="s">
        <v>103</v>
      </c>
      <c r="K14169" s="3" t="s">
        <v>138</v>
      </c>
    </row>
    <row r="14170" spans="1:11" s="3" customFormat="1" x14ac:dyDescent="0.3">
      <c r="A14170" s="3" t="s">
        <v>25</v>
      </c>
      <c r="B14170" s="3" t="s">
        <v>585</v>
      </c>
      <c r="C14170" s="3">
        <v>5</v>
      </c>
      <c r="D14170" s="3" t="s">
        <v>784</v>
      </c>
      <c r="E14170" s="3" t="s">
        <v>1328</v>
      </c>
      <c r="F14170" s="3" t="s">
        <v>103</v>
      </c>
      <c r="G14170" s="3" t="s">
        <v>113</v>
      </c>
      <c r="H14170" s="3" t="s">
        <v>103</v>
      </c>
      <c r="I14170" s="3" t="s">
        <v>113</v>
      </c>
      <c r="J14170" s="3" t="s">
        <v>103</v>
      </c>
      <c r="K14170" s="3" t="s">
        <v>1227</v>
      </c>
    </row>
    <row r="14171" spans="1:11" s="3" customFormat="1" x14ac:dyDescent="0.3">
      <c r="A14171" s="3" t="s">
        <v>25</v>
      </c>
      <c r="B14171" s="3" t="s">
        <v>586</v>
      </c>
      <c r="C14171" s="3">
        <v>17</v>
      </c>
      <c r="D14171" s="3" t="s">
        <v>103</v>
      </c>
      <c r="E14171" s="3" t="s">
        <v>890</v>
      </c>
      <c r="F14171" s="3" t="s">
        <v>526</v>
      </c>
      <c r="G14171" s="3" t="s">
        <v>190</v>
      </c>
      <c r="H14171" s="3" t="s">
        <v>103</v>
      </c>
      <c r="I14171" s="3" t="s">
        <v>481</v>
      </c>
      <c r="J14171" s="3" t="s">
        <v>103</v>
      </c>
      <c r="K14171" s="3" t="s">
        <v>294</v>
      </c>
    </row>
    <row r="14172" spans="1:11" s="3" customFormat="1" x14ac:dyDescent="0.3">
      <c r="A14172" s="3" t="s">
        <v>25</v>
      </c>
      <c r="B14172" s="3" t="s">
        <v>587</v>
      </c>
      <c r="C14172" s="3">
        <v>2</v>
      </c>
      <c r="D14172" s="3" t="s">
        <v>250</v>
      </c>
      <c r="E14172" s="3" t="s">
        <v>250</v>
      </c>
      <c r="F14172" s="3" t="s">
        <v>103</v>
      </c>
      <c r="G14172" s="3" t="s">
        <v>103</v>
      </c>
      <c r="H14172" s="3" t="s">
        <v>103</v>
      </c>
      <c r="I14172" s="3" t="s">
        <v>103</v>
      </c>
      <c r="J14172" s="3" t="s">
        <v>103</v>
      </c>
      <c r="K14172" s="3" t="s">
        <v>1400</v>
      </c>
    </row>
    <row r="14173" spans="1:11" s="3" customFormat="1" x14ac:dyDescent="0.3">
      <c r="A14173" s="3" t="s">
        <v>25</v>
      </c>
      <c r="B14173" s="3" t="s">
        <v>588</v>
      </c>
      <c r="C14173" s="3">
        <v>20</v>
      </c>
      <c r="D14173" s="3" t="s">
        <v>70</v>
      </c>
      <c r="E14173" s="3" t="s">
        <v>691</v>
      </c>
      <c r="F14173" s="3" t="s">
        <v>566</v>
      </c>
      <c r="G14173" s="3" t="s">
        <v>70</v>
      </c>
      <c r="H14173" s="3" t="s">
        <v>654</v>
      </c>
      <c r="I14173" s="3" t="s">
        <v>135</v>
      </c>
      <c r="J14173" s="3" t="s">
        <v>103</v>
      </c>
      <c r="K14173" s="3" t="s">
        <v>1066</v>
      </c>
    </row>
    <row r="14174" spans="1:11" x14ac:dyDescent="0.3">
      <c r="A14174" t="s">
        <v>25</v>
      </c>
      <c r="B14174" t="s">
        <v>2766</v>
      </c>
      <c r="C14174">
        <v>353</v>
      </c>
      <c r="D14174" t="s">
        <v>607</v>
      </c>
      <c r="E14174" t="s">
        <v>875</v>
      </c>
      <c r="F14174" t="s">
        <v>700</v>
      </c>
      <c r="G14174" t="s">
        <v>214</v>
      </c>
      <c r="H14174" t="s">
        <v>262</v>
      </c>
      <c r="I14174" t="s">
        <v>754</v>
      </c>
      <c r="J14174" t="s">
        <v>103</v>
      </c>
      <c r="K14174" t="s">
        <v>1231</v>
      </c>
    </row>
    <row r="14175" spans="1:11" s="3" customFormat="1" x14ac:dyDescent="0.3">
      <c r="A14175" s="3" t="s">
        <v>26</v>
      </c>
      <c r="B14175" s="3" t="s">
        <v>2765</v>
      </c>
      <c r="C14175" s="3">
        <v>26</v>
      </c>
      <c r="D14175" s="3" t="s">
        <v>136</v>
      </c>
      <c r="E14175" s="3" t="s">
        <v>555</v>
      </c>
      <c r="F14175" s="3" t="s">
        <v>135</v>
      </c>
      <c r="G14175" s="3" t="s">
        <v>466</v>
      </c>
      <c r="H14175" s="3" t="s">
        <v>100</v>
      </c>
      <c r="I14175" s="3" t="s">
        <v>526</v>
      </c>
      <c r="J14175" s="3" t="s">
        <v>103</v>
      </c>
      <c r="K14175" s="3" t="s">
        <v>492</v>
      </c>
    </row>
    <row r="14176" spans="1:11" s="3" customFormat="1" x14ac:dyDescent="0.3">
      <c r="A14176" s="3" t="s">
        <v>26</v>
      </c>
      <c r="B14176" s="3" t="s">
        <v>586</v>
      </c>
      <c r="C14176" s="3">
        <v>4</v>
      </c>
      <c r="D14176" s="3" t="s">
        <v>103</v>
      </c>
      <c r="E14176" s="3" t="s">
        <v>103</v>
      </c>
      <c r="F14176" s="3" t="s">
        <v>103</v>
      </c>
      <c r="G14176" s="3" t="s">
        <v>103</v>
      </c>
      <c r="H14176" s="3" t="s">
        <v>103</v>
      </c>
      <c r="I14176" s="3" t="s">
        <v>615</v>
      </c>
      <c r="J14176" s="3" t="s">
        <v>103</v>
      </c>
      <c r="K14176" s="3" t="s">
        <v>841</v>
      </c>
    </row>
    <row r="14177" spans="1:11" s="3" customFormat="1" x14ac:dyDescent="0.3">
      <c r="A14177" s="3" t="s">
        <v>26</v>
      </c>
      <c r="B14177" s="3" t="s">
        <v>587</v>
      </c>
      <c r="C14177" s="3">
        <v>8</v>
      </c>
      <c r="D14177" s="3" t="s">
        <v>1090</v>
      </c>
      <c r="E14177" s="3" t="s">
        <v>443</v>
      </c>
      <c r="F14177" s="3" t="s">
        <v>566</v>
      </c>
      <c r="G14177" s="3" t="s">
        <v>103</v>
      </c>
      <c r="H14177" s="3" t="s">
        <v>103</v>
      </c>
      <c r="I14177" s="3" t="s">
        <v>993</v>
      </c>
      <c r="J14177" s="3" t="s">
        <v>103</v>
      </c>
      <c r="K14177" s="3" t="s">
        <v>697</v>
      </c>
    </row>
    <row r="14178" spans="1:11" s="3" customFormat="1" x14ac:dyDescent="0.3">
      <c r="A14178" s="3" t="s">
        <v>26</v>
      </c>
      <c r="B14178" s="3" t="s">
        <v>588</v>
      </c>
      <c r="C14178" s="3">
        <v>4</v>
      </c>
      <c r="D14178" s="3" t="s">
        <v>103</v>
      </c>
      <c r="E14178" s="3" t="s">
        <v>547</v>
      </c>
      <c r="F14178" s="3" t="s">
        <v>103</v>
      </c>
      <c r="G14178" s="3" t="s">
        <v>103</v>
      </c>
      <c r="H14178" s="3" t="s">
        <v>50</v>
      </c>
      <c r="I14178" s="3" t="s">
        <v>301</v>
      </c>
      <c r="J14178" s="3" t="s">
        <v>103</v>
      </c>
      <c r="K14178" s="3" t="s">
        <v>935</v>
      </c>
    </row>
    <row r="14179" spans="1:11" x14ac:dyDescent="0.3">
      <c r="A14179" t="s">
        <v>26</v>
      </c>
      <c r="B14179" t="s">
        <v>2766</v>
      </c>
      <c r="C14179">
        <v>435</v>
      </c>
      <c r="D14179" t="s">
        <v>224</v>
      </c>
      <c r="E14179" t="s">
        <v>707</v>
      </c>
      <c r="F14179" t="s">
        <v>247</v>
      </c>
      <c r="G14179" t="s">
        <v>460</v>
      </c>
      <c r="H14179" t="s">
        <v>137</v>
      </c>
      <c r="I14179" t="s">
        <v>688</v>
      </c>
      <c r="J14179" t="s">
        <v>103</v>
      </c>
      <c r="K14179" t="s">
        <v>462</v>
      </c>
    </row>
    <row r="14180" spans="1:11" s="3" customFormat="1" x14ac:dyDescent="0.3">
      <c r="A14180" s="3" t="s">
        <v>29</v>
      </c>
      <c r="B14180" s="3" t="s">
        <v>2765</v>
      </c>
      <c r="C14180" s="3">
        <v>30</v>
      </c>
      <c r="D14180" s="3" t="s">
        <v>829</v>
      </c>
      <c r="E14180" s="3" t="s">
        <v>546</v>
      </c>
      <c r="F14180" s="3" t="s">
        <v>691</v>
      </c>
      <c r="G14180" s="3" t="s">
        <v>514</v>
      </c>
      <c r="H14180" s="3" t="s">
        <v>94</v>
      </c>
      <c r="I14180" s="3" t="s">
        <v>518</v>
      </c>
      <c r="J14180" s="3" t="s">
        <v>103</v>
      </c>
      <c r="K14180" s="3" t="s">
        <v>1224</v>
      </c>
    </row>
    <row r="14181" spans="1:11" s="3" customFormat="1" x14ac:dyDescent="0.3">
      <c r="A14181" s="3" t="s">
        <v>29</v>
      </c>
      <c r="B14181" s="3" t="s">
        <v>585</v>
      </c>
      <c r="C14181" s="3">
        <v>6</v>
      </c>
      <c r="D14181" s="3" t="s">
        <v>103</v>
      </c>
      <c r="E14181" s="3" t="s">
        <v>103</v>
      </c>
      <c r="F14181" s="3" t="s">
        <v>226</v>
      </c>
      <c r="G14181" s="3" t="s">
        <v>103</v>
      </c>
      <c r="H14181" s="3" t="s">
        <v>791</v>
      </c>
      <c r="I14181" s="3" t="s">
        <v>791</v>
      </c>
      <c r="J14181" s="3" t="s">
        <v>103</v>
      </c>
      <c r="K14181" s="3" t="s">
        <v>565</v>
      </c>
    </row>
    <row r="14182" spans="1:11" s="3" customFormat="1" x14ac:dyDescent="0.3">
      <c r="A14182" s="3" t="s">
        <v>29</v>
      </c>
      <c r="B14182" s="3" t="s">
        <v>586</v>
      </c>
      <c r="C14182" s="3">
        <v>12</v>
      </c>
      <c r="D14182" s="3" t="s">
        <v>697</v>
      </c>
      <c r="E14182" s="3" t="s">
        <v>103</v>
      </c>
      <c r="F14182" s="3" t="s">
        <v>103</v>
      </c>
      <c r="G14182" s="3" t="s">
        <v>485</v>
      </c>
      <c r="H14182" s="3" t="s">
        <v>1023</v>
      </c>
      <c r="I14182" s="3" t="s">
        <v>254</v>
      </c>
      <c r="J14182" s="3" t="s">
        <v>103</v>
      </c>
      <c r="K14182" s="3" t="s">
        <v>513</v>
      </c>
    </row>
    <row r="14183" spans="1:11" s="3" customFormat="1" x14ac:dyDescent="0.3">
      <c r="A14183" s="3" t="s">
        <v>29</v>
      </c>
      <c r="B14183" s="3" t="s">
        <v>587</v>
      </c>
      <c r="C14183" s="3">
        <v>3</v>
      </c>
      <c r="D14183" s="3" t="s">
        <v>103</v>
      </c>
      <c r="E14183" s="3" t="s">
        <v>103</v>
      </c>
      <c r="F14183" s="3" t="s">
        <v>103</v>
      </c>
      <c r="G14183" s="3" t="s">
        <v>103</v>
      </c>
      <c r="H14183" s="3" t="s">
        <v>103</v>
      </c>
      <c r="I14183" s="3" t="s">
        <v>103</v>
      </c>
      <c r="J14183" s="3" t="s">
        <v>103</v>
      </c>
      <c r="K14183" s="3" t="s">
        <v>192</v>
      </c>
    </row>
    <row r="14184" spans="1:11" s="3" customFormat="1" x14ac:dyDescent="0.3">
      <c r="A14184" s="3" t="s">
        <v>29</v>
      </c>
      <c r="B14184" s="3" t="s">
        <v>588</v>
      </c>
      <c r="C14184" s="3">
        <v>15</v>
      </c>
      <c r="D14184" s="3" t="s">
        <v>54</v>
      </c>
      <c r="E14184" s="3" t="s">
        <v>1023</v>
      </c>
      <c r="F14184" s="3" t="s">
        <v>461</v>
      </c>
      <c r="G14184" s="3" t="s">
        <v>100</v>
      </c>
      <c r="H14184" s="3" t="s">
        <v>54</v>
      </c>
      <c r="I14184" s="3" t="s">
        <v>1041</v>
      </c>
      <c r="J14184" s="3" t="s">
        <v>103</v>
      </c>
      <c r="K14184" s="3" t="s">
        <v>259</v>
      </c>
    </row>
    <row r="14185" spans="1:11" x14ac:dyDescent="0.3">
      <c r="A14185" t="s">
        <v>29</v>
      </c>
      <c r="B14185" t="s">
        <v>2766</v>
      </c>
      <c r="C14185">
        <v>464</v>
      </c>
      <c r="D14185" t="s">
        <v>662</v>
      </c>
      <c r="E14185" t="s">
        <v>825</v>
      </c>
      <c r="F14185" t="s">
        <v>155</v>
      </c>
      <c r="G14185" t="s">
        <v>201</v>
      </c>
      <c r="H14185" t="s">
        <v>46</v>
      </c>
      <c r="I14185" t="s">
        <v>471</v>
      </c>
      <c r="J14185" t="s">
        <v>103</v>
      </c>
      <c r="K14185" t="s">
        <v>1081</v>
      </c>
    </row>
    <row r="14186" spans="1:11" s="3" customFormat="1" x14ac:dyDescent="0.3">
      <c r="A14186" s="3" t="s">
        <v>28</v>
      </c>
      <c r="B14186" s="3" t="s">
        <v>2765</v>
      </c>
      <c r="C14186" s="3">
        <v>6</v>
      </c>
      <c r="D14186" s="3" t="s">
        <v>103</v>
      </c>
      <c r="E14186" s="3" t="s">
        <v>932</v>
      </c>
      <c r="F14186" s="3" t="s">
        <v>103</v>
      </c>
      <c r="G14186" s="3" t="s">
        <v>103</v>
      </c>
      <c r="H14186" s="3" t="s">
        <v>103</v>
      </c>
      <c r="I14186" s="3" t="s">
        <v>103</v>
      </c>
      <c r="J14186" s="3" t="s">
        <v>103</v>
      </c>
      <c r="K14186" s="3" t="s">
        <v>931</v>
      </c>
    </row>
    <row r="14187" spans="1:11" s="3" customFormat="1" x14ac:dyDescent="0.3">
      <c r="A14187" s="3" t="s">
        <v>28</v>
      </c>
      <c r="B14187" s="3" t="s">
        <v>585</v>
      </c>
      <c r="C14187" s="3">
        <v>8</v>
      </c>
      <c r="D14187" s="3" t="s">
        <v>103</v>
      </c>
      <c r="E14187" s="3" t="s">
        <v>103</v>
      </c>
      <c r="F14187" s="3" t="s">
        <v>103</v>
      </c>
      <c r="G14187" s="3" t="s">
        <v>103</v>
      </c>
      <c r="H14187" s="3" t="s">
        <v>103</v>
      </c>
      <c r="I14187" s="3" t="s">
        <v>103</v>
      </c>
      <c r="J14187" s="3" t="s">
        <v>103</v>
      </c>
      <c r="K14187" s="3" t="s">
        <v>192</v>
      </c>
    </row>
    <row r="14188" spans="1:11" s="3" customFormat="1" x14ac:dyDescent="0.3">
      <c r="A14188" s="3" t="s">
        <v>28</v>
      </c>
      <c r="B14188" s="3" t="s">
        <v>586</v>
      </c>
      <c r="C14188" s="3">
        <v>6</v>
      </c>
      <c r="D14188" s="3" t="s">
        <v>103</v>
      </c>
      <c r="E14188" s="3" t="s">
        <v>92</v>
      </c>
      <c r="F14188" s="3" t="s">
        <v>103</v>
      </c>
      <c r="G14188" s="3" t="s">
        <v>103</v>
      </c>
      <c r="H14188" s="3" t="s">
        <v>103</v>
      </c>
      <c r="I14188" s="3" t="s">
        <v>103</v>
      </c>
      <c r="J14188" s="3" t="s">
        <v>103</v>
      </c>
      <c r="K14188" s="3" t="s">
        <v>617</v>
      </c>
    </row>
    <row r="14189" spans="1:11" s="3" customFormat="1" x14ac:dyDescent="0.3">
      <c r="A14189" s="3" t="s">
        <v>28</v>
      </c>
      <c r="B14189" s="3" t="s">
        <v>587</v>
      </c>
      <c r="C14189" s="3">
        <v>11</v>
      </c>
      <c r="D14189" s="3" t="s">
        <v>103</v>
      </c>
      <c r="E14189" s="3" t="s">
        <v>487</v>
      </c>
      <c r="F14189" s="3" t="s">
        <v>103</v>
      </c>
      <c r="G14189" s="3" t="s">
        <v>103</v>
      </c>
      <c r="H14189" s="3" t="s">
        <v>103</v>
      </c>
      <c r="I14189" s="3" t="s">
        <v>494</v>
      </c>
      <c r="J14189" s="3" t="s">
        <v>103</v>
      </c>
      <c r="K14189" s="3" t="s">
        <v>1091</v>
      </c>
    </row>
    <row r="14190" spans="1:11" x14ac:dyDescent="0.3">
      <c r="A14190" t="s">
        <v>28</v>
      </c>
      <c r="B14190" t="s">
        <v>588</v>
      </c>
      <c r="C14190">
        <v>33</v>
      </c>
      <c r="D14190" t="s">
        <v>743</v>
      </c>
      <c r="E14190" t="s">
        <v>295</v>
      </c>
      <c r="F14190" t="s">
        <v>190</v>
      </c>
      <c r="G14190" t="s">
        <v>232</v>
      </c>
      <c r="H14190" t="s">
        <v>270</v>
      </c>
      <c r="I14190" t="s">
        <v>232</v>
      </c>
      <c r="J14190" t="s">
        <v>103</v>
      </c>
      <c r="K14190" t="s">
        <v>1137</v>
      </c>
    </row>
    <row r="14191" spans="1:11" x14ac:dyDescent="0.3">
      <c r="A14191" t="s">
        <v>28</v>
      </c>
      <c r="B14191" t="s">
        <v>2766</v>
      </c>
      <c r="C14191">
        <v>253</v>
      </c>
      <c r="D14191" t="s">
        <v>693</v>
      </c>
      <c r="E14191" t="s">
        <v>754</v>
      </c>
      <c r="F14191" t="s">
        <v>70</v>
      </c>
      <c r="G14191" t="s">
        <v>64</v>
      </c>
      <c r="H14191" t="s">
        <v>278</v>
      </c>
      <c r="I14191" t="s">
        <v>539</v>
      </c>
      <c r="J14191" t="s">
        <v>103</v>
      </c>
      <c r="K14191" t="s">
        <v>424</v>
      </c>
    </row>
    <row r="14192" spans="1:11" x14ac:dyDescent="0.3">
      <c r="A14192" t="s">
        <v>27</v>
      </c>
      <c r="B14192" t="s">
        <v>2765</v>
      </c>
      <c r="C14192">
        <v>92</v>
      </c>
      <c r="D14192" t="s">
        <v>103</v>
      </c>
      <c r="E14192" t="s">
        <v>350</v>
      </c>
      <c r="F14192" t="s">
        <v>687</v>
      </c>
      <c r="G14192" t="s">
        <v>103</v>
      </c>
      <c r="H14192" t="s">
        <v>98</v>
      </c>
      <c r="I14192" t="s">
        <v>266</v>
      </c>
      <c r="J14192" t="s">
        <v>103</v>
      </c>
      <c r="K14192" t="s">
        <v>225</v>
      </c>
    </row>
    <row r="14193" spans="1:11" s="3" customFormat="1" x14ac:dyDescent="0.3">
      <c r="A14193" s="3" t="s">
        <v>27</v>
      </c>
      <c r="B14193" s="3" t="s">
        <v>585</v>
      </c>
      <c r="C14193" s="3">
        <v>1</v>
      </c>
      <c r="D14193" s="3" t="s">
        <v>103</v>
      </c>
      <c r="E14193" s="3" t="s">
        <v>103</v>
      </c>
      <c r="F14193" s="3" t="s">
        <v>103</v>
      </c>
      <c r="G14193" s="3" t="s">
        <v>103</v>
      </c>
      <c r="H14193" s="3" t="s">
        <v>192</v>
      </c>
      <c r="I14193" s="3" t="s">
        <v>103</v>
      </c>
      <c r="J14193" s="3" t="s">
        <v>103</v>
      </c>
      <c r="K14193" s="3" t="s">
        <v>103</v>
      </c>
    </row>
    <row r="14194" spans="1:11" s="3" customFormat="1" x14ac:dyDescent="0.3">
      <c r="A14194" s="3" t="s">
        <v>27</v>
      </c>
      <c r="B14194" s="3" t="s">
        <v>586</v>
      </c>
      <c r="C14194" s="3">
        <v>1</v>
      </c>
      <c r="D14194" s="3" t="s">
        <v>103</v>
      </c>
      <c r="E14194" s="3" t="s">
        <v>192</v>
      </c>
      <c r="F14194" s="3" t="s">
        <v>103</v>
      </c>
      <c r="G14194" s="3" t="s">
        <v>103</v>
      </c>
      <c r="H14194" s="3" t="s">
        <v>103</v>
      </c>
      <c r="I14194" s="3" t="s">
        <v>103</v>
      </c>
      <c r="J14194" s="3" t="s">
        <v>103</v>
      </c>
      <c r="K14194" s="3" t="s">
        <v>103</v>
      </c>
    </row>
    <row r="14195" spans="1:11" s="3" customFormat="1" x14ac:dyDescent="0.3">
      <c r="A14195" s="3" t="s">
        <v>27</v>
      </c>
      <c r="B14195" s="3" t="s">
        <v>588</v>
      </c>
      <c r="C14195" s="3">
        <v>3</v>
      </c>
      <c r="D14195" s="3" t="s">
        <v>359</v>
      </c>
      <c r="E14195" s="3" t="s">
        <v>359</v>
      </c>
      <c r="F14195" s="3" t="s">
        <v>103</v>
      </c>
      <c r="G14195" s="3" t="s">
        <v>103</v>
      </c>
      <c r="H14195" s="3" t="s">
        <v>103</v>
      </c>
      <c r="I14195" s="3" t="s">
        <v>658</v>
      </c>
      <c r="J14195" s="3" t="s">
        <v>103</v>
      </c>
      <c r="K14195" s="3" t="s">
        <v>705</v>
      </c>
    </row>
    <row r="14196" spans="1:11" x14ac:dyDescent="0.3">
      <c r="A14196" t="s">
        <v>27</v>
      </c>
      <c r="B14196" t="s">
        <v>2766</v>
      </c>
      <c r="C14196">
        <v>203</v>
      </c>
      <c r="D14196" t="s">
        <v>97</v>
      </c>
      <c r="E14196" t="s">
        <v>484</v>
      </c>
      <c r="F14196" t="s">
        <v>195</v>
      </c>
      <c r="G14196" t="s">
        <v>208</v>
      </c>
      <c r="H14196" t="s">
        <v>186</v>
      </c>
      <c r="I14196" t="s">
        <v>474</v>
      </c>
      <c r="J14196" t="s">
        <v>103</v>
      </c>
      <c r="K14196" t="s">
        <v>782</v>
      </c>
    </row>
    <row r="14197" spans="1:11" x14ac:dyDescent="0.3">
      <c r="A14197" t="s">
        <v>41</v>
      </c>
      <c r="B14197" t="s">
        <v>2765</v>
      </c>
      <c r="C14197">
        <v>170</v>
      </c>
      <c r="D14197" t="s">
        <v>549</v>
      </c>
      <c r="E14197" t="s">
        <v>421</v>
      </c>
      <c r="F14197" t="s">
        <v>483</v>
      </c>
      <c r="G14197" t="s">
        <v>629</v>
      </c>
      <c r="H14197" t="s">
        <v>33</v>
      </c>
      <c r="I14197" t="s">
        <v>92</v>
      </c>
      <c r="J14197" t="s">
        <v>103</v>
      </c>
      <c r="K14197" t="s">
        <v>627</v>
      </c>
    </row>
    <row r="14198" spans="1:11" s="3" customFormat="1" x14ac:dyDescent="0.3">
      <c r="A14198" s="3" t="s">
        <v>41</v>
      </c>
      <c r="B14198" s="3" t="s">
        <v>585</v>
      </c>
      <c r="C14198" s="3">
        <v>20</v>
      </c>
      <c r="D14198" s="3" t="s">
        <v>175</v>
      </c>
      <c r="E14198" s="3" t="s">
        <v>271</v>
      </c>
      <c r="F14198" s="3" t="s">
        <v>746</v>
      </c>
      <c r="G14198" s="3" t="s">
        <v>139</v>
      </c>
      <c r="H14198" s="3" t="s">
        <v>583</v>
      </c>
      <c r="I14198" s="3" t="s">
        <v>109</v>
      </c>
      <c r="J14198" s="3" t="s">
        <v>103</v>
      </c>
      <c r="K14198" s="3" t="s">
        <v>396</v>
      </c>
    </row>
    <row r="14199" spans="1:11" x14ac:dyDescent="0.3">
      <c r="A14199" t="s">
        <v>41</v>
      </c>
      <c r="B14199" t="s">
        <v>586</v>
      </c>
      <c r="C14199">
        <v>40</v>
      </c>
      <c r="D14199" t="s">
        <v>262</v>
      </c>
      <c r="E14199" t="s">
        <v>452</v>
      </c>
      <c r="F14199" t="s">
        <v>575</v>
      </c>
      <c r="G14199" t="s">
        <v>135</v>
      </c>
      <c r="H14199" t="s">
        <v>99</v>
      </c>
      <c r="I14199" t="s">
        <v>262</v>
      </c>
      <c r="J14199" t="s">
        <v>103</v>
      </c>
      <c r="K14199" t="s">
        <v>1240</v>
      </c>
    </row>
    <row r="14200" spans="1:11" s="3" customFormat="1" x14ac:dyDescent="0.3">
      <c r="A14200" s="3" t="s">
        <v>41</v>
      </c>
      <c r="B14200" s="3" t="s">
        <v>587</v>
      </c>
      <c r="C14200" s="3">
        <v>24</v>
      </c>
      <c r="D14200" s="3" t="s">
        <v>515</v>
      </c>
      <c r="E14200" s="3" t="s">
        <v>365</v>
      </c>
      <c r="F14200" s="3" t="s">
        <v>466</v>
      </c>
      <c r="G14200" s="3" t="s">
        <v>103</v>
      </c>
      <c r="H14200" s="3" t="s">
        <v>103</v>
      </c>
      <c r="I14200" s="3" t="s">
        <v>671</v>
      </c>
      <c r="J14200" s="3" t="s">
        <v>103</v>
      </c>
      <c r="K14200" s="3" t="s">
        <v>1228</v>
      </c>
    </row>
    <row r="14201" spans="1:11" x14ac:dyDescent="0.3">
      <c r="A14201" t="s">
        <v>41</v>
      </c>
      <c r="B14201" t="s">
        <v>588</v>
      </c>
      <c r="C14201">
        <v>75</v>
      </c>
      <c r="D14201" t="s">
        <v>517</v>
      </c>
      <c r="E14201" t="s">
        <v>31</v>
      </c>
      <c r="F14201" t="s">
        <v>46</v>
      </c>
      <c r="G14201" t="s">
        <v>452</v>
      </c>
      <c r="H14201" t="s">
        <v>1319</v>
      </c>
      <c r="I14201" t="s">
        <v>409</v>
      </c>
      <c r="J14201" t="s">
        <v>103</v>
      </c>
      <c r="K14201" t="s">
        <v>454</v>
      </c>
    </row>
    <row r="14202" spans="1:11" x14ac:dyDescent="0.3">
      <c r="A14202" t="s">
        <v>41</v>
      </c>
      <c r="B14202" t="s">
        <v>2766</v>
      </c>
      <c r="C14202">
        <v>1708</v>
      </c>
      <c r="D14202" t="s">
        <v>140</v>
      </c>
      <c r="E14202" t="s">
        <v>754</v>
      </c>
      <c r="F14202" t="s">
        <v>750</v>
      </c>
      <c r="G14202" t="s">
        <v>284</v>
      </c>
      <c r="H14202" t="s">
        <v>152</v>
      </c>
      <c r="I14202" t="s">
        <v>478</v>
      </c>
      <c r="J14202" t="s">
        <v>103</v>
      </c>
      <c r="K14202" t="s">
        <v>391</v>
      </c>
    </row>
    <row r="14204" spans="1:11" x14ac:dyDescent="0.3">
      <c r="A14204" t="s">
        <v>2977</v>
      </c>
    </row>
    <row r="14205" spans="1:11" x14ac:dyDescent="0.3">
      <c r="A14205" t="s">
        <v>36</v>
      </c>
      <c r="B14205" t="s">
        <v>2768</v>
      </c>
      <c r="C14205" t="s">
        <v>24</v>
      </c>
      <c r="D14205" t="s">
        <v>2963</v>
      </c>
      <c r="E14205" t="s">
        <v>2964</v>
      </c>
      <c r="F14205" t="s">
        <v>2965</v>
      </c>
      <c r="G14205" t="s">
        <v>2966</v>
      </c>
      <c r="H14205" t="s">
        <v>2967</v>
      </c>
      <c r="I14205" t="s">
        <v>2968</v>
      </c>
      <c r="J14205" t="s">
        <v>2969</v>
      </c>
      <c r="K14205" t="s">
        <v>1195</v>
      </c>
    </row>
    <row r="14206" spans="1:11" s="3" customFormat="1" x14ac:dyDescent="0.3">
      <c r="A14206" s="3" t="s">
        <v>25</v>
      </c>
      <c r="B14206" s="3" t="s">
        <v>638</v>
      </c>
      <c r="C14206" s="3">
        <v>5</v>
      </c>
      <c r="D14206" s="3" t="s">
        <v>784</v>
      </c>
      <c r="E14206" s="3" t="s">
        <v>1328</v>
      </c>
      <c r="F14206" s="3" t="s">
        <v>103</v>
      </c>
      <c r="G14206" s="3" t="s">
        <v>113</v>
      </c>
      <c r="H14206" s="3" t="s">
        <v>103</v>
      </c>
      <c r="I14206" s="3" t="s">
        <v>113</v>
      </c>
      <c r="J14206" s="3" t="s">
        <v>103</v>
      </c>
      <c r="K14206" s="3" t="s">
        <v>1227</v>
      </c>
    </row>
    <row r="14207" spans="1:11" s="3" customFormat="1" x14ac:dyDescent="0.3">
      <c r="A14207" s="3" t="s">
        <v>25</v>
      </c>
      <c r="B14207" s="3" t="s">
        <v>639</v>
      </c>
      <c r="C14207" s="3">
        <v>13</v>
      </c>
      <c r="D14207" s="3" t="s">
        <v>103</v>
      </c>
      <c r="E14207" s="3" t="s">
        <v>658</v>
      </c>
      <c r="F14207" s="3" t="s">
        <v>516</v>
      </c>
      <c r="G14207" s="3" t="s">
        <v>103</v>
      </c>
      <c r="H14207" s="3" t="s">
        <v>648</v>
      </c>
      <c r="I14207" s="3" t="s">
        <v>737</v>
      </c>
      <c r="J14207" s="3" t="s">
        <v>103</v>
      </c>
      <c r="K14207" s="3" t="s">
        <v>411</v>
      </c>
    </row>
    <row r="14208" spans="1:11" s="3" customFormat="1" x14ac:dyDescent="0.3">
      <c r="A14208" s="3" t="s">
        <v>25</v>
      </c>
      <c r="B14208" s="3" t="s">
        <v>640</v>
      </c>
      <c r="C14208" s="3">
        <v>11</v>
      </c>
      <c r="D14208" s="3" t="s">
        <v>103</v>
      </c>
      <c r="E14208" s="3" t="s">
        <v>164</v>
      </c>
      <c r="F14208" s="3" t="s">
        <v>476</v>
      </c>
      <c r="G14208" s="3" t="s">
        <v>103</v>
      </c>
      <c r="H14208" s="3" t="s">
        <v>146</v>
      </c>
      <c r="I14208" s="3" t="s">
        <v>658</v>
      </c>
      <c r="J14208" s="3" t="s">
        <v>103</v>
      </c>
      <c r="K14208" s="3" t="s">
        <v>628</v>
      </c>
    </row>
    <row r="14209" spans="1:11" s="3" customFormat="1" x14ac:dyDescent="0.3">
      <c r="A14209" s="3" t="s">
        <v>25</v>
      </c>
      <c r="B14209" s="3" t="s">
        <v>2765</v>
      </c>
      <c r="C14209" s="3">
        <v>2</v>
      </c>
      <c r="D14209" s="3" t="s">
        <v>103</v>
      </c>
      <c r="E14209" s="3" t="s">
        <v>103</v>
      </c>
      <c r="F14209" s="3" t="s">
        <v>103</v>
      </c>
      <c r="G14209" s="3" t="s">
        <v>103</v>
      </c>
      <c r="H14209" s="3" t="s">
        <v>103</v>
      </c>
      <c r="I14209" s="3" t="s">
        <v>103</v>
      </c>
      <c r="J14209" s="3" t="s">
        <v>103</v>
      </c>
      <c r="K14209" s="3" t="s">
        <v>192</v>
      </c>
    </row>
    <row r="14210" spans="1:11" s="3" customFormat="1" x14ac:dyDescent="0.3">
      <c r="A14210" s="3" t="s">
        <v>25</v>
      </c>
      <c r="B14210" s="3" t="s">
        <v>641</v>
      </c>
      <c r="C14210" s="3">
        <v>8</v>
      </c>
      <c r="D14210" s="3" t="s">
        <v>103</v>
      </c>
      <c r="E14210" s="3" t="s">
        <v>554</v>
      </c>
      <c r="F14210" s="3" t="s">
        <v>541</v>
      </c>
      <c r="G14210" s="3" t="s">
        <v>331</v>
      </c>
      <c r="H14210" s="3" t="s">
        <v>103</v>
      </c>
      <c r="I14210" s="3" t="s">
        <v>693</v>
      </c>
      <c r="J14210" s="3" t="s">
        <v>103</v>
      </c>
      <c r="K14210" s="3" t="s">
        <v>1011</v>
      </c>
    </row>
    <row r="14211" spans="1:11" s="3" customFormat="1" x14ac:dyDescent="0.3">
      <c r="A14211" s="3" t="s">
        <v>25</v>
      </c>
      <c r="B14211" s="3" t="s">
        <v>2769</v>
      </c>
      <c r="C14211" s="3">
        <v>5</v>
      </c>
      <c r="D14211" s="3" t="s">
        <v>581</v>
      </c>
      <c r="E14211" s="3" t="s">
        <v>581</v>
      </c>
      <c r="F14211" s="3" t="s">
        <v>103</v>
      </c>
      <c r="G14211" s="3" t="s">
        <v>521</v>
      </c>
      <c r="H14211" s="3" t="s">
        <v>103</v>
      </c>
      <c r="I14211" s="3" t="s">
        <v>103</v>
      </c>
      <c r="J14211" s="3" t="s">
        <v>103</v>
      </c>
      <c r="K14211" s="3" t="s">
        <v>895</v>
      </c>
    </row>
    <row r="14212" spans="1:11" x14ac:dyDescent="0.3">
      <c r="A14212" t="s">
        <v>25</v>
      </c>
      <c r="B14212" t="s">
        <v>308</v>
      </c>
      <c r="C14212">
        <v>369</v>
      </c>
      <c r="D14212" t="s">
        <v>251</v>
      </c>
      <c r="E14212" t="s">
        <v>539</v>
      </c>
      <c r="F14212" t="s">
        <v>152</v>
      </c>
      <c r="G14212" t="s">
        <v>32</v>
      </c>
      <c r="H14212" t="s">
        <v>224</v>
      </c>
      <c r="I14212" t="s">
        <v>975</v>
      </c>
      <c r="J14212" t="s">
        <v>103</v>
      </c>
      <c r="K14212" t="s">
        <v>1402</v>
      </c>
    </row>
    <row r="14213" spans="1:11" s="3" customFormat="1" x14ac:dyDescent="0.3">
      <c r="A14213" s="3" t="s">
        <v>26</v>
      </c>
      <c r="B14213" s="3" t="s">
        <v>639</v>
      </c>
      <c r="C14213" s="3">
        <v>7</v>
      </c>
      <c r="D14213" s="3" t="s">
        <v>541</v>
      </c>
      <c r="E14213" s="3" t="s">
        <v>386</v>
      </c>
      <c r="F14213" s="3" t="s">
        <v>103</v>
      </c>
      <c r="G14213" s="3" t="s">
        <v>103</v>
      </c>
      <c r="H14213" s="3" t="s">
        <v>571</v>
      </c>
      <c r="I14213" s="3" t="s">
        <v>1242</v>
      </c>
      <c r="J14213" s="3" t="s">
        <v>103</v>
      </c>
      <c r="K14213" s="3" t="s">
        <v>409</v>
      </c>
    </row>
    <row r="14214" spans="1:11" s="3" customFormat="1" x14ac:dyDescent="0.3">
      <c r="A14214" s="3" t="s">
        <v>26</v>
      </c>
      <c r="B14214" s="3" t="s">
        <v>640</v>
      </c>
      <c r="C14214" s="3">
        <v>2</v>
      </c>
      <c r="D14214" s="3" t="s">
        <v>103</v>
      </c>
      <c r="E14214" s="3" t="s">
        <v>103</v>
      </c>
      <c r="F14214" s="3" t="s">
        <v>103</v>
      </c>
      <c r="G14214" s="3" t="s">
        <v>103</v>
      </c>
      <c r="H14214" s="3" t="s">
        <v>103</v>
      </c>
      <c r="I14214" s="3" t="s">
        <v>103</v>
      </c>
      <c r="J14214" s="3" t="s">
        <v>103</v>
      </c>
      <c r="K14214" s="3" t="s">
        <v>192</v>
      </c>
    </row>
    <row r="14215" spans="1:11" s="3" customFormat="1" x14ac:dyDescent="0.3">
      <c r="A14215" s="3" t="s">
        <v>26</v>
      </c>
      <c r="B14215" s="3" t="s">
        <v>641</v>
      </c>
      <c r="C14215" s="3">
        <v>5</v>
      </c>
      <c r="D14215" s="3" t="s">
        <v>103</v>
      </c>
      <c r="E14215" s="3" t="s">
        <v>273</v>
      </c>
      <c r="F14215" s="3" t="s">
        <v>1084</v>
      </c>
      <c r="G14215" s="3" t="s">
        <v>103</v>
      </c>
      <c r="H14215" s="3" t="s">
        <v>103</v>
      </c>
      <c r="I14215" s="3" t="s">
        <v>505</v>
      </c>
      <c r="J14215" s="3" t="s">
        <v>103</v>
      </c>
      <c r="K14215" s="3" t="s">
        <v>635</v>
      </c>
    </row>
    <row r="14216" spans="1:11" s="3" customFormat="1" x14ac:dyDescent="0.3">
      <c r="A14216" s="3" t="s">
        <v>26</v>
      </c>
      <c r="B14216" s="3" t="s">
        <v>2769</v>
      </c>
      <c r="C14216" s="3">
        <v>2</v>
      </c>
      <c r="D14216" s="3" t="s">
        <v>103</v>
      </c>
      <c r="E14216" s="3" t="s">
        <v>103</v>
      </c>
      <c r="F14216" s="3" t="s">
        <v>103</v>
      </c>
      <c r="G14216" s="3" t="s">
        <v>103</v>
      </c>
      <c r="H14216" s="3" t="s">
        <v>103</v>
      </c>
      <c r="I14216" s="3" t="s">
        <v>697</v>
      </c>
      <c r="J14216" s="3" t="s">
        <v>103</v>
      </c>
      <c r="K14216" s="3" t="s">
        <v>227</v>
      </c>
    </row>
    <row r="14217" spans="1:11" x14ac:dyDescent="0.3">
      <c r="A14217" t="s">
        <v>26</v>
      </c>
      <c r="B14217" t="s">
        <v>308</v>
      </c>
      <c r="C14217">
        <v>461</v>
      </c>
      <c r="D14217" t="s">
        <v>549</v>
      </c>
      <c r="E14217" t="s">
        <v>789</v>
      </c>
      <c r="F14217" t="s">
        <v>247</v>
      </c>
      <c r="G14217" t="s">
        <v>460</v>
      </c>
      <c r="H14217" t="s">
        <v>601</v>
      </c>
      <c r="I14217" t="s">
        <v>461</v>
      </c>
      <c r="J14217" t="s">
        <v>103</v>
      </c>
      <c r="K14217" t="s">
        <v>1054</v>
      </c>
    </row>
    <row r="14218" spans="1:11" s="3" customFormat="1" x14ac:dyDescent="0.3">
      <c r="A14218" s="3" t="s">
        <v>29</v>
      </c>
      <c r="B14218" s="3" t="s">
        <v>638</v>
      </c>
      <c r="C14218" s="3">
        <v>5</v>
      </c>
      <c r="D14218" s="3" t="s">
        <v>103</v>
      </c>
      <c r="E14218" s="3" t="s">
        <v>103</v>
      </c>
      <c r="F14218" s="3" t="s">
        <v>674</v>
      </c>
      <c r="G14218" s="3" t="s">
        <v>103</v>
      </c>
      <c r="H14218" s="3" t="s">
        <v>920</v>
      </c>
      <c r="I14218" s="3" t="s">
        <v>920</v>
      </c>
      <c r="J14218" s="3" t="s">
        <v>103</v>
      </c>
      <c r="K14218" s="3" t="s">
        <v>513</v>
      </c>
    </row>
    <row r="14219" spans="1:11" s="3" customFormat="1" x14ac:dyDescent="0.3">
      <c r="A14219" s="3" t="s">
        <v>29</v>
      </c>
      <c r="B14219" s="3" t="s">
        <v>639</v>
      </c>
      <c r="C14219" s="3">
        <v>4</v>
      </c>
      <c r="D14219" s="3" t="s">
        <v>103</v>
      </c>
      <c r="E14219" s="3" t="s">
        <v>103</v>
      </c>
      <c r="F14219" s="3" t="s">
        <v>103</v>
      </c>
      <c r="G14219" s="3" t="s">
        <v>103</v>
      </c>
      <c r="H14219" s="3" t="s">
        <v>103</v>
      </c>
      <c r="I14219" s="3" t="s">
        <v>426</v>
      </c>
      <c r="J14219" s="3" t="s">
        <v>103</v>
      </c>
      <c r="K14219" s="3" t="s">
        <v>797</v>
      </c>
    </row>
    <row r="14220" spans="1:11" s="3" customFormat="1" x14ac:dyDescent="0.3">
      <c r="A14220" s="3" t="s">
        <v>29</v>
      </c>
      <c r="B14220" s="3" t="s">
        <v>640</v>
      </c>
      <c r="C14220" s="3">
        <v>10</v>
      </c>
      <c r="D14220" s="3" t="s">
        <v>707</v>
      </c>
      <c r="E14220" s="3" t="s">
        <v>103</v>
      </c>
      <c r="F14220" s="3" t="s">
        <v>579</v>
      </c>
      <c r="G14220" s="3" t="s">
        <v>103</v>
      </c>
      <c r="H14220" s="3" t="s">
        <v>1211</v>
      </c>
      <c r="I14220" s="3" t="s">
        <v>1060</v>
      </c>
      <c r="J14220" s="3" t="s">
        <v>103</v>
      </c>
      <c r="K14220" s="3" t="s">
        <v>483</v>
      </c>
    </row>
    <row r="14221" spans="1:11" s="3" customFormat="1" x14ac:dyDescent="0.3">
      <c r="A14221" s="3" t="s">
        <v>29</v>
      </c>
      <c r="B14221" s="3" t="s">
        <v>2765</v>
      </c>
      <c r="C14221" s="3">
        <v>8</v>
      </c>
      <c r="D14221" s="3" t="s">
        <v>303</v>
      </c>
      <c r="E14221" s="3" t="s">
        <v>681</v>
      </c>
      <c r="F14221" s="3" t="s">
        <v>681</v>
      </c>
      <c r="G14221" s="3" t="s">
        <v>681</v>
      </c>
      <c r="H14221" s="3" t="s">
        <v>1559</v>
      </c>
      <c r="I14221" s="3" t="s">
        <v>1090</v>
      </c>
      <c r="J14221" s="3" t="s">
        <v>103</v>
      </c>
      <c r="K14221" s="3" t="s">
        <v>1404</v>
      </c>
    </row>
    <row r="14222" spans="1:11" s="3" customFormat="1" x14ac:dyDescent="0.3">
      <c r="A14222" s="3" t="s">
        <v>29</v>
      </c>
      <c r="B14222" s="3" t="s">
        <v>641</v>
      </c>
      <c r="C14222" s="3">
        <v>7</v>
      </c>
      <c r="D14222" s="3" t="s">
        <v>103</v>
      </c>
      <c r="E14222" s="3" t="s">
        <v>548</v>
      </c>
      <c r="F14222" s="3" t="s">
        <v>515</v>
      </c>
      <c r="G14222" s="3" t="s">
        <v>526</v>
      </c>
      <c r="H14222" s="3" t="s">
        <v>103</v>
      </c>
      <c r="I14222" s="3" t="s">
        <v>550</v>
      </c>
      <c r="J14222" s="3" t="s">
        <v>103</v>
      </c>
      <c r="K14222" s="3" t="s">
        <v>685</v>
      </c>
    </row>
    <row r="14223" spans="1:11" s="3" customFormat="1" x14ac:dyDescent="0.3">
      <c r="A14223" s="3" t="s">
        <v>29</v>
      </c>
      <c r="B14223" s="3" t="s">
        <v>2769</v>
      </c>
      <c r="C14223" s="3">
        <v>2</v>
      </c>
      <c r="D14223" s="3" t="s">
        <v>103</v>
      </c>
      <c r="E14223" s="3" t="s">
        <v>1404</v>
      </c>
      <c r="F14223" s="3" t="s">
        <v>1404</v>
      </c>
      <c r="G14223" s="3" t="s">
        <v>103</v>
      </c>
      <c r="H14223" s="3" t="s">
        <v>103</v>
      </c>
      <c r="I14223" s="3" t="s">
        <v>103</v>
      </c>
      <c r="J14223" s="3" t="s">
        <v>103</v>
      </c>
      <c r="K14223" s="3" t="s">
        <v>1559</v>
      </c>
    </row>
    <row r="14224" spans="1:11" x14ac:dyDescent="0.3">
      <c r="A14224" t="s">
        <v>29</v>
      </c>
      <c r="B14224" t="s">
        <v>308</v>
      </c>
      <c r="C14224">
        <v>494</v>
      </c>
      <c r="D14224" t="s">
        <v>594</v>
      </c>
      <c r="E14224" t="s">
        <v>651</v>
      </c>
      <c r="F14224" t="s">
        <v>30</v>
      </c>
      <c r="G14224" t="s">
        <v>281</v>
      </c>
      <c r="H14224" t="s">
        <v>521</v>
      </c>
      <c r="I14224" t="s">
        <v>48</v>
      </c>
      <c r="J14224" t="s">
        <v>103</v>
      </c>
      <c r="K14224" t="s">
        <v>1043</v>
      </c>
    </row>
    <row r="14225" spans="1:11" s="3" customFormat="1" x14ac:dyDescent="0.3">
      <c r="A14225" s="3" t="s">
        <v>28</v>
      </c>
      <c r="B14225" s="3" t="s">
        <v>638</v>
      </c>
      <c r="C14225" s="3">
        <v>9</v>
      </c>
      <c r="D14225" s="3" t="s">
        <v>103</v>
      </c>
      <c r="E14225" s="3" t="s">
        <v>103</v>
      </c>
      <c r="F14225" s="3" t="s">
        <v>103</v>
      </c>
      <c r="G14225" s="3" t="s">
        <v>103</v>
      </c>
      <c r="H14225" s="3" t="s">
        <v>103</v>
      </c>
      <c r="I14225" s="3" t="s">
        <v>652</v>
      </c>
      <c r="J14225" s="3" t="s">
        <v>103</v>
      </c>
      <c r="K14225" s="3" t="s">
        <v>606</v>
      </c>
    </row>
    <row r="14226" spans="1:11" s="3" customFormat="1" x14ac:dyDescent="0.3">
      <c r="A14226" s="3" t="s">
        <v>28</v>
      </c>
      <c r="B14226" s="3" t="s">
        <v>639</v>
      </c>
      <c r="C14226" s="3">
        <v>17</v>
      </c>
      <c r="D14226" s="3" t="s">
        <v>103</v>
      </c>
      <c r="E14226" s="3" t="s">
        <v>405</v>
      </c>
      <c r="F14226" s="3" t="s">
        <v>890</v>
      </c>
      <c r="G14226" s="3" t="s">
        <v>103</v>
      </c>
      <c r="H14226" s="3" t="s">
        <v>103</v>
      </c>
      <c r="I14226" s="3" t="s">
        <v>103</v>
      </c>
      <c r="J14226" s="3" t="s">
        <v>103</v>
      </c>
      <c r="K14226" s="3" t="s">
        <v>358</v>
      </c>
    </row>
    <row r="14227" spans="1:11" s="3" customFormat="1" x14ac:dyDescent="0.3">
      <c r="A14227" s="3" t="s">
        <v>28</v>
      </c>
      <c r="B14227" s="3" t="s">
        <v>640</v>
      </c>
      <c r="C14227" s="3">
        <v>20</v>
      </c>
      <c r="D14227" s="3" t="s">
        <v>173</v>
      </c>
      <c r="E14227" s="3" t="s">
        <v>230</v>
      </c>
      <c r="F14227" s="3" t="s">
        <v>103</v>
      </c>
      <c r="G14227" s="3" t="s">
        <v>649</v>
      </c>
      <c r="H14227" s="3" t="s">
        <v>33</v>
      </c>
      <c r="I14227" s="3" t="s">
        <v>649</v>
      </c>
      <c r="J14227" s="3" t="s">
        <v>103</v>
      </c>
      <c r="K14227" s="3" t="s">
        <v>1180</v>
      </c>
    </row>
    <row r="14228" spans="1:11" s="3" customFormat="1" x14ac:dyDescent="0.3">
      <c r="A14228" s="3" t="s">
        <v>28</v>
      </c>
      <c r="B14228" s="3" t="s">
        <v>2765</v>
      </c>
      <c r="C14228" s="3">
        <v>2</v>
      </c>
      <c r="D14228" s="3" t="s">
        <v>103</v>
      </c>
      <c r="E14228" s="3" t="s">
        <v>492</v>
      </c>
      <c r="F14228" s="3" t="s">
        <v>103</v>
      </c>
      <c r="G14228" s="3" t="s">
        <v>103</v>
      </c>
      <c r="H14228" s="3" t="s">
        <v>103</v>
      </c>
      <c r="I14228" s="3" t="s">
        <v>103</v>
      </c>
      <c r="J14228" s="3" t="s">
        <v>103</v>
      </c>
      <c r="K14228" s="3" t="s">
        <v>1252</v>
      </c>
    </row>
    <row r="14229" spans="1:11" s="3" customFormat="1" x14ac:dyDescent="0.3">
      <c r="A14229" s="3" t="s">
        <v>28</v>
      </c>
      <c r="B14229" s="3" t="s">
        <v>641</v>
      </c>
      <c r="C14229" s="3">
        <v>7</v>
      </c>
      <c r="D14229" s="3" t="s">
        <v>543</v>
      </c>
      <c r="E14229" s="3" t="s">
        <v>543</v>
      </c>
      <c r="F14229" s="3" t="s">
        <v>103</v>
      </c>
      <c r="G14229" s="3" t="s">
        <v>103</v>
      </c>
      <c r="H14229" s="3" t="s">
        <v>103</v>
      </c>
      <c r="I14229" s="3" t="s">
        <v>103</v>
      </c>
      <c r="J14229" s="3" t="s">
        <v>103</v>
      </c>
      <c r="K14229" s="3" t="s">
        <v>759</v>
      </c>
    </row>
    <row r="14230" spans="1:11" s="3" customFormat="1" x14ac:dyDescent="0.3">
      <c r="A14230" s="3" t="s">
        <v>28</v>
      </c>
      <c r="B14230" s="3" t="s">
        <v>2769</v>
      </c>
      <c r="C14230" s="3">
        <v>3</v>
      </c>
      <c r="D14230" s="3" t="s">
        <v>103</v>
      </c>
      <c r="E14230" s="3" t="s">
        <v>103</v>
      </c>
      <c r="F14230" s="3" t="s">
        <v>103</v>
      </c>
      <c r="G14230" s="3" t="s">
        <v>103</v>
      </c>
      <c r="H14230" s="3" t="s">
        <v>103</v>
      </c>
      <c r="I14230" s="3" t="s">
        <v>103</v>
      </c>
      <c r="J14230" s="3" t="s">
        <v>103</v>
      </c>
      <c r="K14230" s="3" t="s">
        <v>192</v>
      </c>
    </row>
    <row r="14231" spans="1:11" x14ac:dyDescent="0.3">
      <c r="A14231" t="s">
        <v>28</v>
      </c>
      <c r="B14231" t="s">
        <v>308</v>
      </c>
      <c r="C14231">
        <v>259</v>
      </c>
      <c r="D14231" t="s">
        <v>247</v>
      </c>
      <c r="E14231" t="s">
        <v>820</v>
      </c>
      <c r="F14231" t="s">
        <v>281</v>
      </c>
      <c r="G14231" t="s">
        <v>64</v>
      </c>
      <c r="H14231" t="s">
        <v>278</v>
      </c>
      <c r="I14231" t="s">
        <v>520</v>
      </c>
      <c r="J14231" t="s">
        <v>103</v>
      </c>
      <c r="K14231" t="s">
        <v>424</v>
      </c>
    </row>
    <row r="14232" spans="1:11" s="3" customFormat="1" x14ac:dyDescent="0.3">
      <c r="A14232" s="3" t="s">
        <v>27</v>
      </c>
      <c r="B14232" s="3" t="s">
        <v>638</v>
      </c>
      <c r="C14232" s="3">
        <v>1</v>
      </c>
      <c r="D14232" s="3" t="s">
        <v>103</v>
      </c>
      <c r="E14232" s="3" t="s">
        <v>103</v>
      </c>
      <c r="F14232" s="3" t="s">
        <v>103</v>
      </c>
      <c r="G14232" s="3" t="s">
        <v>103</v>
      </c>
      <c r="H14232" s="3" t="s">
        <v>192</v>
      </c>
      <c r="I14232" s="3" t="s">
        <v>103</v>
      </c>
      <c r="J14232" s="3" t="s">
        <v>103</v>
      </c>
      <c r="K14232" s="3" t="s">
        <v>103</v>
      </c>
    </row>
    <row r="14233" spans="1:11" s="3" customFormat="1" x14ac:dyDescent="0.3">
      <c r="A14233" s="3" t="s">
        <v>27</v>
      </c>
      <c r="B14233" s="3" t="s">
        <v>639</v>
      </c>
      <c r="C14233" s="3">
        <v>1</v>
      </c>
      <c r="D14233" s="3" t="s">
        <v>103</v>
      </c>
      <c r="E14233" s="3" t="s">
        <v>103</v>
      </c>
      <c r="F14233" s="3" t="s">
        <v>103</v>
      </c>
      <c r="G14233" s="3" t="s">
        <v>103</v>
      </c>
      <c r="H14233" s="3" t="s">
        <v>103</v>
      </c>
      <c r="I14233" s="3" t="s">
        <v>103</v>
      </c>
      <c r="J14233" s="3" t="s">
        <v>103</v>
      </c>
      <c r="K14233" s="3" t="s">
        <v>192</v>
      </c>
    </row>
    <row r="14234" spans="1:11" s="3" customFormat="1" x14ac:dyDescent="0.3">
      <c r="A14234" s="3" t="s">
        <v>27</v>
      </c>
      <c r="B14234" s="3" t="s">
        <v>640</v>
      </c>
      <c r="C14234" s="3">
        <v>1</v>
      </c>
      <c r="D14234" s="3" t="s">
        <v>103</v>
      </c>
      <c r="E14234" s="3" t="s">
        <v>103</v>
      </c>
      <c r="F14234" s="3" t="s">
        <v>103</v>
      </c>
      <c r="G14234" s="3" t="s">
        <v>103</v>
      </c>
      <c r="H14234" s="3" t="s">
        <v>103</v>
      </c>
      <c r="I14234" s="3" t="s">
        <v>192</v>
      </c>
      <c r="J14234" s="3" t="s">
        <v>103</v>
      </c>
      <c r="K14234" s="3" t="s">
        <v>103</v>
      </c>
    </row>
    <row r="14235" spans="1:11" s="3" customFormat="1" x14ac:dyDescent="0.3">
      <c r="A14235" s="3" t="s">
        <v>27</v>
      </c>
      <c r="B14235" s="3" t="s">
        <v>2765</v>
      </c>
      <c r="C14235" s="3">
        <v>1</v>
      </c>
      <c r="D14235" s="3" t="s">
        <v>192</v>
      </c>
      <c r="E14235" s="3" t="s">
        <v>192</v>
      </c>
      <c r="F14235" s="3" t="s">
        <v>103</v>
      </c>
      <c r="G14235" s="3" t="s">
        <v>103</v>
      </c>
      <c r="H14235" s="3" t="s">
        <v>103</v>
      </c>
      <c r="I14235" s="3" t="s">
        <v>103</v>
      </c>
      <c r="J14235" s="3" t="s">
        <v>103</v>
      </c>
      <c r="K14235" s="3" t="s">
        <v>103</v>
      </c>
    </row>
    <row r="14236" spans="1:11" s="3" customFormat="1" x14ac:dyDescent="0.3">
      <c r="A14236" s="3" t="s">
        <v>27</v>
      </c>
      <c r="B14236" s="3" t="s">
        <v>641</v>
      </c>
      <c r="C14236" s="3">
        <v>1</v>
      </c>
      <c r="D14236" s="3" t="s">
        <v>103</v>
      </c>
      <c r="E14236" s="3" t="s">
        <v>192</v>
      </c>
      <c r="F14236" s="3" t="s">
        <v>103</v>
      </c>
      <c r="G14236" s="3" t="s">
        <v>103</v>
      </c>
      <c r="H14236" s="3" t="s">
        <v>103</v>
      </c>
      <c r="I14236" s="3" t="s">
        <v>103</v>
      </c>
      <c r="J14236" s="3" t="s">
        <v>103</v>
      </c>
      <c r="K14236" s="3" t="s">
        <v>103</v>
      </c>
    </row>
    <row r="14237" spans="1:11" x14ac:dyDescent="0.3">
      <c r="A14237" t="s">
        <v>27</v>
      </c>
      <c r="B14237" t="s">
        <v>308</v>
      </c>
      <c r="C14237">
        <v>295</v>
      </c>
      <c r="D14237" t="s">
        <v>116</v>
      </c>
      <c r="E14237" t="s">
        <v>1196</v>
      </c>
      <c r="F14237" t="s">
        <v>575</v>
      </c>
      <c r="G14237" t="s">
        <v>194</v>
      </c>
      <c r="H14237" t="s">
        <v>270</v>
      </c>
      <c r="I14237" t="s">
        <v>144</v>
      </c>
      <c r="J14237" t="s">
        <v>103</v>
      </c>
      <c r="K14237" t="s">
        <v>939</v>
      </c>
    </row>
    <row r="14238" spans="1:11" s="3" customFormat="1" x14ac:dyDescent="0.3">
      <c r="A14238" s="3" t="s">
        <v>41</v>
      </c>
      <c r="B14238" s="3" t="s">
        <v>638</v>
      </c>
      <c r="C14238" s="3">
        <v>20</v>
      </c>
      <c r="D14238" s="3" t="s">
        <v>469</v>
      </c>
      <c r="E14238" s="3" t="s">
        <v>495</v>
      </c>
      <c r="F14238" s="3" t="s">
        <v>106</v>
      </c>
      <c r="G14238" s="3" t="s">
        <v>282</v>
      </c>
      <c r="H14238" s="3" t="s">
        <v>160</v>
      </c>
      <c r="I14238" s="3" t="s">
        <v>473</v>
      </c>
      <c r="J14238" s="3" t="s">
        <v>103</v>
      </c>
      <c r="K14238" s="3" t="s">
        <v>425</v>
      </c>
    </row>
    <row r="14239" spans="1:11" x14ac:dyDescent="0.3">
      <c r="A14239" t="s">
        <v>41</v>
      </c>
      <c r="B14239" t="s">
        <v>639</v>
      </c>
      <c r="C14239">
        <v>42</v>
      </c>
      <c r="D14239" t="s">
        <v>60</v>
      </c>
      <c r="E14239" t="s">
        <v>507</v>
      </c>
      <c r="F14239" t="s">
        <v>242</v>
      </c>
      <c r="G14239" t="s">
        <v>103</v>
      </c>
      <c r="H14239" t="s">
        <v>150</v>
      </c>
      <c r="I14239" t="s">
        <v>520</v>
      </c>
      <c r="J14239" t="s">
        <v>103</v>
      </c>
      <c r="K14239" t="s">
        <v>1637</v>
      </c>
    </row>
    <row r="14240" spans="1:11" x14ac:dyDescent="0.3">
      <c r="A14240" t="s">
        <v>41</v>
      </c>
      <c r="B14240" t="s">
        <v>640</v>
      </c>
      <c r="C14240">
        <v>44</v>
      </c>
      <c r="D14240" t="s">
        <v>813</v>
      </c>
      <c r="E14240" t="s">
        <v>571</v>
      </c>
      <c r="F14240" t="s">
        <v>173</v>
      </c>
      <c r="G14240" t="s">
        <v>216</v>
      </c>
      <c r="H14240" t="s">
        <v>756</v>
      </c>
      <c r="I14240" t="s">
        <v>1213</v>
      </c>
      <c r="J14240" t="s">
        <v>103</v>
      </c>
      <c r="K14240" t="s">
        <v>496</v>
      </c>
    </row>
    <row r="14241" spans="1:11" s="3" customFormat="1" x14ac:dyDescent="0.3">
      <c r="A14241" s="3" t="s">
        <v>41</v>
      </c>
      <c r="B14241" s="3" t="s">
        <v>2765</v>
      </c>
      <c r="C14241" s="3">
        <v>13</v>
      </c>
      <c r="D14241" s="3" t="s">
        <v>1196</v>
      </c>
      <c r="E14241" s="3" t="s">
        <v>264</v>
      </c>
      <c r="F14241" s="3" t="s">
        <v>807</v>
      </c>
      <c r="G14241" s="3" t="s">
        <v>807</v>
      </c>
      <c r="H14241" s="3" t="s">
        <v>490</v>
      </c>
      <c r="I14241" s="3" t="s">
        <v>398</v>
      </c>
      <c r="J14241" s="3" t="s">
        <v>103</v>
      </c>
      <c r="K14241" s="3" t="s">
        <v>942</v>
      </c>
    </row>
    <row r="14242" spans="1:11" s="3" customFormat="1" x14ac:dyDescent="0.3">
      <c r="A14242" s="3" t="s">
        <v>41</v>
      </c>
      <c r="B14242" s="3" t="s">
        <v>641</v>
      </c>
      <c r="C14242" s="3">
        <v>28</v>
      </c>
      <c r="D14242" s="3" t="s">
        <v>345</v>
      </c>
      <c r="E14242" s="3" t="s">
        <v>548</v>
      </c>
      <c r="F14242" s="3" t="s">
        <v>48</v>
      </c>
      <c r="G14242" s="3" t="s">
        <v>175</v>
      </c>
      <c r="H14242" s="3" t="s">
        <v>103</v>
      </c>
      <c r="I14242" s="3" t="s">
        <v>750</v>
      </c>
      <c r="J14242" s="3" t="s">
        <v>103</v>
      </c>
      <c r="K14242" s="3" t="s">
        <v>421</v>
      </c>
    </row>
    <row r="14243" spans="1:11" s="3" customFormat="1" x14ac:dyDescent="0.3">
      <c r="A14243" s="3" t="s">
        <v>41</v>
      </c>
      <c r="B14243" s="3" t="s">
        <v>2769</v>
      </c>
      <c r="C14243" s="3">
        <v>12</v>
      </c>
      <c r="D14243" s="3" t="s">
        <v>144</v>
      </c>
      <c r="E14243" s="3" t="s">
        <v>234</v>
      </c>
      <c r="F14243" s="3" t="s">
        <v>515</v>
      </c>
      <c r="G14243" s="3" t="s">
        <v>262</v>
      </c>
      <c r="H14243" s="3" t="s">
        <v>103</v>
      </c>
      <c r="I14243" s="3" t="s">
        <v>64</v>
      </c>
      <c r="J14243" s="3" t="s">
        <v>103</v>
      </c>
      <c r="K14243" s="3" t="s">
        <v>1222</v>
      </c>
    </row>
    <row r="14244" spans="1:11" x14ac:dyDescent="0.3">
      <c r="A14244" t="s">
        <v>41</v>
      </c>
      <c r="B14244" t="s">
        <v>308</v>
      </c>
      <c r="C14244">
        <v>1878</v>
      </c>
      <c r="D14244" t="s">
        <v>190</v>
      </c>
      <c r="E14244" t="s">
        <v>671</v>
      </c>
      <c r="F14244" t="s">
        <v>495</v>
      </c>
      <c r="G14244" t="s">
        <v>70</v>
      </c>
      <c r="H14244" t="s">
        <v>544</v>
      </c>
      <c r="I14244" t="s">
        <v>1083</v>
      </c>
      <c r="J14244" t="s">
        <v>103</v>
      </c>
      <c r="K14244" t="s">
        <v>1396</v>
      </c>
    </row>
    <row r="14246" spans="1:11" x14ac:dyDescent="0.3">
      <c r="A14246" t="s">
        <v>2978</v>
      </c>
    </row>
    <row r="14247" spans="1:11" x14ac:dyDescent="0.3">
      <c r="A14247" t="s">
        <v>36</v>
      </c>
      <c r="B14247" t="s">
        <v>2771</v>
      </c>
      <c r="C14247" t="s">
        <v>24</v>
      </c>
      <c r="D14247" t="s">
        <v>2963</v>
      </c>
      <c r="E14247" t="s">
        <v>2964</v>
      </c>
      <c r="F14247" t="s">
        <v>2965</v>
      </c>
      <c r="G14247" t="s">
        <v>2966</v>
      </c>
      <c r="H14247" t="s">
        <v>2967</v>
      </c>
      <c r="I14247" t="s">
        <v>2968</v>
      </c>
      <c r="J14247" t="s">
        <v>2969</v>
      </c>
      <c r="K14247" t="s">
        <v>1195</v>
      </c>
    </row>
    <row r="14248" spans="1:11" s="3" customFormat="1" x14ac:dyDescent="0.3">
      <c r="A14248" s="3" t="s">
        <v>25</v>
      </c>
      <c r="B14248" s="3" t="s">
        <v>2772</v>
      </c>
      <c r="C14248" s="3">
        <v>1</v>
      </c>
      <c r="D14248" s="3" t="s">
        <v>103</v>
      </c>
      <c r="E14248" s="3" t="s">
        <v>103</v>
      </c>
      <c r="F14248" s="3" t="s">
        <v>103</v>
      </c>
      <c r="G14248" s="3" t="s">
        <v>103</v>
      </c>
      <c r="H14248" s="3" t="s">
        <v>103</v>
      </c>
      <c r="I14248" s="3" t="s">
        <v>103</v>
      </c>
      <c r="J14248" s="3" t="s">
        <v>103</v>
      </c>
      <c r="K14248" s="3" t="s">
        <v>192</v>
      </c>
    </row>
    <row r="14249" spans="1:11" s="3" customFormat="1" x14ac:dyDescent="0.3">
      <c r="A14249" s="3" t="s">
        <v>25</v>
      </c>
      <c r="B14249" s="3" t="s">
        <v>2773</v>
      </c>
      <c r="C14249" s="3">
        <v>3</v>
      </c>
      <c r="D14249" s="3" t="s">
        <v>103</v>
      </c>
      <c r="E14249" s="3" t="s">
        <v>103</v>
      </c>
      <c r="F14249" s="3" t="s">
        <v>103</v>
      </c>
      <c r="G14249" s="3" t="s">
        <v>103</v>
      </c>
      <c r="H14249" s="3" t="s">
        <v>1576</v>
      </c>
      <c r="I14249" s="3" t="s">
        <v>793</v>
      </c>
      <c r="J14249" s="3" t="s">
        <v>103</v>
      </c>
      <c r="K14249" s="3" t="s">
        <v>1043</v>
      </c>
    </row>
    <row r="14250" spans="1:11" s="3" customFormat="1" x14ac:dyDescent="0.3">
      <c r="A14250" s="3" t="s">
        <v>25</v>
      </c>
      <c r="B14250" s="3" t="s">
        <v>2774</v>
      </c>
      <c r="C14250" s="3">
        <v>9</v>
      </c>
      <c r="D14250" s="3" t="s">
        <v>103</v>
      </c>
      <c r="E14250" s="3" t="s">
        <v>103</v>
      </c>
      <c r="F14250" s="3" t="s">
        <v>103</v>
      </c>
      <c r="G14250" s="3" t="s">
        <v>103</v>
      </c>
      <c r="H14250" s="3" t="s">
        <v>743</v>
      </c>
      <c r="I14250" s="3" t="s">
        <v>1082</v>
      </c>
      <c r="J14250" s="3" t="s">
        <v>103</v>
      </c>
      <c r="K14250" s="3" t="s">
        <v>1462</v>
      </c>
    </row>
    <row r="14251" spans="1:11" s="3" customFormat="1" x14ac:dyDescent="0.3">
      <c r="A14251" s="3" t="s">
        <v>25</v>
      </c>
      <c r="B14251" s="3" t="s">
        <v>2775</v>
      </c>
      <c r="C14251" s="3">
        <v>21</v>
      </c>
      <c r="D14251" s="3" t="s">
        <v>119</v>
      </c>
      <c r="E14251" s="3" t="s">
        <v>816</v>
      </c>
      <c r="F14251" s="3" t="s">
        <v>1223</v>
      </c>
      <c r="G14251" s="3" t="s">
        <v>103</v>
      </c>
      <c r="H14251" s="3" t="s">
        <v>103</v>
      </c>
      <c r="I14251" s="3" t="s">
        <v>488</v>
      </c>
      <c r="J14251" s="3" t="s">
        <v>103</v>
      </c>
      <c r="K14251" s="3" t="s">
        <v>462</v>
      </c>
    </row>
    <row r="14252" spans="1:11" x14ac:dyDescent="0.3">
      <c r="A14252" t="s">
        <v>25</v>
      </c>
      <c r="B14252" t="s">
        <v>2776</v>
      </c>
      <c r="C14252">
        <v>51</v>
      </c>
      <c r="D14252" t="s">
        <v>208</v>
      </c>
      <c r="E14252" t="s">
        <v>698</v>
      </c>
      <c r="F14252" t="s">
        <v>494</v>
      </c>
      <c r="G14252" t="s">
        <v>113</v>
      </c>
      <c r="H14252" t="s">
        <v>188</v>
      </c>
      <c r="I14252" t="s">
        <v>1084</v>
      </c>
      <c r="J14252" t="s">
        <v>103</v>
      </c>
      <c r="K14252" t="s">
        <v>1220</v>
      </c>
    </row>
    <row r="14253" spans="1:11" x14ac:dyDescent="0.3">
      <c r="A14253" t="s">
        <v>25</v>
      </c>
      <c r="B14253" t="s">
        <v>2777</v>
      </c>
      <c r="C14253">
        <v>151</v>
      </c>
      <c r="D14253" t="s">
        <v>125</v>
      </c>
      <c r="E14253" t="s">
        <v>1198</v>
      </c>
      <c r="F14253" t="s">
        <v>90</v>
      </c>
      <c r="G14253" t="s">
        <v>107</v>
      </c>
      <c r="H14253" t="s">
        <v>108</v>
      </c>
      <c r="I14253" t="s">
        <v>522</v>
      </c>
      <c r="J14253" t="s">
        <v>103</v>
      </c>
      <c r="K14253" t="s">
        <v>838</v>
      </c>
    </row>
    <row r="14254" spans="1:11" x14ac:dyDescent="0.3">
      <c r="A14254" t="s">
        <v>25</v>
      </c>
      <c r="B14254" t="s">
        <v>2778</v>
      </c>
      <c r="C14254">
        <v>173</v>
      </c>
      <c r="D14254" t="s">
        <v>890</v>
      </c>
      <c r="E14254" t="s">
        <v>1226</v>
      </c>
      <c r="F14254" t="s">
        <v>331</v>
      </c>
      <c r="G14254" t="s">
        <v>206</v>
      </c>
      <c r="H14254" t="s">
        <v>544</v>
      </c>
      <c r="I14254" t="s">
        <v>646</v>
      </c>
      <c r="J14254" t="s">
        <v>103</v>
      </c>
      <c r="K14254" t="s">
        <v>1024</v>
      </c>
    </row>
    <row r="14255" spans="1:11" s="3" customFormat="1" x14ac:dyDescent="0.3">
      <c r="A14255" s="3" t="s">
        <v>25</v>
      </c>
      <c r="B14255" s="3" t="s">
        <v>223</v>
      </c>
      <c r="C14255" s="3">
        <v>2</v>
      </c>
      <c r="D14255" s="3" t="s">
        <v>103</v>
      </c>
      <c r="E14255" s="3" t="s">
        <v>103</v>
      </c>
      <c r="F14255" s="3" t="s">
        <v>56</v>
      </c>
      <c r="G14255" s="3" t="s">
        <v>56</v>
      </c>
      <c r="H14255" s="3" t="s">
        <v>103</v>
      </c>
      <c r="I14255" s="3" t="s">
        <v>103</v>
      </c>
      <c r="J14255" s="3" t="s">
        <v>103</v>
      </c>
      <c r="K14255" s="3" t="s">
        <v>55</v>
      </c>
    </row>
    <row r="14256" spans="1:11" x14ac:dyDescent="0.3">
      <c r="A14256" t="s">
        <v>25</v>
      </c>
      <c r="B14256" t="s">
        <v>308</v>
      </c>
      <c r="C14256">
        <v>2</v>
      </c>
      <c r="D14256" t="s">
        <v>1199</v>
      </c>
      <c r="E14256" t="s">
        <v>1199</v>
      </c>
      <c r="F14256" t="s">
        <v>103</v>
      </c>
      <c r="G14256" t="s">
        <v>1199</v>
      </c>
      <c r="H14256" t="s">
        <v>103</v>
      </c>
      <c r="I14256" t="s">
        <v>103</v>
      </c>
      <c r="J14256" t="s">
        <v>103</v>
      </c>
      <c r="K14256" t="s">
        <v>1284</v>
      </c>
    </row>
    <row r="14257" spans="1:11" s="3" customFormat="1" x14ac:dyDescent="0.3">
      <c r="A14257" s="3" t="s">
        <v>26</v>
      </c>
      <c r="B14257" s="3" t="s">
        <v>2772</v>
      </c>
      <c r="C14257" s="3">
        <v>3</v>
      </c>
      <c r="D14257" s="3" t="s">
        <v>103</v>
      </c>
      <c r="E14257" s="3" t="s">
        <v>103</v>
      </c>
      <c r="F14257" s="3" t="s">
        <v>103</v>
      </c>
      <c r="G14257" s="3" t="s">
        <v>103</v>
      </c>
      <c r="H14257" s="3" t="s">
        <v>103</v>
      </c>
      <c r="I14257" s="3" t="s">
        <v>103</v>
      </c>
      <c r="J14257" s="3" t="s">
        <v>103</v>
      </c>
      <c r="K14257" s="3" t="s">
        <v>192</v>
      </c>
    </row>
    <row r="14258" spans="1:11" s="3" customFormat="1" x14ac:dyDescent="0.3">
      <c r="A14258" s="3" t="s">
        <v>26</v>
      </c>
      <c r="B14258" s="3" t="s">
        <v>2773</v>
      </c>
      <c r="C14258" s="3">
        <v>8</v>
      </c>
      <c r="D14258" s="3" t="s">
        <v>103</v>
      </c>
      <c r="E14258" s="3" t="s">
        <v>205</v>
      </c>
      <c r="F14258" s="3" t="s">
        <v>103</v>
      </c>
      <c r="G14258" s="3" t="s">
        <v>103</v>
      </c>
      <c r="H14258" s="3" t="s">
        <v>103</v>
      </c>
      <c r="I14258" s="3" t="s">
        <v>421</v>
      </c>
      <c r="J14258" s="3" t="s">
        <v>103</v>
      </c>
      <c r="K14258" s="3" t="s">
        <v>1358</v>
      </c>
    </row>
    <row r="14259" spans="1:11" s="3" customFormat="1" x14ac:dyDescent="0.3">
      <c r="A14259" s="3" t="s">
        <v>26</v>
      </c>
      <c r="B14259" s="3" t="s">
        <v>2774</v>
      </c>
      <c r="C14259" s="3">
        <v>22</v>
      </c>
      <c r="D14259" s="3" t="s">
        <v>175</v>
      </c>
      <c r="E14259" s="3" t="s">
        <v>175</v>
      </c>
      <c r="F14259" s="3" t="s">
        <v>113</v>
      </c>
      <c r="G14259" s="3" t="s">
        <v>214</v>
      </c>
      <c r="H14259" s="3" t="s">
        <v>601</v>
      </c>
      <c r="I14259" s="3" t="s">
        <v>1396</v>
      </c>
      <c r="J14259" s="3" t="s">
        <v>103</v>
      </c>
      <c r="K14259" s="3" t="s">
        <v>873</v>
      </c>
    </row>
    <row r="14260" spans="1:11" x14ac:dyDescent="0.3">
      <c r="A14260" t="s">
        <v>26</v>
      </c>
      <c r="B14260" t="s">
        <v>2775</v>
      </c>
      <c r="C14260">
        <v>33</v>
      </c>
      <c r="D14260" t="s">
        <v>511</v>
      </c>
      <c r="E14260" t="s">
        <v>702</v>
      </c>
      <c r="F14260" t="s">
        <v>543</v>
      </c>
      <c r="G14260" t="s">
        <v>607</v>
      </c>
      <c r="H14260" t="s">
        <v>126</v>
      </c>
      <c r="I14260" t="s">
        <v>1060</v>
      </c>
      <c r="J14260" t="s">
        <v>103</v>
      </c>
      <c r="K14260" t="s">
        <v>656</v>
      </c>
    </row>
    <row r="14261" spans="1:11" x14ac:dyDescent="0.3">
      <c r="A14261" t="s">
        <v>26</v>
      </c>
      <c r="B14261" t="s">
        <v>2776</v>
      </c>
      <c r="C14261">
        <v>86</v>
      </c>
      <c r="D14261" t="s">
        <v>119</v>
      </c>
      <c r="E14261" t="s">
        <v>927</v>
      </c>
      <c r="F14261" t="s">
        <v>214</v>
      </c>
      <c r="G14261" t="s">
        <v>591</v>
      </c>
      <c r="H14261" t="s">
        <v>481</v>
      </c>
      <c r="I14261" t="s">
        <v>906</v>
      </c>
      <c r="J14261" t="s">
        <v>103</v>
      </c>
      <c r="K14261" t="s">
        <v>355</v>
      </c>
    </row>
    <row r="14262" spans="1:11" x14ac:dyDescent="0.3">
      <c r="A14262" t="s">
        <v>26</v>
      </c>
      <c r="B14262" t="s">
        <v>2777</v>
      </c>
      <c r="C14262">
        <v>192</v>
      </c>
      <c r="D14262" t="s">
        <v>60</v>
      </c>
      <c r="E14262" t="s">
        <v>522</v>
      </c>
      <c r="F14262" t="s">
        <v>918</v>
      </c>
      <c r="G14262" t="s">
        <v>629</v>
      </c>
      <c r="H14262" t="s">
        <v>127</v>
      </c>
      <c r="I14262" t="s">
        <v>555</v>
      </c>
      <c r="J14262" t="s">
        <v>103</v>
      </c>
      <c r="K14262" t="s">
        <v>443</v>
      </c>
    </row>
    <row r="14263" spans="1:11" x14ac:dyDescent="0.3">
      <c r="A14263" t="s">
        <v>26</v>
      </c>
      <c r="B14263" t="s">
        <v>2778</v>
      </c>
      <c r="C14263">
        <v>126</v>
      </c>
      <c r="D14263" t="s">
        <v>123</v>
      </c>
      <c r="E14263" t="s">
        <v>520</v>
      </c>
      <c r="F14263" t="s">
        <v>191</v>
      </c>
      <c r="G14263" t="s">
        <v>511</v>
      </c>
      <c r="H14263" t="s">
        <v>62</v>
      </c>
      <c r="I14263" t="s">
        <v>921</v>
      </c>
      <c r="J14263" t="s">
        <v>103</v>
      </c>
      <c r="K14263" t="s">
        <v>361</v>
      </c>
    </row>
    <row r="14264" spans="1:11" x14ac:dyDescent="0.3">
      <c r="A14264" t="s">
        <v>26</v>
      </c>
      <c r="B14264" t="s">
        <v>308</v>
      </c>
      <c r="C14264">
        <v>7</v>
      </c>
      <c r="D14264" t="s">
        <v>103</v>
      </c>
      <c r="E14264" t="s">
        <v>103</v>
      </c>
      <c r="F14264" t="s">
        <v>103</v>
      </c>
      <c r="G14264" t="s">
        <v>103</v>
      </c>
      <c r="H14264" t="s">
        <v>103</v>
      </c>
      <c r="I14264" t="s">
        <v>807</v>
      </c>
      <c r="J14264" t="s">
        <v>103</v>
      </c>
      <c r="K14264" t="s">
        <v>189</v>
      </c>
    </row>
    <row r="14265" spans="1:11" s="3" customFormat="1" x14ac:dyDescent="0.3">
      <c r="A14265" s="3" t="s">
        <v>29</v>
      </c>
      <c r="B14265" s="3" t="s">
        <v>2772</v>
      </c>
      <c r="C14265" s="3">
        <v>2</v>
      </c>
      <c r="D14265" s="3" t="s">
        <v>103</v>
      </c>
      <c r="E14265" s="3" t="s">
        <v>1197</v>
      </c>
      <c r="F14265" s="3" t="s">
        <v>103</v>
      </c>
      <c r="G14265" s="3" t="s">
        <v>103</v>
      </c>
      <c r="H14265" s="3" t="s">
        <v>1197</v>
      </c>
      <c r="I14265" s="3" t="s">
        <v>103</v>
      </c>
      <c r="J14265" s="3" t="s">
        <v>103</v>
      </c>
      <c r="K14265" s="3" t="s">
        <v>366</v>
      </c>
    </row>
    <row r="14266" spans="1:11" s="3" customFormat="1" x14ac:dyDescent="0.3">
      <c r="A14266" s="3" t="s">
        <v>29</v>
      </c>
      <c r="B14266" s="3" t="s">
        <v>2773</v>
      </c>
      <c r="C14266" s="3">
        <v>8</v>
      </c>
      <c r="D14266" s="3" t="s">
        <v>56</v>
      </c>
      <c r="E14266" s="3" t="s">
        <v>56</v>
      </c>
      <c r="F14266" s="3" t="s">
        <v>56</v>
      </c>
      <c r="G14266" s="3" t="s">
        <v>56</v>
      </c>
      <c r="H14266" s="3" t="s">
        <v>469</v>
      </c>
      <c r="I14266" s="3" t="s">
        <v>469</v>
      </c>
      <c r="J14266" s="3" t="s">
        <v>103</v>
      </c>
      <c r="K14266" s="3" t="s">
        <v>1374</v>
      </c>
    </row>
    <row r="14267" spans="1:11" s="3" customFormat="1" x14ac:dyDescent="0.3">
      <c r="A14267" s="3" t="s">
        <v>29</v>
      </c>
      <c r="B14267" s="3" t="s">
        <v>2774</v>
      </c>
      <c r="C14267" s="3">
        <v>21</v>
      </c>
      <c r="D14267" s="3" t="s">
        <v>103</v>
      </c>
      <c r="E14267" s="3" t="s">
        <v>568</v>
      </c>
      <c r="F14267" s="3" t="s">
        <v>284</v>
      </c>
      <c r="G14267" s="3" t="s">
        <v>103</v>
      </c>
      <c r="H14267" s="3" t="s">
        <v>662</v>
      </c>
      <c r="I14267" s="3" t="s">
        <v>517</v>
      </c>
      <c r="J14267" s="3" t="s">
        <v>103</v>
      </c>
      <c r="K14267" s="3" t="s">
        <v>1018</v>
      </c>
    </row>
    <row r="14268" spans="1:11" x14ac:dyDescent="0.3">
      <c r="A14268" t="s">
        <v>29</v>
      </c>
      <c r="B14268" t="s">
        <v>2775</v>
      </c>
      <c r="C14268">
        <v>31</v>
      </c>
      <c r="D14268" t="s">
        <v>467</v>
      </c>
      <c r="E14268" t="s">
        <v>1041</v>
      </c>
      <c r="F14268" t="s">
        <v>975</v>
      </c>
      <c r="G14268" t="s">
        <v>467</v>
      </c>
      <c r="H14268" t="s">
        <v>155</v>
      </c>
      <c r="I14268" t="s">
        <v>214</v>
      </c>
      <c r="J14268" t="s">
        <v>103</v>
      </c>
      <c r="K14268" t="s">
        <v>694</v>
      </c>
    </row>
    <row r="14269" spans="1:11" x14ac:dyDescent="0.3">
      <c r="A14269" t="s">
        <v>29</v>
      </c>
      <c r="B14269" t="s">
        <v>2776</v>
      </c>
      <c r="C14269">
        <v>65</v>
      </c>
      <c r="D14269" t="s">
        <v>452</v>
      </c>
      <c r="E14269" t="s">
        <v>570</v>
      </c>
      <c r="F14269" t="s">
        <v>521</v>
      </c>
      <c r="G14269" t="s">
        <v>594</v>
      </c>
      <c r="H14269" t="s">
        <v>918</v>
      </c>
      <c r="I14269" t="s">
        <v>543</v>
      </c>
      <c r="J14269" t="s">
        <v>103</v>
      </c>
      <c r="K14269" t="s">
        <v>362</v>
      </c>
    </row>
    <row r="14270" spans="1:11" x14ac:dyDescent="0.3">
      <c r="A14270" t="s">
        <v>29</v>
      </c>
      <c r="B14270" t="s">
        <v>2777</v>
      </c>
      <c r="C14270">
        <v>219</v>
      </c>
      <c r="D14270" t="s">
        <v>190</v>
      </c>
      <c r="E14270" t="s">
        <v>644</v>
      </c>
      <c r="F14270" t="s">
        <v>506</v>
      </c>
      <c r="G14270" t="s">
        <v>107</v>
      </c>
      <c r="H14270" t="s">
        <v>264</v>
      </c>
      <c r="I14270" t="s">
        <v>671</v>
      </c>
      <c r="J14270" t="s">
        <v>103</v>
      </c>
      <c r="K14270" t="s">
        <v>573</v>
      </c>
    </row>
    <row r="14271" spans="1:11" x14ac:dyDescent="0.3">
      <c r="A14271" t="s">
        <v>29</v>
      </c>
      <c r="B14271" t="s">
        <v>2778</v>
      </c>
      <c r="C14271">
        <v>183</v>
      </c>
      <c r="D14271" t="s">
        <v>126</v>
      </c>
      <c r="E14271" t="s">
        <v>582</v>
      </c>
      <c r="F14271" t="s">
        <v>1219</v>
      </c>
      <c r="G14271" t="s">
        <v>101</v>
      </c>
      <c r="H14271" t="s">
        <v>475</v>
      </c>
      <c r="I14271" t="s">
        <v>695</v>
      </c>
      <c r="J14271" t="s">
        <v>103</v>
      </c>
      <c r="K14271" t="s">
        <v>420</v>
      </c>
    </row>
    <row r="14272" spans="1:11" x14ac:dyDescent="0.3">
      <c r="A14272" t="s">
        <v>29</v>
      </c>
      <c r="B14272" t="s">
        <v>308</v>
      </c>
      <c r="C14272">
        <v>1</v>
      </c>
      <c r="D14272" t="s">
        <v>103</v>
      </c>
      <c r="E14272" t="s">
        <v>103</v>
      </c>
      <c r="F14272" t="s">
        <v>103</v>
      </c>
      <c r="G14272" t="s">
        <v>103</v>
      </c>
      <c r="H14272" t="s">
        <v>103</v>
      </c>
      <c r="I14272" t="s">
        <v>103</v>
      </c>
      <c r="J14272" t="s">
        <v>103</v>
      </c>
      <c r="K14272" t="s">
        <v>192</v>
      </c>
    </row>
    <row r="14273" spans="1:11" x14ac:dyDescent="0.3">
      <c r="A14273" t="s">
        <v>28</v>
      </c>
      <c r="B14273" t="s">
        <v>2772</v>
      </c>
      <c r="C14273">
        <v>39</v>
      </c>
      <c r="D14273" t="s">
        <v>106</v>
      </c>
      <c r="E14273" t="s">
        <v>698</v>
      </c>
      <c r="F14273" t="s">
        <v>103</v>
      </c>
      <c r="G14273" t="s">
        <v>103</v>
      </c>
      <c r="H14273" t="s">
        <v>105</v>
      </c>
      <c r="I14273" t="s">
        <v>103</v>
      </c>
      <c r="J14273" t="s">
        <v>103</v>
      </c>
      <c r="K14273" t="s">
        <v>378</v>
      </c>
    </row>
    <row r="14274" spans="1:11" x14ac:dyDescent="0.3">
      <c r="A14274" t="s">
        <v>28</v>
      </c>
      <c r="B14274" t="s">
        <v>2773</v>
      </c>
      <c r="C14274">
        <v>57</v>
      </c>
      <c r="D14274" t="s">
        <v>239</v>
      </c>
      <c r="E14274" t="s">
        <v>504</v>
      </c>
      <c r="F14274" t="s">
        <v>270</v>
      </c>
      <c r="G14274" t="s">
        <v>103</v>
      </c>
      <c r="H14274" t="s">
        <v>105</v>
      </c>
      <c r="I14274" t="s">
        <v>112</v>
      </c>
      <c r="J14274" t="s">
        <v>103</v>
      </c>
      <c r="K14274" t="s">
        <v>1379</v>
      </c>
    </row>
    <row r="14275" spans="1:11" s="3" customFormat="1" x14ac:dyDescent="0.3">
      <c r="A14275" s="3" t="s">
        <v>28</v>
      </c>
      <c r="B14275" s="3" t="s">
        <v>2774</v>
      </c>
      <c r="C14275" s="3">
        <v>30</v>
      </c>
      <c r="D14275" s="3" t="s">
        <v>594</v>
      </c>
      <c r="E14275" s="3" t="s">
        <v>162</v>
      </c>
      <c r="F14275" s="3" t="s">
        <v>107</v>
      </c>
      <c r="G14275" s="3" t="s">
        <v>103</v>
      </c>
      <c r="H14275" s="3" t="s">
        <v>103</v>
      </c>
      <c r="I14275" s="3" t="s">
        <v>455</v>
      </c>
      <c r="J14275" s="3" t="s">
        <v>103</v>
      </c>
      <c r="K14275" s="3" t="s">
        <v>1284</v>
      </c>
    </row>
    <row r="14276" spans="1:11" x14ac:dyDescent="0.3">
      <c r="A14276" t="s">
        <v>28</v>
      </c>
      <c r="B14276" t="s">
        <v>2775</v>
      </c>
      <c r="C14276">
        <v>41</v>
      </c>
      <c r="D14276" t="s">
        <v>558</v>
      </c>
      <c r="E14276" t="s">
        <v>568</v>
      </c>
      <c r="F14276" t="s">
        <v>105</v>
      </c>
      <c r="G14276" t="s">
        <v>214</v>
      </c>
      <c r="H14276" t="s">
        <v>103</v>
      </c>
      <c r="I14276" t="s">
        <v>486</v>
      </c>
      <c r="J14276" t="s">
        <v>103</v>
      </c>
      <c r="K14276" t="s">
        <v>1241</v>
      </c>
    </row>
    <row r="14277" spans="1:11" x14ac:dyDescent="0.3">
      <c r="A14277" t="s">
        <v>28</v>
      </c>
      <c r="B14277" t="s">
        <v>2776</v>
      </c>
      <c r="C14277">
        <v>45</v>
      </c>
      <c r="D14277" t="s">
        <v>532</v>
      </c>
      <c r="E14277" t="s">
        <v>819</v>
      </c>
      <c r="F14277" t="s">
        <v>33</v>
      </c>
      <c r="G14277" t="s">
        <v>239</v>
      </c>
      <c r="H14277" t="s">
        <v>188</v>
      </c>
      <c r="I14277" t="s">
        <v>1050</v>
      </c>
      <c r="J14277" t="s">
        <v>103</v>
      </c>
      <c r="K14277" t="s">
        <v>1199</v>
      </c>
    </row>
    <row r="14278" spans="1:11" x14ac:dyDescent="0.3">
      <c r="A14278" t="s">
        <v>28</v>
      </c>
      <c r="B14278" t="s">
        <v>2777</v>
      </c>
      <c r="C14278">
        <v>55</v>
      </c>
      <c r="D14278" t="s">
        <v>488</v>
      </c>
      <c r="E14278" t="s">
        <v>230</v>
      </c>
      <c r="F14278" t="s">
        <v>594</v>
      </c>
      <c r="G14278" t="s">
        <v>90</v>
      </c>
      <c r="H14278" t="s">
        <v>135</v>
      </c>
      <c r="I14278" t="s">
        <v>250</v>
      </c>
      <c r="J14278" t="s">
        <v>103</v>
      </c>
      <c r="K14278" t="s">
        <v>226</v>
      </c>
    </row>
    <row r="14279" spans="1:11" x14ac:dyDescent="0.3">
      <c r="A14279" t="s">
        <v>28</v>
      </c>
      <c r="B14279" t="s">
        <v>2778</v>
      </c>
      <c r="C14279">
        <v>44</v>
      </c>
      <c r="D14279" t="s">
        <v>108</v>
      </c>
      <c r="E14279" t="s">
        <v>155</v>
      </c>
      <c r="F14279" t="s">
        <v>251</v>
      </c>
      <c r="G14279" t="s">
        <v>110</v>
      </c>
      <c r="H14279" t="s">
        <v>251</v>
      </c>
      <c r="I14279" t="s">
        <v>705</v>
      </c>
      <c r="J14279" t="s">
        <v>103</v>
      </c>
      <c r="K14279" t="s">
        <v>657</v>
      </c>
    </row>
    <row r="14280" spans="1:11" x14ac:dyDescent="0.3">
      <c r="A14280" t="s">
        <v>28</v>
      </c>
      <c r="B14280" t="s">
        <v>308</v>
      </c>
      <c r="C14280">
        <v>6</v>
      </c>
      <c r="D14280" t="s">
        <v>1011</v>
      </c>
      <c r="E14280" t="s">
        <v>1322</v>
      </c>
      <c r="F14280" t="s">
        <v>696</v>
      </c>
      <c r="G14280" t="s">
        <v>486</v>
      </c>
      <c r="H14280" t="s">
        <v>1057</v>
      </c>
      <c r="I14280" t="s">
        <v>1057</v>
      </c>
      <c r="J14280" t="s">
        <v>103</v>
      </c>
      <c r="K14280" t="s">
        <v>191</v>
      </c>
    </row>
    <row r="14281" spans="1:11" s="3" customFormat="1" x14ac:dyDescent="0.3">
      <c r="A14281" s="3" t="s">
        <v>27</v>
      </c>
      <c r="B14281" s="3" t="s">
        <v>2772</v>
      </c>
      <c r="C14281" s="3">
        <v>10</v>
      </c>
      <c r="D14281" s="3" t="s">
        <v>103</v>
      </c>
      <c r="E14281" s="3" t="s">
        <v>1203</v>
      </c>
      <c r="F14281" s="3" t="s">
        <v>103</v>
      </c>
      <c r="G14281" s="3" t="s">
        <v>103</v>
      </c>
      <c r="H14281" s="3" t="s">
        <v>103</v>
      </c>
      <c r="I14281" s="3" t="s">
        <v>103</v>
      </c>
      <c r="J14281" s="3" t="s">
        <v>103</v>
      </c>
      <c r="K14281" s="3" t="s">
        <v>808</v>
      </c>
    </row>
    <row r="14282" spans="1:11" s="3" customFormat="1" x14ac:dyDescent="0.3">
      <c r="A14282" s="3" t="s">
        <v>27</v>
      </c>
      <c r="B14282" s="3" t="s">
        <v>2773</v>
      </c>
      <c r="C14282" s="3">
        <v>9</v>
      </c>
      <c r="D14282" s="3" t="s">
        <v>103</v>
      </c>
      <c r="E14282" s="3" t="s">
        <v>173</v>
      </c>
      <c r="F14282" s="3" t="s">
        <v>103</v>
      </c>
      <c r="G14282" s="3" t="s">
        <v>103</v>
      </c>
      <c r="H14282" s="3" t="s">
        <v>103</v>
      </c>
      <c r="I14282" s="3" t="s">
        <v>103</v>
      </c>
      <c r="J14282" s="3" t="s">
        <v>103</v>
      </c>
      <c r="K14282" s="3" t="s">
        <v>174</v>
      </c>
    </row>
    <row r="14283" spans="1:11" s="3" customFormat="1" x14ac:dyDescent="0.3">
      <c r="A14283" s="3" t="s">
        <v>27</v>
      </c>
      <c r="B14283" s="3" t="s">
        <v>2774</v>
      </c>
      <c r="C14283" s="3">
        <v>18</v>
      </c>
      <c r="D14283" s="3" t="s">
        <v>103</v>
      </c>
      <c r="E14283" s="3" t="s">
        <v>545</v>
      </c>
      <c r="F14283" s="3" t="s">
        <v>706</v>
      </c>
      <c r="G14283" s="3" t="s">
        <v>103</v>
      </c>
      <c r="H14283" s="3" t="s">
        <v>64</v>
      </c>
      <c r="I14283" s="3" t="s">
        <v>113</v>
      </c>
      <c r="J14283" s="3" t="s">
        <v>103</v>
      </c>
      <c r="K14283" s="3" t="s">
        <v>231</v>
      </c>
    </row>
    <row r="14284" spans="1:11" x14ac:dyDescent="0.3">
      <c r="A14284" t="s">
        <v>27</v>
      </c>
      <c r="B14284" t="s">
        <v>2775</v>
      </c>
      <c r="C14284">
        <v>33</v>
      </c>
      <c r="D14284" t="s">
        <v>103</v>
      </c>
      <c r="E14284" t="s">
        <v>1024</v>
      </c>
      <c r="F14284" t="s">
        <v>457</v>
      </c>
      <c r="G14284" t="s">
        <v>103</v>
      </c>
      <c r="H14284" t="s">
        <v>93</v>
      </c>
      <c r="I14284" t="s">
        <v>93</v>
      </c>
      <c r="J14284" t="s">
        <v>103</v>
      </c>
      <c r="K14284" t="s">
        <v>34</v>
      </c>
    </row>
    <row r="14285" spans="1:11" x14ac:dyDescent="0.3">
      <c r="A14285" t="s">
        <v>27</v>
      </c>
      <c r="B14285" t="s">
        <v>2776</v>
      </c>
      <c r="C14285">
        <v>65</v>
      </c>
      <c r="D14285" t="s">
        <v>103</v>
      </c>
      <c r="E14285" t="s">
        <v>1202</v>
      </c>
      <c r="F14285" t="s">
        <v>272</v>
      </c>
      <c r="G14285" t="s">
        <v>493</v>
      </c>
      <c r="H14285" t="s">
        <v>467</v>
      </c>
      <c r="I14285" t="s">
        <v>127</v>
      </c>
      <c r="J14285" t="s">
        <v>103</v>
      </c>
      <c r="K14285" t="s">
        <v>1236</v>
      </c>
    </row>
    <row r="14286" spans="1:11" x14ac:dyDescent="0.3">
      <c r="A14286" t="s">
        <v>27</v>
      </c>
      <c r="B14286" t="s">
        <v>2777</v>
      </c>
      <c r="C14286">
        <v>78</v>
      </c>
      <c r="D14286" t="s">
        <v>64</v>
      </c>
      <c r="E14286" t="s">
        <v>301</v>
      </c>
      <c r="F14286" t="s">
        <v>217</v>
      </c>
      <c r="G14286" t="s">
        <v>128</v>
      </c>
      <c r="H14286" t="s">
        <v>278</v>
      </c>
      <c r="I14286" t="s">
        <v>551</v>
      </c>
      <c r="J14286" t="s">
        <v>103</v>
      </c>
      <c r="K14286" t="s">
        <v>1558</v>
      </c>
    </row>
    <row r="14287" spans="1:11" x14ac:dyDescent="0.3">
      <c r="A14287" t="s">
        <v>27</v>
      </c>
      <c r="B14287" t="s">
        <v>2778</v>
      </c>
      <c r="C14287">
        <v>70</v>
      </c>
      <c r="D14287" t="s">
        <v>103</v>
      </c>
      <c r="E14287" t="s">
        <v>927</v>
      </c>
      <c r="F14287" t="s">
        <v>195</v>
      </c>
      <c r="G14287" t="s">
        <v>103</v>
      </c>
      <c r="H14287" t="s">
        <v>195</v>
      </c>
      <c r="I14287" t="s">
        <v>921</v>
      </c>
      <c r="J14287" t="s">
        <v>103</v>
      </c>
      <c r="K14287" t="s">
        <v>1279</v>
      </c>
    </row>
    <row r="14288" spans="1:11" s="3" customFormat="1" x14ac:dyDescent="0.3">
      <c r="A14288" s="3" t="s">
        <v>27</v>
      </c>
      <c r="B14288" s="3" t="s">
        <v>223</v>
      </c>
      <c r="C14288" s="3">
        <v>2</v>
      </c>
      <c r="D14288" s="3" t="s">
        <v>103</v>
      </c>
      <c r="E14288" s="3" t="s">
        <v>103</v>
      </c>
      <c r="F14288" s="3" t="s">
        <v>103</v>
      </c>
      <c r="G14288" s="3" t="s">
        <v>103</v>
      </c>
      <c r="H14288" s="3" t="s">
        <v>103</v>
      </c>
      <c r="I14288" s="3" t="s">
        <v>103</v>
      </c>
      <c r="J14288" s="3" t="s">
        <v>103</v>
      </c>
      <c r="K14288" s="3" t="s">
        <v>192</v>
      </c>
    </row>
    <row r="14289" spans="1:11" x14ac:dyDescent="0.3">
      <c r="A14289" t="s">
        <v>27</v>
      </c>
      <c r="B14289" t="s">
        <v>308</v>
      </c>
      <c r="C14289">
        <v>15</v>
      </c>
      <c r="D14289" t="s">
        <v>103</v>
      </c>
      <c r="E14289" t="s">
        <v>423</v>
      </c>
      <c r="F14289" t="s">
        <v>103</v>
      </c>
      <c r="G14289" t="s">
        <v>103</v>
      </c>
      <c r="H14289" t="s">
        <v>103</v>
      </c>
      <c r="I14289" t="s">
        <v>103</v>
      </c>
      <c r="J14289" t="s">
        <v>103</v>
      </c>
      <c r="K14289" t="s">
        <v>422</v>
      </c>
    </row>
    <row r="14290" spans="1:11" x14ac:dyDescent="0.3">
      <c r="A14290" t="s">
        <v>41</v>
      </c>
      <c r="B14290" t="s">
        <v>2772</v>
      </c>
      <c r="C14290">
        <v>55</v>
      </c>
      <c r="D14290" t="s">
        <v>737</v>
      </c>
      <c r="E14290" t="s">
        <v>503</v>
      </c>
      <c r="F14290" t="s">
        <v>103</v>
      </c>
      <c r="G14290" t="s">
        <v>103</v>
      </c>
      <c r="H14290" t="s">
        <v>571</v>
      </c>
      <c r="I14290" t="s">
        <v>103</v>
      </c>
      <c r="J14290" t="s">
        <v>103</v>
      </c>
      <c r="K14290" t="s">
        <v>1392</v>
      </c>
    </row>
    <row r="14291" spans="1:11" x14ac:dyDescent="0.3">
      <c r="A14291" t="s">
        <v>41</v>
      </c>
      <c r="B14291" t="s">
        <v>2773</v>
      </c>
      <c r="C14291">
        <v>85</v>
      </c>
      <c r="D14291" t="s">
        <v>662</v>
      </c>
      <c r="E14291" t="s">
        <v>483</v>
      </c>
      <c r="F14291" t="s">
        <v>531</v>
      </c>
      <c r="G14291" t="s">
        <v>284</v>
      </c>
      <c r="H14291" t="s">
        <v>108</v>
      </c>
      <c r="I14291" t="s">
        <v>50</v>
      </c>
      <c r="J14291" t="s">
        <v>103</v>
      </c>
      <c r="K14291" t="s">
        <v>1172</v>
      </c>
    </row>
    <row r="14292" spans="1:11" x14ac:dyDescent="0.3">
      <c r="A14292" t="s">
        <v>41</v>
      </c>
      <c r="B14292" t="s">
        <v>2774</v>
      </c>
      <c r="C14292">
        <v>100</v>
      </c>
      <c r="D14292" t="s">
        <v>201</v>
      </c>
      <c r="E14292" t="s">
        <v>331</v>
      </c>
      <c r="F14292" t="s">
        <v>558</v>
      </c>
      <c r="G14292" t="s">
        <v>194</v>
      </c>
      <c r="H14292" t="s">
        <v>466</v>
      </c>
      <c r="I14292" t="s">
        <v>409</v>
      </c>
      <c r="J14292" t="s">
        <v>103</v>
      </c>
      <c r="K14292" t="s">
        <v>1032</v>
      </c>
    </row>
    <row r="14293" spans="1:11" x14ac:dyDescent="0.3">
      <c r="A14293" t="s">
        <v>41</v>
      </c>
      <c r="B14293" t="s">
        <v>2775</v>
      </c>
      <c r="C14293">
        <v>159</v>
      </c>
      <c r="D14293" t="s">
        <v>70</v>
      </c>
      <c r="E14293" t="s">
        <v>938</v>
      </c>
      <c r="F14293" t="s">
        <v>580</v>
      </c>
      <c r="G14293" t="s">
        <v>438</v>
      </c>
      <c r="H14293" t="s">
        <v>459</v>
      </c>
      <c r="I14293" t="s">
        <v>734</v>
      </c>
      <c r="J14293" t="s">
        <v>103</v>
      </c>
      <c r="K14293" t="s">
        <v>226</v>
      </c>
    </row>
    <row r="14294" spans="1:11" x14ac:dyDescent="0.3">
      <c r="A14294" t="s">
        <v>41</v>
      </c>
      <c r="B14294" t="s">
        <v>2776</v>
      </c>
      <c r="C14294">
        <v>312</v>
      </c>
      <c r="D14294" t="s">
        <v>94</v>
      </c>
      <c r="E14294" t="s">
        <v>554</v>
      </c>
      <c r="F14294" t="s">
        <v>62</v>
      </c>
      <c r="G14294" t="s">
        <v>33</v>
      </c>
      <c r="H14294" t="s">
        <v>191</v>
      </c>
      <c r="I14294" t="s">
        <v>30</v>
      </c>
      <c r="J14294" t="s">
        <v>103</v>
      </c>
      <c r="K14294" t="s">
        <v>873</v>
      </c>
    </row>
    <row r="14295" spans="1:11" x14ac:dyDescent="0.3">
      <c r="A14295" t="s">
        <v>41</v>
      </c>
      <c r="B14295" t="s">
        <v>2777</v>
      </c>
      <c r="C14295">
        <v>695</v>
      </c>
      <c r="D14295" t="s">
        <v>466</v>
      </c>
      <c r="E14295" t="s">
        <v>547</v>
      </c>
      <c r="F14295" t="s">
        <v>54</v>
      </c>
      <c r="G14295" t="s">
        <v>112</v>
      </c>
      <c r="H14295" t="s">
        <v>750</v>
      </c>
      <c r="I14295" t="s">
        <v>522</v>
      </c>
      <c r="J14295" t="s">
        <v>103</v>
      </c>
      <c r="K14295" t="s">
        <v>1054</v>
      </c>
    </row>
    <row r="14296" spans="1:11" x14ac:dyDescent="0.3">
      <c r="A14296" t="s">
        <v>41</v>
      </c>
      <c r="B14296" t="s">
        <v>2778</v>
      </c>
      <c r="C14296">
        <v>596</v>
      </c>
      <c r="D14296" t="s">
        <v>254</v>
      </c>
      <c r="E14296" t="s">
        <v>688</v>
      </c>
      <c r="F14296" t="s">
        <v>268</v>
      </c>
      <c r="G14296" t="s">
        <v>94</v>
      </c>
      <c r="H14296" t="s">
        <v>148</v>
      </c>
      <c r="I14296" t="s">
        <v>525</v>
      </c>
      <c r="J14296" t="s">
        <v>103</v>
      </c>
      <c r="K14296" t="s">
        <v>427</v>
      </c>
    </row>
    <row r="14297" spans="1:11" s="3" customFormat="1" x14ac:dyDescent="0.3">
      <c r="A14297" s="3" t="s">
        <v>41</v>
      </c>
      <c r="B14297" s="3" t="s">
        <v>223</v>
      </c>
      <c r="C14297" s="3">
        <v>4</v>
      </c>
      <c r="D14297" s="3" t="s">
        <v>103</v>
      </c>
      <c r="E14297" s="3" t="s">
        <v>103</v>
      </c>
      <c r="F14297" s="3" t="s">
        <v>173</v>
      </c>
      <c r="G14297" s="3" t="s">
        <v>173</v>
      </c>
      <c r="H14297" s="3" t="s">
        <v>103</v>
      </c>
      <c r="I14297" s="3" t="s">
        <v>103</v>
      </c>
      <c r="J14297" s="3" t="s">
        <v>103</v>
      </c>
      <c r="K14297" s="3" t="s">
        <v>174</v>
      </c>
    </row>
    <row r="14298" spans="1:11" x14ac:dyDescent="0.3">
      <c r="A14298" t="s">
        <v>41</v>
      </c>
      <c r="B14298" t="s">
        <v>308</v>
      </c>
      <c r="C14298">
        <v>31</v>
      </c>
      <c r="D14298" t="s">
        <v>693</v>
      </c>
      <c r="E14298" t="s">
        <v>1203</v>
      </c>
      <c r="F14298" t="s">
        <v>558</v>
      </c>
      <c r="G14298" t="s">
        <v>100</v>
      </c>
      <c r="H14298" t="s">
        <v>188</v>
      </c>
      <c r="I14298" t="s">
        <v>117</v>
      </c>
      <c r="J14298" t="s">
        <v>103</v>
      </c>
      <c r="K14298" t="s">
        <v>730</v>
      </c>
    </row>
    <row r="14300" spans="1:11" x14ac:dyDescent="0.3">
      <c r="A14300" t="s">
        <v>2979</v>
      </c>
    </row>
    <row r="14301" spans="1:11" x14ac:dyDescent="0.3">
      <c r="A14301" t="s">
        <v>36</v>
      </c>
      <c r="B14301" t="s">
        <v>197</v>
      </c>
      <c r="C14301" t="s">
        <v>24</v>
      </c>
      <c r="D14301" t="s">
        <v>2963</v>
      </c>
      <c r="E14301" t="s">
        <v>2964</v>
      </c>
      <c r="F14301" t="s">
        <v>2965</v>
      </c>
      <c r="G14301" t="s">
        <v>2966</v>
      </c>
      <c r="H14301" t="s">
        <v>2967</v>
      </c>
      <c r="I14301" t="s">
        <v>2968</v>
      </c>
      <c r="J14301" t="s">
        <v>2969</v>
      </c>
      <c r="K14301" t="s">
        <v>1195</v>
      </c>
    </row>
    <row r="14302" spans="1:11" x14ac:dyDescent="0.3">
      <c r="A14302" t="s">
        <v>25</v>
      </c>
      <c r="B14302" t="s">
        <v>198</v>
      </c>
      <c r="C14302">
        <v>104</v>
      </c>
      <c r="D14302" t="s">
        <v>232</v>
      </c>
      <c r="E14302" t="s">
        <v>568</v>
      </c>
      <c r="F14302" t="s">
        <v>743</v>
      </c>
      <c r="G14302" t="s">
        <v>64</v>
      </c>
      <c r="H14302" t="s">
        <v>890</v>
      </c>
      <c r="I14302" t="s">
        <v>1218</v>
      </c>
      <c r="J14302" t="s">
        <v>103</v>
      </c>
      <c r="K14302" t="s">
        <v>413</v>
      </c>
    </row>
    <row r="14303" spans="1:11" x14ac:dyDescent="0.3">
      <c r="A14303" t="s">
        <v>25</v>
      </c>
      <c r="B14303" t="s">
        <v>199</v>
      </c>
      <c r="C14303">
        <v>309</v>
      </c>
      <c r="D14303" t="s">
        <v>511</v>
      </c>
      <c r="E14303" t="s">
        <v>259</v>
      </c>
      <c r="F14303" t="s">
        <v>148</v>
      </c>
      <c r="G14303" t="s">
        <v>133</v>
      </c>
      <c r="H14303" t="s">
        <v>571</v>
      </c>
      <c r="I14303" t="s">
        <v>555</v>
      </c>
      <c r="J14303" t="s">
        <v>103</v>
      </c>
      <c r="K14303" t="s">
        <v>225</v>
      </c>
    </row>
    <row r="14304" spans="1:11" x14ac:dyDescent="0.3">
      <c r="A14304" t="s">
        <v>26</v>
      </c>
      <c r="B14304" t="s">
        <v>198</v>
      </c>
      <c r="C14304">
        <v>41</v>
      </c>
      <c r="D14304" t="s">
        <v>95</v>
      </c>
      <c r="E14304" t="s">
        <v>31</v>
      </c>
      <c r="F14304" t="s">
        <v>131</v>
      </c>
      <c r="G14304" t="s">
        <v>103</v>
      </c>
      <c r="H14304" t="s">
        <v>242</v>
      </c>
      <c r="I14304" t="s">
        <v>655</v>
      </c>
      <c r="J14304" t="s">
        <v>103</v>
      </c>
      <c r="K14304" t="s">
        <v>535</v>
      </c>
    </row>
    <row r="14305" spans="1:11" x14ac:dyDescent="0.3">
      <c r="A14305" t="s">
        <v>26</v>
      </c>
      <c r="B14305" t="s">
        <v>199</v>
      </c>
      <c r="C14305">
        <v>436</v>
      </c>
      <c r="D14305" t="s">
        <v>247</v>
      </c>
      <c r="E14305" t="s">
        <v>789</v>
      </c>
      <c r="F14305" t="s">
        <v>254</v>
      </c>
      <c r="G14305" t="s">
        <v>494</v>
      </c>
      <c r="H14305" t="s">
        <v>254</v>
      </c>
      <c r="I14305" t="s">
        <v>484</v>
      </c>
      <c r="J14305" t="s">
        <v>103</v>
      </c>
      <c r="K14305" t="s">
        <v>1060</v>
      </c>
    </row>
    <row r="14306" spans="1:11" x14ac:dyDescent="0.3">
      <c r="A14306" t="s">
        <v>29</v>
      </c>
      <c r="B14306" t="s">
        <v>198</v>
      </c>
      <c r="C14306">
        <v>170</v>
      </c>
      <c r="D14306" t="s">
        <v>251</v>
      </c>
      <c r="E14306" t="s">
        <v>699</v>
      </c>
      <c r="F14306" t="s">
        <v>521</v>
      </c>
      <c r="G14306" t="s">
        <v>70</v>
      </c>
      <c r="H14306" t="s">
        <v>146</v>
      </c>
      <c r="I14306" t="s">
        <v>506</v>
      </c>
      <c r="J14306" t="s">
        <v>103</v>
      </c>
      <c r="K14306" t="s">
        <v>396</v>
      </c>
    </row>
    <row r="14307" spans="1:11" x14ac:dyDescent="0.3">
      <c r="A14307" t="s">
        <v>29</v>
      </c>
      <c r="B14307" t="s">
        <v>199</v>
      </c>
      <c r="C14307">
        <v>360</v>
      </c>
      <c r="D14307" t="s">
        <v>190</v>
      </c>
      <c r="E14307" t="s">
        <v>732</v>
      </c>
      <c r="F14307" t="s">
        <v>1219</v>
      </c>
      <c r="G14307" t="s">
        <v>133</v>
      </c>
      <c r="H14307" t="s">
        <v>526</v>
      </c>
      <c r="I14307" t="s">
        <v>48</v>
      </c>
      <c r="J14307" t="s">
        <v>103</v>
      </c>
      <c r="K14307" t="s">
        <v>226</v>
      </c>
    </row>
    <row r="14308" spans="1:11" x14ac:dyDescent="0.3">
      <c r="A14308" t="s">
        <v>28</v>
      </c>
      <c r="B14308" t="s">
        <v>198</v>
      </c>
      <c r="C14308">
        <v>70</v>
      </c>
      <c r="D14308" t="s">
        <v>272</v>
      </c>
      <c r="E14308" t="s">
        <v>557</v>
      </c>
      <c r="F14308" t="s">
        <v>126</v>
      </c>
      <c r="G14308" t="s">
        <v>128</v>
      </c>
      <c r="H14308" t="s">
        <v>607</v>
      </c>
      <c r="I14308" t="s">
        <v>1055</v>
      </c>
      <c r="J14308" t="s">
        <v>103</v>
      </c>
      <c r="K14308" t="s">
        <v>666</v>
      </c>
    </row>
    <row r="14309" spans="1:11" x14ac:dyDescent="0.3">
      <c r="A14309" t="s">
        <v>28</v>
      </c>
      <c r="B14309" t="s">
        <v>199</v>
      </c>
      <c r="C14309">
        <v>247</v>
      </c>
      <c r="D14309" t="s">
        <v>890</v>
      </c>
      <c r="E14309" t="s">
        <v>746</v>
      </c>
      <c r="F14309" t="s">
        <v>114</v>
      </c>
      <c r="G14309" t="s">
        <v>195</v>
      </c>
      <c r="H14309" t="s">
        <v>493</v>
      </c>
      <c r="I14309" t="s">
        <v>171</v>
      </c>
      <c r="J14309" t="s">
        <v>103</v>
      </c>
      <c r="K14309" t="s">
        <v>1278</v>
      </c>
    </row>
    <row r="14310" spans="1:11" x14ac:dyDescent="0.3">
      <c r="A14310" t="s">
        <v>27</v>
      </c>
      <c r="B14310" t="s">
        <v>198</v>
      </c>
      <c r="C14310">
        <v>136</v>
      </c>
      <c r="D14310" t="s">
        <v>139</v>
      </c>
      <c r="E14310" t="s">
        <v>556</v>
      </c>
      <c r="F14310" t="s">
        <v>95</v>
      </c>
      <c r="G14310" t="s">
        <v>329</v>
      </c>
      <c r="H14310" t="s">
        <v>118</v>
      </c>
      <c r="I14310" t="s">
        <v>268</v>
      </c>
      <c r="J14310" t="s">
        <v>103</v>
      </c>
      <c r="K14310" t="s">
        <v>1002</v>
      </c>
    </row>
    <row r="14311" spans="1:11" x14ac:dyDescent="0.3">
      <c r="A14311" t="s">
        <v>27</v>
      </c>
      <c r="B14311" t="s">
        <v>199</v>
      </c>
      <c r="C14311">
        <v>164</v>
      </c>
      <c r="D14311" t="s">
        <v>120</v>
      </c>
      <c r="E14311" t="s">
        <v>96</v>
      </c>
      <c r="F14311" t="s">
        <v>131</v>
      </c>
      <c r="G14311" t="s">
        <v>120</v>
      </c>
      <c r="H14311" t="s">
        <v>188</v>
      </c>
      <c r="I14311" t="s">
        <v>575</v>
      </c>
      <c r="J14311" t="s">
        <v>103</v>
      </c>
      <c r="K14311" t="s">
        <v>1087</v>
      </c>
    </row>
    <row r="14312" spans="1:11" x14ac:dyDescent="0.3">
      <c r="A14312" t="s">
        <v>41</v>
      </c>
      <c r="B14312" t="s">
        <v>198</v>
      </c>
      <c r="C14312">
        <v>521</v>
      </c>
      <c r="D14312" t="s">
        <v>70</v>
      </c>
      <c r="E14312" t="s">
        <v>1090</v>
      </c>
      <c r="F14312" t="s">
        <v>488</v>
      </c>
      <c r="G14312" t="s">
        <v>186</v>
      </c>
      <c r="H14312" t="s">
        <v>482</v>
      </c>
      <c r="I14312" t="s">
        <v>660</v>
      </c>
      <c r="J14312" t="s">
        <v>103</v>
      </c>
      <c r="K14312" t="s">
        <v>512</v>
      </c>
    </row>
    <row r="14313" spans="1:11" x14ac:dyDescent="0.3">
      <c r="A14313" t="s">
        <v>41</v>
      </c>
      <c r="B14313" t="s">
        <v>199</v>
      </c>
      <c r="C14313">
        <v>1516</v>
      </c>
      <c r="D14313" t="s">
        <v>100</v>
      </c>
      <c r="E14313" t="s">
        <v>525</v>
      </c>
      <c r="F14313" t="s">
        <v>519</v>
      </c>
      <c r="G14313" t="s">
        <v>558</v>
      </c>
      <c r="H14313" t="s">
        <v>164</v>
      </c>
      <c r="I14313" t="s">
        <v>756</v>
      </c>
      <c r="J14313" t="s">
        <v>103</v>
      </c>
      <c r="K14313" t="s">
        <v>375</v>
      </c>
    </row>
    <row r="14315" spans="1:11" x14ac:dyDescent="0.3">
      <c r="A14315" t="s">
        <v>2980</v>
      </c>
    </row>
    <row r="14316" spans="1:11" x14ac:dyDescent="0.3">
      <c r="A14316" t="s">
        <v>36</v>
      </c>
      <c r="B14316" t="s">
        <v>24</v>
      </c>
      <c r="C14316" t="s">
        <v>2981</v>
      </c>
      <c r="D14316" t="s">
        <v>2982</v>
      </c>
      <c r="E14316" t="s">
        <v>2983</v>
      </c>
      <c r="F14316" t="s">
        <v>2984</v>
      </c>
      <c r="G14316" t="s">
        <v>2985</v>
      </c>
      <c r="H14316" t="s">
        <v>2986</v>
      </c>
      <c r="I14316" t="s">
        <v>2987</v>
      </c>
      <c r="J14316" t="s">
        <v>2988</v>
      </c>
      <c r="K14316" t="s">
        <v>183</v>
      </c>
    </row>
    <row r="14317" spans="1:11" x14ac:dyDescent="0.3">
      <c r="A14317" t="s">
        <v>25</v>
      </c>
      <c r="B14317">
        <v>194</v>
      </c>
      <c r="C14317" t="s">
        <v>270</v>
      </c>
      <c r="D14317" t="s">
        <v>488</v>
      </c>
      <c r="E14317" t="s">
        <v>107</v>
      </c>
      <c r="F14317" t="s">
        <v>1236</v>
      </c>
      <c r="G14317" t="s">
        <v>644</v>
      </c>
      <c r="H14317" t="s">
        <v>693</v>
      </c>
      <c r="I14317" t="s">
        <v>103</v>
      </c>
      <c r="J14317" t="s">
        <v>60</v>
      </c>
      <c r="K14317" t="s">
        <v>103</v>
      </c>
    </row>
    <row r="14318" spans="1:11" x14ac:dyDescent="0.3">
      <c r="A14318" t="s">
        <v>26</v>
      </c>
      <c r="B14318">
        <v>197</v>
      </c>
      <c r="C14318" t="s">
        <v>114</v>
      </c>
      <c r="D14318" t="s">
        <v>615</v>
      </c>
      <c r="E14318" t="s">
        <v>543</v>
      </c>
      <c r="F14318" t="s">
        <v>294</v>
      </c>
      <c r="G14318" t="s">
        <v>135</v>
      </c>
      <c r="H14318" t="s">
        <v>651</v>
      </c>
      <c r="I14318" t="s">
        <v>103</v>
      </c>
      <c r="J14318" t="s">
        <v>103</v>
      </c>
      <c r="K14318" t="s">
        <v>103</v>
      </c>
    </row>
    <row r="14319" spans="1:11" x14ac:dyDescent="0.3">
      <c r="A14319" t="s">
        <v>29</v>
      </c>
      <c r="B14319">
        <v>240</v>
      </c>
      <c r="C14319" t="s">
        <v>97</v>
      </c>
      <c r="D14319" t="s">
        <v>137</v>
      </c>
      <c r="E14319" t="s">
        <v>133</v>
      </c>
      <c r="F14319" t="s">
        <v>231</v>
      </c>
      <c r="G14319" t="s">
        <v>273</v>
      </c>
      <c r="H14319" t="s">
        <v>137</v>
      </c>
      <c r="I14319" t="s">
        <v>91</v>
      </c>
      <c r="J14319" t="s">
        <v>750</v>
      </c>
      <c r="K14319" t="s">
        <v>103</v>
      </c>
    </row>
    <row r="14320" spans="1:11" x14ac:dyDescent="0.3">
      <c r="A14320" t="s">
        <v>28</v>
      </c>
      <c r="B14320">
        <v>178</v>
      </c>
      <c r="C14320" t="s">
        <v>120</v>
      </c>
      <c r="D14320" t="s">
        <v>68</v>
      </c>
      <c r="E14320" t="s">
        <v>68</v>
      </c>
      <c r="F14320" t="s">
        <v>1178</v>
      </c>
      <c r="G14320" t="s">
        <v>734</v>
      </c>
      <c r="H14320" t="s">
        <v>281</v>
      </c>
      <c r="I14320" t="s">
        <v>103</v>
      </c>
      <c r="J14320" t="s">
        <v>120</v>
      </c>
      <c r="K14320" t="s">
        <v>103</v>
      </c>
    </row>
    <row r="14321" spans="1:12" x14ac:dyDescent="0.3">
      <c r="A14321" t="s">
        <v>27</v>
      </c>
      <c r="B14321">
        <v>166</v>
      </c>
      <c r="C14321" t="s">
        <v>103</v>
      </c>
      <c r="D14321" t="s">
        <v>112</v>
      </c>
      <c r="E14321" t="s">
        <v>438</v>
      </c>
      <c r="F14321" t="s">
        <v>258</v>
      </c>
      <c r="G14321" t="s">
        <v>550</v>
      </c>
      <c r="H14321" t="s">
        <v>146</v>
      </c>
      <c r="I14321" t="s">
        <v>103</v>
      </c>
      <c r="J14321" t="s">
        <v>652</v>
      </c>
      <c r="K14321" t="s">
        <v>103</v>
      </c>
    </row>
    <row r="14322" spans="1:12" x14ac:dyDescent="0.3">
      <c r="A14322" t="s">
        <v>41</v>
      </c>
      <c r="B14322">
        <v>975</v>
      </c>
      <c r="C14322" t="s">
        <v>105</v>
      </c>
      <c r="D14322" t="s">
        <v>571</v>
      </c>
      <c r="E14322" t="s">
        <v>452</v>
      </c>
      <c r="F14322" t="s">
        <v>410</v>
      </c>
      <c r="G14322" t="s">
        <v>515</v>
      </c>
      <c r="H14322" t="s">
        <v>115</v>
      </c>
      <c r="I14322" t="s">
        <v>103</v>
      </c>
      <c r="J14322" t="s">
        <v>737</v>
      </c>
      <c r="K14322" t="s">
        <v>103</v>
      </c>
    </row>
    <row r="14324" spans="1:12" x14ac:dyDescent="0.3">
      <c r="A14324" t="s">
        <v>2989</v>
      </c>
    </row>
    <row r="14325" spans="1:12" x14ac:dyDescent="0.3">
      <c r="A14325" t="s">
        <v>36</v>
      </c>
      <c r="B14325" t="s">
        <v>307</v>
      </c>
      <c r="C14325" t="s">
        <v>24</v>
      </c>
      <c r="D14325" t="s">
        <v>2981</v>
      </c>
      <c r="E14325" t="s">
        <v>2982</v>
      </c>
      <c r="F14325" t="s">
        <v>2983</v>
      </c>
      <c r="G14325" t="s">
        <v>2984</v>
      </c>
      <c r="H14325" t="s">
        <v>2985</v>
      </c>
      <c r="I14325" t="s">
        <v>2986</v>
      </c>
      <c r="J14325" t="s">
        <v>2987</v>
      </c>
      <c r="K14325" t="s">
        <v>2988</v>
      </c>
      <c r="L14325" t="s">
        <v>183</v>
      </c>
    </row>
    <row r="14326" spans="1:12" x14ac:dyDescent="0.3">
      <c r="A14326" t="s">
        <v>25</v>
      </c>
      <c r="B14326" t="s">
        <v>291</v>
      </c>
      <c r="C14326">
        <v>74</v>
      </c>
      <c r="D14326" t="s">
        <v>468</v>
      </c>
      <c r="E14326" t="s">
        <v>1213</v>
      </c>
      <c r="F14326" t="s">
        <v>140</v>
      </c>
      <c r="G14326" t="s">
        <v>498</v>
      </c>
      <c r="H14326" t="s">
        <v>483</v>
      </c>
      <c r="I14326" t="s">
        <v>169</v>
      </c>
      <c r="J14326" t="s">
        <v>103</v>
      </c>
      <c r="K14326" t="s">
        <v>105</v>
      </c>
      <c r="L14326" t="s">
        <v>103</v>
      </c>
    </row>
    <row r="14327" spans="1:12" x14ac:dyDescent="0.3">
      <c r="A14327" t="s">
        <v>25</v>
      </c>
      <c r="B14327" t="s">
        <v>292</v>
      </c>
      <c r="C14327">
        <v>117</v>
      </c>
      <c r="D14327" t="s">
        <v>591</v>
      </c>
      <c r="E14327" t="s">
        <v>32</v>
      </c>
      <c r="F14327" t="s">
        <v>270</v>
      </c>
      <c r="G14327" t="s">
        <v>1029</v>
      </c>
      <c r="H14327" t="s">
        <v>556</v>
      </c>
      <c r="I14327" t="s">
        <v>137</v>
      </c>
      <c r="J14327" t="s">
        <v>103</v>
      </c>
      <c r="K14327" t="s">
        <v>262</v>
      </c>
      <c r="L14327" t="s">
        <v>103</v>
      </c>
    </row>
    <row r="14328" spans="1:12" x14ac:dyDescent="0.3">
      <c r="A14328" t="s">
        <v>25</v>
      </c>
      <c r="B14328" t="s">
        <v>308</v>
      </c>
      <c r="C14328">
        <v>3</v>
      </c>
      <c r="D14328" t="s">
        <v>103</v>
      </c>
      <c r="E14328" t="s">
        <v>103</v>
      </c>
      <c r="F14328" t="s">
        <v>103</v>
      </c>
      <c r="G14328" t="s">
        <v>1206</v>
      </c>
      <c r="H14328" t="s">
        <v>103</v>
      </c>
      <c r="I14328" t="s">
        <v>103</v>
      </c>
      <c r="J14328" t="s">
        <v>103</v>
      </c>
      <c r="K14328" t="s">
        <v>1369</v>
      </c>
      <c r="L14328" t="s">
        <v>103</v>
      </c>
    </row>
    <row r="14329" spans="1:12" x14ac:dyDescent="0.3">
      <c r="A14329" t="s">
        <v>26</v>
      </c>
      <c r="B14329" t="s">
        <v>291</v>
      </c>
      <c r="C14329">
        <v>64</v>
      </c>
      <c r="D14329" t="s">
        <v>125</v>
      </c>
      <c r="E14329" t="s">
        <v>152</v>
      </c>
      <c r="F14329" t="s">
        <v>191</v>
      </c>
      <c r="G14329" t="s">
        <v>1240</v>
      </c>
      <c r="H14329" t="s">
        <v>112</v>
      </c>
      <c r="I14329" t="s">
        <v>478</v>
      </c>
      <c r="J14329" t="s">
        <v>103</v>
      </c>
      <c r="K14329" t="s">
        <v>103</v>
      </c>
      <c r="L14329" t="s">
        <v>103</v>
      </c>
    </row>
    <row r="14330" spans="1:12" x14ac:dyDescent="0.3">
      <c r="A14330" t="s">
        <v>26</v>
      </c>
      <c r="B14330" t="s">
        <v>292</v>
      </c>
      <c r="C14330">
        <v>133</v>
      </c>
      <c r="D14330" t="s">
        <v>186</v>
      </c>
      <c r="E14330" t="s">
        <v>110</v>
      </c>
      <c r="F14330" t="s">
        <v>169</v>
      </c>
      <c r="G14330" t="s">
        <v>406</v>
      </c>
      <c r="H14330" t="s">
        <v>481</v>
      </c>
      <c r="I14330" t="s">
        <v>52</v>
      </c>
      <c r="J14330" t="s">
        <v>103</v>
      </c>
      <c r="K14330" t="s">
        <v>103</v>
      </c>
      <c r="L14330" t="s">
        <v>103</v>
      </c>
    </row>
    <row r="14331" spans="1:12" x14ac:dyDescent="0.3">
      <c r="A14331" t="s">
        <v>29</v>
      </c>
      <c r="B14331" t="s">
        <v>291</v>
      </c>
      <c r="C14331">
        <v>100</v>
      </c>
      <c r="D14331" t="s">
        <v>103</v>
      </c>
      <c r="E14331" t="s">
        <v>242</v>
      </c>
      <c r="F14331" t="s">
        <v>232</v>
      </c>
      <c r="G14331" t="s">
        <v>796</v>
      </c>
      <c r="H14331" t="s">
        <v>167</v>
      </c>
      <c r="I14331" t="s">
        <v>266</v>
      </c>
      <c r="J14331" t="s">
        <v>66</v>
      </c>
      <c r="K14331" t="s">
        <v>452</v>
      </c>
      <c r="L14331" t="s">
        <v>103</v>
      </c>
    </row>
    <row r="14332" spans="1:12" x14ac:dyDescent="0.3">
      <c r="A14332" t="s">
        <v>29</v>
      </c>
      <c r="B14332" t="s">
        <v>292</v>
      </c>
      <c r="C14332">
        <v>140</v>
      </c>
      <c r="D14332" t="s">
        <v>139</v>
      </c>
      <c r="E14332" t="s">
        <v>649</v>
      </c>
      <c r="F14332" t="s">
        <v>284</v>
      </c>
      <c r="G14332" t="s">
        <v>1250</v>
      </c>
      <c r="H14332" t="s">
        <v>253</v>
      </c>
      <c r="I14332" t="s">
        <v>809</v>
      </c>
      <c r="J14332" t="s">
        <v>103</v>
      </c>
      <c r="K14332" t="s">
        <v>672</v>
      </c>
      <c r="L14332" t="s">
        <v>103</v>
      </c>
    </row>
    <row r="14333" spans="1:12" x14ac:dyDescent="0.3">
      <c r="A14333" t="s">
        <v>28</v>
      </c>
      <c r="B14333" t="s">
        <v>291</v>
      </c>
      <c r="C14333">
        <v>69</v>
      </c>
      <c r="D14333" t="s">
        <v>110</v>
      </c>
      <c r="E14333" t="s">
        <v>101</v>
      </c>
      <c r="F14333" t="s">
        <v>467</v>
      </c>
      <c r="G14333" t="s">
        <v>717</v>
      </c>
      <c r="H14333" t="s">
        <v>734</v>
      </c>
      <c r="I14333" t="s">
        <v>494</v>
      </c>
      <c r="J14333" t="s">
        <v>103</v>
      </c>
      <c r="K14333" t="s">
        <v>110</v>
      </c>
      <c r="L14333" t="s">
        <v>103</v>
      </c>
    </row>
    <row r="14334" spans="1:12" x14ac:dyDescent="0.3">
      <c r="A14334" t="s">
        <v>28</v>
      </c>
      <c r="B14334" t="s">
        <v>292</v>
      </c>
      <c r="C14334">
        <v>105</v>
      </c>
      <c r="D14334" t="s">
        <v>103</v>
      </c>
      <c r="E14334" t="s">
        <v>103</v>
      </c>
      <c r="F14334" t="s">
        <v>68</v>
      </c>
      <c r="G14334" t="s">
        <v>1001</v>
      </c>
      <c r="H14334" t="s">
        <v>515</v>
      </c>
      <c r="I14334" t="s">
        <v>493</v>
      </c>
      <c r="J14334" t="s">
        <v>103</v>
      </c>
      <c r="K14334" t="s">
        <v>103</v>
      </c>
      <c r="L14334" t="s">
        <v>103</v>
      </c>
    </row>
    <row r="14335" spans="1:12" x14ac:dyDescent="0.3">
      <c r="A14335" t="s">
        <v>28</v>
      </c>
      <c r="B14335" t="s">
        <v>308</v>
      </c>
      <c r="C14335">
        <v>4</v>
      </c>
      <c r="D14335" t="s">
        <v>103</v>
      </c>
      <c r="E14335" t="s">
        <v>103</v>
      </c>
      <c r="F14335" t="s">
        <v>103</v>
      </c>
      <c r="G14335" t="s">
        <v>817</v>
      </c>
      <c r="H14335" t="s">
        <v>643</v>
      </c>
      <c r="I14335" t="s">
        <v>103</v>
      </c>
      <c r="J14335" t="s">
        <v>103</v>
      </c>
      <c r="K14335" t="s">
        <v>103</v>
      </c>
      <c r="L14335" t="s">
        <v>103</v>
      </c>
    </row>
    <row r="14336" spans="1:12" x14ac:dyDescent="0.3">
      <c r="A14336" t="s">
        <v>27</v>
      </c>
      <c r="B14336" t="s">
        <v>291</v>
      </c>
      <c r="C14336">
        <v>64</v>
      </c>
      <c r="D14336" t="s">
        <v>103</v>
      </c>
      <c r="E14336" t="s">
        <v>157</v>
      </c>
      <c r="F14336" t="s">
        <v>270</v>
      </c>
      <c r="G14336" t="s">
        <v>1071</v>
      </c>
      <c r="H14336" t="s">
        <v>271</v>
      </c>
      <c r="I14336" t="s">
        <v>175</v>
      </c>
      <c r="J14336" t="s">
        <v>103</v>
      </c>
      <c r="K14336" t="s">
        <v>494</v>
      </c>
      <c r="L14336" t="s">
        <v>103</v>
      </c>
    </row>
    <row r="14337" spans="1:12" x14ac:dyDescent="0.3">
      <c r="A14337" t="s">
        <v>27</v>
      </c>
      <c r="B14337" t="s">
        <v>292</v>
      </c>
      <c r="C14337">
        <v>98</v>
      </c>
      <c r="D14337" t="s">
        <v>103</v>
      </c>
      <c r="E14337" t="s">
        <v>128</v>
      </c>
      <c r="F14337" t="s">
        <v>493</v>
      </c>
      <c r="G14337" t="s">
        <v>1241</v>
      </c>
      <c r="H14337" t="s">
        <v>483</v>
      </c>
      <c r="I14337" t="s">
        <v>254</v>
      </c>
      <c r="J14337" t="s">
        <v>103</v>
      </c>
      <c r="K14337" t="s">
        <v>244</v>
      </c>
      <c r="L14337" t="s">
        <v>103</v>
      </c>
    </row>
    <row r="14338" spans="1:12" x14ac:dyDescent="0.3">
      <c r="A14338" t="s">
        <v>27</v>
      </c>
      <c r="B14338" t="s">
        <v>308</v>
      </c>
      <c r="C14338">
        <v>4</v>
      </c>
      <c r="D14338" t="s">
        <v>103</v>
      </c>
      <c r="E14338" t="s">
        <v>103</v>
      </c>
      <c r="F14338" t="s">
        <v>103</v>
      </c>
      <c r="G14338" t="s">
        <v>741</v>
      </c>
      <c r="H14338" t="s">
        <v>582</v>
      </c>
      <c r="I14338" t="s">
        <v>103</v>
      </c>
      <c r="J14338" t="s">
        <v>103</v>
      </c>
      <c r="K14338" t="s">
        <v>103</v>
      </c>
      <c r="L14338" t="s">
        <v>103</v>
      </c>
    </row>
    <row r="14339" spans="1:12" x14ac:dyDescent="0.3">
      <c r="A14339" t="s">
        <v>41</v>
      </c>
      <c r="B14339" t="s">
        <v>291</v>
      </c>
      <c r="C14339">
        <v>371</v>
      </c>
      <c r="D14339" t="s">
        <v>282</v>
      </c>
      <c r="E14339" t="s">
        <v>809</v>
      </c>
      <c r="F14339" t="s">
        <v>94</v>
      </c>
      <c r="G14339" t="s">
        <v>395</v>
      </c>
      <c r="H14339" t="s">
        <v>813</v>
      </c>
      <c r="I14339" t="s">
        <v>254</v>
      </c>
      <c r="J14339" t="s">
        <v>91</v>
      </c>
      <c r="K14339" t="s">
        <v>493</v>
      </c>
      <c r="L14339" t="s">
        <v>103</v>
      </c>
    </row>
    <row r="14340" spans="1:12" x14ac:dyDescent="0.3">
      <c r="A14340" t="s">
        <v>41</v>
      </c>
      <c r="B14340" t="s">
        <v>292</v>
      </c>
      <c r="C14340">
        <v>593</v>
      </c>
      <c r="D14340" t="s">
        <v>128</v>
      </c>
      <c r="E14340" t="s">
        <v>112</v>
      </c>
      <c r="F14340" t="s">
        <v>206</v>
      </c>
      <c r="G14340" t="s">
        <v>231</v>
      </c>
      <c r="H14340" t="s">
        <v>228</v>
      </c>
      <c r="I14340" t="s">
        <v>106</v>
      </c>
      <c r="J14340" t="s">
        <v>103</v>
      </c>
      <c r="K14340" t="s">
        <v>123</v>
      </c>
      <c r="L14340" t="s">
        <v>103</v>
      </c>
    </row>
    <row r="14341" spans="1:12" x14ac:dyDescent="0.3">
      <c r="A14341" t="s">
        <v>41</v>
      </c>
      <c r="B14341" t="s">
        <v>308</v>
      </c>
      <c r="C14341">
        <v>11</v>
      </c>
      <c r="D14341" t="s">
        <v>103</v>
      </c>
      <c r="E14341" t="s">
        <v>103</v>
      </c>
      <c r="F14341" t="s">
        <v>103</v>
      </c>
      <c r="G14341" t="s">
        <v>1066</v>
      </c>
      <c r="H14341" t="s">
        <v>171</v>
      </c>
      <c r="I14341" t="s">
        <v>103</v>
      </c>
      <c r="J14341" t="s">
        <v>103</v>
      </c>
      <c r="K14341" t="s">
        <v>1576</v>
      </c>
      <c r="L14341" t="s">
        <v>103</v>
      </c>
    </row>
    <row r="14343" spans="1:12" x14ac:dyDescent="0.3">
      <c r="A14343" t="s">
        <v>2990</v>
      </c>
    </row>
    <row r="14344" spans="1:12" x14ac:dyDescent="0.3">
      <c r="A14344" t="s">
        <v>36</v>
      </c>
      <c r="B14344" t="s">
        <v>763</v>
      </c>
      <c r="C14344" t="s">
        <v>24</v>
      </c>
      <c r="D14344" t="s">
        <v>2981</v>
      </c>
      <c r="E14344" t="s">
        <v>2982</v>
      </c>
      <c r="F14344" t="s">
        <v>2983</v>
      </c>
      <c r="G14344" t="s">
        <v>2984</v>
      </c>
      <c r="H14344" t="s">
        <v>2985</v>
      </c>
      <c r="I14344" t="s">
        <v>2986</v>
      </c>
      <c r="J14344" t="s">
        <v>2987</v>
      </c>
      <c r="K14344" t="s">
        <v>2988</v>
      </c>
      <c r="L14344" t="s">
        <v>183</v>
      </c>
    </row>
    <row r="14345" spans="1:12" s="3" customFormat="1" x14ac:dyDescent="0.3">
      <c r="A14345" s="3" t="s">
        <v>25</v>
      </c>
      <c r="B14345" s="3" t="s">
        <v>764</v>
      </c>
      <c r="C14345" s="3">
        <v>19</v>
      </c>
      <c r="D14345" s="3" t="s">
        <v>103</v>
      </c>
      <c r="E14345" s="3" t="s">
        <v>103</v>
      </c>
      <c r="F14345" s="3" t="s">
        <v>254</v>
      </c>
      <c r="G14345" s="3" t="s">
        <v>403</v>
      </c>
      <c r="H14345" s="3" t="s">
        <v>150</v>
      </c>
      <c r="I14345" s="3" t="s">
        <v>532</v>
      </c>
      <c r="J14345" s="3" t="s">
        <v>103</v>
      </c>
      <c r="K14345" s="3" t="s">
        <v>117</v>
      </c>
      <c r="L14345" s="3" t="s">
        <v>103</v>
      </c>
    </row>
    <row r="14346" spans="1:12" x14ac:dyDescent="0.3">
      <c r="A14346" t="s">
        <v>25</v>
      </c>
      <c r="B14346" t="s">
        <v>765</v>
      </c>
      <c r="C14346">
        <v>136</v>
      </c>
      <c r="D14346" t="s">
        <v>102</v>
      </c>
      <c r="E14346" t="s">
        <v>479</v>
      </c>
      <c r="F14346" t="s">
        <v>467</v>
      </c>
      <c r="G14346" t="s">
        <v>384</v>
      </c>
      <c r="H14346" t="s">
        <v>580</v>
      </c>
      <c r="I14346" t="s">
        <v>629</v>
      </c>
      <c r="J14346" t="s">
        <v>103</v>
      </c>
      <c r="K14346" t="s">
        <v>278</v>
      </c>
      <c r="L14346" t="s">
        <v>103</v>
      </c>
    </row>
    <row r="14347" spans="1:12" x14ac:dyDescent="0.3">
      <c r="A14347" t="s">
        <v>25</v>
      </c>
      <c r="B14347" t="s">
        <v>767</v>
      </c>
      <c r="C14347">
        <v>39</v>
      </c>
      <c r="D14347" t="s">
        <v>93</v>
      </c>
      <c r="E14347" t="s">
        <v>103</v>
      </c>
      <c r="F14347" t="s">
        <v>284</v>
      </c>
      <c r="G14347" t="s">
        <v>427</v>
      </c>
      <c r="H14347" t="s">
        <v>490</v>
      </c>
      <c r="I14347" t="s">
        <v>700</v>
      </c>
      <c r="J14347" t="s">
        <v>103</v>
      </c>
      <c r="K14347" t="s">
        <v>918</v>
      </c>
      <c r="L14347" t="s">
        <v>103</v>
      </c>
    </row>
    <row r="14348" spans="1:12" s="3" customFormat="1" x14ac:dyDescent="0.3">
      <c r="A14348" s="3" t="s">
        <v>26</v>
      </c>
      <c r="B14348" s="3" t="s">
        <v>764</v>
      </c>
      <c r="C14348" s="3">
        <v>24</v>
      </c>
      <c r="D14348" s="3" t="s">
        <v>103</v>
      </c>
      <c r="E14348" s="3" t="s">
        <v>125</v>
      </c>
      <c r="F14348" s="3" t="s">
        <v>242</v>
      </c>
      <c r="G14348" s="3" t="s">
        <v>830</v>
      </c>
      <c r="H14348" s="3" t="s">
        <v>253</v>
      </c>
      <c r="I14348" s="3" t="s">
        <v>175</v>
      </c>
      <c r="J14348" s="3" t="s">
        <v>103</v>
      </c>
      <c r="K14348" s="3" t="s">
        <v>103</v>
      </c>
      <c r="L14348" s="3" t="s">
        <v>103</v>
      </c>
    </row>
    <row r="14349" spans="1:12" x14ac:dyDescent="0.3">
      <c r="A14349" t="s">
        <v>26</v>
      </c>
      <c r="B14349" t="s">
        <v>765</v>
      </c>
      <c r="C14349">
        <v>129</v>
      </c>
      <c r="D14349" t="s">
        <v>70</v>
      </c>
      <c r="E14349" t="s">
        <v>558</v>
      </c>
      <c r="F14349" t="s">
        <v>224</v>
      </c>
      <c r="G14349" t="s">
        <v>1034</v>
      </c>
      <c r="H14349" t="s">
        <v>137</v>
      </c>
      <c r="I14349" t="s">
        <v>129</v>
      </c>
      <c r="J14349" t="s">
        <v>103</v>
      </c>
      <c r="K14349" t="s">
        <v>103</v>
      </c>
      <c r="L14349" t="s">
        <v>103</v>
      </c>
    </row>
    <row r="14350" spans="1:12" x14ac:dyDescent="0.3">
      <c r="A14350" t="s">
        <v>26</v>
      </c>
      <c r="B14350" t="s">
        <v>767</v>
      </c>
      <c r="C14350">
        <v>44</v>
      </c>
      <c r="D14350" t="s">
        <v>64</v>
      </c>
      <c r="E14350" t="s">
        <v>93</v>
      </c>
      <c r="F14350" t="s">
        <v>734</v>
      </c>
      <c r="G14350" t="s">
        <v>502</v>
      </c>
      <c r="H14350" t="s">
        <v>494</v>
      </c>
      <c r="I14350" t="s">
        <v>485</v>
      </c>
      <c r="J14350" t="s">
        <v>103</v>
      </c>
      <c r="K14350" t="s">
        <v>103</v>
      </c>
      <c r="L14350" t="s">
        <v>103</v>
      </c>
    </row>
    <row r="14351" spans="1:12" s="3" customFormat="1" x14ac:dyDescent="0.3">
      <c r="A14351" s="3" t="s">
        <v>29</v>
      </c>
      <c r="B14351" s="3" t="s">
        <v>764</v>
      </c>
      <c r="C14351" s="3">
        <v>7</v>
      </c>
      <c r="D14351" s="3" t="s">
        <v>103</v>
      </c>
      <c r="E14351" s="3" t="s">
        <v>103</v>
      </c>
      <c r="F14351" s="3" t="s">
        <v>532</v>
      </c>
      <c r="G14351" s="3" t="s">
        <v>1357</v>
      </c>
      <c r="H14351" s="3" t="s">
        <v>103</v>
      </c>
      <c r="I14351" s="3" t="s">
        <v>254</v>
      </c>
      <c r="J14351" s="3" t="s">
        <v>103</v>
      </c>
      <c r="K14351" s="3" t="s">
        <v>925</v>
      </c>
      <c r="L14351" s="3" t="s">
        <v>103</v>
      </c>
    </row>
    <row r="14352" spans="1:12" x14ac:dyDescent="0.3">
      <c r="A14352" t="s">
        <v>29</v>
      </c>
      <c r="B14352" t="s">
        <v>765</v>
      </c>
      <c r="C14352">
        <v>181</v>
      </c>
      <c r="D14352" t="s">
        <v>95</v>
      </c>
      <c r="E14352" t="s">
        <v>136</v>
      </c>
      <c r="F14352" t="s">
        <v>113</v>
      </c>
      <c r="G14352" t="s">
        <v>1059</v>
      </c>
      <c r="H14352" t="s">
        <v>331</v>
      </c>
      <c r="I14352" t="s">
        <v>146</v>
      </c>
      <c r="J14352" t="s">
        <v>91</v>
      </c>
      <c r="K14352" t="s">
        <v>459</v>
      </c>
      <c r="L14352" t="s">
        <v>103</v>
      </c>
    </row>
    <row r="14353" spans="1:12" x14ac:dyDescent="0.3">
      <c r="A14353" t="s">
        <v>29</v>
      </c>
      <c r="B14353" t="s">
        <v>767</v>
      </c>
      <c r="C14353">
        <v>52</v>
      </c>
      <c r="D14353" t="s">
        <v>103</v>
      </c>
      <c r="E14353" t="s">
        <v>591</v>
      </c>
      <c r="F14353" t="s">
        <v>601</v>
      </c>
      <c r="G14353" t="s">
        <v>385</v>
      </c>
      <c r="H14353" t="s">
        <v>481</v>
      </c>
      <c r="I14353" t="s">
        <v>133</v>
      </c>
      <c r="J14353" t="s">
        <v>103</v>
      </c>
      <c r="K14353" t="s">
        <v>234</v>
      </c>
      <c r="L14353" t="s">
        <v>103</v>
      </c>
    </row>
    <row r="14354" spans="1:12" s="3" customFormat="1" x14ac:dyDescent="0.3">
      <c r="A14354" s="3" t="s">
        <v>28</v>
      </c>
      <c r="B14354" s="3" t="s">
        <v>764</v>
      </c>
      <c r="C14354" s="3">
        <v>10</v>
      </c>
      <c r="D14354" s="3" t="s">
        <v>103</v>
      </c>
      <c r="E14354" s="3" t="s">
        <v>103</v>
      </c>
      <c r="F14354" s="3" t="s">
        <v>732</v>
      </c>
      <c r="G14354" s="3" t="s">
        <v>835</v>
      </c>
      <c r="H14354" s="3" t="s">
        <v>247</v>
      </c>
      <c r="I14354" s="3" t="s">
        <v>575</v>
      </c>
      <c r="J14354" s="3" t="s">
        <v>103</v>
      </c>
      <c r="K14354" s="3" t="s">
        <v>103</v>
      </c>
      <c r="L14354" s="3" t="s">
        <v>103</v>
      </c>
    </row>
    <row r="14355" spans="1:12" x14ac:dyDescent="0.3">
      <c r="A14355" t="s">
        <v>28</v>
      </c>
      <c r="B14355" t="s">
        <v>765</v>
      </c>
      <c r="C14355">
        <v>150</v>
      </c>
      <c r="D14355" t="s">
        <v>95</v>
      </c>
      <c r="E14355" t="s">
        <v>102</v>
      </c>
      <c r="F14355" t="s">
        <v>257</v>
      </c>
      <c r="G14355" t="s">
        <v>1680</v>
      </c>
      <c r="H14355" t="s">
        <v>275</v>
      </c>
      <c r="I14355" t="s">
        <v>278</v>
      </c>
      <c r="J14355" t="s">
        <v>103</v>
      </c>
      <c r="K14355" t="s">
        <v>103</v>
      </c>
      <c r="L14355" t="s">
        <v>103</v>
      </c>
    </row>
    <row r="14356" spans="1:12" s="3" customFormat="1" x14ac:dyDescent="0.3">
      <c r="A14356" s="3" t="s">
        <v>28</v>
      </c>
      <c r="B14356" s="3" t="s">
        <v>767</v>
      </c>
      <c r="C14356" s="3">
        <v>18</v>
      </c>
      <c r="D14356" s="3" t="s">
        <v>103</v>
      </c>
      <c r="E14356" s="3" t="s">
        <v>103</v>
      </c>
      <c r="F14356" s="3" t="s">
        <v>103</v>
      </c>
      <c r="G14356" s="3" t="s">
        <v>948</v>
      </c>
      <c r="H14356" s="3" t="s">
        <v>561</v>
      </c>
      <c r="I14356" s="3" t="s">
        <v>278</v>
      </c>
      <c r="J14356" s="3" t="s">
        <v>103</v>
      </c>
      <c r="K14356" s="3" t="s">
        <v>126</v>
      </c>
      <c r="L14356" s="3" t="s">
        <v>103</v>
      </c>
    </row>
    <row r="14357" spans="1:12" s="3" customFormat="1" x14ac:dyDescent="0.3">
      <c r="A14357" s="3" t="s">
        <v>27</v>
      </c>
      <c r="B14357" s="3" t="s">
        <v>764</v>
      </c>
      <c r="C14357" s="3">
        <v>17</v>
      </c>
      <c r="D14357" s="3" t="s">
        <v>103</v>
      </c>
      <c r="E14357" s="3" t="s">
        <v>103</v>
      </c>
      <c r="F14357" s="3" t="s">
        <v>103</v>
      </c>
      <c r="G14357" s="3" t="s">
        <v>2103</v>
      </c>
      <c r="H14357" s="3" t="s">
        <v>382</v>
      </c>
      <c r="I14357" s="3" t="s">
        <v>103</v>
      </c>
      <c r="J14357" s="3" t="s">
        <v>103</v>
      </c>
      <c r="K14357" s="3" t="s">
        <v>133</v>
      </c>
      <c r="L14357" s="3" t="s">
        <v>103</v>
      </c>
    </row>
    <row r="14358" spans="1:12" x14ac:dyDescent="0.3">
      <c r="A14358" t="s">
        <v>27</v>
      </c>
      <c r="B14358" t="s">
        <v>765</v>
      </c>
      <c r="C14358">
        <v>121</v>
      </c>
      <c r="D14358" t="s">
        <v>103</v>
      </c>
      <c r="E14358" t="s">
        <v>242</v>
      </c>
      <c r="F14358" t="s">
        <v>257</v>
      </c>
      <c r="G14358" t="s">
        <v>258</v>
      </c>
      <c r="H14358" t="s">
        <v>578</v>
      </c>
      <c r="I14358" t="s">
        <v>517</v>
      </c>
      <c r="J14358" t="s">
        <v>103</v>
      </c>
      <c r="K14358" t="s">
        <v>90</v>
      </c>
      <c r="L14358" t="s">
        <v>103</v>
      </c>
    </row>
    <row r="14359" spans="1:12" s="3" customFormat="1" x14ac:dyDescent="0.3">
      <c r="A14359" s="3" t="s">
        <v>27</v>
      </c>
      <c r="B14359" s="3" t="s">
        <v>767</v>
      </c>
      <c r="C14359" s="3">
        <v>28</v>
      </c>
      <c r="D14359" s="3" t="s">
        <v>103</v>
      </c>
      <c r="E14359" s="3" t="s">
        <v>103</v>
      </c>
      <c r="F14359" s="3" t="s">
        <v>571</v>
      </c>
      <c r="G14359" s="3" t="s">
        <v>802</v>
      </c>
      <c r="H14359" s="3" t="s">
        <v>107</v>
      </c>
      <c r="I14359" s="3" t="s">
        <v>164</v>
      </c>
      <c r="J14359" s="3" t="s">
        <v>103</v>
      </c>
      <c r="K14359" s="3" t="s">
        <v>471</v>
      </c>
      <c r="L14359" s="3" t="s">
        <v>103</v>
      </c>
    </row>
    <row r="14360" spans="1:12" x14ac:dyDescent="0.3">
      <c r="A14360" t="s">
        <v>41</v>
      </c>
      <c r="B14360" t="s">
        <v>764</v>
      </c>
      <c r="C14360">
        <v>77</v>
      </c>
      <c r="D14360" t="s">
        <v>103</v>
      </c>
      <c r="E14360" t="s">
        <v>216</v>
      </c>
      <c r="F14360" t="s">
        <v>494</v>
      </c>
      <c r="G14360" t="s">
        <v>1438</v>
      </c>
      <c r="H14360" t="s">
        <v>162</v>
      </c>
      <c r="I14360" t="s">
        <v>254</v>
      </c>
      <c r="J14360" t="s">
        <v>103</v>
      </c>
      <c r="K14360" t="s">
        <v>232</v>
      </c>
      <c r="L14360" t="s">
        <v>103</v>
      </c>
    </row>
    <row r="14361" spans="1:12" x14ac:dyDescent="0.3">
      <c r="A14361" t="s">
        <v>41</v>
      </c>
      <c r="B14361" t="s">
        <v>765</v>
      </c>
      <c r="C14361">
        <v>717</v>
      </c>
      <c r="D14361" t="s">
        <v>93</v>
      </c>
      <c r="E14361" t="s">
        <v>517</v>
      </c>
      <c r="F14361" t="s">
        <v>214</v>
      </c>
      <c r="G14361" t="s">
        <v>782</v>
      </c>
      <c r="H14361" t="s">
        <v>687</v>
      </c>
      <c r="I14361" t="s">
        <v>92</v>
      </c>
      <c r="J14361" t="s">
        <v>103</v>
      </c>
      <c r="K14361" t="s">
        <v>452</v>
      </c>
      <c r="L14361" t="s">
        <v>103</v>
      </c>
    </row>
    <row r="14362" spans="1:12" x14ac:dyDescent="0.3">
      <c r="A14362" t="s">
        <v>41</v>
      </c>
      <c r="B14362" t="s">
        <v>767</v>
      </c>
      <c r="C14362">
        <v>181</v>
      </c>
      <c r="D14362" t="s">
        <v>468</v>
      </c>
      <c r="E14362" t="s">
        <v>257</v>
      </c>
      <c r="F14362" t="s">
        <v>135</v>
      </c>
      <c r="G14362" t="s">
        <v>1546</v>
      </c>
      <c r="H14362" t="s">
        <v>470</v>
      </c>
      <c r="I14362" t="s">
        <v>543</v>
      </c>
      <c r="J14362" t="s">
        <v>103</v>
      </c>
      <c r="K14362" t="s">
        <v>521</v>
      </c>
      <c r="L14362" t="s">
        <v>103</v>
      </c>
    </row>
    <row r="14364" spans="1:12" x14ac:dyDescent="0.3">
      <c r="A14364" t="s">
        <v>2991</v>
      </c>
    </row>
    <row r="14365" spans="1:12" x14ac:dyDescent="0.3">
      <c r="A14365" t="s">
        <v>36</v>
      </c>
      <c r="B14365" t="s">
        <v>1647</v>
      </c>
      <c r="C14365" t="s">
        <v>24</v>
      </c>
      <c r="D14365" t="s">
        <v>2981</v>
      </c>
      <c r="E14365" t="s">
        <v>2982</v>
      </c>
      <c r="F14365" t="s">
        <v>2983</v>
      </c>
      <c r="G14365" t="s">
        <v>2984</v>
      </c>
      <c r="H14365" t="s">
        <v>2985</v>
      </c>
      <c r="I14365" t="s">
        <v>2986</v>
      </c>
      <c r="J14365" t="s">
        <v>2987</v>
      </c>
      <c r="K14365" t="s">
        <v>2988</v>
      </c>
      <c r="L14365" t="s">
        <v>183</v>
      </c>
    </row>
    <row r="14366" spans="1:12" x14ac:dyDescent="0.3">
      <c r="A14366" t="s">
        <v>25</v>
      </c>
      <c r="B14366" t="s">
        <v>1648</v>
      </c>
      <c r="C14366">
        <v>53</v>
      </c>
      <c r="D14366" t="s">
        <v>113</v>
      </c>
      <c r="E14366" t="s">
        <v>615</v>
      </c>
      <c r="F14366" t="s">
        <v>169</v>
      </c>
      <c r="G14366" t="s">
        <v>501</v>
      </c>
      <c r="H14366" t="s">
        <v>679</v>
      </c>
      <c r="I14366" t="s">
        <v>228</v>
      </c>
      <c r="J14366" t="s">
        <v>103</v>
      </c>
      <c r="K14366" t="s">
        <v>117</v>
      </c>
      <c r="L14366" t="s">
        <v>103</v>
      </c>
    </row>
    <row r="14367" spans="1:12" x14ac:dyDescent="0.3">
      <c r="A14367" t="s">
        <v>25</v>
      </c>
      <c r="B14367" t="s">
        <v>1649</v>
      </c>
      <c r="C14367">
        <v>141</v>
      </c>
      <c r="D14367" t="s">
        <v>128</v>
      </c>
      <c r="E14367" t="s">
        <v>228</v>
      </c>
      <c r="F14367" t="s">
        <v>216</v>
      </c>
      <c r="G14367" t="s">
        <v>374</v>
      </c>
      <c r="H14367" t="s">
        <v>48</v>
      </c>
      <c r="I14367" t="s">
        <v>531</v>
      </c>
      <c r="J14367" t="s">
        <v>103</v>
      </c>
      <c r="K14367" t="s">
        <v>662</v>
      </c>
      <c r="L14367" t="s">
        <v>103</v>
      </c>
    </row>
    <row r="14368" spans="1:12" x14ac:dyDescent="0.3">
      <c r="A14368" t="s">
        <v>26</v>
      </c>
      <c r="B14368" t="s">
        <v>1648</v>
      </c>
      <c r="C14368">
        <v>35</v>
      </c>
      <c r="D14368" t="s">
        <v>195</v>
      </c>
      <c r="E14368" t="s">
        <v>103</v>
      </c>
      <c r="F14368" t="s">
        <v>471</v>
      </c>
      <c r="G14368" t="s">
        <v>423</v>
      </c>
      <c r="H14368" t="s">
        <v>111</v>
      </c>
      <c r="I14368" t="s">
        <v>514</v>
      </c>
      <c r="J14368" t="s">
        <v>103</v>
      </c>
      <c r="K14368" t="s">
        <v>103</v>
      </c>
      <c r="L14368" t="s">
        <v>103</v>
      </c>
    </row>
    <row r="14369" spans="1:12" x14ac:dyDescent="0.3">
      <c r="A14369" t="s">
        <v>26</v>
      </c>
      <c r="B14369" t="s">
        <v>1649</v>
      </c>
      <c r="C14369">
        <v>162</v>
      </c>
      <c r="D14369" t="s">
        <v>107</v>
      </c>
      <c r="E14369" t="s">
        <v>206</v>
      </c>
      <c r="F14369" t="s">
        <v>108</v>
      </c>
      <c r="G14369" t="s">
        <v>826</v>
      </c>
      <c r="H14369" t="s">
        <v>629</v>
      </c>
      <c r="I14369" t="s">
        <v>1082</v>
      </c>
      <c r="J14369" t="s">
        <v>103</v>
      </c>
      <c r="K14369" t="s">
        <v>103</v>
      </c>
      <c r="L14369" t="s">
        <v>103</v>
      </c>
    </row>
    <row r="14370" spans="1:12" x14ac:dyDescent="0.3">
      <c r="A14370" t="s">
        <v>29</v>
      </c>
      <c r="B14370" t="s">
        <v>1648</v>
      </c>
      <c r="C14370">
        <v>89</v>
      </c>
      <c r="D14370" t="s">
        <v>110</v>
      </c>
      <c r="E14370" t="s">
        <v>629</v>
      </c>
      <c r="F14370" t="s">
        <v>169</v>
      </c>
      <c r="G14370" t="s">
        <v>442</v>
      </c>
      <c r="H14370" t="s">
        <v>264</v>
      </c>
      <c r="I14370" t="s">
        <v>232</v>
      </c>
      <c r="J14370" t="s">
        <v>103</v>
      </c>
      <c r="K14370" t="s">
        <v>550</v>
      </c>
      <c r="L14370" t="s">
        <v>103</v>
      </c>
    </row>
    <row r="14371" spans="1:12" x14ac:dyDescent="0.3">
      <c r="A14371" t="s">
        <v>29</v>
      </c>
      <c r="B14371" t="s">
        <v>1649</v>
      </c>
      <c r="C14371">
        <v>151</v>
      </c>
      <c r="D14371" t="s">
        <v>103</v>
      </c>
      <c r="E14371" t="s">
        <v>254</v>
      </c>
      <c r="F14371" t="s">
        <v>118</v>
      </c>
      <c r="G14371" t="s">
        <v>1230</v>
      </c>
      <c r="H14371" t="s">
        <v>144</v>
      </c>
      <c r="I14371" t="s">
        <v>123</v>
      </c>
      <c r="J14371" t="s">
        <v>91</v>
      </c>
      <c r="K14371" t="s">
        <v>167</v>
      </c>
      <c r="L14371" t="s">
        <v>103</v>
      </c>
    </row>
    <row r="14372" spans="1:12" x14ac:dyDescent="0.3">
      <c r="A14372" t="s">
        <v>28</v>
      </c>
      <c r="B14372" t="s">
        <v>1648</v>
      </c>
      <c r="C14372">
        <v>48</v>
      </c>
      <c r="D14372" t="s">
        <v>103</v>
      </c>
      <c r="E14372" t="s">
        <v>103</v>
      </c>
      <c r="F14372" t="s">
        <v>195</v>
      </c>
      <c r="G14372" t="s">
        <v>366</v>
      </c>
      <c r="H14372" t="s">
        <v>816</v>
      </c>
      <c r="I14372" t="s">
        <v>438</v>
      </c>
      <c r="J14372" t="s">
        <v>103</v>
      </c>
      <c r="K14372" t="s">
        <v>266</v>
      </c>
      <c r="L14372" t="s">
        <v>103</v>
      </c>
    </row>
    <row r="14373" spans="1:12" x14ac:dyDescent="0.3">
      <c r="A14373" t="s">
        <v>28</v>
      </c>
      <c r="B14373" t="s">
        <v>1649</v>
      </c>
      <c r="C14373">
        <v>130</v>
      </c>
      <c r="D14373" t="s">
        <v>139</v>
      </c>
      <c r="E14373" t="s">
        <v>591</v>
      </c>
      <c r="F14373" t="s">
        <v>68</v>
      </c>
      <c r="G14373" t="s">
        <v>899</v>
      </c>
      <c r="H14373" t="s">
        <v>517</v>
      </c>
      <c r="I14373" t="s">
        <v>232</v>
      </c>
      <c r="J14373" t="s">
        <v>103</v>
      </c>
      <c r="K14373" t="s">
        <v>103</v>
      </c>
      <c r="L14373" t="s">
        <v>103</v>
      </c>
    </row>
    <row r="14374" spans="1:12" x14ac:dyDescent="0.3">
      <c r="A14374" t="s">
        <v>27</v>
      </c>
      <c r="B14374" t="s">
        <v>1648</v>
      </c>
      <c r="C14374">
        <v>33</v>
      </c>
      <c r="D14374" t="s">
        <v>103</v>
      </c>
      <c r="E14374" t="s">
        <v>103</v>
      </c>
      <c r="F14374" t="s">
        <v>284</v>
      </c>
      <c r="G14374" t="s">
        <v>1637</v>
      </c>
      <c r="H14374" t="s">
        <v>582</v>
      </c>
      <c r="I14374" t="s">
        <v>331</v>
      </c>
      <c r="J14374" t="s">
        <v>103</v>
      </c>
      <c r="K14374" t="s">
        <v>526</v>
      </c>
      <c r="L14374" t="s">
        <v>103</v>
      </c>
    </row>
    <row r="14375" spans="1:12" x14ac:dyDescent="0.3">
      <c r="A14375" t="s">
        <v>27</v>
      </c>
      <c r="B14375" t="s">
        <v>1649</v>
      </c>
      <c r="C14375">
        <v>133</v>
      </c>
      <c r="D14375" t="s">
        <v>103</v>
      </c>
      <c r="E14375" t="s">
        <v>101</v>
      </c>
      <c r="F14375" t="s">
        <v>270</v>
      </c>
      <c r="G14375" t="s">
        <v>378</v>
      </c>
      <c r="H14375" t="s">
        <v>175</v>
      </c>
      <c r="I14375" t="s">
        <v>205</v>
      </c>
      <c r="J14375" t="s">
        <v>103</v>
      </c>
      <c r="K14375" t="s">
        <v>460</v>
      </c>
      <c r="L14375" t="s">
        <v>103</v>
      </c>
    </row>
    <row r="14376" spans="1:12" x14ac:dyDescent="0.3">
      <c r="A14376" t="s">
        <v>41</v>
      </c>
      <c r="B14376" t="s">
        <v>1648</v>
      </c>
      <c r="C14376">
        <v>258</v>
      </c>
      <c r="D14376" t="s">
        <v>329</v>
      </c>
      <c r="E14376" t="s">
        <v>206</v>
      </c>
      <c r="F14376" t="s">
        <v>157</v>
      </c>
      <c r="G14376" t="s">
        <v>1425</v>
      </c>
      <c r="H14376" t="s">
        <v>547</v>
      </c>
      <c r="I14376" t="s">
        <v>123</v>
      </c>
      <c r="J14376" t="s">
        <v>103</v>
      </c>
      <c r="K14376" t="s">
        <v>244</v>
      </c>
      <c r="L14376" t="s">
        <v>103</v>
      </c>
    </row>
    <row r="14377" spans="1:12" x14ac:dyDescent="0.3">
      <c r="A14377" t="s">
        <v>41</v>
      </c>
      <c r="B14377" t="s">
        <v>1649</v>
      </c>
      <c r="C14377">
        <v>717</v>
      </c>
      <c r="D14377" t="s">
        <v>216</v>
      </c>
      <c r="E14377" t="s">
        <v>99</v>
      </c>
      <c r="F14377" t="s">
        <v>188</v>
      </c>
      <c r="G14377" t="s">
        <v>351</v>
      </c>
      <c r="H14377" t="s">
        <v>148</v>
      </c>
      <c r="I14377" t="s">
        <v>171</v>
      </c>
      <c r="J14377" t="s">
        <v>103</v>
      </c>
      <c r="K14377" t="s">
        <v>511</v>
      </c>
      <c r="L14377" t="s">
        <v>103</v>
      </c>
    </row>
    <row r="14379" spans="1:12" x14ac:dyDescent="0.3">
      <c r="A14379" t="s">
        <v>2992</v>
      </c>
    </row>
    <row r="14380" spans="1:12" x14ac:dyDescent="0.3">
      <c r="A14380" t="s">
        <v>36</v>
      </c>
      <c r="B14380" t="s">
        <v>2756</v>
      </c>
      <c r="C14380" t="s">
        <v>24</v>
      </c>
      <c r="D14380" t="s">
        <v>2981</v>
      </c>
      <c r="E14380" t="s">
        <v>2982</v>
      </c>
      <c r="F14380" t="s">
        <v>2983</v>
      </c>
      <c r="G14380" t="s">
        <v>2984</v>
      </c>
      <c r="H14380" t="s">
        <v>2985</v>
      </c>
      <c r="I14380" t="s">
        <v>2986</v>
      </c>
      <c r="J14380" t="s">
        <v>2987</v>
      </c>
      <c r="K14380" t="s">
        <v>2988</v>
      </c>
      <c r="L14380" t="s">
        <v>183</v>
      </c>
    </row>
    <row r="14381" spans="1:12" s="3" customFormat="1" x14ac:dyDescent="0.3">
      <c r="A14381" s="3" t="s">
        <v>25</v>
      </c>
      <c r="B14381" s="3" t="s">
        <v>2757</v>
      </c>
      <c r="C14381" s="3">
        <v>7</v>
      </c>
      <c r="D14381" s="3" t="s">
        <v>103</v>
      </c>
      <c r="E14381" s="3" t="s">
        <v>103</v>
      </c>
      <c r="F14381" s="3" t="s">
        <v>103</v>
      </c>
      <c r="G14381" s="3" t="s">
        <v>143</v>
      </c>
      <c r="H14381" s="3" t="s">
        <v>103</v>
      </c>
      <c r="I14381" s="3" t="s">
        <v>103</v>
      </c>
      <c r="J14381" s="3" t="s">
        <v>103</v>
      </c>
      <c r="K14381" s="3" t="s">
        <v>142</v>
      </c>
      <c r="L14381" s="3" t="s">
        <v>103</v>
      </c>
    </row>
    <row r="14382" spans="1:12" x14ac:dyDescent="0.3">
      <c r="A14382" t="s">
        <v>25</v>
      </c>
      <c r="B14382" t="s">
        <v>2758</v>
      </c>
      <c r="C14382">
        <v>58</v>
      </c>
      <c r="D14382" t="s">
        <v>266</v>
      </c>
      <c r="E14382" t="s">
        <v>662</v>
      </c>
      <c r="F14382" t="s">
        <v>104</v>
      </c>
      <c r="G14382" t="s">
        <v>1215</v>
      </c>
      <c r="H14382" t="s">
        <v>1084</v>
      </c>
      <c r="I14382" t="s">
        <v>160</v>
      </c>
      <c r="J14382" t="s">
        <v>103</v>
      </c>
      <c r="K14382" t="s">
        <v>438</v>
      </c>
      <c r="L14382" t="s">
        <v>103</v>
      </c>
    </row>
    <row r="14383" spans="1:12" x14ac:dyDescent="0.3">
      <c r="A14383" t="s">
        <v>25</v>
      </c>
      <c r="B14383" t="s">
        <v>2759</v>
      </c>
      <c r="C14383">
        <v>66</v>
      </c>
      <c r="D14383" t="s">
        <v>33</v>
      </c>
      <c r="E14383" t="s">
        <v>115</v>
      </c>
      <c r="F14383" t="s">
        <v>120</v>
      </c>
      <c r="G14383" t="s">
        <v>675</v>
      </c>
      <c r="H14383" t="s">
        <v>56</v>
      </c>
      <c r="I14383" t="s">
        <v>531</v>
      </c>
      <c r="J14383" t="s">
        <v>103</v>
      </c>
      <c r="K14383" t="s">
        <v>140</v>
      </c>
      <c r="L14383" t="s">
        <v>103</v>
      </c>
    </row>
    <row r="14384" spans="1:12" x14ac:dyDescent="0.3">
      <c r="A14384" t="s">
        <v>25</v>
      </c>
      <c r="B14384" t="s">
        <v>2760</v>
      </c>
      <c r="C14384">
        <v>59</v>
      </c>
      <c r="D14384" t="s">
        <v>239</v>
      </c>
      <c r="E14384" t="s">
        <v>1143</v>
      </c>
      <c r="F14384" t="s">
        <v>93</v>
      </c>
      <c r="G14384" t="s">
        <v>1293</v>
      </c>
      <c r="H14384" t="s">
        <v>691</v>
      </c>
      <c r="I14384" t="s">
        <v>137</v>
      </c>
      <c r="J14384" t="s">
        <v>103</v>
      </c>
      <c r="K14384" t="s">
        <v>232</v>
      </c>
      <c r="L14384" t="s">
        <v>103</v>
      </c>
    </row>
    <row r="14385" spans="1:12" x14ac:dyDescent="0.3">
      <c r="A14385" t="s">
        <v>25</v>
      </c>
      <c r="B14385" t="s">
        <v>308</v>
      </c>
      <c r="C14385">
        <v>4</v>
      </c>
      <c r="D14385" t="s">
        <v>103</v>
      </c>
      <c r="E14385" t="s">
        <v>103</v>
      </c>
      <c r="F14385" t="s">
        <v>103</v>
      </c>
      <c r="G14385" t="s">
        <v>469</v>
      </c>
      <c r="H14385" t="s">
        <v>725</v>
      </c>
      <c r="I14385" t="s">
        <v>103</v>
      </c>
      <c r="J14385" t="s">
        <v>103</v>
      </c>
      <c r="K14385" t="s">
        <v>1546</v>
      </c>
      <c r="L14385" t="s">
        <v>103</v>
      </c>
    </row>
    <row r="14386" spans="1:12" s="3" customFormat="1" x14ac:dyDescent="0.3">
      <c r="A14386" s="3" t="s">
        <v>26</v>
      </c>
      <c r="B14386" s="3" t="s">
        <v>2757</v>
      </c>
      <c r="C14386" s="3">
        <v>2</v>
      </c>
      <c r="D14386" s="3" t="s">
        <v>103</v>
      </c>
      <c r="E14386" s="3" t="s">
        <v>103</v>
      </c>
      <c r="F14386" s="3" t="s">
        <v>103</v>
      </c>
      <c r="G14386" s="3" t="s">
        <v>103</v>
      </c>
      <c r="H14386" s="3" t="s">
        <v>1024</v>
      </c>
      <c r="I14386" s="3" t="s">
        <v>1556</v>
      </c>
      <c r="J14386" s="3" t="s">
        <v>103</v>
      </c>
      <c r="K14386" s="3" t="s">
        <v>103</v>
      </c>
      <c r="L14386" s="3" t="s">
        <v>103</v>
      </c>
    </row>
    <row r="14387" spans="1:12" x14ac:dyDescent="0.3">
      <c r="A14387" t="s">
        <v>26</v>
      </c>
      <c r="B14387" t="s">
        <v>2758</v>
      </c>
      <c r="C14387">
        <v>57</v>
      </c>
      <c r="D14387" t="s">
        <v>532</v>
      </c>
      <c r="E14387" t="s">
        <v>239</v>
      </c>
      <c r="F14387" t="s">
        <v>524</v>
      </c>
      <c r="G14387" t="s">
        <v>1241</v>
      </c>
      <c r="H14387" t="s">
        <v>99</v>
      </c>
      <c r="I14387" t="s">
        <v>819</v>
      </c>
      <c r="J14387" t="s">
        <v>103</v>
      </c>
      <c r="K14387" t="s">
        <v>103</v>
      </c>
      <c r="L14387" t="s">
        <v>103</v>
      </c>
    </row>
    <row r="14388" spans="1:12" x14ac:dyDescent="0.3">
      <c r="A14388" t="s">
        <v>26</v>
      </c>
      <c r="B14388" t="s">
        <v>2759</v>
      </c>
      <c r="C14388">
        <v>70</v>
      </c>
      <c r="D14388" t="s">
        <v>467</v>
      </c>
      <c r="E14388" t="s">
        <v>101</v>
      </c>
      <c r="F14388" t="s">
        <v>629</v>
      </c>
      <c r="G14388" t="s">
        <v>830</v>
      </c>
      <c r="H14388" t="s">
        <v>146</v>
      </c>
      <c r="I14388" t="s">
        <v>1219</v>
      </c>
      <c r="J14388" t="s">
        <v>103</v>
      </c>
      <c r="K14388" t="s">
        <v>103</v>
      </c>
      <c r="L14388" t="s">
        <v>103</v>
      </c>
    </row>
    <row r="14389" spans="1:12" x14ac:dyDescent="0.3">
      <c r="A14389" t="s">
        <v>26</v>
      </c>
      <c r="B14389" t="s">
        <v>2760</v>
      </c>
      <c r="C14389">
        <v>66</v>
      </c>
      <c r="D14389" t="s">
        <v>107</v>
      </c>
      <c r="E14389" t="s">
        <v>558</v>
      </c>
      <c r="F14389" t="s">
        <v>124</v>
      </c>
      <c r="G14389" t="s">
        <v>948</v>
      </c>
      <c r="H14389" t="s">
        <v>460</v>
      </c>
      <c r="I14389" t="s">
        <v>545</v>
      </c>
      <c r="J14389" t="s">
        <v>103</v>
      </c>
      <c r="K14389" t="s">
        <v>103</v>
      </c>
      <c r="L14389" t="s">
        <v>103</v>
      </c>
    </row>
    <row r="14390" spans="1:12" x14ac:dyDescent="0.3">
      <c r="A14390" t="s">
        <v>26</v>
      </c>
      <c r="B14390" t="s">
        <v>308</v>
      </c>
      <c r="C14390">
        <v>2</v>
      </c>
      <c r="D14390" t="s">
        <v>103</v>
      </c>
      <c r="E14390" t="s">
        <v>103</v>
      </c>
      <c r="F14390" t="s">
        <v>103</v>
      </c>
      <c r="G14390" t="s">
        <v>103</v>
      </c>
      <c r="H14390" t="s">
        <v>696</v>
      </c>
      <c r="I14390" t="s">
        <v>770</v>
      </c>
      <c r="J14390" t="s">
        <v>103</v>
      </c>
      <c r="K14390" t="s">
        <v>103</v>
      </c>
      <c r="L14390" t="s">
        <v>103</v>
      </c>
    </row>
    <row r="14391" spans="1:12" s="3" customFormat="1" x14ac:dyDescent="0.3">
      <c r="A14391" s="3" t="s">
        <v>29</v>
      </c>
      <c r="B14391" s="3" t="s">
        <v>2757</v>
      </c>
      <c r="C14391" s="3">
        <v>6</v>
      </c>
      <c r="D14391" s="3" t="s">
        <v>103</v>
      </c>
      <c r="E14391" s="3" t="s">
        <v>699</v>
      </c>
      <c r="F14391" s="3" t="s">
        <v>103</v>
      </c>
      <c r="G14391" s="3" t="s">
        <v>1002</v>
      </c>
      <c r="H14391" s="3" t="s">
        <v>459</v>
      </c>
      <c r="I14391" s="3" t="s">
        <v>459</v>
      </c>
      <c r="J14391" s="3" t="s">
        <v>103</v>
      </c>
      <c r="K14391" s="3" t="s">
        <v>459</v>
      </c>
      <c r="L14391" s="3" t="s">
        <v>103</v>
      </c>
    </row>
    <row r="14392" spans="1:12" x14ac:dyDescent="0.3">
      <c r="A14392" t="s">
        <v>29</v>
      </c>
      <c r="B14392" t="s">
        <v>2758</v>
      </c>
      <c r="C14392">
        <v>96</v>
      </c>
      <c r="D14392" t="s">
        <v>468</v>
      </c>
      <c r="E14392" t="s">
        <v>494</v>
      </c>
      <c r="F14392" t="s">
        <v>494</v>
      </c>
      <c r="G14392" t="s">
        <v>657</v>
      </c>
      <c r="H14392" t="s">
        <v>131</v>
      </c>
      <c r="I14392" t="s">
        <v>511</v>
      </c>
      <c r="J14392" t="s">
        <v>103</v>
      </c>
      <c r="K14392" t="s">
        <v>756</v>
      </c>
      <c r="L14392" t="s">
        <v>103</v>
      </c>
    </row>
    <row r="14393" spans="1:12" x14ac:dyDescent="0.3">
      <c r="A14393" t="s">
        <v>29</v>
      </c>
      <c r="B14393" t="s">
        <v>2759</v>
      </c>
      <c r="C14393">
        <v>76</v>
      </c>
      <c r="D14393" t="s">
        <v>103</v>
      </c>
      <c r="E14393" t="s">
        <v>70</v>
      </c>
      <c r="F14393" t="s">
        <v>591</v>
      </c>
      <c r="G14393" t="s">
        <v>351</v>
      </c>
      <c r="H14393" t="s">
        <v>750</v>
      </c>
      <c r="I14393" t="s">
        <v>549</v>
      </c>
      <c r="J14393" t="s">
        <v>103</v>
      </c>
      <c r="K14393" t="s">
        <v>171</v>
      </c>
      <c r="L14393" t="s">
        <v>103</v>
      </c>
    </row>
    <row r="14394" spans="1:12" x14ac:dyDescent="0.3">
      <c r="A14394" t="s">
        <v>29</v>
      </c>
      <c r="B14394" t="s">
        <v>2760</v>
      </c>
      <c r="C14394">
        <v>58</v>
      </c>
      <c r="D14394" t="s">
        <v>103</v>
      </c>
      <c r="E14394" t="s">
        <v>273</v>
      </c>
      <c r="F14394" t="s">
        <v>32</v>
      </c>
      <c r="G14394" t="s">
        <v>1220</v>
      </c>
      <c r="H14394" t="s">
        <v>1219</v>
      </c>
      <c r="I14394" t="s">
        <v>750</v>
      </c>
      <c r="J14394" t="s">
        <v>116</v>
      </c>
      <c r="K14394" t="s">
        <v>452</v>
      </c>
      <c r="L14394" t="s">
        <v>103</v>
      </c>
    </row>
    <row r="14395" spans="1:12" x14ac:dyDescent="0.3">
      <c r="A14395" t="s">
        <v>29</v>
      </c>
      <c r="B14395" t="s">
        <v>308</v>
      </c>
      <c r="C14395">
        <v>4</v>
      </c>
      <c r="D14395" t="s">
        <v>103</v>
      </c>
      <c r="E14395" t="s">
        <v>103</v>
      </c>
      <c r="F14395" t="s">
        <v>103</v>
      </c>
      <c r="G14395" t="s">
        <v>192</v>
      </c>
      <c r="H14395" t="s">
        <v>103</v>
      </c>
      <c r="I14395" t="s">
        <v>103</v>
      </c>
      <c r="J14395" t="s">
        <v>103</v>
      </c>
      <c r="K14395" t="s">
        <v>103</v>
      </c>
      <c r="L14395" t="s">
        <v>103</v>
      </c>
    </row>
    <row r="14396" spans="1:12" s="3" customFormat="1" x14ac:dyDescent="0.3">
      <c r="A14396" s="3" t="s">
        <v>28</v>
      </c>
      <c r="B14396" s="3" t="s">
        <v>2757</v>
      </c>
      <c r="C14396" s="3">
        <v>9</v>
      </c>
      <c r="D14396" s="3" t="s">
        <v>103</v>
      </c>
      <c r="E14396" s="3" t="s">
        <v>103</v>
      </c>
      <c r="F14396" s="3" t="s">
        <v>103</v>
      </c>
      <c r="G14396" s="3" t="s">
        <v>757</v>
      </c>
      <c r="H14396" s="3" t="s">
        <v>756</v>
      </c>
      <c r="I14396" s="3" t="s">
        <v>103</v>
      </c>
      <c r="J14396" s="3" t="s">
        <v>103</v>
      </c>
      <c r="K14396" s="3" t="s">
        <v>103</v>
      </c>
      <c r="L14396" s="3" t="s">
        <v>103</v>
      </c>
    </row>
    <row r="14397" spans="1:12" x14ac:dyDescent="0.3">
      <c r="A14397" t="s">
        <v>28</v>
      </c>
      <c r="B14397" t="s">
        <v>2758</v>
      </c>
      <c r="C14397">
        <v>60</v>
      </c>
      <c r="D14397" t="s">
        <v>103</v>
      </c>
      <c r="E14397" t="s">
        <v>103</v>
      </c>
      <c r="F14397" t="s">
        <v>272</v>
      </c>
      <c r="G14397" t="s">
        <v>235</v>
      </c>
      <c r="H14397" t="s">
        <v>138</v>
      </c>
      <c r="I14397" t="s">
        <v>266</v>
      </c>
      <c r="J14397" t="s">
        <v>103</v>
      </c>
      <c r="K14397" t="s">
        <v>103</v>
      </c>
      <c r="L14397" t="s">
        <v>103</v>
      </c>
    </row>
    <row r="14398" spans="1:12" x14ac:dyDescent="0.3">
      <c r="A14398" t="s">
        <v>28</v>
      </c>
      <c r="B14398" t="s">
        <v>2759</v>
      </c>
      <c r="C14398">
        <v>63</v>
      </c>
      <c r="D14398" t="s">
        <v>105</v>
      </c>
      <c r="E14398" t="s">
        <v>214</v>
      </c>
      <c r="F14398" t="s">
        <v>329</v>
      </c>
      <c r="G14398" t="s">
        <v>381</v>
      </c>
      <c r="H14398" t="s">
        <v>829</v>
      </c>
      <c r="I14398" t="s">
        <v>242</v>
      </c>
      <c r="J14398" t="s">
        <v>103</v>
      </c>
      <c r="K14398" t="s">
        <v>341</v>
      </c>
      <c r="L14398" t="s">
        <v>103</v>
      </c>
    </row>
    <row r="14399" spans="1:12" x14ac:dyDescent="0.3">
      <c r="A14399" t="s">
        <v>28</v>
      </c>
      <c r="B14399" t="s">
        <v>2760</v>
      </c>
      <c r="C14399">
        <v>46</v>
      </c>
      <c r="D14399" t="s">
        <v>103</v>
      </c>
      <c r="E14399" t="s">
        <v>214</v>
      </c>
      <c r="F14399" t="s">
        <v>532</v>
      </c>
      <c r="G14399" t="s">
        <v>613</v>
      </c>
      <c r="H14399" t="s">
        <v>103</v>
      </c>
      <c r="I14399" t="s">
        <v>112</v>
      </c>
      <c r="J14399" t="s">
        <v>103</v>
      </c>
      <c r="K14399" t="s">
        <v>103</v>
      </c>
      <c r="L14399" t="s">
        <v>103</v>
      </c>
    </row>
    <row r="14400" spans="1:12" s="3" customFormat="1" x14ac:dyDescent="0.3">
      <c r="A14400" s="3" t="s">
        <v>27</v>
      </c>
      <c r="B14400" s="3" t="s">
        <v>2757</v>
      </c>
      <c r="C14400" s="3">
        <v>1</v>
      </c>
      <c r="D14400" s="3" t="s">
        <v>103</v>
      </c>
      <c r="E14400" s="3" t="s">
        <v>103</v>
      </c>
      <c r="F14400" s="3" t="s">
        <v>103</v>
      </c>
      <c r="G14400" s="3" t="s">
        <v>103</v>
      </c>
      <c r="H14400" s="3" t="s">
        <v>192</v>
      </c>
      <c r="I14400" s="3" t="s">
        <v>103</v>
      </c>
      <c r="J14400" s="3" t="s">
        <v>103</v>
      </c>
      <c r="K14400" s="3" t="s">
        <v>103</v>
      </c>
      <c r="L14400" s="3" t="s">
        <v>103</v>
      </c>
    </row>
    <row r="14401" spans="1:12" x14ac:dyDescent="0.3">
      <c r="A14401" t="s">
        <v>27</v>
      </c>
      <c r="B14401" t="s">
        <v>2758</v>
      </c>
      <c r="C14401">
        <v>48</v>
      </c>
      <c r="D14401" t="s">
        <v>103</v>
      </c>
      <c r="E14401" t="s">
        <v>103</v>
      </c>
      <c r="F14401" t="s">
        <v>438</v>
      </c>
      <c r="G14401" t="s">
        <v>487</v>
      </c>
      <c r="H14401" t="s">
        <v>920</v>
      </c>
      <c r="I14401" t="s">
        <v>693</v>
      </c>
      <c r="J14401" t="s">
        <v>103</v>
      </c>
      <c r="K14401" t="s">
        <v>566</v>
      </c>
      <c r="L14401" t="s">
        <v>103</v>
      </c>
    </row>
    <row r="14402" spans="1:12" x14ac:dyDescent="0.3">
      <c r="A14402" t="s">
        <v>27</v>
      </c>
      <c r="B14402" t="s">
        <v>2759</v>
      </c>
      <c r="C14402">
        <v>38</v>
      </c>
      <c r="D14402" t="s">
        <v>103</v>
      </c>
      <c r="E14402" t="s">
        <v>66</v>
      </c>
      <c r="F14402" t="s">
        <v>216</v>
      </c>
      <c r="G14402" t="s">
        <v>1220</v>
      </c>
      <c r="H14402" t="s">
        <v>228</v>
      </c>
      <c r="I14402" t="s">
        <v>680</v>
      </c>
      <c r="J14402" t="s">
        <v>103</v>
      </c>
      <c r="K14402" t="s">
        <v>516</v>
      </c>
      <c r="L14402" t="s">
        <v>103</v>
      </c>
    </row>
    <row r="14403" spans="1:12" x14ac:dyDescent="0.3">
      <c r="A14403" t="s">
        <v>27</v>
      </c>
      <c r="B14403" t="s">
        <v>2760</v>
      </c>
      <c r="C14403">
        <v>77</v>
      </c>
      <c r="D14403" t="s">
        <v>103</v>
      </c>
      <c r="E14403" t="s">
        <v>175</v>
      </c>
      <c r="F14403" t="s">
        <v>532</v>
      </c>
      <c r="G14403" t="s">
        <v>1259</v>
      </c>
      <c r="H14403" t="s">
        <v>662</v>
      </c>
      <c r="I14403" t="s">
        <v>662</v>
      </c>
      <c r="J14403" t="s">
        <v>103</v>
      </c>
      <c r="K14403" t="s">
        <v>615</v>
      </c>
      <c r="L14403" t="s">
        <v>103</v>
      </c>
    </row>
    <row r="14404" spans="1:12" x14ac:dyDescent="0.3">
      <c r="A14404" t="s">
        <v>27</v>
      </c>
      <c r="B14404" t="s">
        <v>308</v>
      </c>
      <c r="C14404">
        <v>2</v>
      </c>
      <c r="D14404" t="s">
        <v>103</v>
      </c>
      <c r="E14404" t="s">
        <v>103</v>
      </c>
      <c r="F14404" t="s">
        <v>103</v>
      </c>
      <c r="G14404" t="s">
        <v>192</v>
      </c>
      <c r="H14404" t="s">
        <v>103</v>
      </c>
      <c r="I14404" t="s">
        <v>103</v>
      </c>
      <c r="J14404" t="s">
        <v>103</v>
      </c>
      <c r="K14404" t="s">
        <v>103</v>
      </c>
      <c r="L14404" t="s">
        <v>103</v>
      </c>
    </row>
    <row r="14405" spans="1:12" s="3" customFormat="1" x14ac:dyDescent="0.3">
      <c r="A14405" s="3" t="s">
        <v>41</v>
      </c>
      <c r="B14405" s="3" t="s">
        <v>2757</v>
      </c>
      <c r="C14405" s="3">
        <v>25</v>
      </c>
      <c r="D14405" s="3" t="s">
        <v>103</v>
      </c>
      <c r="E14405" s="3" t="s">
        <v>687</v>
      </c>
      <c r="F14405" s="3" t="s">
        <v>103</v>
      </c>
      <c r="G14405" s="3" t="s">
        <v>294</v>
      </c>
      <c r="H14405" s="3" t="s">
        <v>144</v>
      </c>
      <c r="I14405" s="3" t="s">
        <v>693</v>
      </c>
      <c r="J14405" s="3" t="s">
        <v>103</v>
      </c>
      <c r="K14405" s="3" t="s">
        <v>890</v>
      </c>
      <c r="L14405" s="3" t="s">
        <v>103</v>
      </c>
    </row>
    <row r="14406" spans="1:12" x14ac:dyDescent="0.3">
      <c r="A14406" t="s">
        <v>41</v>
      </c>
      <c r="B14406" t="s">
        <v>2758</v>
      </c>
      <c r="C14406">
        <v>319</v>
      </c>
      <c r="D14406" t="s">
        <v>329</v>
      </c>
      <c r="E14406" t="s">
        <v>284</v>
      </c>
      <c r="F14406" t="s">
        <v>629</v>
      </c>
      <c r="G14406" t="s">
        <v>1032</v>
      </c>
      <c r="H14406" t="s">
        <v>570</v>
      </c>
      <c r="I14406" t="s">
        <v>123</v>
      </c>
      <c r="J14406" t="s">
        <v>103</v>
      </c>
      <c r="K14406" t="s">
        <v>463</v>
      </c>
      <c r="L14406" t="s">
        <v>103</v>
      </c>
    </row>
    <row r="14407" spans="1:12" x14ac:dyDescent="0.3">
      <c r="A14407" t="s">
        <v>41</v>
      </c>
      <c r="B14407" t="s">
        <v>2759</v>
      </c>
      <c r="C14407">
        <v>313</v>
      </c>
      <c r="D14407" t="s">
        <v>208</v>
      </c>
      <c r="E14407" t="s">
        <v>60</v>
      </c>
      <c r="F14407" t="s">
        <v>113</v>
      </c>
      <c r="G14407" t="s">
        <v>1058</v>
      </c>
      <c r="H14407" t="s">
        <v>495</v>
      </c>
      <c r="I14407" t="s">
        <v>111</v>
      </c>
      <c r="J14407" t="s">
        <v>103</v>
      </c>
      <c r="K14407" t="s">
        <v>205</v>
      </c>
      <c r="L14407" t="s">
        <v>103</v>
      </c>
    </row>
    <row r="14408" spans="1:12" x14ac:dyDescent="0.3">
      <c r="A14408" t="s">
        <v>41</v>
      </c>
      <c r="B14408" t="s">
        <v>2760</v>
      </c>
      <c r="C14408">
        <v>306</v>
      </c>
      <c r="D14408" t="s">
        <v>110</v>
      </c>
      <c r="E14408" t="s">
        <v>524</v>
      </c>
      <c r="F14408" t="s">
        <v>32</v>
      </c>
      <c r="G14408" t="s">
        <v>389</v>
      </c>
      <c r="H14408" t="s">
        <v>275</v>
      </c>
      <c r="I14408" t="s">
        <v>473</v>
      </c>
      <c r="J14408" t="s">
        <v>91</v>
      </c>
      <c r="K14408" t="s">
        <v>114</v>
      </c>
      <c r="L14408" t="s">
        <v>103</v>
      </c>
    </row>
    <row r="14409" spans="1:12" x14ac:dyDescent="0.3">
      <c r="A14409" t="s">
        <v>41</v>
      </c>
      <c r="B14409" t="s">
        <v>308</v>
      </c>
      <c r="C14409">
        <v>12</v>
      </c>
      <c r="D14409" t="s">
        <v>103</v>
      </c>
      <c r="E14409" t="s">
        <v>103</v>
      </c>
      <c r="F14409" t="s">
        <v>103</v>
      </c>
      <c r="G14409" t="s">
        <v>1546</v>
      </c>
      <c r="H14409" t="s">
        <v>396</v>
      </c>
      <c r="I14409" t="s">
        <v>511</v>
      </c>
      <c r="J14409" t="s">
        <v>103</v>
      </c>
      <c r="K14409" t="s">
        <v>672</v>
      </c>
      <c r="L14409" t="s">
        <v>103</v>
      </c>
    </row>
    <row r="14411" spans="1:12" x14ac:dyDescent="0.3">
      <c r="A14411" t="s">
        <v>2993</v>
      </c>
    </row>
    <row r="14412" spans="1:12" x14ac:dyDescent="0.3">
      <c r="A14412" t="s">
        <v>36</v>
      </c>
      <c r="B14412" t="s">
        <v>310</v>
      </c>
      <c r="C14412" t="s">
        <v>24</v>
      </c>
      <c r="D14412" t="s">
        <v>2981</v>
      </c>
      <c r="E14412" t="s">
        <v>2982</v>
      </c>
      <c r="F14412" t="s">
        <v>2983</v>
      </c>
      <c r="G14412" t="s">
        <v>2984</v>
      </c>
      <c r="H14412" t="s">
        <v>2985</v>
      </c>
      <c r="I14412" t="s">
        <v>2986</v>
      </c>
      <c r="J14412" t="s">
        <v>2987</v>
      </c>
      <c r="K14412" t="s">
        <v>2988</v>
      </c>
      <c r="L14412" t="s">
        <v>183</v>
      </c>
    </row>
    <row r="14413" spans="1:12" x14ac:dyDescent="0.3">
      <c r="A14413" t="s">
        <v>25</v>
      </c>
      <c r="B14413" t="s">
        <v>311</v>
      </c>
      <c r="C14413">
        <v>142</v>
      </c>
      <c r="D14413" t="s">
        <v>114</v>
      </c>
      <c r="E14413" t="s">
        <v>743</v>
      </c>
      <c r="F14413" t="s">
        <v>438</v>
      </c>
      <c r="G14413" t="s">
        <v>527</v>
      </c>
      <c r="H14413" t="s">
        <v>557</v>
      </c>
      <c r="I14413" t="s">
        <v>135</v>
      </c>
      <c r="J14413" t="s">
        <v>103</v>
      </c>
      <c r="K14413" t="s">
        <v>32</v>
      </c>
      <c r="L14413" t="s">
        <v>103</v>
      </c>
    </row>
    <row r="14414" spans="1:12" x14ac:dyDescent="0.3">
      <c r="A14414" t="s">
        <v>25</v>
      </c>
      <c r="B14414" t="s">
        <v>312</v>
      </c>
      <c r="C14414">
        <v>46</v>
      </c>
      <c r="D14414" t="s">
        <v>103</v>
      </c>
      <c r="E14414" t="s">
        <v>680</v>
      </c>
      <c r="F14414" t="s">
        <v>108</v>
      </c>
      <c r="G14414" t="s">
        <v>1402</v>
      </c>
      <c r="H14414" t="s">
        <v>268</v>
      </c>
      <c r="I14414" t="s">
        <v>146</v>
      </c>
      <c r="J14414" t="s">
        <v>103</v>
      </c>
      <c r="K14414" t="s">
        <v>629</v>
      </c>
      <c r="L14414" t="s">
        <v>103</v>
      </c>
    </row>
    <row r="14415" spans="1:12" x14ac:dyDescent="0.3">
      <c r="A14415" t="s">
        <v>25</v>
      </c>
      <c r="B14415" t="s">
        <v>308</v>
      </c>
      <c r="C14415">
        <v>6</v>
      </c>
      <c r="D14415" t="s">
        <v>103</v>
      </c>
      <c r="E14415" t="s">
        <v>568</v>
      </c>
      <c r="F14415" t="s">
        <v>103</v>
      </c>
      <c r="G14415" t="s">
        <v>569</v>
      </c>
      <c r="H14415" t="s">
        <v>392</v>
      </c>
      <c r="I14415" t="s">
        <v>103</v>
      </c>
      <c r="J14415" t="s">
        <v>103</v>
      </c>
      <c r="K14415" t="s">
        <v>1211</v>
      </c>
      <c r="L14415" t="s">
        <v>103</v>
      </c>
    </row>
    <row r="14416" spans="1:12" x14ac:dyDescent="0.3">
      <c r="A14416" t="s">
        <v>26</v>
      </c>
      <c r="B14416" t="s">
        <v>311</v>
      </c>
      <c r="C14416">
        <v>144</v>
      </c>
      <c r="D14416" t="s">
        <v>68</v>
      </c>
      <c r="E14416" t="s">
        <v>214</v>
      </c>
      <c r="F14416" t="s">
        <v>169</v>
      </c>
      <c r="G14416" t="s">
        <v>1278</v>
      </c>
      <c r="H14416" t="s">
        <v>652</v>
      </c>
      <c r="I14416" t="s">
        <v>825</v>
      </c>
      <c r="J14416" t="s">
        <v>103</v>
      </c>
      <c r="K14416" t="s">
        <v>103</v>
      </c>
      <c r="L14416" t="s">
        <v>103</v>
      </c>
    </row>
    <row r="14417" spans="1:12" x14ac:dyDescent="0.3">
      <c r="A14417" t="s">
        <v>26</v>
      </c>
      <c r="B14417" t="s">
        <v>312</v>
      </c>
      <c r="C14417">
        <v>39</v>
      </c>
      <c r="D14417" t="s">
        <v>206</v>
      </c>
      <c r="E14417" t="s">
        <v>467</v>
      </c>
      <c r="F14417" t="s">
        <v>133</v>
      </c>
      <c r="G14417" t="s">
        <v>831</v>
      </c>
      <c r="H14417" t="s">
        <v>652</v>
      </c>
      <c r="I14417" t="s">
        <v>250</v>
      </c>
      <c r="J14417" t="s">
        <v>103</v>
      </c>
      <c r="K14417" t="s">
        <v>103</v>
      </c>
      <c r="L14417" t="s">
        <v>103</v>
      </c>
    </row>
    <row r="14418" spans="1:12" x14ac:dyDescent="0.3">
      <c r="A14418" t="s">
        <v>26</v>
      </c>
      <c r="B14418" t="s">
        <v>308</v>
      </c>
      <c r="C14418">
        <v>14</v>
      </c>
      <c r="D14418" t="s">
        <v>60</v>
      </c>
      <c r="E14418" t="s">
        <v>60</v>
      </c>
      <c r="F14418" t="s">
        <v>486</v>
      </c>
      <c r="G14418" t="s">
        <v>1046</v>
      </c>
      <c r="H14418" t="s">
        <v>460</v>
      </c>
      <c r="I14418" t="s">
        <v>656</v>
      </c>
      <c r="J14418" t="s">
        <v>103</v>
      </c>
      <c r="K14418" t="s">
        <v>103</v>
      </c>
      <c r="L14418" t="s">
        <v>103</v>
      </c>
    </row>
    <row r="14419" spans="1:12" x14ac:dyDescent="0.3">
      <c r="A14419" t="s">
        <v>29</v>
      </c>
      <c r="B14419" t="s">
        <v>311</v>
      </c>
      <c r="C14419">
        <v>187</v>
      </c>
      <c r="D14419" t="s">
        <v>120</v>
      </c>
      <c r="E14419" t="s">
        <v>90</v>
      </c>
      <c r="F14419" t="s">
        <v>594</v>
      </c>
      <c r="G14419" t="s">
        <v>368</v>
      </c>
      <c r="H14419" t="s">
        <v>46</v>
      </c>
      <c r="I14419" t="s">
        <v>135</v>
      </c>
      <c r="J14419" t="s">
        <v>103</v>
      </c>
      <c r="K14419" t="s">
        <v>92</v>
      </c>
      <c r="L14419" t="s">
        <v>103</v>
      </c>
    </row>
    <row r="14420" spans="1:12" x14ac:dyDescent="0.3">
      <c r="A14420" t="s">
        <v>29</v>
      </c>
      <c r="B14420" t="s">
        <v>312</v>
      </c>
      <c r="C14420">
        <v>49</v>
      </c>
      <c r="D14420" t="s">
        <v>103</v>
      </c>
      <c r="E14420" t="s">
        <v>175</v>
      </c>
      <c r="F14420" t="s">
        <v>239</v>
      </c>
      <c r="G14420" t="s">
        <v>2263</v>
      </c>
      <c r="H14420" t="s">
        <v>242</v>
      </c>
      <c r="I14420" t="s">
        <v>206</v>
      </c>
      <c r="J14420" t="s">
        <v>103</v>
      </c>
      <c r="K14420" t="s">
        <v>173</v>
      </c>
      <c r="L14420" t="s">
        <v>103</v>
      </c>
    </row>
    <row r="14421" spans="1:12" x14ac:dyDescent="0.3">
      <c r="A14421" t="s">
        <v>29</v>
      </c>
      <c r="B14421" t="s">
        <v>308</v>
      </c>
      <c r="C14421">
        <v>4</v>
      </c>
      <c r="D14421" t="s">
        <v>103</v>
      </c>
      <c r="E14421" t="s">
        <v>103</v>
      </c>
      <c r="F14421" t="s">
        <v>103</v>
      </c>
      <c r="G14421" t="s">
        <v>726</v>
      </c>
      <c r="H14421" t="s">
        <v>103</v>
      </c>
      <c r="I14421" t="s">
        <v>32</v>
      </c>
      <c r="J14421" t="s">
        <v>32</v>
      </c>
      <c r="K14421" t="s">
        <v>815</v>
      </c>
      <c r="L14421" t="s">
        <v>103</v>
      </c>
    </row>
    <row r="14422" spans="1:12" x14ac:dyDescent="0.3">
      <c r="A14422" t="s">
        <v>28</v>
      </c>
      <c r="B14422" t="s">
        <v>311</v>
      </c>
      <c r="C14422">
        <v>125</v>
      </c>
      <c r="D14422" t="s">
        <v>139</v>
      </c>
      <c r="E14422" t="s">
        <v>107</v>
      </c>
      <c r="F14422" t="s">
        <v>438</v>
      </c>
      <c r="G14422" t="s">
        <v>428</v>
      </c>
      <c r="H14422" t="s">
        <v>829</v>
      </c>
      <c r="I14422" t="s">
        <v>206</v>
      </c>
      <c r="J14422" t="s">
        <v>103</v>
      </c>
      <c r="K14422" t="s">
        <v>98</v>
      </c>
      <c r="L14422" t="s">
        <v>103</v>
      </c>
    </row>
    <row r="14423" spans="1:12" x14ac:dyDescent="0.3">
      <c r="A14423" t="s">
        <v>28</v>
      </c>
      <c r="B14423" t="s">
        <v>312</v>
      </c>
      <c r="C14423">
        <v>53</v>
      </c>
      <c r="D14423" t="s">
        <v>103</v>
      </c>
      <c r="E14423" t="s">
        <v>103</v>
      </c>
      <c r="F14423" t="s">
        <v>128</v>
      </c>
      <c r="G14423" t="s">
        <v>47</v>
      </c>
      <c r="H14423" t="s">
        <v>570</v>
      </c>
      <c r="I14423" t="s">
        <v>125</v>
      </c>
      <c r="J14423" t="s">
        <v>103</v>
      </c>
      <c r="K14423" t="s">
        <v>103</v>
      </c>
      <c r="L14423" t="s">
        <v>103</v>
      </c>
    </row>
    <row r="14424" spans="1:12" x14ac:dyDescent="0.3">
      <c r="A14424" t="s">
        <v>27</v>
      </c>
      <c r="B14424" t="s">
        <v>311</v>
      </c>
      <c r="C14424">
        <v>129</v>
      </c>
      <c r="D14424" t="s">
        <v>103</v>
      </c>
      <c r="E14424" t="s">
        <v>112</v>
      </c>
      <c r="F14424" t="s">
        <v>186</v>
      </c>
      <c r="G14424" t="s">
        <v>948</v>
      </c>
      <c r="H14424" t="s">
        <v>519</v>
      </c>
      <c r="I14424" t="s">
        <v>700</v>
      </c>
      <c r="J14424" t="s">
        <v>103</v>
      </c>
      <c r="K14424" t="s">
        <v>459</v>
      </c>
      <c r="L14424" t="s">
        <v>103</v>
      </c>
    </row>
    <row r="14425" spans="1:12" x14ac:dyDescent="0.3">
      <c r="A14425" t="s">
        <v>27</v>
      </c>
      <c r="B14425" t="s">
        <v>312</v>
      </c>
      <c r="C14425">
        <v>34</v>
      </c>
      <c r="D14425" t="s">
        <v>103</v>
      </c>
      <c r="E14425" t="s">
        <v>558</v>
      </c>
      <c r="F14425" t="s">
        <v>103</v>
      </c>
      <c r="G14425" t="s">
        <v>1252</v>
      </c>
      <c r="H14425" t="s">
        <v>660</v>
      </c>
      <c r="I14425" t="s">
        <v>103</v>
      </c>
      <c r="J14425" t="s">
        <v>103</v>
      </c>
      <c r="K14425" t="s">
        <v>517</v>
      </c>
      <c r="L14425" t="s">
        <v>103</v>
      </c>
    </row>
    <row r="14426" spans="1:12" x14ac:dyDescent="0.3">
      <c r="A14426" t="s">
        <v>27</v>
      </c>
      <c r="B14426" t="s">
        <v>308</v>
      </c>
      <c r="C14426">
        <v>3</v>
      </c>
      <c r="D14426" t="s">
        <v>103</v>
      </c>
      <c r="E14426" t="s">
        <v>103</v>
      </c>
      <c r="F14426" t="s">
        <v>103</v>
      </c>
      <c r="G14426" t="s">
        <v>192</v>
      </c>
      <c r="H14426" t="s">
        <v>103</v>
      </c>
      <c r="I14426" t="s">
        <v>103</v>
      </c>
      <c r="J14426" t="s">
        <v>103</v>
      </c>
      <c r="K14426" t="s">
        <v>103</v>
      </c>
      <c r="L14426" t="s">
        <v>103</v>
      </c>
    </row>
    <row r="14427" spans="1:12" x14ac:dyDescent="0.3">
      <c r="A14427" t="s">
        <v>41</v>
      </c>
      <c r="B14427" t="s">
        <v>311</v>
      </c>
      <c r="C14427">
        <v>727</v>
      </c>
      <c r="D14427" t="s">
        <v>105</v>
      </c>
      <c r="E14427" t="s">
        <v>575</v>
      </c>
      <c r="F14427" t="s">
        <v>94</v>
      </c>
      <c r="G14427" t="s">
        <v>1279</v>
      </c>
      <c r="H14427" t="s">
        <v>829</v>
      </c>
      <c r="I14427" t="s">
        <v>813</v>
      </c>
      <c r="J14427" t="s">
        <v>103</v>
      </c>
      <c r="K14427" t="s">
        <v>108</v>
      </c>
      <c r="L14427" t="s">
        <v>103</v>
      </c>
    </row>
    <row r="14428" spans="1:12" x14ac:dyDescent="0.3">
      <c r="A14428" t="s">
        <v>41</v>
      </c>
      <c r="B14428" t="s">
        <v>312</v>
      </c>
      <c r="C14428">
        <v>221</v>
      </c>
      <c r="D14428" t="s">
        <v>194</v>
      </c>
      <c r="E14428" t="s">
        <v>136</v>
      </c>
      <c r="F14428" t="s">
        <v>114</v>
      </c>
      <c r="G14428" t="s">
        <v>1379</v>
      </c>
      <c r="H14428" t="s">
        <v>144</v>
      </c>
      <c r="I14428" t="s">
        <v>136</v>
      </c>
      <c r="J14428" t="s">
        <v>103</v>
      </c>
      <c r="K14428" t="s">
        <v>254</v>
      </c>
      <c r="L14428" t="s">
        <v>103</v>
      </c>
    </row>
    <row r="14429" spans="1:12" x14ac:dyDescent="0.3">
      <c r="A14429" t="s">
        <v>41</v>
      </c>
      <c r="B14429" t="s">
        <v>308</v>
      </c>
      <c r="C14429">
        <v>27</v>
      </c>
      <c r="D14429" t="s">
        <v>114</v>
      </c>
      <c r="E14429" t="s">
        <v>693</v>
      </c>
      <c r="F14429" t="s">
        <v>135</v>
      </c>
      <c r="G14429" t="s">
        <v>258</v>
      </c>
      <c r="H14429" t="s">
        <v>48</v>
      </c>
      <c r="I14429" t="s">
        <v>819</v>
      </c>
      <c r="J14429" t="s">
        <v>139</v>
      </c>
      <c r="K14429" t="s">
        <v>524</v>
      </c>
      <c r="L14429" t="s">
        <v>103</v>
      </c>
    </row>
    <row r="14431" spans="1:12" x14ac:dyDescent="0.3">
      <c r="A14431" t="s">
        <v>2994</v>
      </c>
    </row>
    <row r="14432" spans="1:12" x14ac:dyDescent="0.3">
      <c r="A14432" t="s">
        <v>36</v>
      </c>
      <c r="B14432" t="s">
        <v>1233</v>
      </c>
      <c r="C14432" t="s">
        <v>24</v>
      </c>
      <c r="D14432" t="s">
        <v>2981</v>
      </c>
      <c r="E14432" t="s">
        <v>2982</v>
      </c>
      <c r="F14432" t="s">
        <v>2983</v>
      </c>
      <c r="G14432" t="s">
        <v>2984</v>
      </c>
      <c r="H14432" t="s">
        <v>2985</v>
      </c>
      <c r="I14432" t="s">
        <v>2986</v>
      </c>
      <c r="J14432" t="s">
        <v>2987</v>
      </c>
      <c r="K14432" t="s">
        <v>2988</v>
      </c>
      <c r="L14432" t="s">
        <v>183</v>
      </c>
    </row>
    <row r="14433" spans="1:12" x14ac:dyDescent="0.3">
      <c r="A14433" t="s">
        <v>25</v>
      </c>
      <c r="B14433" t="s">
        <v>1234</v>
      </c>
      <c r="C14433">
        <v>101</v>
      </c>
      <c r="D14433" t="s">
        <v>214</v>
      </c>
      <c r="E14433" t="s">
        <v>164</v>
      </c>
      <c r="F14433" t="s">
        <v>460</v>
      </c>
      <c r="G14433" t="s">
        <v>436</v>
      </c>
      <c r="H14433" t="s">
        <v>569</v>
      </c>
      <c r="I14433" t="s">
        <v>652</v>
      </c>
      <c r="J14433" t="s">
        <v>103</v>
      </c>
      <c r="K14433" t="s">
        <v>33</v>
      </c>
      <c r="L14433" t="s">
        <v>103</v>
      </c>
    </row>
    <row r="14434" spans="1:12" s="3" customFormat="1" x14ac:dyDescent="0.3">
      <c r="A14434" s="3" t="s">
        <v>25</v>
      </c>
      <c r="B14434" s="3" t="s">
        <v>1235</v>
      </c>
      <c r="C14434" s="3">
        <v>12</v>
      </c>
      <c r="D14434" s="3" t="s">
        <v>251</v>
      </c>
      <c r="E14434" s="3" t="s">
        <v>103</v>
      </c>
      <c r="F14434" s="3" t="s">
        <v>103</v>
      </c>
      <c r="G14434" s="3" t="s">
        <v>526</v>
      </c>
      <c r="H14434" s="3" t="s">
        <v>802</v>
      </c>
      <c r="I14434" s="3" t="s">
        <v>264</v>
      </c>
      <c r="J14434" s="3" t="s">
        <v>103</v>
      </c>
      <c r="K14434" s="3" t="s">
        <v>1008</v>
      </c>
      <c r="L14434" s="3" t="s">
        <v>103</v>
      </c>
    </row>
    <row r="14435" spans="1:12" x14ac:dyDescent="0.3">
      <c r="A14435" t="s">
        <v>25</v>
      </c>
      <c r="B14435" t="s">
        <v>1237</v>
      </c>
      <c r="C14435">
        <v>81</v>
      </c>
      <c r="D14435" t="s">
        <v>103</v>
      </c>
      <c r="E14435" t="s">
        <v>551</v>
      </c>
      <c r="F14435" t="s">
        <v>345</v>
      </c>
      <c r="G14435" t="s">
        <v>1230</v>
      </c>
      <c r="H14435" t="s">
        <v>273</v>
      </c>
      <c r="I14435" t="s">
        <v>140</v>
      </c>
      <c r="J14435" t="s">
        <v>103</v>
      </c>
      <c r="K14435" t="s">
        <v>94</v>
      </c>
      <c r="L14435" t="s">
        <v>103</v>
      </c>
    </row>
    <row r="14436" spans="1:12" x14ac:dyDescent="0.3">
      <c r="A14436" t="s">
        <v>26</v>
      </c>
      <c r="B14436" t="s">
        <v>1234</v>
      </c>
      <c r="C14436">
        <v>121</v>
      </c>
      <c r="D14436" t="s">
        <v>217</v>
      </c>
      <c r="E14436" t="s">
        <v>186</v>
      </c>
      <c r="F14436" t="s">
        <v>146</v>
      </c>
      <c r="G14436" t="s">
        <v>690</v>
      </c>
      <c r="H14436" t="s">
        <v>918</v>
      </c>
      <c r="I14436" t="s">
        <v>825</v>
      </c>
      <c r="J14436" t="s">
        <v>103</v>
      </c>
      <c r="K14436" t="s">
        <v>103</v>
      </c>
      <c r="L14436" t="s">
        <v>103</v>
      </c>
    </row>
    <row r="14437" spans="1:12" s="3" customFormat="1" x14ac:dyDescent="0.3">
      <c r="A14437" s="3" t="s">
        <v>26</v>
      </c>
      <c r="B14437" s="3" t="s">
        <v>1235</v>
      </c>
      <c r="C14437" s="3">
        <v>5</v>
      </c>
      <c r="D14437" s="3" t="s">
        <v>682</v>
      </c>
      <c r="E14437" s="3" t="s">
        <v>103</v>
      </c>
      <c r="F14437" s="3" t="s">
        <v>34</v>
      </c>
      <c r="G14437" s="3" t="s">
        <v>499</v>
      </c>
      <c r="H14437" s="3" t="s">
        <v>103</v>
      </c>
      <c r="I14437" s="3" t="s">
        <v>103</v>
      </c>
      <c r="J14437" s="3" t="s">
        <v>103</v>
      </c>
      <c r="K14437" s="3" t="s">
        <v>103</v>
      </c>
      <c r="L14437" s="3" t="s">
        <v>103</v>
      </c>
    </row>
    <row r="14438" spans="1:12" x14ac:dyDescent="0.3">
      <c r="A14438" t="s">
        <v>26</v>
      </c>
      <c r="B14438" t="s">
        <v>1237</v>
      </c>
      <c r="C14438">
        <v>71</v>
      </c>
      <c r="D14438" t="s">
        <v>33</v>
      </c>
      <c r="E14438" t="s">
        <v>531</v>
      </c>
      <c r="F14438" t="s">
        <v>94</v>
      </c>
      <c r="G14438" t="s">
        <v>730</v>
      </c>
      <c r="H14438" t="s">
        <v>607</v>
      </c>
      <c r="I14438" t="s">
        <v>683</v>
      </c>
      <c r="J14438" t="s">
        <v>103</v>
      </c>
      <c r="K14438" t="s">
        <v>103</v>
      </c>
      <c r="L14438" t="s">
        <v>103</v>
      </c>
    </row>
    <row r="14439" spans="1:12" x14ac:dyDescent="0.3">
      <c r="A14439" t="s">
        <v>29</v>
      </c>
      <c r="B14439" t="s">
        <v>1234</v>
      </c>
      <c r="C14439">
        <v>161</v>
      </c>
      <c r="D14439" t="s">
        <v>95</v>
      </c>
      <c r="E14439" t="s">
        <v>191</v>
      </c>
      <c r="F14439" t="s">
        <v>558</v>
      </c>
      <c r="G14439" t="s">
        <v>374</v>
      </c>
      <c r="H14439" t="s">
        <v>115</v>
      </c>
      <c r="I14439" t="s">
        <v>269</v>
      </c>
      <c r="J14439" t="s">
        <v>91</v>
      </c>
      <c r="K14439" t="s">
        <v>521</v>
      </c>
      <c r="L14439" t="s">
        <v>103</v>
      </c>
    </row>
    <row r="14440" spans="1:12" s="3" customFormat="1" x14ac:dyDescent="0.3">
      <c r="A14440" s="3" t="s">
        <v>29</v>
      </c>
      <c r="B14440" s="3" t="s">
        <v>1235</v>
      </c>
      <c r="C14440" s="3">
        <v>10</v>
      </c>
      <c r="D14440" s="3" t="s">
        <v>103</v>
      </c>
      <c r="E14440" s="3" t="s">
        <v>54</v>
      </c>
      <c r="F14440" s="3" t="s">
        <v>571</v>
      </c>
      <c r="G14440" s="3" t="s">
        <v>679</v>
      </c>
      <c r="H14440" s="3" t="s">
        <v>384</v>
      </c>
      <c r="I14440" s="3" t="s">
        <v>571</v>
      </c>
      <c r="J14440" s="3" t="s">
        <v>103</v>
      </c>
      <c r="K14440" s="3" t="s">
        <v>103</v>
      </c>
      <c r="L14440" s="3" t="s">
        <v>103</v>
      </c>
    </row>
    <row r="14441" spans="1:12" x14ac:dyDescent="0.3">
      <c r="A14441" t="s">
        <v>29</v>
      </c>
      <c r="B14441" t="s">
        <v>1237</v>
      </c>
      <c r="C14441">
        <v>69</v>
      </c>
      <c r="D14441" t="s">
        <v>103</v>
      </c>
      <c r="E14441" t="s">
        <v>251</v>
      </c>
      <c r="F14441" t="s">
        <v>107</v>
      </c>
      <c r="G14441" t="s">
        <v>1328</v>
      </c>
      <c r="H14441" t="s">
        <v>570</v>
      </c>
      <c r="I14441" t="s">
        <v>558</v>
      </c>
      <c r="J14441" t="s">
        <v>103</v>
      </c>
      <c r="K14441" t="s">
        <v>890</v>
      </c>
      <c r="L14441" t="s">
        <v>103</v>
      </c>
    </row>
    <row r="14442" spans="1:12" x14ac:dyDescent="0.3">
      <c r="A14442" t="s">
        <v>28</v>
      </c>
      <c r="B14442" t="s">
        <v>1234</v>
      </c>
      <c r="C14442">
        <v>78</v>
      </c>
      <c r="D14442" t="s">
        <v>110</v>
      </c>
      <c r="E14442" t="s">
        <v>493</v>
      </c>
      <c r="F14442" t="s">
        <v>272</v>
      </c>
      <c r="G14442" t="s">
        <v>1133</v>
      </c>
      <c r="H14442" t="s">
        <v>660</v>
      </c>
      <c r="I14442" t="s">
        <v>341</v>
      </c>
      <c r="J14442" t="s">
        <v>103</v>
      </c>
      <c r="K14442" t="s">
        <v>239</v>
      </c>
      <c r="L14442" t="s">
        <v>103</v>
      </c>
    </row>
    <row r="14443" spans="1:12" s="3" customFormat="1" x14ac:dyDescent="0.3">
      <c r="A14443" s="3" t="s">
        <v>28</v>
      </c>
      <c r="B14443" s="3" t="s">
        <v>1235</v>
      </c>
      <c r="C14443" s="3">
        <v>6</v>
      </c>
      <c r="D14443" s="3" t="s">
        <v>103</v>
      </c>
      <c r="E14443" s="3" t="s">
        <v>103</v>
      </c>
      <c r="F14443" s="3" t="s">
        <v>103</v>
      </c>
      <c r="G14443" s="3" t="s">
        <v>368</v>
      </c>
      <c r="H14443" s="3" t="s">
        <v>369</v>
      </c>
      <c r="I14443" s="3" t="s">
        <v>103</v>
      </c>
      <c r="J14443" s="3" t="s">
        <v>103</v>
      </c>
      <c r="K14443" s="3" t="s">
        <v>103</v>
      </c>
      <c r="L14443" s="3" t="s">
        <v>103</v>
      </c>
    </row>
    <row r="14444" spans="1:12" x14ac:dyDescent="0.3">
      <c r="A14444" t="s">
        <v>28</v>
      </c>
      <c r="B14444" t="s">
        <v>1237</v>
      </c>
      <c r="C14444">
        <v>94</v>
      </c>
      <c r="D14444" t="s">
        <v>103</v>
      </c>
      <c r="E14444" t="s">
        <v>64</v>
      </c>
      <c r="F14444" t="s">
        <v>272</v>
      </c>
      <c r="G14444" t="s">
        <v>806</v>
      </c>
      <c r="H14444" t="s">
        <v>571</v>
      </c>
      <c r="I14444" t="s">
        <v>205</v>
      </c>
      <c r="J14444" t="s">
        <v>103</v>
      </c>
      <c r="K14444" t="s">
        <v>103</v>
      </c>
      <c r="L14444" t="s">
        <v>103</v>
      </c>
    </row>
    <row r="14445" spans="1:12" x14ac:dyDescent="0.3">
      <c r="A14445" t="s">
        <v>27</v>
      </c>
      <c r="B14445" t="s">
        <v>1234</v>
      </c>
      <c r="C14445">
        <v>79</v>
      </c>
      <c r="D14445" t="s">
        <v>103</v>
      </c>
      <c r="E14445" t="s">
        <v>468</v>
      </c>
      <c r="F14445" t="s">
        <v>186</v>
      </c>
      <c r="G14445" t="s">
        <v>1401</v>
      </c>
      <c r="H14445" t="s">
        <v>268</v>
      </c>
      <c r="I14445" t="s">
        <v>809</v>
      </c>
      <c r="J14445" t="s">
        <v>103</v>
      </c>
      <c r="K14445" t="s">
        <v>99</v>
      </c>
      <c r="L14445" t="s">
        <v>103</v>
      </c>
    </row>
    <row r="14446" spans="1:12" s="3" customFormat="1" x14ac:dyDescent="0.3">
      <c r="A14446" s="3" t="s">
        <v>27</v>
      </c>
      <c r="B14446" s="3" t="s">
        <v>1235</v>
      </c>
      <c r="C14446" s="3">
        <v>6</v>
      </c>
      <c r="D14446" s="3" t="s">
        <v>103</v>
      </c>
      <c r="E14446" s="3" t="s">
        <v>103</v>
      </c>
      <c r="F14446" s="3" t="s">
        <v>103</v>
      </c>
      <c r="G14446" s="3" t="s">
        <v>496</v>
      </c>
      <c r="H14446" s="3" t="s">
        <v>574</v>
      </c>
      <c r="I14446" s="3" t="s">
        <v>685</v>
      </c>
      <c r="J14446" s="3" t="s">
        <v>103</v>
      </c>
      <c r="K14446" s="3" t="s">
        <v>167</v>
      </c>
      <c r="L14446" s="3" t="s">
        <v>103</v>
      </c>
    </row>
    <row r="14447" spans="1:12" x14ac:dyDescent="0.3">
      <c r="A14447" t="s">
        <v>27</v>
      </c>
      <c r="B14447" t="s">
        <v>1237</v>
      </c>
      <c r="C14447">
        <v>81</v>
      </c>
      <c r="D14447" t="s">
        <v>103</v>
      </c>
      <c r="E14447" t="s">
        <v>119</v>
      </c>
      <c r="F14447" t="s">
        <v>270</v>
      </c>
      <c r="G14447" t="s">
        <v>304</v>
      </c>
      <c r="H14447" t="s">
        <v>92</v>
      </c>
      <c r="I14447" t="s">
        <v>186</v>
      </c>
      <c r="J14447" t="s">
        <v>103</v>
      </c>
      <c r="K14447" t="s">
        <v>146</v>
      </c>
      <c r="L14447" t="s">
        <v>103</v>
      </c>
    </row>
    <row r="14448" spans="1:12" x14ac:dyDescent="0.3">
      <c r="A14448" t="s">
        <v>41</v>
      </c>
      <c r="B14448" t="s">
        <v>1234</v>
      </c>
      <c r="C14448">
        <v>540</v>
      </c>
      <c r="D14448" t="s">
        <v>341</v>
      </c>
      <c r="E14448" t="s">
        <v>737</v>
      </c>
      <c r="F14448" t="s">
        <v>607</v>
      </c>
      <c r="G14448" t="s">
        <v>415</v>
      </c>
      <c r="H14448" t="s">
        <v>275</v>
      </c>
      <c r="I14448" t="s">
        <v>809</v>
      </c>
      <c r="J14448" t="s">
        <v>103</v>
      </c>
      <c r="K14448" t="s">
        <v>99</v>
      </c>
      <c r="L14448" t="s">
        <v>103</v>
      </c>
    </row>
    <row r="14449" spans="1:12" x14ac:dyDescent="0.3">
      <c r="A14449" t="s">
        <v>41</v>
      </c>
      <c r="B14449" t="s">
        <v>1235</v>
      </c>
      <c r="C14449">
        <v>39</v>
      </c>
      <c r="D14449" t="s">
        <v>70</v>
      </c>
      <c r="E14449" t="s">
        <v>232</v>
      </c>
      <c r="F14449" t="s">
        <v>115</v>
      </c>
      <c r="G14449" t="s">
        <v>1207</v>
      </c>
      <c r="H14449" t="s">
        <v>509</v>
      </c>
      <c r="I14449" t="s">
        <v>157</v>
      </c>
      <c r="J14449" t="s">
        <v>103</v>
      </c>
      <c r="K14449" t="s">
        <v>99</v>
      </c>
      <c r="L14449" t="s">
        <v>103</v>
      </c>
    </row>
    <row r="14450" spans="1:12" x14ac:dyDescent="0.3">
      <c r="A14450" t="s">
        <v>41</v>
      </c>
      <c r="B14450" t="s">
        <v>1237</v>
      </c>
      <c r="C14450">
        <v>396</v>
      </c>
      <c r="D14450" t="s">
        <v>345</v>
      </c>
      <c r="E14450" t="s">
        <v>137</v>
      </c>
      <c r="F14450" t="s">
        <v>188</v>
      </c>
      <c r="G14450" t="s">
        <v>1243</v>
      </c>
      <c r="H14450" t="s">
        <v>164</v>
      </c>
      <c r="I14450" t="s">
        <v>536</v>
      </c>
      <c r="J14450" t="s">
        <v>103</v>
      </c>
      <c r="K14450" t="s">
        <v>452</v>
      </c>
      <c r="L14450" t="s">
        <v>103</v>
      </c>
    </row>
    <row r="14452" spans="1:12" x14ac:dyDescent="0.3">
      <c r="A14452" t="s">
        <v>2995</v>
      </c>
    </row>
    <row r="14453" spans="1:12" x14ac:dyDescent="0.3">
      <c r="A14453" t="s">
        <v>36</v>
      </c>
      <c r="B14453" t="s">
        <v>2764</v>
      </c>
      <c r="C14453" t="s">
        <v>24</v>
      </c>
      <c r="D14453" t="s">
        <v>2981</v>
      </c>
      <c r="E14453" t="s">
        <v>2982</v>
      </c>
      <c r="F14453" t="s">
        <v>2983</v>
      </c>
      <c r="G14453" t="s">
        <v>2984</v>
      </c>
      <c r="H14453" t="s">
        <v>2985</v>
      </c>
      <c r="I14453" t="s">
        <v>2986</v>
      </c>
      <c r="J14453" t="s">
        <v>2987</v>
      </c>
      <c r="K14453" t="s">
        <v>2988</v>
      </c>
      <c r="L14453" t="s">
        <v>183</v>
      </c>
    </row>
    <row r="14454" spans="1:12" s="3" customFormat="1" x14ac:dyDescent="0.3">
      <c r="A14454" s="3" t="s">
        <v>25</v>
      </c>
      <c r="B14454" s="3" t="s">
        <v>2765</v>
      </c>
      <c r="C14454" s="3">
        <v>5</v>
      </c>
      <c r="D14454" s="3" t="s">
        <v>103</v>
      </c>
      <c r="E14454" s="3" t="s">
        <v>521</v>
      </c>
      <c r="F14454" s="3" t="s">
        <v>103</v>
      </c>
      <c r="G14454" s="3" t="s">
        <v>775</v>
      </c>
      <c r="H14454" s="3" t="s">
        <v>103</v>
      </c>
      <c r="I14454" s="3" t="s">
        <v>103</v>
      </c>
      <c r="J14454" s="3" t="s">
        <v>103</v>
      </c>
      <c r="K14454" s="3" t="s">
        <v>103</v>
      </c>
      <c r="L14454" s="3" t="s">
        <v>103</v>
      </c>
    </row>
    <row r="14455" spans="1:12" s="3" customFormat="1" x14ac:dyDescent="0.3">
      <c r="A14455" s="3" t="s">
        <v>25</v>
      </c>
      <c r="B14455" s="3" t="s">
        <v>585</v>
      </c>
      <c r="C14455" s="3">
        <v>1</v>
      </c>
      <c r="D14455" s="3" t="s">
        <v>103</v>
      </c>
      <c r="E14455" s="3" t="s">
        <v>103</v>
      </c>
      <c r="F14455" s="3" t="s">
        <v>103</v>
      </c>
      <c r="G14455" s="3" t="s">
        <v>192</v>
      </c>
      <c r="H14455" s="3" t="s">
        <v>103</v>
      </c>
      <c r="I14455" s="3" t="s">
        <v>103</v>
      </c>
      <c r="J14455" s="3" t="s">
        <v>103</v>
      </c>
      <c r="K14455" s="3" t="s">
        <v>103</v>
      </c>
      <c r="L14455" s="3" t="s">
        <v>103</v>
      </c>
    </row>
    <row r="14456" spans="1:12" s="3" customFormat="1" x14ac:dyDescent="0.3">
      <c r="A14456" s="3" t="s">
        <v>25</v>
      </c>
      <c r="B14456" s="3" t="s">
        <v>586</v>
      </c>
      <c r="C14456" s="3">
        <v>10</v>
      </c>
      <c r="D14456" s="3" t="s">
        <v>103</v>
      </c>
      <c r="E14456" s="3" t="s">
        <v>646</v>
      </c>
      <c r="F14456" s="3" t="s">
        <v>103</v>
      </c>
      <c r="G14456" s="3" t="s">
        <v>225</v>
      </c>
      <c r="H14456" s="3" t="s">
        <v>206</v>
      </c>
      <c r="I14456" s="3" t="s">
        <v>478</v>
      </c>
      <c r="J14456" s="3" t="s">
        <v>103</v>
      </c>
      <c r="K14456" s="3" t="s">
        <v>103</v>
      </c>
      <c r="L14456" s="3" t="s">
        <v>103</v>
      </c>
    </row>
    <row r="14457" spans="1:12" s="3" customFormat="1" x14ac:dyDescent="0.3">
      <c r="A14457" s="3" t="s">
        <v>25</v>
      </c>
      <c r="B14457" s="3" t="s">
        <v>587</v>
      </c>
      <c r="C14457" s="3">
        <v>1</v>
      </c>
      <c r="D14457" s="3" t="s">
        <v>103</v>
      </c>
      <c r="E14457" s="3" t="s">
        <v>103</v>
      </c>
      <c r="F14457" s="3" t="s">
        <v>103</v>
      </c>
      <c r="G14457" s="3" t="s">
        <v>192</v>
      </c>
      <c r="H14457" s="3" t="s">
        <v>103</v>
      </c>
      <c r="I14457" s="3" t="s">
        <v>103</v>
      </c>
      <c r="J14457" s="3" t="s">
        <v>103</v>
      </c>
      <c r="K14457" s="3" t="s">
        <v>103</v>
      </c>
      <c r="L14457" s="3" t="s">
        <v>103</v>
      </c>
    </row>
    <row r="14458" spans="1:12" s="3" customFormat="1" x14ac:dyDescent="0.3">
      <c r="A14458" s="3" t="s">
        <v>25</v>
      </c>
      <c r="B14458" s="3" t="s">
        <v>588</v>
      </c>
      <c r="C14458" s="3">
        <v>9</v>
      </c>
      <c r="D14458" s="3" t="s">
        <v>103</v>
      </c>
      <c r="E14458" s="3" t="s">
        <v>429</v>
      </c>
      <c r="F14458" s="3" t="s">
        <v>103</v>
      </c>
      <c r="G14458" s="3" t="s">
        <v>369</v>
      </c>
      <c r="H14458" s="3" t="s">
        <v>975</v>
      </c>
      <c r="I14458" s="3" t="s">
        <v>468</v>
      </c>
      <c r="J14458" s="3" t="s">
        <v>103</v>
      </c>
      <c r="K14458" s="3" t="s">
        <v>103</v>
      </c>
      <c r="L14458" s="3" t="s">
        <v>103</v>
      </c>
    </row>
    <row r="14459" spans="1:12" x14ac:dyDescent="0.3">
      <c r="A14459" t="s">
        <v>25</v>
      </c>
      <c r="B14459" t="s">
        <v>2766</v>
      </c>
      <c r="C14459">
        <v>168</v>
      </c>
      <c r="D14459" t="s">
        <v>467</v>
      </c>
      <c r="E14459" t="s">
        <v>130</v>
      </c>
      <c r="F14459" t="s">
        <v>32</v>
      </c>
      <c r="G14459" t="s">
        <v>1402</v>
      </c>
      <c r="H14459" t="s">
        <v>539</v>
      </c>
      <c r="I14459" t="s">
        <v>135</v>
      </c>
      <c r="J14459" t="s">
        <v>103</v>
      </c>
      <c r="K14459" t="s">
        <v>205</v>
      </c>
      <c r="L14459" t="s">
        <v>103</v>
      </c>
    </row>
    <row r="14460" spans="1:12" s="3" customFormat="1" x14ac:dyDescent="0.3">
      <c r="A14460" s="3" t="s">
        <v>26</v>
      </c>
      <c r="B14460" s="3" t="s">
        <v>2765</v>
      </c>
      <c r="C14460" s="3">
        <v>10</v>
      </c>
      <c r="D14460" s="3" t="s">
        <v>124</v>
      </c>
      <c r="E14460" s="3" t="s">
        <v>103</v>
      </c>
      <c r="F14460" s="3" t="s">
        <v>1219</v>
      </c>
      <c r="G14460" s="3" t="s">
        <v>722</v>
      </c>
      <c r="H14460" s="3" t="s">
        <v>131</v>
      </c>
      <c r="I14460" s="3" t="s">
        <v>34</v>
      </c>
      <c r="J14460" s="3" t="s">
        <v>103</v>
      </c>
      <c r="K14460" s="3" t="s">
        <v>103</v>
      </c>
      <c r="L14460" s="3" t="s">
        <v>103</v>
      </c>
    </row>
    <row r="14461" spans="1:12" s="3" customFormat="1" x14ac:dyDescent="0.3">
      <c r="A14461" s="3" t="s">
        <v>26</v>
      </c>
      <c r="B14461" s="3" t="s">
        <v>586</v>
      </c>
      <c r="C14461" s="3">
        <v>3</v>
      </c>
      <c r="D14461" s="3" t="s">
        <v>103</v>
      </c>
      <c r="E14461" s="3" t="s">
        <v>103</v>
      </c>
      <c r="F14461" s="3" t="s">
        <v>103</v>
      </c>
      <c r="G14461" s="3" t="s">
        <v>192</v>
      </c>
      <c r="H14461" s="3" t="s">
        <v>103</v>
      </c>
      <c r="I14461" s="3" t="s">
        <v>103</v>
      </c>
      <c r="J14461" s="3" t="s">
        <v>103</v>
      </c>
      <c r="K14461" s="3" t="s">
        <v>103</v>
      </c>
      <c r="L14461" s="3" t="s">
        <v>103</v>
      </c>
    </row>
    <row r="14462" spans="1:12" s="3" customFormat="1" x14ac:dyDescent="0.3">
      <c r="A14462" s="3" t="s">
        <v>26</v>
      </c>
      <c r="B14462" s="3" t="s">
        <v>587</v>
      </c>
      <c r="C14462" s="3">
        <v>1</v>
      </c>
      <c r="D14462" s="3" t="s">
        <v>103</v>
      </c>
      <c r="E14462" s="3" t="s">
        <v>103</v>
      </c>
      <c r="F14462" s="3" t="s">
        <v>103</v>
      </c>
      <c r="G14462" s="3" t="s">
        <v>192</v>
      </c>
      <c r="H14462" s="3" t="s">
        <v>103</v>
      </c>
      <c r="I14462" s="3" t="s">
        <v>103</v>
      </c>
      <c r="J14462" s="3" t="s">
        <v>103</v>
      </c>
      <c r="K14462" s="3" t="s">
        <v>103</v>
      </c>
      <c r="L14462" s="3" t="s">
        <v>103</v>
      </c>
    </row>
    <row r="14463" spans="1:12" s="3" customFormat="1" x14ac:dyDescent="0.3">
      <c r="A14463" s="3" t="s">
        <v>26</v>
      </c>
      <c r="B14463" s="3" t="s">
        <v>588</v>
      </c>
      <c r="C14463" s="3">
        <v>1</v>
      </c>
      <c r="D14463" s="3" t="s">
        <v>103</v>
      </c>
      <c r="E14463" s="3" t="s">
        <v>103</v>
      </c>
      <c r="F14463" s="3" t="s">
        <v>103</v>
      </c>
      <c r="G14463" s="3" t="s">
        <v>192</v>
      </c>
      <c r="H14463" s="3" t="s">
        <v>103</v>
      </c>
      <c r="I14463" s="3" t="s">
        <v>103</v>
      </c>
      <c r="J14463" s="3" t="s">
        <v>103</v>
      </c>
      <c r="K14463" s="3" t="s">
        <v>103</v>
      </c>
      <c r="L14463" s="3" t="s">
        <v>103</v>
      </c>
    </row>
    <row r="14464" spans="1:12" x14ac:dyDescent="0.3">
      <c r="A14464" t="s">
        <v>26</v>
      </c>
      <c r="B14464" t="s">
        <v>2766</v>
      </c>
      <c r="C14464">
        <v>182</v>
      </c>
      <c r="D14464" t="s">
        <v>114</v>
      </c>
      <c r="E14464" t="s">
        <v>284</v>
      </c>
      <c r="F14464" t="s">
        <v>146</v>
      </c>
      <c r="G14464" t="s">
        <v>722</v>
      </c>
      <c r="H14464" t="s">
        <v>459</v>
      </c>
      <c r="I14464" t="s">
        <v>660</v>
      </c>
      <c r="J14464" t="s">
        <v>103</v>
      </c>
      <c r="K14464" t="s">
        <v>103</v>
      </c>
      <c r="L14464" t="s">
        <v>103</v>
      </c>
    </row>
    <row r="14465" spans="1:12" s="3" customFormat="1" x14ac:dyDescent="0.3">
      <c r="A14465" s="3" t="s">
        <v>29</v>
      </c>
      <c r="B14465" s="3" t="s">
        <v>2765</v>
      </c>
      <c r="C14465" s="3">
        <v>12</v>
      </c>
      <c r="D14465" s="3" t="s">
        <v>103</v>
      </c>
      <c r="E14465" s="3" t="s">
        <v>927</v>
      </c>
      <c r="F14465" s="3" t="s">
        <v>516</v>
      </c>
      <c r="G14465" s="3" t="s">
        <v>664</v>
      </c>
      <c r="H14465" s="3" t="s">
        <v>516</v>
      </c>
      <c r="I14465" s="3" t="s">
        <v>577</v>
      </c>
      <c r="J14465" s="3" t="s">
        <v>103</v>
      </c>
      <c r="K14465" s="3" t="s">
        <v>64</v>
      </c>
      <c r="L14465" s="3" t="s">
        <v>103</v>
      </c>
    </row>
    <row r="14466" spans="1:12" s="3" customFormat="1" x14ac:dyDescent="0.3">
      <c r="A14466" s="3" t="s">
        <v>29</v>
      </c>
      <c r="B14466" s="3" t="s">
        <v>585</v>
      </c>
      <c r="C14466" s="3">
        <v>2</v>
      </c>
      <c r="D14466" s="3" t="s">
        <v>103</v>
      </c>
      <c r="E14466" s="3" t="s">
        <v>103</v>
      </c>
      <c r="F14466" s="3" t="s">
        <v>103</v>
      </c>
      <c r="G14466" s="3" t="s">
        <v>152</v>
      </c>
      <c r="H14466" s="3" t="s">
        <v>103</v>
      </c>
      <c r="I14466" s="3" t="s">
        <v>153</v>
      </c>
      <c r="J14466" s="3" t="s">
        <v>103</v>
      </c>
      <c r="K14466" s="3" t="s">
        <v>153</v>
      </c>
      <c r="L14466" s="3" t="s">
        <v>103</v>
      </c>
    </row>
    <row r="14467" spans="1:12" s="3" customFormat="1" x14ac:dyDescent="0.3">
      <c r="A14467" s="3" t="s">
        <v>29</v>
      </c>
      <c r="B14467" s="3" t="s">
        <v>586</v>
      </c>
      <c r="C14467" s="3">
        <v>6</v>
      </c>
      <c r="D14467" s="3" t="s">
        <v>103</v>
      </c>
      <c r="E14467" s="3" t="s">
        <v>103</v>
      </c>
      <c r="F14467" s="3" t="s">
        <v>103</v>
      </c>
      <c r="G14467" s="3" t="s">
        <v>694</v>
      </c>
      <c r="H14467" s="3" t="s">
        <v>644</v>
      </c>
      <c r="I14467" s="3" t="s">
        <v>683</v>
      </c>
      <c r="J14467" s="3" t="s">
        <v>103</v>
      </c>
      <c r="K14467" s="3" t="s">
        <v>694</v>
      </c>
      <c r="L14467" s="3" t="s">
        <v>103</v>
      </c>
    </row>
    <row r="14468" spans="1:12" s="3" customFormat="1" x14ac:dyDescent="0.3">
      <c r="A14468" s="3" t="s">
        <v>29</v>
      </c>
      <c r="B14468" s="3" t="s">
        <v>587</v>
      </c>
      <c r="C14468" s="3">
        <v>3</v>
      </c>
      <c r="D14468" s="3" t="s">
        <v>103</v>
      </c>
      <c r="E14468" s="3" t="s">
        <v>103</v>
      </c>
      <c r="F14468" s="3" t="s">
        <v>103</v>
      </c>
      <c r="G14468" s="3" t="s">
        <v>889</v>
      </c>
      <c r="H14468" s="3" t="s">
        <v>103</v>
      </c>
      <c r="I14468" s="3" t="s">
        <v>103</v>
      </c>
      <c r="J14468" s="3" t="s">
        <v>103</v>
      </c>
      <c r="K14468" s="3" t="s">
        <v>890</v>
      </c>
      <c r="L14468" s="3" t="s">
        <v>103</v>
      </c>
    </row>
    <row r="14469" spans="1:12" s="3" customFormat="1" x14ac:dyDescent="0.3">
      <c r="A14469" s="3" t="s">
        <v>29</v>
      </c>
      <c r="B14469" s="3" t="s">
        <v>588</v>
      </c>
      <c r="C14469" s="3">
        <v>5</v>
      </c>
      <c r="D14469" s="3" t="s">
        <v>103</v>
      </c>
      <c r="E14469" s="3" t="s">
        <v>103</v>
      </c>
      <c r="F14469" s="3" t="s">
        <v>103</v>
      </c>
      <c r="G14469" s="3" t="s">
        <v>174</v>
      </c>
      <c r="H14469" s="3" t="s">
        <v>103</v>
      </c>
      <c r="I14469" s="3" t="s">
        <v>103</v>
      </c>
      <c r="J14469" s="3" t="s">
        <v>103</v>
      </c>
      <c r="K14469" s="3" t="s">
        <v>173</v>
      </c>
      <c r="L14469" s="3" t="s">
        <v>103</v>
      </c>
    </row>
    <row r="14470" spans="1:12" x14ac:dyDescent="0.3">
      <c r="A14470" t="s">
        <v>29</v>
      </c>
      <c r="B14470" t="s">
        <v>2766</v>
      </c>
      <c r="C14470">
        <v>212</v>
      </c>
      <c r="D14470" t="s">
        <v>97</v>
      </c>
      <c r="E14470" t="s">
        <v>254</v>
      </c>
      <c r="F14470" t="s">
        <v>281</v>
      </c>
      <c r="G14470" t="s">
        <v>231</v>
      </c>
      <c r="H14470" t="s">
        <v>515</v>
      </c>
      <c r="I14470" t="s">
        <v>575</v>
      </c>
      <c r="J14470" t="s">
        <v>91</v>
      </c>
      <c r="K14470" t="s">
        <v>162</v>
      </c>
      <c r="L14470" t="s">
        <v>103</v>
      </c>
    </row>
    <row r="14471" spans="1:12" s="3" customFormat="1" x14ac:dyDescent="0.3">
      <c r="A14471" s="3" t="s">
        <v>28</v>
      </c>
      <c r="B14471" s="3" t="s">
        <v>2765</v>
      </c>
      <c r="C14471" s="3">
        <v>3</v>
      </c>
      <c r="D14471" s="3" t="s">
        <v>103</v>
      </c>
      <c r="E14471" s="3" t="s">
        <v>103</v>
      </c>
      <c r="F14471" s="3" t="s">
        <v>103</v>
      </c>
      <c r="G14471" s="3" t="s">
        <v>192</v>
      </c>
      <c r="H14471" s="3" t="s">
        <v>103</v>
      </c>
      <c r="I14471" s="3" t="s">
        <v>103</v>
      </c>
      <c r="J14471" s="3" t="s">
        <v>103</v>
      </c>
      <c r="K14471" s="3" t="s">
        <v>103</v>
      </c>
      <c r="L14471" s="3" t="s">
        <v>103</v>
      </c>
    </row>
    <row r="14472" spans="1:12" s="3" customFormat="1" x14ac:dyDescent="0.3">
      <c r="A14472" s="3" t="s">
        <v>28</v>
      </c>
      <c r="B14472" s="3" t="s">
        <v>585</v>
      </c>
      <c r="C14472" s="3">
        <v>8</v>
      </c>
      <c r="D14472" s="3" t="s">
        <v>103</v>
      </c>
      <c r="E14472" s="3" t="s">
        <v>103</v>
      </c>
      <c r="F14472" s="3" t="s">
        <v>750</v>
      </c>
      <c r="G14472" s="3" t="s">
        <v>2111</v>
      </c>
      <c r="H14472" s="3" t="s">
        <v>106</v>
      </c>
      <c r="I14472" s="3" t="s">
        <v>103</v>
      </c>
      <c r="J14472" s="3" t="s">
        <v>103</v>
      </c>
      <c r="K14472" s="3" t="s">
        <v>103</v>
      </c>
      <c r="L14472" s="3" t="s">
        <v>103</v>
      </c>
    </row>
    <row r="14473" spans="1:12" s="3" customFormat="1" x14ac:dyDescent="0.3">
      <c r="A14473" s="3" t="s">
        <v>28</v>
      </c>
      <c r="B14473" s="3" t="s">
        <v>586</v>
      </c>
      <c r="C14473" s="3">
        <v>5</v>
      </c>
      <c r="D14473" s="3" t="s">
        <v>103</v>
      </c>
      <c r="E14473" s="3" t="s">
        <v>103</v>
      </c>
      <c r="F14473" s="3" t="s">
        <v>456</v>
      </c>
      <c r="G14473" s="3" t="s">
        <v>671</v>
      </c>
      <c r="H14473" s="3" t="s">
        <v>1143</v>
      </c>
      <c r="I14473" s="3" t="s">
        <v>399</v>
      </c>
      <c r="J14473" s="3" t="s">
        <v>103</v>
      </c>
      <c r="K14473" s="3" t="s">
        <v>103</v>
      </c>
      <c r="L14473" s="3" t="s">
        <v>103</v>
      </c>
    </row>
    <row r="14474" spans="1:12" s="3" customFormat="1" x14ac:dyDescent="0.3">
      <c r="A14474" s="3" t="s">
        <v>28</v>
      </c>
      <c r="B14474" s="3" t="s">
        <v>587</v>
      </c>
      <c r="C14474" s="3">
        <v>7</v>
      </c>
      <c r="D14474" s="3" t="s">
        <v>103</v>
      </c>
      <c r="E14474" s="3" t="s">
        <v>103</v>
      </c>
      <c r="F14474" s="3" t="s">
        <v>103</v>
      </c>
      <c r="G14474" s="3" t="s">
        <v>192</v>
      </c>
      <c r="H14474" s="3" t="s">
        <v>103</v>
      </c>
      <c r="I14474" s="3" t="s">
        <v>103</v>
      </c>
      <c r="J14474" s="3" t="s">
        <v>103</v>
      </c>
      <c r="K14474" s="3" t="s">
        <v>103</v>
      </c>
      <c r="L14474" s="3" t="s">
        <v>103</v>
      </c>
    </row>
    <row r="14475" spans="1:12" s="3" customFormat="1" x14ac:dyDescent="0.3">
      <c r="A14475" s="3" t="s">
        <v>28</v>
      </c>
      <c r="B14475" s="3" t="s">
        <v>588</v>
      </c>
      <c r="C14475" s="3">
        <v>24</v>
      </c>
      <c r="D14475" s="3" t="s">
        <v>103</v>
      </c>
      <c r="E14475" s="3" t="s">
        <v>571</v>
      </c>
      <c r="F14475" s="3" t="s">
        <v>103</v>
      </c>
      <c r="G14475" s="3" t="s">
        <v>1555</v>
      </c>
      <c r="H14475" s="3" t="s">
        <v>396</v>
      </c>
      <c r="I14475" s="3" t="s">
        <v>224</v>
      </c>
      <c r="J14475" s="3" t="s">
        <v>103</v>
      </c>
      <c r="K14475" s="3" t="s">
        <v>103</v>
      </c>
      <c r="L14475" s="3" t="s">
        <v>103</v>
      </c>
    </row>
    <row r="14476" spans="1:12" x14ac:dyDescent="0.3">
      <c r="A14476" t="s">
        <v>28</v>
      </c>
      <c r="B14476" t="s">
        <v>2766</v>
      </c>
      <c r="C14476">
        <v>131</v>
      </c>
      <c r="D14476" t="s">
        <v>139</v>
      </c>
      <c r="E14476" t="s">
        <v>64</v>
      </c>
      <c r="F14476" t="s">
        <v>341</v>
      </c>
      <c r="G14476" t="s">
        <v>1675</v>
      </c>
      <c r="H14476" t="s">
        <v>488</v>
      </c>
      <c r="I14476" t="s">
        <v>493</v>
      </c>
      <c r="J14476" t="s">
        <v>103</v>
      </c>
      <c r="K14476" t="s">
        <v>139</v>
      </c>
      <c r="L14476" t="s">
        <v>103</v>
      </c>
    </row>
    <row r="14477" spans="1:12" x14ac:dyDescent="0.3">
      <c r="A14477" t="s">
        <v>27</v>
      </c>
      <c r="B14477" t="s">
        <v>2765</v>
      </c>
      <c r="C14477">
        <v>48</v>
      </c>
      <c r="D14477" t="s">
        <v>103</v>
      </c>
      <c r="E14477" t="s">
        <v>662</v>
      </c>
      <c r="F14477" t="s">
        <v>103</v>
      </c>
      <c r="G14477" t="s">
        <v>1202</v>
      </c>
      <c r="H14477" t="s">
        <v>418</v>
      </c>
      <c r="I14477" t="s">
        <v>60</v>
      </c>
      <c r="J14477" t="s">
        <v>103</v>
      </c>
      <c r="K14477" t="s">
        <v>244</v>
      </c>
      <c r="L14477" t="s">
        <v>103</v>
      </c>
    </row>
    <row r="14478" spans="1:12" s="3" customFormat="1" x14ac:dyDescent="0.3">
      <c r="A14478" s="3" t="s">
        <v>27</v>
      </c>
      <c r="B14478" s="3" t="s">
        <v>588</v>
      </c>
      <c r="C14478" s="3">
        <v>1</v>
      </c>
      <c r="D14478" s="3" t="s">
        <v>103</v>
      </c>
      <c r="E14478" s="3" t="s">
        <v>103</v>
      </c>
      <c r="F14478" s="3" t="s">
        <v>103</v>
      </c>
      <c r="G14478" s="3" t="s">
        <v>192</v>
      </c>
      <c r="H14478" s="3" t="s">
        <v>103</v>
      </c>
      <c r="I14478" s="3" t="s">
        <v>103</v>
      </c>
      <c r="J14478" s="3" t="s">
        <v>103</v>
      </c>
      <c r="K14478" s="3" t="s">
        <v>103</v>
      </c>
      <c r="L14478" s="3" t="s">
        <v>103</v>
      </c>
    </row>
    <row r="14479" spans="1:12" x14ac:dyDescent="0.3">
      <c r="A14479" t="s">
        <v>27</v>
      </c>
      <c r="B14479" t="s">
        <v>2766</v>
      </c>
      <c r="C14479">
        <v>117</v>
      </c>
      <c r="D14479" t="s">
        <v>103</v>
      </c>
      <c r="E14479" t="s">
        <v>112</v>
      </c>
      <c r="F14479" t="s">
        <v>284</v>
      </c>
      <c r="G14479" t="s">
        <v>1679</v>
      </c>
      <c r="H14479" t="s">
        <v>531</v>
      </c>
      <c r="I14479" t="s">
        <v>481</v>
      </c>
      <c r="J14479" t="s">
        <v>103</v>
      </c>
      <c r="K14479" t="s">
        <v>482</v>
      </c>
      <c r="L14479" t="s">
        <v>103</v>
      </c>
    </row>
    <row r="14480" spans="1:12" x14ac:dyDescent="0.3">
      <c r="A14480" t="s">
        <v>41</v>
      </c>
      <c r="B14480" t="s">
        <v>2765</v>
      </c>
      <c r="C14480">
        <v>78</v>
      </c>
      <c r="D14480" t="s">
        <v>194</v>
      </c>
      <c r="E14480" t="s">
        <v>463</v>
      </c>
      <c r="F14480" t="s">
        <v>254</v>
      </c>
      <c r="G14480" t="s">
        <v>791</v>
      </c>
      <c r="H14480" t="s">
        <v>672</v>
      </c>
      <c r="I14480" t="s">
        <v>580</v>
      </c>
      <c r="J14480" t="s">
        <v>103</v>
      </c>
      <c r="K14480" t="s">
        <v>284</v>
      </c>
      <c r="L14480" t="s">
        <v>103</v>
      </c>
    </row>
    <row r="14481" spans="1:12" s="3" customFormat="1" x14ac:dyDescent="0.3">
      <c r="A14481" s="3" t="s">
        <v>41</v>
      </c>
      <c r="B14481" s="3" t="s">
        <v>585</v>
      </c>
      <c r="C14481" s="3">
        <v>11</v>
      </c>
      <c r="D14481" s="3" t="s">
        <v>103</v>
      </c>
      <c r="E14481" s="3" t="s">
        <v>103</v>
      </c>
      <c r="F14481" s="3" t="s">
        <v>101</v>
      </c>
      <c r="G14481" s="3" t="s">
        <v>1257</v>
      </c>
      <c r="H14481" s="3" t="s">
        <v>494</v>
      </c>
      <c r="I14481" s="3" t="s">
        <v>382</v>
      </c>
      <c r="J14481" s="3" t="s">
        <v>103</v>
      </c>
      <c r="K14481" s="3" t="s">
        <v>382</v>
      </c>
      <c r="L14481" s="3" t="s">
        <v>103</v>
      </c>
    </row>
    <row r="14482" spans="1:12" s="3" customFormat="1" x14ac:dyDescent="0.3">
      <c r="A14482" s="3" t="s">
        <v>41</v>
      </c>
      <c r="B14482" s="3" t="s">
        <v>586</v>
      </c>
      <c r="C14482" s="3">
        <v>24</v>
      </c>
      <c r="D14482" s="3" t="s">
        <v>103</v>
      </c>
      <c r="E14482" s="3" t="s">
        <v>247</v>
      </c>
      <c r="F14482" s="3" t="s">
        <v>64</v>
      </c>
      <c r="G14482" s="3" t="s">
        <v>675</v>
      </c>
      <c r="H14482" s="3" t="s">
        <v>111</v>
      </c>
      <c r="I14482" s="3" t="s">
        <v>658</v>
      </c>
      <c r="J14482" s="3" t="s">
        <v>103</v>
      </c>
      <c r="K14482" s="3" t="s">
        <v>144</v>
      </c>
      <c r="L14482" s="3" t="s">
        <v>103</v>
      </c>
    </row>
    <row r="14483" spans="1:12" s="3" customFormat="1" x14ac:dyDescent="0.3">
      <c r="A14483" s="3" t="s">
        <v>41</v>
      </c>
      <c r="B14483" s="3" t="s">
        <v>587</v>
      </c>
      <c r="C14483" s="3">
        <v>12</v>
      </c>
      <c r="D14483" s="3" t="s">
        <v>103</v>
      </c>
      <c r="E14483" s="3" t="s">
        <v>103</v>
      </c>
      <c r="F14483" s="3" t="s">
        <v>103</v>
      </c>
      <c r="G14483" s="3" t="s">
        <v>981</v>
      </c>
      <c r="H14483" s="3" t="s">
        <v>103</v>
      </c>
      <c r="I14483" s="3" t="s">
        <v>103</v>
      </c>
      <c r="J14483" s="3" t="s">
        <v>103</v>
      </c>
      <c r="K14483" s="3" t="s">
        <v>532</v>
      </c>
      <c r="L14483" s="3" t="s">
        <v>103</v>
      </c>
    </row>
    <row r="14484" spans="1:12" x14ac:dyDescent="0.3">
      <c r="A14484" t="s">
        <v>41</v>
      </c>
      <c r="B14484" t="s">
        <v>588</v>
      </c>
      <c r="C14484">
        <v>40</v>
      </c>
      <c r="D14484" t="s">
        <v>103</v>
      </c>
      <c r="E14484" t="s">
        <v>92</v>
      </c>
      <c r="F14484" t="s">
        <v>103</v>
      </c>
      <c r="G14484" t="s">
        <v>298</v>
      </c>
      <c r="H14484" t="s">
        <v>672</v>
      </c>
      <c r="I14484" t="s">
        <v>266</v>
      </c>
      <c r="J14484" t="s">
        <v>103</v>
      </c>
      <c r="K14484" t="s">
        <v>107</v>
      </c>
      <c r="L14484" t="s">
        <v>103</v>
      </c>
    </row>
    <row r="14485" spans="1:12" x14ac:dyDescent="0.3">
      <c r="A14485" t="s">
        <v>41</v>
      </c>
      <c r="B14485" t="s">
        <v>2766</v>
      </c>
      <c r="C14485">
        <v>810</v>
      </c>
      <c r="D14485" t="s">
        <v>341</v>
      </c>
      <c r="E14485" t="s">
        <v>90</v>
      </c>
      <c r="F14485" t="s">
        <v>466</v>
      </c>
      <c r="G14485" t="s">
        <v>782</v>
      </c>
      <c r="H14485" t="s">
        <v>1319</v>
      </c>
      <c r="I14485" t="s">
        <v>700</v>
      </c>
      <c r="J14485" t="s">
        <v>103</v>
      </c>
      <c r="K14485" t="s">
        <v>571</v>
      </c>
      <c r="L14485" t="s">
        <v>103</v>
      </c>
    </row>
    <row r="14487" spans="1:12" x14ac:dyDescent="0.3">
      <c r="A14487" t="s">
        <v>2996</v>
      </c>
    </row>
    <row r="14488" spans="1:12" x14ac:dyDescent="0.3">
      <c r="A14488" t="s">
        <v>36</v>
      </c>
      <c r="B14488" t="s">
        <v>2768</v>
      </c>
      <c r="C14488" t="s">
        <v>24</v>
      </c>
      <c r="D14488" t="s">
        <v>2981</v>
      </c>
      <c r="E14488" t="s">
        <v>2982</v>
      </c>
      <c r="F14488" t="s">
        <v>2983</v>
      </c>
      <c r="G14488" t="s">
        <v>2984</v>
      </c>
      <c r="H14488" t="s">
        <v>2985</v>
      </c>
      <c r="I14488" t="s">
        <v>2986</v>
      </c>
      <c r="J14488" t="s">
        <v>2987</v>
      </c>
      <c r="K14488" t="s">
        <v>2988</v>
      </c>
      <c r="L14488" t="s">
        <v>183</v>
      </c>
    </row>
    <row r="14489" spans="1:12" s="3" customFormat="1" x14ac:dyDescent="0.3">
      <c r="A14489" s="3" t="s">
        <v>25</v>
      </c>
      <c r="B14489" s="3" t="s">
        <v>638</v>
      </c>
      <c r="C14489" s="3">
        <v>1</v>
      </c>
      <c r="D14489" s="3" t="s">
        <v>103</v>
      </c>
      <c r="E14489" s="3" t="s">
        <v>103</v>
      </c>
      <c r="F14489" s="3" t="s">
        <v>103</v>
      </c>
      <c r="G14489" s="3" t="s">
        <v>192</v>
      </c>
      <c r="H14489" s="3" t="s">
        <v>103</v>
      </c>
      <c r="I14489" s="3" t="s">
        <v>103</v>
      </c>
      <c r="J14489" s="3" t="s">
        <v>103</v>
      </c>
      <c r="K14489" s="3" t="s">
        <v>103</v>
      </c>
      <c r="L14489" s="3" t="s">
        <v>103</v>
      </c>
    </row>
    <row r="14490" spans="1:12" s="3" customFormat="1" x14ac:dyDescent="0.3">
      <c r="A14490" s="3" t="s">
        <v>25</v>
      </c>
      <c r="B14490" s="3" t="s">
        <v>639</v>
      </c>
      <c r="C14490" s="3">
        <v>6</v>
      </c>
      <c r="D14490" s="3" t="s">
        <v>103</v>
      </c>
      <c r="E14490" s="3" t="s">
        <v>103</v>
      </c>
      <c r="F14490" s="3" t="s">
        <v>103</v>
      </c>
      <c r="G14490" s="3" t="s">
        <v>722</v>
      </c>
      <c r="H14490" s="3" t="s">
        <v>96</v>
      </c>
      <c r="I14490" s="3" t="s">
        <v>103</v>
      </c>
      <c r="J14490" s="3" t="s">
        <v>103</v>
      </c>
      <c r="K14490" s="3" t="s">
        <v>103</v>
      </c>
      <c r="L14490" s="3" t="s">
        <v>103</v>
      </c>
    </row>
    <row r="14491" spans="1:12" s="3" customFormat="1" x14ac:dyDescent="0.3">
      <c r="A14491" s="3" t="s">
        <v>25</v>
      </c>
      <c r="B14491" s="3" t="s">
        <v>640</v>
      </c>
      <c r="C14491" s="3">
        <v>6</v>
      </c>
      <c r="D14491" s="3" t="s">
        <v>103</v>
      </c>
      <c r="E14491" s="3" t="s">
        <v>707</v>
      </c>
      <c r="F14491" s="3" t="s">
        <v>103</v>
      </c>
      <c r="G14491" s="3" t="s">
        <v>793</v>
      </c>
      <c r="H14491" s="3" t="s">
        <v>103</v>
      </c>
      <c r="I14491" s="3" t="s">
        <v>756</v>
      </c>
      <c r="J14491" s="3" t="s">
        <v>103</v>
      </c>
      <c r="K14491" s="3" t="s">
        <v>103</v>
      </c>
      <c r="L14491" s="3" t="s">
        <v>103</v>
      </c>
    </row>
    <row r="14492" spans="1:12" s="3" customFormat="1" x14ac:dyDescent="0.3">
      <c r="A14492" s="3" t="s">
        <v>25</v>
      </c>
      <c r="B14492" s="3" t="s">
        <v>2765</v>
      </c>
      <c r="C14492" s="3">
        <v>2</v>
      </c>
      <c r="D14492" s="3" t="s">
        <v>103</v>
      </c>
      <c r="E14492" s="3" t="s">
        <v>103</v>
      </c>
      <c r="F14492" s="3" t="s">
        <v>103</v>
      </c>
      <c r="G14492" s="3" t="s">
        <v>695</v>
      </c>
      <c r="H14492" s="3" t="s">
        <v>103</v>
      </c>
      <c r="I14492" s="3" t="s">
        <v>761</v>
      </c>
      <c r="J14492" s="3" t="s">
        <v>103</v>
      </c>
      <c r="K14492" s="3" t="s">
        <v>103</v>
      </c>
      <c r="L14492" s="3" t="s">
        <v>103</v>
      </c>
    </row>
    <row r="14493" spans="1:12" s="3" customFormat="1" x14ac:dyDescent="0.3">
      <c r="A14493" s="3" t="s">
        <v>25</v>
      </c>
      <c r="B14493" s="3" t="s">
        <v>641</v>
      </c>
      <c r="C14493" s="3">
        <v>3</v>
      </c>
      <c r="D14493" s="3" t="s">
        <v>103</v>
      </c>
      <c r="E14493" s="3" t="s">
        <v>564</v>
      </c>
      <c r="F14493" s="3" t="s">
        <v>103</v>
      </c>
      <c r="G14493" s="3" t="s">
        <v>564</v>
      </c>
      <c r="H14493" s="3" t="s">
        <v>688</v>
      </c>
      <c r="I14493" s="3" t="s">
        <v>103</v>
      </c>
      <c r="J14493" s="3" t="s">
        <v>103</v>
      </c>
      <c r="K14493" s="3" t="s">
        <v>103</v>
      </c>
      <c r="L14493" s="3" t="s">
        <v>103</v>
      </c>
    </row>
    <row r="14494" spans="1:12" s="3" customFormat="1" x14ac:dyDescent="0.3">
      <c r="A14494" s="3" t="s">
        <v>25</v>
      </c>
      <c r="B14494" s="3" t="s">
        <v>2769</v>
      </c>
      <c r="C14494" s="3">
        <v>3</v>
      </c>
      <c r="D14494" s="3" t="s">
        <v>103</v>
      </c>
      <c r="E14494" s="3" t="s">
        <v>1292</v>
      </c>
      <c r="F14494" s="3" t="s">
        <v>103</v>
      </c>
      <c r="G14494" s="3" t="s">
        <v>355</v>
      </c>
      <c r="H14494" s="3" t="s">
        <v>103</v>
      </c>
      <c r="I14494" s="3" t="s">
        <v>103</v>
      </c>
      <c r="J14494" s="3" t="s">
        <v>103</v>
      </c>
      <c r="K14494" s="3" t="s">
        <v>103</v>
      </c>
      <c r="L14494" s="3" t="s">
        <v>103</v>
      </c>
    </row>
    <row r="14495" spans="1:12" x14ac:dyDescent="0.3">
      <c r="A14495" t="s">
        <v>25</v>
      </c>
      <c r="B14495" t="s">
        <v>308</v>
      </c>
      <c r="C14495">
        <v>173</v>
      </c>
      <c r="D14495" t="s">
        <v>272</v>
      </c>
      <c r="E14495" t="s">
        <v>115</v>
      </c>
      <c r="F14495" t="s">
        <v>214</v>
      </c>
      <c r="G14495" t="s">
        <v>1461</v>
      </c>
      <c r="H14495" t="s">
        <v>825</v>
      </c>
      <c r="I14495" t="s">
        <v>693</v>
      </c>
      <c r="J14495" t="s">
        <v>103</v>
      </c>
      <c r="K14495" t="s">
        <v>108</v>
      </c>
      <c r="L14495" t="s">
        <v>103</v>
      </c>
    </row>
    <row r="14496" spans="1:12" s="3" customFormat="1" x14ac:dyDescent="0.3">
      <c r="A14496" s="3" t="s">
        <v>26</v>
      </c>
      <c r="B14496" s="3" t="s">
        <v>639</v>
      </c>
      <c r="C14496" s="3">
        <v>1</v>
      </c>
      <c r="D14496" s="3" t="s">
        <v>103</v>
      </c>
      <c r="E14496" s="3" t="s">
        <v>103</v>
      </c>
      <c r="F14496" s="3" t="s">
        <v>103</v>
      </c>
      <c r="G14496" s="3" t="s">
        <v>192</v>
      </c>
      <c r="H14496" s="3" t="s">
        <v>103</v>
      </c>
      <c r="I14496" s="3" t="s">
        <v>103</v>
      </c>
      <c r="J14496" s="3" t="s">
        <v>103</v>
      </c>
      <c r="K14496" s="3" t="s">
        <v>103</v>
      </c>
      <c r="L14496" s="3" t="s">
        <v>103</v>
      </c>
    </row>
    <row r="14497" spans="1:12" s="3" customFormat="1" x14ac:dyDescent="0.3">
      <c r="A14497" s="3" t="s">
        <v>26</v>
      </c>
      <c r="B14497" s="3" t="s">
        <v>640</v>
      </c>
      <c r="C14497" s="3">
        <v>2</v>
      </c>
      <c r="D14497" s="3" t="s">
        <v>103</v>
      </c>
      <c r="E14497" s="3" t="s">
        <v>103</v>
      </c>
      <c r="F14497" s="3" t="s">
        <v>103</v>
      </c>
      <c r="G14497" s="3" t="s">
        <v>192</v>
      </c>
      <c r="H14497" s="3" t="s">
        <v>103</v>
      </c>
      <c r="I14497" s="3" t="s">
        <v>103</v>
      </c>
      <c r="J14497" s="3" t="s">
        <v>103</v>
      </c>
      <c r="K14497" s="3" t="s">
        <v>103</v>
      </c>
      <c r="L14497" s="3" t="s">
        <v>103</v>
      </c>
    </row>
    <row r="14498" spans="1:12" s="3" customFormat="1" x14ac:dyDescent="0.3">
      <c r="A14498" s="3" t="s">
        <v>26</v>
      </c>
      <c r="B14498" s="3" t="s">
        <v>641</v>
      </c>
      <c r="C14498" s="3">
        <v>1</v>
      </c>
      <c r="D14498" s="3" t="s">
        <v>103</v>
      </c>
      <c r="E14498" s="3" t="s">
        <v>103</v>
      </c>
      <c r="F14498" s="3" t="s">
        <v>103</v>
      </c>
      <c r="G14498" s="3" t="s">
        <v>192</v>
      </c>
      <c r="H14498" s="3" t="s">
        <v>103</v>
      </c>
      <c r="I14498" s="3" t="s">
        <v>103</v>
      </c>
      <c r="J14498" s="3" t="s">
        <v>103</v>
      </c>
      <c r="K14498" s="3" t="s">
        <v>103</v>
      </c>
      <c r="L14498" s="3" t="s">
        <v>103</v>
      </c>
    </row>
    <row r="14499" spans="1:12" s="3" customFormat="1" x14ac:dyDescent="0.3">
      <c r="A14499" s="3" t="s">
        <v>26</v>
      </c>
      <c r="B14499" s="3" t="s">
        <v>2769</v>
      </c>
      <c r="C14499" s="3">
        <v>1</v>
      </c>
      <c r="D14499" s="3" t="s">
        <v>103</v>
      </c>
      <c r="E14499" s="3" t="s">
        <v>103</v>
      </c>
      <c r="F14499" s="3" t="s">
        <v>103</v>
      </c>
      <c r="G14499" s="3" t="s">
        <v>192</v>
      </c>
      <c r="H14499" s="3" t="s">
        <v>103</v>
      </c>
      <c r="I14499" s="3" t="s">
        <v>103</v>
      </c>
      <c r="J14499" s="3" t="s">
        <v>103</v>
      </c>
      <c r="K14499" s="3" t="s">
        <v>103</v>
      </c>
      <c r="L14499" s="3" t="s">
        <v>103</v>
      </c>
    </row>
    <row r="14500" spans="1:12" x14ac:dyDescent="0.3">
      <c r="A14500" t="s">
        <v>26</v>
      </c>
      <c r="B14500" t="s">
        <v>308</v>
      </c>
      <c r="C14500">
        <v>192</v>
      </c>
      <c r="D14500" t="s">
        <v>591</v>
      </c>
      <c r="E14500" t="s">
        <v>32</v>
      </c>
      <c r="F14500" t="s">
        <v>169</v>
      </c>
      <c r="G14500" t="s">
        <v>722</v>
      </c>
      <c r="H14500" t="s">
        <v>146</v>
      </c>
      <c r="I14500" t="s">
        <v>461</v>
      </c>
      <c r="J14500" t="s">
        <v>103</v>
      </c>
      <c r="K14500" t="s">
        <v>103</v>
      </c>
      <c r="L14500" t="s">
        <v>103</v>
      </c>
    </row>
    <row r="14501" spans="1:12" s="3" customFormat="1" x14ac:dyDescent="0.3">
      <c r="A14501" s="3" t="s">
        <v>29</v>
      </c>
      <c r="B14501" s="3" t="s">
        <v>638</v>
      </c>
      <c r="C14501" s="3">
        <v>3</v>
      </c>
      <c r="D14501" s="3" t="s">
        <v>103</v>
      </c>
      <c r="E14501" s="3" t="s">
        <v>103</v>
      </c>
      <c r="F14501" s="3" t="s">
        <v>103</v>
      </c>
      <c r="G14501" s="3" t="s">
        <v>169</v>
      </c>
      <c r="H14501" s="3" t="s">
        <v>103</v>
      </c>
      <c r="I14501" s="3" t="s">
        <v>1281</v>
      </c>
      <c r="J14501" s="3" t="s">
        <v>103</v>
      </c>
      <c r="K14501" s="3" t="s">
        <v>170</v>
      </c>
      <c r="L14501" s="3" t="s">
        <v>103</v>
      </c>
    </row>
    <row r="14502" spans="1:12" s="3" customFormat="1" x14ac:dyDescent="0.3">
      <c r="A14502" s="3" t="s">
        <v>29</v>
      </c>
      <c r="B14502" s="3" t="s">
        <v>639</v>
      </c>
      <c r="C14502" s="3">
        <v>2</v>
      </c>
      <c r="D14502" s="3" t="s">
        <v>103</v>
      </c>
      <c r="E14502" s="3" t="s">
        <v>103</v>
      </c>
      <c r="F14502" s="3" t="s">
        <v>103</v>
      </c>
      <c r="G14502" s="3" t="s">
        <v>192</v>
      </c>
      <c r="H14502" s="3" t="s">
        <v>103</v>
      </c>
      <c r="I14502" s="3" t="s">
        <v>103</v>
      </c>
      <c r="J14502" s="3" t="s">
        <v>103</v>
      </c>
      <c r="K14502" s="3" t="s">
        <v>103</v>
      </c>
      <c r="L14502" s="3" t="s">
        <v>103</v>
      </c>
    </row>
    <row r="14503" spans="1:12" s="3" customFormat="1" x14ac:dyDescent="0.3">
      <c r="A14503" s="3" t="s">
        <v>29</v>
      </c>
      <c r="B14503" s="3" t="s">
        <v>640</v>
      </c>
      <c r="C14503" s="3">
        <v>3</v>
      </c>
      <c r="D14503" s="3" t="s">
        <v>103</v>
      </c>
      <c r="E14503" s="3" t="s">
        <v>103</v>
      </c>
      <c r="F14503" s="3" t="s">
        <v>103</v>
      </c>
      <c r="G14503" s="3" t="s">
        <v>791</v>
      </c>
      <c r="H14503" s="3" t="s">
        <v>103</v>
      </c>
      <c r="I14503" s="3" t="s">
        <v>103</v>
      </c>
      <c r="J14503" s="3" t="s">
        <v>103</v>
      </c>
      <c r="K14503" s="3" t="s">
        <v>873</v>
      </c>
      <c r="L14503" s="3" t="s">
        <v>103</v>
      </c>
    </row>
    <row r="14504" spans="1:12" s="3" customFormat="1" x14ac:dyDescent="0.3">
      <c r="A14504" s="3" t="s">
        <v>29</v>
      </c>
      <c r="B14504" s="3" t="s">
        <v>2765</v>
      </c>
      <c r="C14504" s="3">
        <v>5</v>
      </c>
      <c r="D14504" s="3" t="s">
        <v>103</v>
      </c>
      <c r="E14504" s="3" t="s">
        <v>103</v>
      </c>
      <c r="F14504" s="3" t="s">
        <v>103</v>
      </c>
      <c r="G14504" s="3" t="s">
        <v>428</v>
      </c>
      <c r="H14504" s="3" t="s">
        <v>103</v>
      </c>
      <c r="I14504" s="3" t="s">
        <v>429</v>
      </c>
      <c r="J14504" s="3" t="s">
        <v>103</v>
      </c>
      <c r="K14504" s="3" t="s">
        <v>1057</v>
      </c>
      <c r="L14504" s="3" t="s">
        <v>103</v>
      </c>
    </row>
    <row r="14505" spans="1:12" s="3" customFormat="1" x14ac:dyDescent="0.3">
      <c r="A14505" s="3" t="s">
        <v>29</v>
      </c>
      <c r="B14505" s="3" t="s">
        <v>641</v>
      </c>
      <c r="C14505" s="3">
        <v>2</v>
      </c>
      <c r="D14505" s="3" t="s">
        <v>103</v>
      </c>
      <c r="E14505" s="3" t="s">
        <v>103</v>
      </c>
      <c r="F14505" s="3" t="s">
        <v>103</v>
      </c>
      <c r="G14505" s="3" t="s">
        <v>1058</v>
      </c>
      <c r="H14505" s="3" t="s">
        <v>352</v>
      </c>
      <c r="I14505" s="3" t="s">
        <v>103</v>
      </c>
      <c r="J14505" s="3" t="s">
        <v>103</v>
      </c>
      <c r="K14505" s="3" t="s">
        <v>103</v>
      </c>
      <c r="L14505" s="3" t="s">
        <v>103</v>
      </c>
    </row>
    <row r="14506" spans="1:12" s="3" customFormat="1" x14ac:dyDescent="0.3">
      <c r="A14506" s="3" t="s">
        <v>29</v>
      </c>
      <c r="B14506" s="3" t="s">
        <v>2769</v>
      </c>
      <c r="C14506" s="3">
        <v>1</v>
      </c>
      <c r="D14506" s="3" t="s">
        <v>103</v>
      </c>
      <c r="E14506" s="3" t="s">
        <v>103</v>
      </c>
      <c r="F14506" s="3" t="s">
        <v>103</v>
      </c>
      <c r="G14506" s="3" t="s">
        <v>192</v>
      </c>
      <c r="H14506" s="3" t="s">
        <v>103</v>
      </c>
      <c r="I14506" s="3" t="s">
        <v>103</v>
      </c>
      <c r="J14506" s="3" t="s">
        <v>103</v>
      </c>
      <c r="K14506" s="3" t="s">
        <v>103</v>
      </c>
      <c r="L14506" s="3" t="s">
        <v>103</v>
      </c>
    </row>
    <row r="14507" spans="1:12" x14ac:dyDescent="0.3">
      <c r="A14507" t="s">
        <v>29</v>
      </c>
      <c r="B14507" t="s">
        <v>308</v>
      </c>
      <c r="C14507">
        <v>224</v>
      </c>
      <c r="D14507" t="s">
        <v>97</v>
      </c>
      <c r="E14507" t="s">
        <v>693</v>
      </c>
      <c r="F14507" t="s">
        <v>662</v>
      </c>
      <c r="G14507" t="s">
        <v>1279</v>
      </c>
      <c r="H14507" t="s">
        <v>1319</v>
      </c>
      <c r="I14507" t="s">
        <v>224</v>
      </c>
      <c r="J14507" t="s">
        <v>91</v>
      </c>
      <c r="K14507" t="s">
        <v>171</v>
      </c>
      <c r="L14507" t="s">
        <v>103</v>
      </c>
    </row>
    <row r="14508" spans="1:12" s="3" customFormat="1" x14ac:dyDescent="0.3">
      <c r="A14508" s="3" t="s">
        <v>28</v>
      </c>
      <c r="B14508" s="3" t="s">
        <v>638</v>
      </c>
      <c r="C14508" s="3">
        <v>8</v>
      </c>
      <c r="D14508" s="3" t="s">
        <v>103</v>
      </c>
      <c r="E14508" s="3" t="s">
        <v>103</v>
      </c>
      <c r="F14508" s="3" t="s">
        <v>750</v>
      </c>
      <c r="G14508" s="3" t="s">
        <v>2111</v>
      </c>
      <c r="H14508" s="3" t="s">
        <v>106</v>
      </c>
      <c r="I14508" s="3" t="s">
        <v>103</v>
      </c>
      <c r="J14508" s="3" t="s">
        <v>103</v>
      </c>
      <c r="K14508" s="3" t="s">
        <v>103</v>
      </c>
      <c r="L14508" s="3" t="s">
        <v>103</v>
      </c>
    </row>
    <row r="14509" spans="1:12" s="3" customFormat="1" x14ac:dyDescent="0.3">
      <c r="A14509" s="3" t="s">
        <v>28</v>
      </c>
      <c r="B14509" s="3" t="s">
        <v>639</v>
      </c>
      <c r="C14509" s="3">
        <v>13</v>
      </c>
      <c r="D14509" s="3" t="s">
        <v>103</v>
      </c>
      <c r="E14509" s="3" t="s">
        <v>103</v>
      </c>
      <c r="F14509" s="3" t="s">
        <v>103</v>
      </c>
      <c r="G14509" s="3" t="s">
        <v>1291</v>
      </c>
      <c r="H14509" s="3" t="s">
        <v>1090</v>
      </c>
      <c r="I14509" s="3" t="s">
        <v>103</v>
      </c>
      <c r="J14509" s="3" t="s">
        <v>103</v>
      </c>
      <c r="K14509" s="3" t="s">
        <v>103</v>
      </c>
      <c r="L14509" s="3" t="s">
        <v>103</v>
      </c>
    </row>
    <row r="14510" spans="1:12" s="3" customFormat="1" x14ac:dyDescent="0.3">
      <c r="A14510" s="3" t="s">
        <v>28</v>
      </c>
      <c r="B14510" s="3" t="s">
        <v>640</v>
      </c>
      <c r="C14510" s="3">
        <v>13</v>
      </c>
      <c r="D14510" s="3" t="s">
        <v>103</v>
      </c>
      <c r="E14510" s="3" t="s">
        <v>475</v>
      </c>
      <c r="F14510" s="3" t="s">
        <v>103</v>
      </c>
      <c r="G14510" s="3" t="s">
        <v>1556</v>
      </c>
      <c r="H14510" s="3" t="s">
        <v>109</v>
      </c>
      <c r="I14510" s="3" t="s">
        <v>103</v>
      </c>
      <c r="J14510" s="3" t="s">
        <v>103</v>
      </c>
      <c r="K14510" s="3" t="s">
        <v>103</v>
      </c>
      <c r="L14510" s="3" t="s">
        <v>103</v>
      </c>
    </row>
    <row r="14511" spans="1:12" s="3" customFormat="1" x14ac:dyDescent="0.3">
      <c r="A14511" s="3" t="s">
        <v>28</v>
      </c>
      <c r="B14511" s="3" t="s">
        <v>2765</v>
      </c>
      <c r="C14511" s="3">
        <v>1</v>
      </c>
      <c r="D14511" s="3" t="s">
        <v>103</v>
      </c>
      <c r="E14511" s="3" t="s">
        <v>103</v>
      </c>
      <c r="F14511" s="3" t="s">
        <v>103</v>
      </c>
      <c r="G14511" s="3" t="s">
        <v>192</v>
      </c>
      <c r="H14511" s="3" t="s">
        <v>103</v>
      </c>
      <c r="I14511" s="3" t="s">
        <v>103</v>
      </c>
      <c r="J14511" s="3" t="s">
        <v>103</v>
      </c>
      <c r="K14511" s="3" t="s">
        <v>103</v>
      </c>
      <c r="L14511" s="3" t="s">
        <v>103</v>
      </c>
    </row>
    <row r="14512" spans="1:12" s="3" customFormat="1" x14ac:dyDescent="0.3">
      <c r="A14512" s="3" t="s">
        <v>28</v>
      </c>
      <c r="B14512" s="3" t="s">
        <v>641</v>
      </c>
      <c r="C14512" s="3">
        <v>6</v>
      </c>
      <c r="D14512" s="3" t="s">
        <v>103</v>
      </c>
      <c r="E14512" s="3" t="s">
        <v>103</v>
      </c>
      <c r="F14512" s="3" t="s">
        <v>706</v>
      </c>
      <c r="G14512" s="3" t="s">
        <v>906</v>
      </c>
      <c r="H14512" s="3" t="s">
        <v>706</v>
      </c>
      <c r="I14512" s="3" t="s">
        <v>1065</v>
      </c>
      <c r="J14512" s="3" t="s">
        <v>103</v>
      </c>
      <c r="K14512" s="3" t="s">
        <v>103</v>
      </c>
      <c r="L14512" s="3" t="s">
        <v>103</v>
      </c>
    </row>
    <row r="14513" spans="1:12" s="3" customFormat="1" x14ac:dyDescent="0.3">
      <c r="A14513" s="3" t="s">
        <v>28</v>
      </c>
      <c r="B14513" s="3" t="s">
        <v>2769</v>
      </c>
      <c r="C14513" s="3">
        <v>3</v>
      </c>
      <c r="D14513" s="3" t="s">
        <v>103</v>
      </c>
      <c r="E14513" s="3" t="s">
        <v>103</v>
      </c>
      <c r="F14513" s="3" t="s">
        <v>103</v>
      </c>
      <c r="G14513" s="3" t="s">
        <v>502</v>
      </c>
      <c r="H14513" s="3" t="s">
        <v>857</v>
      </c>
      <c r="I14513" s="3" t="s">
        <v>858</v>
      </c>
      <c r="J14513" s="3" t="s">
        <v>103</v>
      </c>
      <c r="K14513" s="3" t="s">
        <v>103</v>
      </c>
      <c r="L14513" s="3" t="s">
        <v>103</v>
      </c>
    </row>
    <row r="14514" spans="1:12" x14ac:dyDescent="0.3">
      <c r="A14514" t="s">
        <v>28</v>
      </c>
      <c r="B14514" t="s">
        <v>308</v>
      </c>
      <c r="C14514">
        <v>134</v>
      </c>
      <c r="D14514" t="s">
        <v>139</v>
      </c>
      <c r="E14514" t="s">
        <v>266</v>
      </c>
      <c r="F14514" t="s">
        <v>341</v>
      </c>
      <c r="G14514" t="s">
        <v>1040</v>
      </c>
      <c r="H14514" t="s">
        <v>809</v>
      </c>
      <c r="I14514" t="s">
        <v>125</v>
      </c>
      <c r="J14514" t="s">
        <v>103</v>
      </c>
      <c r="K14514" t="s">
        <v>139</v>
      </c>
      <c r="L14514" t="s">
        <v>103</v>
      </c>
    </row>
    <row r="14515" spans="1:12" s="3" customFormat="1" x14ac:dyDescent="0.3">
      <c r="A14515" s="3" t="s">
        <v>27</v>
      </c>
      <c r="B14515" s="3" t="s">
        <v>639</v>
      </c>
      <c r="C14515" s="3">
        <v>1</v>
      </c>
      <c r="D14515" s="3" t="s">
        <v>103</v>
      </c>
      <c r="E14515" s="3" t="s">
        <v>103</v>
      </c>
      <c r="F14515" s="3" t="s">
        <v>103</v>
      </c>
      <c r="G14515" s="3" t="s">
        <v>192</v>
      </c>
      <c r="H14515" s="3" t="s">
        <v>103</v>
      </c>
      <c r="I14515" s="3" t="s">
        <v>103</v>
      </c>
      <c r="J14515" s="3" t="s">
        <v>103</v>
      </c>
      <c r="K14515" s="3" t="s">
        <v>103</v>
      </c>
      <c r="L14515" s="3" t="s">
        <v>103</v>
      </c>
    </row>
    <row r="14516" spans="1:12" x14ac:dyDescent="0.3">
      <c r="A14516" t="s">
        <v>27</v>
      </c>
      <c r="B14516" t="s">
        <v>308</v>
      </c>
      <c r="C14516">
        <v>165</v>
      </c>
      <c r="D14516" t="s">
        <v>103</v>
      </c>
      <c r="E14516" t="s">
        <v>112</v>
      </c>
      <c r="F14516" t="s">
        <v>438</v>
      </c>
      <c r="G14516" t="s">
        <v>628</v>
      </c>
      <c r="H14516" t="s">
        <v>807</v>
      </c>
      <c r="I14516" t="s">
        <v>146</v>
      </c>
      <c r="J14516" t="s">
        <v>103</v>
      </c>
      <c r="K14516" t="s">
        <v>652</v>
      </c>
      <c r="L14516" t="s">
        <v>103</v>
      </c>
    </row>
    <row r="14517" spans="1:12" s="3" customFormat="1" x14ac:dyDescent="0.3">
      <c r="A14517" s="3" t="s">
        <v>41</v>
      </c>
      <c r="B14517" s="3" t="s">
        <v>638</v>
      </c>
      <c r="C14517" s="3">
        <v>12</v>
      </c>
      <c r="D14517" s="3" t="s">
        <v>103</v>
      </c>
      <c r="E14517" s="3" t="s">
        <v>103</v>
      </c>
      <c r="F14517" s="3" t="s">
        <v>251</v>
      </c>
      <c r="G14517" s="3" t="s">
        <v>487</v>
      </c>
      <c r="H14517" s="3" t="s">
        <v>101</v>
      </c>
      <c r="I14517" s="3" t="s">
        <v>1223</v>
      </c>
      <c r="J14517" s="3" t="s">
        <v>103</v>
      </c>
      <c r="K14517" s="3" t="s">
        <v>1057</v>
      </c>
      <c r="L14517" s="3" t="s">
        <v>103</v>
      </c>
    </row>
    <row r="14518" spans="1:12" s="3" customFormat="1" x14ac:dyDescent="0.3">
      <c r="A14518" s="3" t="s">
        <v>41</v>
      </c>
      <c r="B14518" s="3" t="s">
        <v>639</v>
      </c>
      <c r="C14518" s="3">
        <v>23</v>
      </c>
      <c r="D14518" s="3" t="s">
        <v>103</v>
      </c>
      <c r="E14518" s="3" t="s">
        <v>103</v>
      </c>
      <c r="F14518" s="3" t="s">
        <v>103</v>
      </c>
      <c r="G14518" s="3" t="s">
        <v>747</v>
      </c>
      <c r="H14518" s="3" t="s">
        <v>746</v>
      </c>
      <c r="I14518" s="3" t="s">
        <v>103</v>
      </c>
      <c r="J14518" s="3" t="s">
        <v>103</v>
      </c>
      <c r="K14518" s="3" t="s">
        <v>103</v>
      </c>
      <c r="L14518" s="3" t="s">
        <v>103</v>
      </c>
    </row>
    <row r="14519" spans="1:12" s="3" customFormat="1" x14ac:dyDescent="0.3">
      <c r="A14519" s="3" t="s">
        <v>41</v>
      </c>
      <c r="B14519" s="3" t="s">
        <v>640</v>
      </c>
      <c r="C14519" s="3">
        <v>24</v>
      </c>
      <c r="D14519" s="3" t="s">
        <v>103</v>
      </c>
      <c r="E14519" s="3" t="s">
        <v>700</v>
      </c>
      <c r="F14519" s="3" t="s">
        <v>103</v>
      </c>
      <c r="G14519" s="3" t="s">
        <v>690</v>
      </c>
      <c r="H14519" s="3" t="s">
        <v>571</v>
      </c>
      <c r="I14519" s="3" t="s">
        <v>126</v>
      </c>
      <c r="J14519" s="3" t="s">
        <v>103</v>
      </c>
      <c r="K14519" s="3" t="s">
        <v>99</v>
      </c>
      <c r="L14519" s="3" t="s">
        <v>103</v>
      </c>
    </row>
    <row r="14520" spans="1:12" s="3" customFormat="1" x14ac:dyDescent="0.3">
      <c r="A14520" s="3" t="s">
        <v>41</v>
      </c>
      <c r="B14520" s="3" t="s">
        <v>2765</v>
      </c>
      <c r="C14520" s="3">
        <v>8</v>
      </c>
      <c r="D14520" s="3" t="s">
        <v>103</v>
      </c>
      <c r="E14520" s="3" t="s">
        <v>103</v>
      </c>
      <c r="F14520" s="3" t="s">
        <v>103</v>
      </c>
      <c r="G14520" s="3" t="s">
        <v>356</v>
      </c>
      <c r="H14520" s="3" t="s">
        <v>103</v>
      </c>
      <c r="I14520" s="3" t="s">
        <v>458</v>
      </c>
      <c r="J14520" s="3" t="s">
        <v>103</v>
      </c>
      <c r="K14520" s="3" t="s">
        <v>435</v>
      </c>
      <c r="L14520" s="3" t="s">
        <v>103</v>
      </c>
    </row>
    <row r="14521" spans="1:12" s="3" customFormat="1" x14ac:dyDescent="0.3">
      <c r="A14521" s="3" t="s">
        <v>41</v>
      </c>
      <c r="B14521" s="3" t="s">
        <v>641</v>
      </c>
      <c r="C14521" s="3">
        <v>12</v>
      </c>
      <c r="D14521" s="3" t="s">
        <v>103</v>
      </c>
      <c r="E14521" s="3" t="s">
        <v>60</v>
      </c>
      <c r="F14521" s="3" t="s">
        <v>232</v>
      </c>
      <c r="G14521" s="3" t="s">
        <v>1394</v>
      </c>
      <c r="H14521" s="3" t="s">
        <v>671</v>
      </c>
      <c r="I14521" s="3" t="s">
        <v>700</v>
      </c>
      <c r="J14521" s="3" t="s">
        <v>103</v>
      </c>
      <c r="K14521" s="3" t="s">
        <v>103</v>
      </c>
      <c r="L14521" s="3" t="s">
        <v>103</v>
      </c>
    </row>
    <row r="14522" spans="1:12" s="3" customFormat="1" x14ac:dyDescent="0.3">
      <c r="A14522" s="3" t="s">
        <v>41</v>
      </c>
      <c r="B14522" s="3" t="s">
        <v>2769</v>
      </c>
      <c r="C14522" s="3">
        <v>8</v>
      </c>
      <c r="D14522" s="3" t="s">
        <v>103</v>
      </c>
      <c r="E14522" s="3" t="s">
        <v>561</v>
      </c>
      <c r="F14522" s="3" t="s">
        <v>103</v>
      </c>
      <c r="G14522" s="3" t="s">
        <v>1243</v>
      </c>
      <c r="H14522" s="3" t="s">
        <v>112</v>
      </c>
      <c r="I14522" s="3" t="s">
        <v>217</v>
      </c>
      <c r="J14522" s="3" t="s">
        <v>103</v>
      </c>
      <c r="K14522" s="3" t="s">
        <v>103</v>
      </c>
      <c r="L14522" s="3" t="s">
        <v>103</v>
      </c>
    </row>
    <row r="14523" spans="1:12" x14ac:dyDescent="0.3">
      <c r="A14523" t="s">
        <v>41</v>
      </c>
      <c r="B14523" t="s">
        <v>308</v>
      </c>
      <c r="C14523">
        <v>888</v>
      </c>
      <c r="D14523" t="s">
        <v>341</v>
      </c>
      <c r="E14523" t="s">
        <v>571</v>
      </c>
      <c r="F14523" t="s">
        <v>594</v>
      </c>
      <c r="G14523" t="s">
        <v>1002</v>
      </c>
      <c r="H14523" t="s">
        <v>682</v>
      </c>
      <c r="I14523" t="s">
        <v>148</v>
      </c>
      <c r="J14523" t="s">
        <v>103</v>
      </c>
      <c r="K14523" t="s">
        <v>90</v>
      </c>
      <c r="L14523" t="s">
        <v>103</v>
      </c>
    </row>
    <row r="14525" spans="1:12" x14ac:dyDescent="0.3">
      <c r="A14525" t="s">
        <v>2997</v>
      </c>
    </row>
    <row r="14526" spans="1:12" x14ac:dyDescent="0.3">
      <c r="A14526" t="s">
        <v>36</v>
      </c>
      <c r="B14526" t="s">
        <v>2771</v>
      </c>
      <c r="C14526" t="s">
        <v>24</v>
      </c>
      <c r="D14526" t="s">
        <v>2981</v>
      </c>
      <c r="E14526" t="s">
        <v>2982</v>
      </c>
      <c r="F14526" t="s">
        <v>2983</v>
      </c>
      <c r="G14526" t="s">
        <v>2984</v>
      </c>
      <c r="H14526" t="s">
        <v>2985</v>
      </c>
      <c r="I14526" t="s">
        <v>2986</v>
      </c>
      <c r="J14526" t="s">
        <v>2987</v>
      </c>
      <c r="K14526" t="s">
        <v>2988</v>
      </c>
      <c r="L14526" t="s">
        <v>183</v>
      </c>
    </row>
    <row r="14527" spans="1:12" s="3" customFormat="1" x14ac:dyDescent="0.3">
      <c r="A14527" s="3" t="s">
        <v>25</v>
      </c>
      <c r="B14527" s="3" t="s">
        <v>2772</v>
      </c>
      <c r="C14527" s="3">
        <v>1</v>
      </c>
      <c r="D14527" s="3" t="s">
        <v>103</v>
      </c>
      <c r="E14527" s="3" t="s">
        <v>192</v>
      </c>
      <c r="F14527" s="3" t="s">
        <v>103</v>
      </c>
      <c r="G14527" s="3" t="s">
        <v>103</v>
      </c>
      <c r="H14527" s="3" t="s">
        <v>103</v>
      </c>
      <c r="I14527" s="3" t="s">
        <v>103</v>
      </c>
      <c r="J14527" s="3" t="s">
        <v>103</v>
      </c>
      <c r="K14527" s="3" t="s">
        <v>103</v>
      </c>
      <c r="L14527" s="3" t="s">
        <v>103</v>
      </c>
    </row>
    <row r="14528" spans="1:12" s="3" customFormat="1" x14ac:dyDescent="0.3">
      <c r="A14528" s="3" t="s">
        <v>25</v>
      </c>
      <c r="B14528" s="3" t="s">
        <v>2773</v>
      </c>
      <c r="C14528" s="3">
        <v>1</v>
      </c>
      <c r="D14528" s="3" t="s">
        <v>103</v>
      </c>
      <c r="E14528" s="3" t="s">
        <v>103</v>
      </c>
      <c r="F14528" s="3" t="s">
        <v>103</v>
      </c>
      <c r="G14528" s="3" t="s">
        <v>103</v>
      </c>
      <c r="H14528" s="3" t="s">
        <v>103</v>
      </c>
      <c r="I14528" s="3" t="s">
        <v>103</v>
      </c>
      <c r="J14528" s="3" t="s">
        <v>103</v>
      </c>
      <c r="K14528" s="3" t="s">
        <v>192</v>
      </c>
      <c r="L14528" s="3" t="s">
        <v>103</v>
      </c>
    </row>
    <row r="14529" spans="1:12" s="3" customFormat="1" x14ac:dyDescent="0.3">
      <c r="A14529" s="3" t="s">
        <v>25</v>
      </c>
      <c r="B14529" s="3" t="s">
        <v>2774</v>
      </c>
      <c r="C14529" s="3">
        <v>6</v>
      </c>
      <c r="D14529" s="3" t="s">
        <v>103</v>
      </c>
      <c r="E14529" s="3" t="s">
        <v>465</v>
      </c>
      <c r="F14529" s="3" t="s">
        <v>103</v>
      </c>
      <c r="G14529" s="3" t="s">
        <v>1549</v>
      </c>
      <c r="H14529" s="3" t="s">
        <v>103</v>
      </c>
      <c r="I14529" s="3" t="s">
        <v>103</v>
      </c>
      <c r="J14529" s="3" t="s">
        <v>103</v>
      </c>
      <c r="K14529" s="3" t="s">
        <v>127</v>
      </c>
      <c r="L14529" s="3" t="s">
        <v>103</v>
      </c>
    </row>
    <row r="14530" spans="1:12" s="3" customFormat="1" x14ac:dyDescent="0.3">
      <c r="A14530" s="3" t="s">
        <v>25</v>
      </c>
      <c r="B14530" s="3" t="s">
        <v>2775</v>
      </c>
      <c r="C14530" s="3">
        <v>9</v>
      </c>
      <c r="D14530" s="3" t="s">
        <v>103</v>
      </c>
      <c r="E14530" s="3" t="s">
        <v>660</v>
      </c>
      <c r="F14530" s="3" t="s">
        <v>103</v>
      </c>
      <c r="G14530" s="3" t="s">
        <v>1093</v>
      </c>
      <c r="H14530" s="3" t="s">
        <v>398</v>
      </c>
      <c r="I14530" s="3" t="s">
        <v>224</v>
      </c>
      <c r="J14530" s="3" t="s">
        <v>103</v>
      </c>
      <c r="K14530" s="3" t="s">
        <v>743</v>
      </c>
      <c r="L14530" s="3" t="s">
        <v>103</v>
      </c>
    </row>
    <row r="14531" spans="1:12" s="3" customFormat="1" x14ac:dyDescent="0.3">
      <c r="A14531" s="3" t="s">
        <v>25</v>
      </c>
      <c r="B14531" s="3" t="s">
        <v>2776</v>
      </c>
      <c r="C14531" s="3">
        <v>23</v>
      </c>
      <c r="D14531" s="3" t="s">
        <v>483</v>
      </c>
      <c r="E14531" s="3" t="s">
        <v>549</v>
      </c>
      <c r="F14531" s="3" t="s">
        <v>103</v>
      </c>
      <c r="G14531" s="3" t="s">
        <v>414</v>
      </c>
      <c r="H14531" s="3" t="s">
        <v>472</v>
      </c>
      <c r="I14531" s="3" t="s">
        <v>103</v>
      </c>
      <c r="J14531" s="3" t="s">
        <v>103</v>
      </c>
      <c r="K14531" s="3" t="s">
        <v>107</v>
      </c>
      <c r="L14531" s="3" t="s">
        <v>103</v>
      </c>
    </row>
    <row r="14532" spans="1:12" x14ac:dyDescent="0.3">
      <c r="A14532" t="s">
        <v>25</v>
      </c>
      <c r="B14532" t="s">
        <v>2777</v>
      </c>
      <c r="C14532">
        <v>71</v>
      </c>
      <c r="D14532" t="s">
        <v>103</v>
      </c>
      <c r="E14532" t="s">
        <v>152</v>
      </c>
      <c r="F14532" t="s">
        <v>652</v>
      </c>
      <c r="G14532" t="s">
        <v>696</v>
      </c>
      <c r="H14532" t="s">
        <v>476</v>
      </c>
      <c r="I14532" t="s">
        <v>652</v>
      </c>
      <c r="J14532" t="s">
        <v>103</v>
      </c>
      <c r="K14532" t="s">
        <v>133</v>
      </c>
      <c r="L14532" t="s">
        <v>103</v>
      </c>
    </row>
    <row r="14533" spans="1:12" x14ac:dyDescent="0.3">
      <c r="A14533" t="s">
        <v>25</v>
      </c>
      <c r="B14533" t="s">
        <v>2778</v>
      </c>
      <c r="C14533">
        <v>81</v>
      </c>
      <c r="D14533" t="s">
        <v>345</v>
      </c>
      <c r="E14533" t="s">
        <v>171</v>
      </c>
      <c r="F14533" t="s">
        <v>345</v>
      </c>
      <c r="G14533" t="s">
        <v>664</v>
      </c>
      <c r="H14533" t="s">
        <v>921</v>
      </c>
      <c r="I14533" t="s">
        <v>809</v>
      </c>
      <c r="J14533" t="s">
        <v>103</v>
      </c>
      <c r="K14533" t="s">
        <v>108</v>
      </c>
      <c r="L14533" t="s">
        <v>103</v>
      </c>
    </row>
    <row r="14534" spans="1:12" s="3" customFormat="1" x14ac:dyDescent="0.3">
      <c r="A14534" s="3" t="s">
        <v>25</v>
      </c>
      <c r="B14534" s="3" t="s">
        <v>223</v>
      </c>
      <c r="C14534" s="3">
        <v>1</v>
      </c>
      <c r="D14534" s="3" t="s">
        <v>103</v>
      </c>
      <c r="E14534" s="3" t="s">
        <v>103</v>
      </c>
      <c r="F14534" s="3" t="s">
        <v>103</v>
      </c>
      <c r="G14534" s="3" t="s">
        <v>103</v>
      </c>
      <c r="H14534" s="3" t="s">
        <v>192</v>
      </c>
      <c r="I14534" s="3" t="s">
        <v>103</v>
      </c>
      <c r="J14534" s="3" t="s">
        <v>103</v>
      </c>
      <c r="K14534" s="3" t="s">
        <v>103</v>
      </c>
      <c r="L14534" s="3" t="s">
        <v>103</v>
      </c>
    </row>
    <row r="14535" spans="1:12" x14ac:dyDescent="0.3">
      <c r="A14535" t="s">
        <v>25</v>
      </c>
      <c r="B14535" t="s">
        <v>308</v>
      </c>
      <c r="C14535">
        <v>1</v>
      </c>
      <c r="D14535" t="s">
        <v>103</v>
      </c>
      <c r="E14535" t="s">
        <v>103</v>
      </c>
      <c r="F14535" t="s">
        <v>103</v>
      </c>
      <c r="G14535" t="s">
        <v>103</v>
      </c>
      <c r="H14535" t="s">
        <v>192</v>
      </c>
      <c r="I14535" t="s">
        <v>103</v>
      </c>
      <c r="J14535" t="s">
        <v>103</v>
      </c>
      <c r="K14535" t="s">
        <v>103</v>
      </c>
      <c r="L14535" t="s">
        <v>103</v>
      </c>
    </row>
    <row r="14536" spans="1:12" s="3" customFormat="1" x14ac:dyDescent="0.3">
      <c r="A14536" s="3" t="s">
        <v>26</v>
      </c>
      <c r="B14536" s="3" t="s">
        <v>2772</v>
      </c>
      <c r="C14536" s="3">
        <v>3</v>
      </c>
      <c r="D14536" s="3" t="s">
        <v>103</v>
      </c>
      <c r="E14536" s="3" t="s">
        <v>103</v>
      </c>
      <c r="F14536" s="3" t="s">
        <v>103</v>
      </c>
      <c r="G14536" s="3" t="s">
        <v>192</v>
      </c>
      <c r="H14536" s="3" t="s">
        <v>103</v>
      </c>
      <c r="I14536" s="3" t="s">
        <v>103</v>
      </c>
      <c r="J14536" s="3" t="s">
        <v>103</v>
      </c>
      <c r="K14536" s="3" t="s">
        <v>103</v>
      </c>
      <c r="L14536" s="3" t="s">
        <v>103</v>
      </c>
    </row>
    <row r="14537" spans="1:12" s="3" customFormat="1" x14ac:dyDescent="0.3">
      <c r="A14537" s="3" t="s">
        <v>26</v>
      </c>
      <c r="B14537" s="3" t="s">
        <v>2773</v>
      </c>
      <c r="C14537" s="3">
        <v>4</v>
      </c>
      <c r="D14537" s="3" t="s">
        <v>475</v>
      </c>
      <c r="E14537" s="3" t="s">
        <v>103</v>
      </c>
      <c r="F14537" s="3" t="s">
        <v>103</v>
      </c>
      <c r="G14537" s="3" t="s">
        <v>1576</v>
      </c>
      <c r="H14537" s="3" t="s">
        <v>103</v>
      </c>
      <c r="I14537" s="3" t="s">
        <v>618</v>
      </c>
      <c r="J14537" s="3" t="s">
        <v>103</v>
      </c>
      <c r="K14537" s="3" t="s">
        <v>103</v>
      </c>
      <c r="L14537" s="3" t="s">
        <v>103</v>
      </c>
    </row>
    <row r="14538" spans="1:12" s="3" customFormat="1" x14ac:dyDescent="0.3">
      <c r="A14538" s="3" t="s">
        <v>26</v>
      </c>
      <c r="B14538" s="3" t="s">
        <v>2774</v>
      </c>
      <c r="C14538" s="3">
        <v>9</v>
      </c>
      <c r="D14538" s="3" t="s">
        <v>103</v>
      </c>
      <c r="E14538" s="3" t="s">
        <v>702</v>
      </c>
      <c r="F14538" s="3" t="s">
        <v>103</v>
      </c>
      <c r="G14538" s="3" t="s">
        <v>801</v>
      </c>
      <c r="H14538" s="3" t="s">
        <v>103</v>
      </c>
      <c r="I14538" s="3" t="s">
        <v>136</v>
      </c>
      <c r="J14538" s="3" t="s">
        <v>103</v>
      </c>
      <c r="K14538" s="3" t="s">
        <v>103</v>
      </c>
      <c r="L14538" s="3" t="s">
        <v>103</v>
      </c>
    </row>
    <row r="14539" spans="1:12" s="3" customFormat="1" x14ac:dyDescent="0.3">
      <c r="A14539" s="3" t="s">
        <v>26</v>
      </c>
      <c r="B14539" s="3" t="s">
        <v>2775</v>
      </c>
      <c r="C14539" s="3">
        <v>10</v>
      </c>
      <c r="D14539" s="3" t="s">
        <v>103</v>
      </c>
      <c r="E14539" s="3" t="s">
        <v>271</v>
      </c>
      <c r="F14539" s="3" t="s">
        <v>132</v>
      </c>
      <c r="G14539" s="3" t="s">
        <v>1207</v>
      </c>
      <c r="H14539" s="3" t="s">
        <v>103</v>
      </c>
      <c r="I14539" s="3" t="s">
        <v>1425</v>
      </c>
      <c r="J14539" s="3" t="s">
        <v>103</v>
      </c>
      <c r="K14539" s="3" t="s">
        <v>103</v>
      </c>
      <c r="L14539" s="3" t="s">
        <v>103</v>
      </c>
    </row>
    <row r="14540" spans="1:12" x14ac:dyDescent="0.3">
      <c r="A14540" t="s">
        <v>26</v>
      </c>
      <c r="B14540" t="s">
        <v>2776</v>
      </c>
      <c r="C14540">
        <v>38</v>
      </c>
      <c r="D14540" t="s">
        <v>270</v>
      </c>
      <c r="E14540" t="s">
        <v>64</v>
      </c>
      <c r="F14540" t="s">
        <v>169</v>
      </c>
      <c r="G14540" t="s">
        <v>704</v>
      </c>
      <c r="H14540" t="s">
        <v>918</v>
      </c>
      <c r="I14540" t="s">
        <v>1093</v>
      </c>
      <c r="J14540" t="s">
        <v>103</v>
      </c>
      <c r="K14540" t="s">
        <v>103</v>
      </c>
      <c r="L14540" t="s">
        <v>103</v>
      </c>
    </row>
    <row r="14541" spans="1:12" x14ac:dyDescent="0.3">
      <c r="A14541" t="s">
        <v>26</v>
      </c>
      <c r="B14541" t="s">
        <v>2777</v>
      </c>
      <c r="C14541">
        <v>80</v>
      </c>
      <c r="D14541" t="s">
        <v>615</v>
      </c>
      <c r="E14541" t="s">
        <v>64</v>
      </c>
      <c r="F14541" t="s">
        <v>136</v>
      </c>
      <c r="G14541" t="s">
        <v>1676</v>
      </c>
      <c r="H14541" t="s">
        <v>750</v>
      </c>
      <c r="I14541" t="s">
        <v>683</v>
      </c>
      <c r="J14541" t="s">
        <v>103</v>
      </c>
      <c r="K14541" t="s">
        <v>103</v>
      </c>
      <c r="L14541" t="s">
        <v>103</v>
      </c>
    </row>
    <row r="14542" spans="1:12" x14ac:dyDescent="0.3">
      <c r="A14542" t="s">
        <v>26</v>
      </c>
      <c r="B14542" t="s">
        <v>2778</v>
      </c>
      <c r="C14542">
        <v>47</v>
      </c>
      <c r="D14542" t="s">
        <v>284</v>
      </c>
      <c r="E14542" t="s">
        <v>33</v>
      </c>
      <c r="F14542" t="s">
        <v>152</v>
      </c>
      <c r="G14542" t="s">
        <v>1222</v>
      </c>
      <c r="H14542" t="s">
        <v>278</v>
      </c>
      <c r="I14542" t="s">
        <v>70</v>
      </c>
      <c r="J14542" t="s">
        <v>103</v>
      </c>
      <c r="K14542" t="s">
        <v>103</v>
      </c>
      <c r="L14542" t="s">
        <v>103</v>
      </c>
    </row>
    <row r="14543" spans="1:12" x14ac:dyDescent="0.3">
      <c r="A14543" t="s">
        <v>26</v>
      </c>
      <c r="B14543" t="s">
        <v>308</v>
      </c>
      <c r="C14543">
        <v>6</v>
      </c>
      <c r="D14543" t="s">
        <v>103</v>
      </c>
      <c r="E14543" t="s">
        <v>103</v>
      </c>
      <c r="F14543" t="s">
        <v>103</v>
      </c>
      <c r="G14543" t="s">
        <v>385</v>
      </c>
      <c r="H14543" t="s">
        <v>148</v>
      </c>
      <c r="I14543" t="s">
        <v>384</v>
      </c>
      <c r="J14543" t="s">
        <v>103</v>
      </c>
      <c r="K14543" t="s">
        <v>103</v>
      </c>
      <c r="L14543" t="s">
        <v>103</v>
      </c>
    </row>
    <row r="14544" spans="1:12" s="3" customFormat="1" x14ac:dyDescent="0.3">
      <c r="A14544" s="3" t="s">
        <v>29</v>
      </c>
      <c r="B14544" s="3" t="s">
        <v>2772</v>
      </c>
      <c r="C14544" s="3">
        <v>1</v>
      </c>
      <c r="D14544" s="3" t="s">
        <v>103</v>
      </c>
      <c r="E14544" s="3" t="s">
        <v>192</v>
      </c>
      <c r="F14544" s="3" t="s">
        <v>103</v>
      </c>
      <c r="G14544" s="3" t="s">
        <v>103</v>
      </c>
      <c r="H14544" s="3" t="s">
        <v>103</v>
      </c>
      <c r="I14544" s="3" t="s">
        <v>103</v>
      </c>
      <c r="J14544" s="3" t="s">
        <v>103</v>
      </c>
      <c r="K14544" s="3" t="s">
        <v>103</v>
      </c>
      <c r="L14544" s="3" t="s">
        <v>103</v>
      </c>
    </row>
    <row r="14545" spans="1:12" s="3" customFormat="1" x14ac:dyDescent="0.3">
      <c r="A14545" s="3" t="s">
        <v>29</v>
      </c>
      <c r="B14545" s="3" t="s">
        <v>2773</v>
      </c>
      <c r="C14545" s="3">
        <v>6</v>
      </c>
      <c r="D14545" s="3" t="s">
        <v>103</v>
      </c>
      <c r="E14545" s="3" t="s">
        <v>103</v>
      </c>
      <c r="F14545" s="3" t="s">
        <v>103</v>
      </c>
      <c r="G14545" s="3" t="s">
        <v>1284</v>
      </c>
      <c r="H14545" s="3" t="s">
        <v>103</v>
      </c>
      <c r="I14545" s="3" t="s">
        <v>545</v>
      </c>
      <c r="J14545" s="3" t="s">
        <v>103</v>
      </c>
      <c r="K14545" s="3" t="s">
        <v>516</v>
      </c>
      <c r="L14545" s="3" t="s">
        <v>103</v>
      </c>
    </row>
    <row r="14546" spans="1:12" s="3" customFormat="1" x14ac:dyDescent="0.3">
      <c r="A14546" s="3" t="s">
        <v>29</v>
      </c>
      <c r="B14546" s="3" t="s">
        <v>2774</v>
      </c>
      <c r="C14546" s="3">
        <v>14</v>
      </c>
      <c r="D14546" s="3" t="s">
        <v>103</v>
      </c>
      <c r="E14546" s="3" t="s">
        <v>195</v>
      </c>
      <c r="F14546" s="3" t="s">
        <v>452</v>
      </c>
      <c r="G14546" s="3" t="s">
        <v>184</v>
      </c>
      <c r="H14546" s="3" t="s">
        <v>103</v>
      </c>
      <c r="I14546" s="3" t="s">
        <v>103</v>
      </c>
      <c r="J14546" s="3" t="s">
        <v>103</v>
      </c>
      <c r="K14546" s="3" t="s">
        <v>103</v>
      </c>
      <c r="L14546" s="3" t="s">
        <v>103</v>
      </c>
    </row>
    <row r="14547" spans="1:12" s="3" customFormat="1" x14ac:dyDescent="0.3">
      <c r="A14547" s="3" t="s">
        <v>29</v>
      </c>
      <c r="B14547" s="3" t="s">
        <v>2775</v>
      </c>
      <c r="C14547" s="3">
        <v>15</v>
      </c>
      <c r="D14547" s="3" t="s">
        <v>103</v>
      </c>
      <c r="E14547" s="3" t="s">
        <v>555</v>
      </c>
      <c r="F14547" s="3" t="s">
        <v>103</v>
      </c>
      <c r="G14547" s="3" t="s">
        <v>414</v>
      </c>
      <c r="H14547" s="3" t="s">
        <v>418</v>
      </c>
      <c r="I14547" s="3" t="s">
        <v>575</v>
      </c>
      <c r="J14547" s="3" t="s">
        <v>103</v>
      </c>
      <c r="K14547" s="3" t="s">
        <v>108</v>
      </c>
      <c r="L14547" s="3" t="s">
        <v>103</v>
      </c>
    </row>
    <row r="14548" spans="1:12" x14ac:dyDescent="0.3">
      <c r="A14548" t="s">
        <v>29</v>
      </c>
      <c r="B14548" t="s">
        <v>2776</v>
      </c>
      <c r="C14548">
        <v>31</v>
      </c>
      <c r="D14548" t="s">
        <v>68</v>
      </c>
      <c r="E14548" t="s">
        <v>281</v>
      </c>
      <c r="F14548" t="s">
        <v>281</v>
      </c>
      <c r="G14548" t="s">
        <v>424</v>
      </c>
      <c r="H14548" t="s">
        <v>700</v>
      </c>
      <c r="I14548" t="s">
        <v>531</v>
      </c>
      <c r="J14548" t="s">
        <v>103</v>
      </c>
      <c r="K14548" t="s">
        <v>626</v>
      </c>
      <c r="L14548" t="s">
        <v>103</v>
      </c>
    </row>
    <row r="14549" spans="1:12" x14ac:dyDescent="0.3">
      <c r="A14549" t="s">
        <v>29</v>
      </c>
      <c r="B14549" t="s">
        <v>2777</v>
      </c>
      <c r="C14549">
        <v>96</v>
      </c>
      <c r="D14549" t="s">
        <v>103</v>
      </c>
      <c r="E14549" t="s">
        <v>137</v>
      </c>
      <c r="F14549" t="s">
        <v>205</v>
      </c>
      <c r="G14549" t="s">
        <v>1396</v>
      </c>
      <c r="H14549" t="s">
        <v>820</v>
      </c>
      <c r="I14549" t="s">
        <v>148</v>
      </c>
      <c r="J14549" t="s">
        <v>66</v>
      </c>
      <c r="K14549" t="s">
        <v>517</v>
      </c>
      <c r="L14549" t="s">
        <v>103</v>
      </c>
    </row>
    <row r="14550" spans="1:12" x14ac:dyDescent="0.3">
      <c r="A14550" t="s">
        <v>29</v>
      </c>
      <c r="B14550" t="s">
        <v>2778</v>
      </c>
      <c r="C14550">
        <v>76</v>
      </c>
      <c r="D14550" t="s">
        <v>103</v>
      </c>
      <c r="E14550" t="s">
        <v>124</v>
      </c>
      <c r="F14550" t="s">
        <v>102</v>
      </c>
      <c r="G14550" t="s">
        <v>787</v>
      </c>
      <c r="H14550" t="s">
        <v>607</v>
      </c>
      <c r="I14550" t="s">
        <v>94</v>
      </c>
      <c r="J14550" t="s">
        <v>103</v>
      </c>
      <c r="K14550" t="s">
        <v>809</v>
      </c>
      <c r="L14550" t="s">
        <v>103</v>
      </c>
    </row>
    <row r="14551" spans="1:12" x14ac:dyDescent="0.3">
      <c r="A14551" t="s">
        <v>29</v>
      </c>
      <c r="B14551" t="s">
        <v>308</v>
      </c>
      <c r="C14551">
        <v>1</v>
      </c>
      <c r="D14551" t="s">
        <v>103</v>
      </c>
      <c r="E14551" t="s">
        <v>192</v>
      </c>
      <c r="F14551" t="s">
        <v>103</v>
      </c>
      <c r="G14551" t="s">
        <v>103</v>
      </c>
      <c r="H14551" t="s">
        <v>103</v>
      </c>
      <c r="I14551" t="s">
        <v>103</v>
      </c>
      <c r="J14551" t="s">
        <v>103</v>
      </c>
      <c r="K14551" t="s">
        <v>103</v>
      </c>
      <c r="L14551" t="s">
        <v>103</v>
      </c>
    </row>
    <row r="14552" spans="1:12" s="3" customFormat="1" x14ac:dyDescent="0.3">
      <c r="A14552" s="3" t="s">
        <v>28</v>
      </c>
      <c r="B14552" s="3" t="s">
        <v>2772</v>
      </c>
      <c r="C14552" s="3">
        <v>30</v>
      </c>
      <c r="D14552" s="3" t="s">
        <v>103</v>
      </c>
      <c r="E14552" s="3" t="s">
        <v>103</v>
      </c>
      <c r="F14552" s="3" t="s">
        <v>103</v>
      </c>
      <c r="G14552" s="3" t="s">
        <v>759</v>
      </c>
      <c r="H14552" s="3" t="s">
        <v>543</v>
      </c>
      <c r="I14552" s="3" t="s">
        <v>103</v>
      </c>
      <c r="J14552" s="3" t="s">
        <v>103</v>
      </c>
      <c r="K14552" s="3" t="s">
        <v>103</v>
      </c>
      <c r="L14552" s="3" t="s">
        <v>103</v>
      </c>
    </row>
    <row r="14553" spans="1:12" x14ac:dyDescent="0.3">
      <c r="A14553" t="s">
        <v>28</v>
      </c>
      <c r="B14553" t="s">
        <v>2773</v>
      </c>
      <c r="C14553">
        <v>37</v>
      </c>
      <c r="D14553" t="s">
        <v>103</v>
      </c>
      <c r="E14553" t="s">
        <v>103</v>
      </c>
      <c r="F14553" t="s">
        <v>662</v>
      </c>
      <c r="G14553" t="s">
        <v>151</v>
      </c>
      <c r="H14553" t="s">
        <v>103</v>
      </c>
      <c r="I14553" t="s">
        <v>575</v>
      </c>
      <c r="J14553" t="s">
        <v>103</v>
      </c>
      <c r="K14553" t="s">
        <v>103</v>
      </c>
      <c r="L14553" t="s">
        <v>103</v>
      </c>
    </row>
    <row r="14554" spans="1:12" s="3" customFormat="1" x14ac:dyDescent="0.3">
      <c r="A14554" s="3" t="s">
        <v>28</v>
      </c>
      <c r="B14554" s="3" t="s">
        <v>2774</v>
      </c>
      <c r="C14554" s="3">
        <v>19</v>
      </c>
      <c r="D14554" s="3" t="s">
        <v>103</v>
      </c>
      <c r="E14554" s="3" t="s">
        <v>103</v>
      </c>
      <c r="F14554" s="3" t="s">
        <v>103</v>
      </c>
      <c r="G14554" s="3" t="s">
        <v>985</v>
      </c>
      <c r="H14554" s="3" t="s">
        <v>809</v>
      </c>
      <c r="I14554" s="3" t="s">
        <v>266</v>
      </c>
      <c r="J14554" s="3" t="s">
        <v>103</v>
      </c>
      <c r="K14554" s="3" t="s">
        <v>101</v>
      </c>
      <c r="L14554" s="3" t="s">
        <v>103</v>
      </c>
    </row>
    <row r="14555" spans="1:12" s="3" customFormat="1" x14ac:dyDescent="0.3">
      <c r="A14555" s="3" t="s">
        <v>28</v>
      </c>
      <c r="B14555" s="3" t="s">
        <v>2775</v>
      </c>
      <c r="C14555" s="3">
        <v>25</v>
      </c>
      <c r="D14555" s="3" t="s">
        <v>103</v>
      </c>
      <c r="E14555" s="3" t="s">
        <v>126</v>
      </c>
      <c r="F14555" s="3" t="s">
        <v>103</v>
      </c>
      <c r="G14555" s="3" t="s">
        <v>1044</v>
      </c>
      <c r="H14555" s="3" t="s">
        <v>756</v>
      </c>
      <c r="I14555" s="3" t="s">
        <v>90</v>
      </c>
      <c r="J14555" s="3" t="s">
        <v>103</v>
      </c>
      <c r="K14555" s="3" t="s">
        <v>103</v>
      </c>
      <c r="L14555" s="3" t="s">
        <v>103</v>
      </c>
    </row>
    <row r="14556" spans="1:12" s="3" customFormat="1" x14ac:dyDescent="0.3">
      <c r="A14556" s="3" t="s">
        <v>28</v>
      </c>
      <c r="B14556" s="3" t="s">
        <v>2776</v>
      </c>
      <c r="C14556" s="3">
        <v>20</v>
      </c>
      <c r="D14556" s="3" t="s">
        <v>188</v>
      </c>
      <c r="E14556" s="3" t="s">
        <v>195</v>
      </c>
      <c r="F14556" s="3" t="s">
        <v>103</v>
      </c>
      <c r="G14556" s="3" t="s">
        <v>992</v>
      </c>
      <c r="H14556" s="3" t="s">
        <v>813</v>
      </c>
      <c r="I14556" s="3" t="s">
        <v>217</v>
      </c>
      <c r="J14556" s="3" t="s">
        <v>103</v>
      </c>
      <c r="K14556" s="3" t="s">
        <v>103</v>
      </c>
      <c r="L14556" s="3" t="s">
        <v>103</v>
      </c>
    </row>
    <row r="14557" spans="1:12" s="3" customFormat="1" x14ac:dyDescent="0.3">
      <c r="A14557" s="3" t="s">
        <v>28</v>
      </c>
      <c r="B14557" s="3" t="s">
        <v>2777</v>
      </c>
      <c r="C14557" s="3">
        <v>23</v>
      </c>
      <c r="D14557" s="3" t="s">
        <v>103</v>
      </c>
      <c r="E14557" s="3" t="s">
        <v>119</v>
      </c>
      <c r="F14557" s="3" t="s">
        <v>99</v>
      </c>
      <c r="G14557" s="3" t="s">
        <v>688</v>
      </c>
      <c r="H14557" s="3" t="s">
        <v>933</v>
      </c>
      <c r="I14557" s="3" t="s">
        <v>511</v>
      </c>
      <c r="J14557" s="3" t="s">
        <v>103</v>
      </c>
      <c r="K14557" s="3" t="s">
        <v>103</v>
      </c>
      <c r="L14557" s="3" t="s">
        <v>103</v>
      </c>
    </row>
    <row r="14558" spans="1:12" s="3" customFormat="1" x14ac:dyDescent="0.3">
      <c r="A14558" s="3" t="s">
        <v>28</v>
      </c>
      <c r="B14558" s="3" t="s">
        <v>2778</v>
      </c>
      <c r="C14558" s="3">
        <v>23</v>
      </c>
      <c r="D14558" s="3" t="s">
        <v>103</v>
      </c>
      <c r="E14558" s="3" t="s">
        <v>103</v>
      </c>
      <c r="F14558" s="3" t="s">
        <v>190</v>
      </c>
      <c r="G14558" s="3" t="s">
        <v>172</v>
      </c>
      <c r="H14558" s="3" t="s">
        <v>146</v>
      </c>
      <c r="I14558" s="3" t="s">
        <v>146</v>
      </c>
      <c r="J14558" s="3" t="s">
        <v>103</v>
      </c>
      <c r="K14558" s="3" t="s">
        <v>103</v>
      </c>
      <c r="L14558" s="3" t="s">
        <v>103</v>
      </c>
    </row>
    <row r="14559" spans="1:12" x14ac:dyDescent="0.3">
      <c r="A14559" t="s">
        <v>28</v>
      </c>
      <c r="B14559" t="s">
        <v>308</v>
      </c>
      <c r="C14559">
        <v>1</v>
      </c>
      <c r="D14559" t="s">
        <v>103</v>
      </c>
      <c r="E14559" t="s">
        <v>103</v>
      </c>
      <c r="F14559" t="s">
        <v>103</v>
      </c>
      <c r="G14559" t="s">
        <v>192</v>
      </c>
      <c r="H14559" t="s">
        <v>103</v>
      </c>
      <c r="I14559" t="s">
        <v>103</v>
      </c>
      <c r="J14559" t="s">
        <v>103</v>
      </c>
      <c r="K14559" t="s">
        <v>103</v>
      </c>
      <c r="L14559" t="s">
        <v>103</v>
      </c>
    </row>
    <row r="14560" spans="1:12" s="3" customFormat="1" x14ac:dyDescent="0.3">
      <c r="A14560" s="3" t="s">
        <v>27</v>
      </c>
      <c r="B14560" s="3" t="s">
        <v>2772</v>
      </c>
      <c r="C14560" s="3">
        <v>7</v>
      </c>
      <c r="D14560" s="3" t="s">
        <v>103</v>
      </c>
      <c r="E14560" s="3" t="s">
        <v>103</v>
      </c>
      <c r="F14560" s="3" t="s">
        <v>103</v>
      </c>
      <c r="G14560" s="3" t="s">
        <v>538</v>
      </c>
      <c r="H14560" s="3" t="s">
        <v>501</v>
      </c>
      <c r="I14560" s="3" t="s">
        <v>103</v>
      </c>
      <c r="J14560" s="3" t="s">
        <v>103</v>
      </c>
      <c r="K14560" s="3" t="s">
        <v>578</v>
      </c>
      <c r="L14560" s="3" t="s">
        <v>103</v>
      </c>
    </row>
    <row r="14561" spans="1:12" s="3" customFormat="1" x14ac:dyDescent="0.3">
      <c r="A14561" s="3" t="s">
        <v>27</v>
      </c>
      <c r="B14561" s="3" t="s">
        <v>2773</v>
      </c>
      <c r="C14561" s="3">
        <v>8</v>
      </c>
      <c r="D14561" s="3" t="s">
        <v>103</v>
      </c>
      <c r="E14561" s="3" t="s">
        <v>550</v>
      </c>
      <c r="F14561" s="3" t="s">
        <v>103</v>
      </c>
      <c r="G14561" s="3" t="s">
        <v>1462</v>
      </c>
      <c r="H14561" s="3" t="s">
        <v>569</v>
      </c>
      <c r="I14561" s="3" t="s">
        <v>524</v>
      </c>
      <c r="J14561" s="3" t="s">
        <v>103</v>
      </c>
      <c r="K14561" s="3" t="s">
        <v>551</v>
      </c>
      <c r="L14561" s="3" t="s">
        <v>103</v>
      </c>
    </row>
    <row r="14562" spans="1:12" s="3" customFormat="1" x14ac:dyDescent="0.3">
      <c r="A14562" s="3" t="s">
        <v>27</v>
      </c>
      <c r="B14562" s="3" t="s">
        <v>2774</v>
      </c>
      <c r="C14562" s="3">
        <v>9</v>
      </c>
      <c r="D14562" s="3" t="s">
        <v>103</v>
      </c>
      <c r="E14562" s="3" t="s">
        <v>468</v>
      </c>
      <c r="F14562" s="3" t="s">
        <v>103</v>
      </c>
      <c r="G14562" s="3" t="s">
        <v>409</v>
      </c>
      <c r="H14562" s="3" t="s">
        <v>511</v>
      </c>
      <c r="I14562" s="3" t="s">
        <v>373</v>
      </c>
      <c r="J14562" s="3" t="s">
        <v>103</v>
      </c>
      <c r="K14562" s="3" t="s">
        <v>647</v>
      </c>
      <c r="L14562" s="3" t="s">
        <v>103</v>
      </c>
    </row>
    <row r="14563" spans="1:12" s="3" customFormat="1" x14ac:dyDescent="0.3">
      <c r="A14563" s="3" t="s">
        <v>27</v>
      </c>
      <c r="B14563" s="3" t="s">
        <v>2775</v>
      </c>
      <c r="C14563" s="3">
        <v>19</v>
      </c>
      <c r="D14563" s="3" t="s">
        <v>103</v>
      </c>
      <c r="E14563" s="3" t="s">
        <v>133</v>
      </c>
      <c r="F14563" s="3" t="s">
        <v>103</v>
      </c>
      <c r="G14563" s="3" t="s">
        <v>499</v>
      </c>
      <c r="H14563" s="3" t="s">
        <v>1043</v>
      </c>
      <c r="I14563" s="3" t="s">
        <v>649</v>
      </c>
      <c r="J14563" s="3" t="s">
        <v>103</v>
      </c>
      <c r="K14563" s="3" t="s">
        <v>275</v>
      </c>
      <c r="L14563" s="3" t="s">
        <v>103</v>
      </c>
    </row>
    <row r="14564" spans="1:12" x14ac:dyDescent="0.3">
      <c r="A14564" t="s">
        <v>27</v>
      </c>
      <c r="B14564" t="s">
        <v>2776</v>
      </c>
      <c r="C14564">
        <v>31</v>
      </c>
      <c r="D14564" t="s">
        <v>103</v>
      </c>
      <c r="E14564" t="s">
        <v>100</v>
      </c>
      <c r="F14564" t="s">
        <v>466</v>
      </c>
      <c r="G14564" t="s">
        <v>793</v>
      </c>
      <c r="H14564" t="s">
        <v>152</v>
      </c>
      <c r="I14564" t="s">
        <v>112</v>
      </c>
      <c r="J14564" t="s">
        <v>103</v>
      </c>
      <c r="K14564" t="s">
        <v>481</v>
      </c>
      <c r="L14564" t="s">
        <v>103</v>
      </c>
    </row>
    <row r="14565" spans="1:12" x14ac:dyDescent="0.3">
      <c r="A14565" t="s">
        <v>27</v>
      </c>
      <c r="B14565" t="s">
        <v>2777</v>
      </c>
      <c r="C14565">
        <v>43</v>
      </c>
      <c r="D14565" t="s">
        <v>103</v>
      </c>
      <c r="E14565" t="s">
        <v>126</v>
      </c>
      <c r="F14565" t="s">
        <v>137</v>
      </c>
      <c r="G14565" t="s">
        <v>377</v>
      </c>
      <c r="H14565" t="s">
        <v>100</v>
      </c>
      <c r="I14565" t="s">
        <v>242</v>
      </c>
      <c r="J14565" t="s">
        <v>103</v>
      </c>
      <c r="K14565" t="s">
        <v>190</v>
      </c>
      <c r="L14565" t="s">
        <v>103</v>
      </c>
    </row>
    <row r="14566" spans="1:12" x14ac:dyDescent="0.3">
      <c r="A14566" t="s">
        <v>27</v>
      </c>
      <c r="B14566" t="s">
        <v>2778</v>
      </c>
      <c r="C14566">
        <v>39</v>
      </c>
      <c r="D14566" t="s">
        <v>103</v>
      </c>
      <c r="E14566" t="s">
        <v>345</v>
      </c>
      <c r="F14566" t="s">
        <v>103</v>
      </c>
      <c r="G14566" t="s">
        <v>721</v>
      </c>
      <c r="H14566" t="s">
        <v>140</v>
      </c>
      <c r="I14566" t="s">
        <v>124</v>
      </c>
      <c r="J14566" t="s">
        <v>103</v>
      </c>
      <c r="K14566" t="s">
        <v>64</v>
      </c>
      <c r="L14566" t="s">
        <v>103</v>
      </c>
    </row>
    <row r="14567" spans="1:12" s="3" customFormat="1" x14ac:dyDescent="0.3">
      <c r="A14567" s="3" t="s">
        <v>27</v>
      </c>
      <c r="B14567" s="3" t="s">
        <v>223</v>
      </c>
      <c r="C14567" s="3">
        <v>2</v>
      </c>
      <c r="D14567" s="3" t="s">
        <v>103</v>
      </c>
      <c r="E14567" s="3" t="s">
        <v>103</v>
      </c>
      <c r="F14567" s="3" t="s">
        <v>103</v>
      </c>
      <c r="G14567" s="3" t="s">
        <v>391</v>
      </c>
      <c r="H14567" s="3" t="s">
        <v>103</v>
      </c>
      <c r="I14567" s="3" t="s">
        <v>392</v>
      </c>
      <c r="J14567" s="3" t="s">
        <v>103</v>
      </c>
      <c r="K14567" s="3" t="s">
        <v>103</v>
      </c>
      <c r="L14567" s="3" t="s">
        <v>103</v>
      </c>
    </row>
    <row r="14568" spans="1:12" x14ac:dyDescent="0.3">
      <c r="A14568" t="s">
        <v>27</v>
      </c>
      <c r="B14568" t="s">
        <v>308</v>
      </c>
      <c r="C14568">
        <v>8</v>
      </c>
      <c r="D14568" t="s">
        <v>103</v>
      </c>
      <c r="E14568" t="s">
        <v>104</v>
      </c>
      <c r="F14568" t="s">
        <v>103</v>
      </c>
      <c r="G14568" t="s">
        <v>358</v>
      </c>
      <c r="H14568" t="s">
        <v>405</v>
      </c>
      <c r="I14568" t="s">
        <v>103</v>
      </c>
      <c r="J14568" t="s">
        <v>103</v>
      </c>
      <c r="K14568" t="s">
        <v>103</v>
      </c>
      <c r="L14568" t="s">
        <v>103</v>
      </c>
    </row>
    <row r="14569" spans="1:12" x14ac:dyDescent="0.3">
      <c r="A14569" t="s">
        <v>41</v>
      </c>
      <c r="B14569" t="s">
        <v>2772</v>
      </c>
      <c r="C14569">
        <v>42</v>
      </c>
      <c r="D14569" t="s">
        <v>103</v>
      </c>
      <c r="E14569" t="s">
        <v>706</v>
      </c>
      <c r="F14569" t="s">
        <v>103</v>
      </c>
      <c r="G14569" t="s">
        <v>1180</v>
      </c>
      <c r="H14569" t="s">
        <v>247</v>
      </c>
      <c r="I14569" t="s">
        <v>103</v>
      </c>
      <c r="J14569" t="s">
        <v>103</v>
      </c>
      <c r="K14569" t="s">
        <v>105</v>
      </c>
      <c r="L14569" t="s">
        <v>103</v>
      </c>
    </row>
    <row r="14570" spans="1:12" x14ac:dyDescent="0.3">
      <c r="A14570" t="s">
        <v>41</v>
      </c>
      <c r="B14570" t="s">
        <v>2773</v>
      </c>
      <c r="C14570">
        <v>56</v>
      </c>
      <c r="D14570" t="s">
        <v>64</v>
      </c>
      <c r="E14570" t="s">
        <v>110</v>
      </c>
      <c r="F14570" t="s">
        <v>93</v>
      </c>
      <c r="G14570" t="s">
        <v>258</v>
      </c>
      <c r="H14570" t="s">
        <v>208</v>
      </c>
      <c r="I14570" t="s">
        <v>429</v>
      </c>
      <c r="J14570" t="s">
        <v>103</v>
      </c>
      <c r="K14570" t="s">
        <v>136</v>
      </c>
      <c r="L14570" t="s">
        <v>103</v>
      </c>
    </row>
    <row r="14571" spans="1:12" x14ac:dyDescent="0.3">
      <c r="A14571" t="s">
        <v>41</v>
      </c>
      <c r="B14571" t="s">
        <v>2774</v>
      </c>
      <c r="C14571">
        <v>57</v>
      </c>
      <c r="D14571" t="s">
        <v>103</v>
      </c>
      <c r="E14571" t="s">
        <v>517</v>
      </c>
      <c r="F14571" t="s">
        <v>266</v>
      </c>
      <c r="G14571" t="s">
        <v>1377</v>
      </c>
      <c r="H14571" t="s">
        <v>208</v>
      </c>
      <c r="I14571" t="s">
        <v>251</v>
      </c>
      <c r="J14571" t="s">
        <v>103</v>
      </c>
      <c r="K14571" t="s">
        <v>113</v>
      </c>
      <c r="L14571" t="s">
        <v>103</v>
      </c>
    </row>
    <row r="14572" spans="1:12" x14ac:dyDescent="0.3">
      <c r="A14572" t="s">
        <v>41</v>
      </c>
      <c r="B14572" t="s">
        <v>2775</v>
      </c>
      <c r="C14572">
        <v>78</v>
      </c>
      <c r="D14572" t="s">
        <v>103</v>
      </c>
      <c r="E14572" t="s">
        <v>160</v>
      </c>
      <c r="F14572" t="s">
        <v>438</v>
      </c>
      <c r="G14572" t="s">
        <v>932</v>
      </c>
      <c r="H14572" t="s">
        <v>648</v>
      </c>
      <c r="I14572" t="s">
        <v>273</v>
      </c>
      <c r="J14572" t="s">
        <v>103</v>
      </c>
      <c r="K14572" t="s">
        <v>101</v>
      </c>
      <c r="L14572" t="s">
        <v>103</v>
      </c>
    </row>
    <row r="14573" spans="1:12" x14ac:dyDescent="0.3">
      <c r="A14573" t="s">
        <v>41</v>
      </c>
      <c r="B14573" t="s">
        <v>2776</v>
      </c>
      <c r="C14573">
        <v>143</v>
      </c>
      <c r="D14573" t="s">
        <v>662</v>
      </c>
      <c r="E14573" t="s">
        <v>281</v>
      </c>
      <c r="F14573" t="s">
        <v>112</v>
      </c>
      <c r="G14573" t="s">
        <v>1676</v>
      </c>
      <c r="H14573" t="s">
        <v>809</v>
      </c>
      <c r="I14573" t="s">
        <v>104</v>
      </c>
      <c r="J14573" t="s">
        <v>103</v>
      </c>
      <c r="K14573" t="s">
        <v>54</v>
      </c>
      <c r="L14573" t="s">
        <v>103</v>
      </c>
    </row>
    <row r="14574" spans="1:12" x14ac:dyDescent="0.3">
      <c r="A14574" t="s">
        <v>41</v>
      </c>
      <c r="B14574" t="s">
        <v>2777</v>
      </c>
      <c r="C14574">
        <v>313</v>
      </c>
      <c r="D14574" t="s">
        <v>468</v>
      </c>
      <c r="E14574" t="s">
        <v>205</v>
      </c>
      <c r="F14574" t="s">
        <v>629</v>
      </c>
      <c r="G14574" t="s">
        <v>423</v>
      </c>
      <c r="H14574" t="s">
        <v>695</v>
      </c>
      <c r="I14574" t="s">
        <v>734</v>
      </c>
      <c r="J14574" t="s">
        <v>91</v>
      </c>
      <c r="K14574" t="s">
        <v>94</v>
      </c>
      <c r="L14574" t="s">
        <v>103</v>
      </c>
    </row>
    <row r="14575" spans="1:12" x14ac:dyDescent="0.3">
      <c r="A14575" t="s">
        <v>41</v>
      </c>
      <c r="B14575" t="s">
        <v>2778</v>
      </c>
      <c r="C14575">
        <v>266</v>
      </c>
      <c r="D14575" t="s">
        <v>468</v>
      </c>
      <c r="E14575" t="s">
        <v>205</v>
      </c>
      <c r="F14575" t="s">
        <v>201</v>
      </c>
      <c r="G14575" t="s">
        <v>304</v>
      </c>
      <c r="H14575" t="s">
        <v>544</v>
      </c>
      <c r="I14575" t="s">
        <v>737</v>
      </c>
      <c r="J14575" t="s">
        <v>103</v>
      </c>
      <c r="K14575" t="s">
        <v>549</v>
      </c>
      <c r="L14575" t="s">
        <v>103</v>
      </c>
    </row>
    <row r="14576" spans="1:12" s="3" customFormat="1" x14ac:dyDescent="0.3">
      <c r="A14576" s="3" t="s">
        <v>41</v>
      </c>
      <c r="B14576" s="3" t="s">
        <v>223</v>
      </c>
      <c r="C14576" s="3">
        <v>3</v>
      </c>
      <c r="D14576" s="3" t="s">
        <v>103</v>
      </c>
      <c r="E14576" s="3" t="s">
        <v>103</v>
      </c>
      <c r="F14576" s="3" t="s">
        <v>103</v>
      </c>
      <c r="G14576" s="3" t="s">
        <v>244</v>
      </c>
      <c r="H14576" s="3" t="s">
        <v>834</v>
      </c>
      <c r="I14576" s="3" t="s">
        <v>173</v>
      </c>
      <c r="J14576" s="3" t="s">
        <v>103</v>
      </c>
      <c r="K14576" s="3" t="s">
        <v>103</v>
      </c>
      <c r="L14576" s="3" t="s">
        <v>103</v>
      </c>
    </row>
    <row r="14577" spans="1:12" x14ac:dyDescent="0.3">
      <c r="A14577" t="s">
        <v>41</v>
      </c>
      <c r="B14577" t="s">
        <v>308</v>
      </c>
      <c r="C14577">
        <v>17</v>
      </c>
      <c r="D14577" t="s">
        <v>103</v>
      </c>
      <c r="E14577" t="s">
        <v>750</v>
      </c>
      <c r="F14577" t="s">
        <v>103</v>
      </c>
      <c r="G14577" t="s">
        <v>1212</v>
      </c>
      <c r="H14577" t="s">
        <v>1226</v>
      </c>
      <c r="I14577" t="s">
        <v>553</v>
      </c>
      <c r="J14577" t="s">
        <v>103</v>
      </c>
      <c r="K14577" t="s">
        <v>103</v>
      </c>
      <c r="L14577" t="s">
        <v>103</v>
      </c>
    </row>
    <row r="14579" spans="1:12" x14ac:dyDescent="0.3">
      <c r="A14579" t="s">
        <v>2998</v>
      </c>
    </row>
    <row r="14580" spans="1:12" x14ac:dyDescent="0.3">
      <c r="A14580" t="s">
        <v>36</v>
      </c>
      <c r="B14580" t="s">
        <v>197</v>
      </c>
      <c r="C14580" t="s">
        <v>24</v>
      </c>
      <c r="D14580" t="s">
        <v>2981</v>
      </c>
      <c r="E14580" t="s">
        <v>2982</v>
      </c>
      <c r="F14580" t="s">
        <v>2983</v>
      </c>
      <c r="G14580" t="s">
        <v>2984</v>
      </c>
      <c r="H14580" t="s">
        <v>2985</v>
      </c>
      <c r="I14580" t="s">
        <v>2986</v>
      </c>
      <c r="J14580" t="s">
        <v>2987</v>
      </c>
      <c r="K14580" t="s">
        <v>2988</v>
      </c>
      <c r="L14580" t="s">
        <v>183</v>
      </c>
    </row>
    <row r="14581" spans="1:12" x14ac:dyDescent="0.3">
      <c r="A14581" t="s">
        <v>25</v>
      </c>
      <c r="B14581" t="s">
        <v>198</v>
      </c>
      <c r="C14581">
        <v>43</v>
      </c>
      <c r="D14581" t="s">
        <v>518</v>
      </c>
      <c r="E14581" t="s">
        <v>232</v>
      </c>
      <c r="F14581" t="s">
        <v>103</v>
      </c>
      <c r="G14581" t="s">
        <v>1043</v>
      </c>
      <c r="H14581" t="s">
        <v>816</v>
      </c>
      <c r="I14581" t="s">
        <v>140</v>
      </c>
      <c r="J14581" t="s">
        <v>103</v>
      </c>
      <c r="K14581" t="s">
        <v>157</v>
      </c>
      <c r="L14581" t="s">
        <v>103</v>
      </c>
    </row>
    <row r="14582" spans="1:12" x14ac:dyDescent="0.3">
      <c r="A14582" t="s">
        <v>25</v>
      </c>
      <c r="B14582" t="s">
        <v>199</v>
      </c>
      <c r="C14582">
        <v>151</v>
      </c>
      <c r="D14582" t="s">
        <v>103</v>
      </c>
      <c r="E14582" t="s">
        <v>1319</v>
      </c>
      <c r="F14582" t="s">
        <v>281</v>
      </c>
      <c r="G14582" t="s">
        <v>527</v>
      </c>
      <c r="H14582" t="s">
        <v>756</v>
      </c>
      <c r="I14582" t="s">
        <v>146</v>
      </c>
      <c r="J14582" t="s">
        <v>103</v>
      </c>
      <c r="K14582" t="s">
        <v>452</v>
      </c>
      <c r="L14582" t="s">
        <v>103</v>
      </c>
    </row>
    <row r="14583" spans="1:12" s="3" customFormat="1" x14ac:dyDescent="0.3">
      <c r="A14583" s="3" t="s">
        <v>26</v>
      </c>
      <c r="B14583" s="3" t="s">
        <v>198</v>
      </c>
      <c r="C14583" s="3">
        <v>14</v>
      </c>
      <c r="D14583" s="3" t="s">
        <v>558</v>
      </c>
      <c r="E14583" s="3" t="s">
        <v>113</v>
      </c>
      <c r="F14583" s="3" t="s">
        <v>103</v>
      </c>
      <c r="G14583" s="3" t="s">
        <v>603</v>
      </c>
      <c r="H14583" s="3" t="s">
        <v>737</v>
      </c>
      <c r="I14583" s="3" t="s">
        <v>925</v>
      </c>
      <c r="J14583" s="3" t="s">
        <v>103</v>
      </c>
      <c r="K14583" s="3" t="s">
        <v>103</v>
      </c>
      <c r="L14583" s="3" t="s">
        <v>103</v>
      </c>
    </row>
    <row r="14584" spans="1:12" x14ac:dyDescent="0.3">
      <c r="A14584" t="s">
        <v>26</v>
      </c>
      <c r="B14584" t="s">
        <v>199</v>
      </c>
      <c r="C14584">
        <v>183</v>
      </c>
      <c r="D14584" t="s">
        <v>188</v>
      </c>
      <c r="E14584" t="s">
        <v>615</v>
      </c>
      <c r="F14584" t="s">
        <v>136</v>
      </c>
      <c r="G14584" t="s">
        <v>1048</v>
      </c>
      <c r="H14584" t="s">
        <v>459</v>
      </c>
      <c r="I14584" t="s">
        <v>259</v>
      </c>
      <c r="J14584" t="s">
        <v>103</v>
      </c>
      <c r="K14584" t="s">
        <v>103</v>
      </c>
      <c r="L14584" t="s">
        <v>103</v>
      </c>
    </row>
    <row r="14585" spans="1:12" x14ac:dyDescent="0.3">
      <c r="A14585" t="s">
        <v>29</v>
      </c>
      <c r="B14585" t="s">
        <v>198</v>
      </c>
      <c r="C14585">
        <v>71</v>
      </c>
      <c r="D14585" t="s">
        <v>216</v>
      </c>
      <c r="E14585" t="s">
        <v>108</v>
      </c>
      <c r="F14585" t="s">
        <v>93</v>
      </c>
      <c r="G14585" t="s">
        <v>665</v>
      </c>
      <c r="H14585" t="s">
        <v>528</v>
      </c>
      <c r="I14585" t="s">
        <v>124</v>
      </c>
      <c r="J14585" t="s">
        <v>103</v>
      </c>
      <c r="K14585" t="s">
        <v>504</v>
      </c>
      <c r="L14585" t="s">
        <v>103</v>
      </c>
    </row>
    <row r="14586" spans="1:12" x14ac:dyDescent="0.3">
      <c r="A14586" t="s">
        <v>29</v>
      </c>
      <c r="B14586" t="s">
        <v>199</v>
      </c>
      <c r="C14586">
        <v>169</v>
      </c>
      <c r="D14586" t="s">
        <v>103</v>
      </c>
      <c r="E14586" t="s">
        <v>99</v>
      </c>
      <c r="F14586" t="s">
        <v>190</v>
      </c>
      <c r="G14586" t="s">
        <v>793</v>
      </c>
      <c r="H14586" t="s">
        <v>469</v>
      </c>
      <c r="I14586" t="s">
        <v>135</v>
      </c>
      <c r="J14586" t="s">
        <v>91</v>
      </c>
      <c r="K14586" t="s">
        <v>262</v>
      </c>
      <c r="L14586" t="s">
        <v>103</v>
      </c>
    </row>
    <row r="14587" spans="1:12" s="3" customFormat="1" x14ac:dyDescent="0.3">
      <c r="A14587" s="3" t="s">
        <v>28</v>
      </c>
      <c r="B14587" s="3" t="s">
        <v>198</v>
      </c>
      <c r="C14587" s="3">
        <v>26</v>
      </c>
      <c r="D14587" s="3" t="s">
        <v>103</v>
      </c>
      <c r="E14587" s="3" t="s">
        <v>140</v>
      </c>
      <c r="F14587" s="3" t="s">
        <v>558</v>
      </c>
      <c r="G14587" s="3" t="s">
        <v>1202</v>
      </c>
      <c r="H14587" s="3" t="s">
        <v>361</v>
      </c>
      <c r="I14587" s="3" t="s">
        <v>925</v>
      </c>
      <c r="J14587" s="3" t="s">
        <v>103</v>
      </c>
      <c r="K14587" s="3" t="s">
        <v>103</v>
      </c>
      <c r="L14587" s="3" t="s">
        <v>103</v>
      </c>
    </row>
    <row r="14588" spans="1:12" x14ac:dyDescent="0.3">
      <c r="A14588" t="s">
        <v>28</v>
      </c>
      <c r="B14588" t="s">
        <v>199</v>
      </c>
      <c r="C14588">
        <v>152</v>
      </c>
      <c r="D14588" t="s">
        <v>95</v>
      </c>
      <c r="E14588" t="s">
        <v>128</v>
      </c>
      <c r="F14588" t="s">
        <v>217</v>
      </c>
      <c r="G14588" t="s">
        <v>156</v>
      </c>
      <c r="H14588" t="s">
        <v>743</v>
      </c>
      <c r="I14588" t="s">
        <v>125</v>
      </c>
      <c r="J14588" t="s">
        <v>103</v>
      </c>
      <c r="K14588" t="s">
        <v>139</v>
      </c>
      <c r="L14588" t="s">
        <v>103</v>
      </c>
    </row>
    <row r="14589" spans="1:12" x14ac:dyDescent="0.3">
      <c r="A14589" t="s">
        <v>27</v>
      </c>
      <c r="B14589" t="s">
        <v>198</v>
      </c>
      <c r="C14589">
        <v>75</v>
      </c>
      <c r="D14589" t="s">
        <v>103</v>
      </c>
      <c r="E14589" t="s">
        <v>194</v>
      </c>
      <c r="F14589" t="s">
        <v>493</v>
      </c>
      <c r="G14589" t="s">
        <v>1278</v>
      </c>
      <c r="H14589" t="s">
        <v>54</v>
      </c>
      <c r="I14589" t="s">
        <v>106</v>
      </c>
      <c r="J14589" t="s">
        <v>103</v>
      </c>
      <c r="K14589" t="s">
        <v>164</v>
      </c>
      <c r="L14589" t="s">
        <v>103</v>
      </c>
    </row>
    <row r="14590" spans="1:12" x14ac:dyDescent="0.3">
      <c r="A14590" t="s">
        <v>27</v>
      </c>
      <c r="B14590" t="s">
        <v>199</v>
      </c>
      <c r="C14590">
        <v>91</v>
      </c>
      <c r="D14590" t="s">
        <v>103</v>
      </c>
      <c r="E14590" t="s">
        <v>135</v>
      </c>
      <c r="F14590" t="s">
        <v>195</v>
      </c>
      <c r="G14590" t="s">
        <v>1462</v>
      </c>
      <c r="H14590" t="s">
        <v>473</v>
      </c>
      <c r="I14590" t="s">
        <v>33</v>
      </c>
      <c r="J14590" t="s">
        <v>103</v>
      </c>
      <c r="K14590" t="s">
        <v>607</v>
      </c>
      <c r="L14590" t="s">
        <v>103</v>
      </c>
    </row>
    <row r="14591" spans="1:12" x14ac:dyDescent="0.3">
      <c r="A14591" t="s">
        <v>41</v>
      </c>
      <c r="B14591" t="s">
        <v>198</v>
      </c>
      <c r="C14591">
        <v>229</v>
      </c>
      <c r="D14591" t="s">
        <v>591</v>
      </c>
      <c r="E14591" t="s">
        <v>94</v>
      </c>
      <c r="F14591" t="s">
        <v>208</v>
      </c>
      <c r="G14591" t="s">
        <v>804</v>
      </c>
      <c r="H14591" t="s">
        <v>681</v>
      </c>
      <c r="I14591" t="s">
        <v>254</v>
      </c>
      <c r="J14591" t="s">
        <v>103</v>
      </c>
      <c r="K14591" t="s">
        <v>30</v>
      </c>
      <c r="L14591" t="s">
        <v>103</v>
      </c>
    </row>
    <row r="14592" spans="1:12" x14ac:dyDescent="0.3">
      <c r="A14592" t="s">
        <v>41</v>
      </c>
      <c r="B14592" t="s">
        <v>199</v>
      </c>
      <c r="C14592">
        <v>746</v>
      </c>
      <c r="D14592" t="s">
        <v>345</v>
      </c>
      <c r="E14592" t="s">
        <v>137</v>
      </c>
      <c r="F14592" t="s">
        <v>460</v>
      </c>
      <c r="G14592" t="s">
        <v>1278</v>
      </c>
      <c r="H14592" t="s">
        <v>518</v>
      </c>
      <c r="I14592" t="s">
        <v>92</v>
      </c>
      <c r="J14592" t="s">
        <v>103</v>
      </c>
      <c r="K14592" t="s">
        <v>284</v>
      </c>
      <c r="L14592" t="s">
        <v>103</v>
      </c>
    </row>
  </sheetData>
  <autoFilter ref="A1:F14592" xr:uid="{00000000-0001-0000-0100-000000000000}"/>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lcf76f155ced4ddcb4097134ff3c332f xmlns="c228d1bd-650e-48eb-9f39-f684bd7bd2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6B915E-BF07-4EB6-9CDD-4E52CADC3E76}">
  <ds:schemaRefs>
    <ds:schemaRef ds:uri="http://schemas.microsoft.com/sharepoint/v3/contenttype/forms"/>
  </ds:schemaRefs>
</ds:datastoreItem>
</file>

<file path=customXml/itemProps2.xml><?xml version="1.0" encoding="utf-8"?>
<ds:datastoreItem xmlns:ds="http://schemas.openxmlformats.org/officeDocument/2006/customXml" ds:itemID="{3A2652F5-652B-46A7-B5CB-4A6A1AD312C1}"/>
</file>

<file path=customXml/itemProps3.xml><?xml version="1.0" encoding="utf-8"?>
<ds:datastoreItem xmlns:ds="http://schemas.openxmlformats.org/officeDocument/2006/customXml" ds:itemID="{BE6F60FF-62E9-428E-9E99-942692A7655E}">
  <ds:schemaRefs>
    <ds:schemaRef ds:uri="http://schemas.microsoft.com/office/2006/metadata/properties"/>
    <ds:schemaRef ds:uri="http://schemas.microsoft.com/office/infopath/2007/PartnerControls"/>
    <ds:schemaRef ds:uri="fa0b5fe5-391f-41b6-811a-90e0518c7af2"/>
    <ds:schemaRef ds:uri="c228d1bd-650e-48eb-9f39-f684bd7bd2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 CCCM</vt:lpstr>
      <vt:lpstr>Table_of_Contents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Olha MYKHAILUK</cp:lastModifiedBy>
  <cp:revision/>
  <dcterms:created xsi:type="dcterms:W3CDTF">2023-10-09T13:40:13Z</dcterms:created>
  <dcterms:modified xsi:type="dcterms:W3CDTF">2023-10-25T15:10:05Z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0x010100193A2E158ED92647AF4EE09E30C26EE1</vt:lpwstr>
  </property>
</Properties>
</file>